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490" windowHeight="7815" activeTab="1"/>
  </bookViews>
  <sheets>
    <sheet name="BIEU 10 CH" sheetId="76" r:id="rId1"/>
    <sheet name="Phuluc04" sheetId="177" r:id="rId2"/>
    <sheet name="ngaigiao (2016)" sheetId="100" state="hidden" r:id="rId3"/>
    <sheet name="bauchinh (2016)" sheetId="101" state="hidden" r:id="rId4"/>
    <sheet name="binhba (2016)" sheetId="102" state="hidden" r:id="rId5"/>
    <sheet name="binhgia (2016)" sheetId="103" state="hidden" r:id="rId6"/>
    <sheet name="binhtrung (2016)" sheetId="104" state="hidden" r:id="rId7"/>
    <sheet name="cubi (2016)" sheetId="105" state="hidden" r:id="rId8"/>
    <sheet name="dabac (2016)" sheetId="106" state="hidden" r:id="rId9"/>
    <sheet name="kimlong (2016)" sheetId="107" state="hidden" r:id="rId10"/>
    <sheet name="langlon (2016)" sheetId="108" state="hidden" r:id="rId11"/>
    <sheet name="nghiathanh (2016)" sheetId="109" state="hidden" r:id="rId12"/>
    <sheet name="quangthanh (2016)" sheetId="110" state="hidden" r:id="rId13"/>
    <sheet name="sonbinh (2016)" sheetId="111" state="hidden" r:id="rId14"/>
    <sheet name="suoinghe (2016)" sheetId="112" state="hidden" r:id="rId15"/>
    <sheet name="suoirao (2016)" sheetId="113" state="hidden" r:id="rId16"/>
    <sheet name="xabang (2016)" sheetId="114" state="hidden" r:id="rId17"/>
    <sheet name="xuanson (2016)" sheetId="115" state="hidden" r:id="rId18"/>
    <sheet name="toanhuyen (2016)" sheetId="116" state="hidden" r:id="rId19"/>
    <sheet name="TNG (2016)" sheetId="117" state="hidden" r:id="rId20"/>
    <sheet name="XBC (2016)" sheetId="118" state="hidden" r:id="rId21"/>
    <sheet name="XBB (2016)" sheetId="119" state="hidden" r:id="rId22"/>
    <sheet name="XBG (2016)" sheetId="120" state="hidden" r:id="rId23"/>
    <sheet name="XBT (2016)" sheetId="121" state="hidden" r:id="rId24"/>
    <sheet name="XCB (2016)" sheetId="122" state="hidden" r:id="rId25"/>
    <sheet name="XDB (2016)" sheetId="123" state="hidden" r:id="rId26"/>
    <sheet name="XKL (2016)" sheetId="124" state="hidden" r:id="rId27"/>
    <sheet name="XLL (2016)" sheetId="125" state="hidden" r:id="rId28"/>
    <sheet name="XNT (2016)" sheetId="126" state="hidden" r:id="rId29"/>
    <sheet name="XQT (2016)" sheetId="127" state="hidden" r:id="rId30"/>
    <sheet name="XSB (2016)" sheetId="128" state="hidden" r:id="rId31"/>
    <sheet name="XSN (2016)" sheetId="129" state="hidden" r:id="rId32"/>
    <sheet name="XSR (2016)" sheetId="130" state="hidden" r:id="rId33"/>
    <sheet name="XXB (2016)" sheetId="131" state="hidden" r:id="rId34"/>
    <sheet name="XXS (2016)" sheetId="132" state="hidden" r:id="rId35"/>
  </sheets>
  <definedNames>
    <definedName name="_Fill" hidden="1">#REF!</definedName>
    <definedName name="_xlnm._FilterDatabase" localSheetId="0" hidden="1">'BIEU 10 CH'!#REF!</definedName>
    <definedName name="_xlnm.Print_Titles" localSheetId="0">'BIEU 10 CH'!#REF!,'BIEU 10 CH'!#REF!</definedName>
    <definedName name="_xlnm.Print_Titles" localSheetId="1">Phuluc04!$5:$7</definedName>
    <definedName name="_xlnm.Print_Titles">#N/A</definedName>
  </definedNames>
  <calcPr calcId="144525"/>
  <pivotCaches>
    <pivotCache cacheId="0" r:id="rId36"/>
  </pivotCaches>
</workbook>
</file>

<file path=xl/sharedStrings.xml><?xml version="1.0" encoding="utf-8"?>
<sst xmlns="http://schemas.openxmlformats.org/spreadsheetml/2006/main" count="33424" uniqueCount="8438">
  <si>
    <t>Biểu 10/CH</t>
  </si>
  <si>
    <t>DANH MỤC CÔNG TRÌNH, DỰ ÁN THỰC HIỆN TRONG NĂM 2022</t>
  </si>
  <si>
    <t>CỦA HUYỆN HỚN QUẢN - TỈNH BÌNH PHƯỚC</t>
  </si>
  <si>
    <t>STT</t>
  </si>
  <si>
    <t>Hạng mục</t>
  </si>
  <si>
    <t>Diện tích kế hoạch (ha)</t>
  </si>
  <si>
    <t>Diện tích hiện trạng (ha)</t>
  </si>
  <si>
    <t>Tăng thêm</t>
  </si>
  <si>
    <t>Mục đích sử dụng đất</t>
  </si>
  <si>
    <t>Địa điểm
(đến cấp xã)</t>
  </si>
  <si>
    <t>Vị trí trên bản đồ địa chính (tờ bản đồ số, thửa số) hoặc vị trí trên bản đồ hiện trạng sử dụng đất cấp xã</t>
  </si>
  <si>
    <t>Căn cứ pháp lý</t>
  </si>
  <si>
    <t>Ghi chú</t>
  </si>
  <si>
    <t>Diện tích (ha)</t>
  </si>
  <si>
    <t>Lấy vào loại đất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</si>
  <si>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</si>
  <si>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</si>
  <si>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</si>
  <si>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</si>
  <si>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</si>
  <si>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</si>
  <si>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</si>
  <si>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</si>
  <si>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</si>
  <si>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</si>
  <si>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</si>
  <si>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Công trình, dự án được phân bổ từ quy hoạch sử dụng đất cấp tỉnh</t>
  </si>
  <si>
    <t>1.1</t>
  </si>
  <si>
    <t>Công trình, dự án mục đích quốc phòng, an ninh</t>
  </si>
  <si>
    <t>Căn cứ hậu cần kỹ thuật BCHQS huyện Hớn Quản</t>
  </si>
  <si>
    <t>CLN</t>
  </si>
  <si>
    <t>CQP</t>
  </si>
  <si>
    <t>Tân Hưng</t>
  </si>
  <si>
    <t>Nghị quyết số 17/2021/NQ-HĐND ngày 07/12/2021 của HĐND tỉnh Bình Phước; Quyết định số 428 ngày 13/02/2018 của Bộ Tư lệnh Quân khu 7; Quyết định số 45/QĐ-UBND ngày 30/12/2011 của UBND tỉnh</t>
  </si>
  <si>
    <t>Vùng lõi CCHC kỹ thuật TX. Bình Long</t>
  </si>
  <si>
    <t>Phước An</t>
  </si>
  <si>
    <t>Nghị quyết số 17/2021/NQ-HĐND ngày 07/12/2021 của HĐND tỉnh Bình Phước; Quyết định số 45/QĐ-UBND ngày 30/12/2011 của UBND tỉnh; Quyết định số 431/QĐ-BTL ngày 13/02/2018 của Bộ Tư lệnh Quân khu 7</t>
  </si>
  <si>
    <t>Khu sơ tán phòng thủ dân sự 1</t>
  </si>
  <si>
    <t>Đồng Nơ</t>
  </si>
  <si>
    <t>Nghị quyết số 17/2021/NQ-HĐND ngày 07/12/2021 của HĐND tỉnh Bình Phước; Quyết định số 179/QĐ-UBND ngày 16/11/2020 của UBND tỉnh; Công văn số 1146/BC-BCH ngày 06/9/2021 của BCHQS huyện Hớn Quản</t>
  </si>
  <si>
    <t>1.2</t>
  </si>
  <si>
    <t>Công trình, dự án để phát triển kinh tế - xã hội vì lợi ích quốc gia, công cộng</t>
  </si>
  <si>
    <t xml:space="preserve">1.2.1 </t>
  </si>
  <si>
    <t>Công trình, dự án quan trọng quốc gia do Quốc hội quyết định chủ trương đầu tư mà phải thu hồi đất</t>
  </si>
  <si>
    <t>1.2.2</t>
  </si>
  <si>
    <t>Công trình, dự án do Thủ tướng Chính phủ chấp thuận, quyết định đầu tư mà phải thu hồi đất</t>
  </si>
  <si>
    <t>Khu công nghiệp Tân Khai II</t>
  </si>
  <si>
    <t>SKK</t>
  </si>
  <si>
    <t>Tân Khai</t>
  </si>
  <si>
    <t>Nghị quyết số 17/2021/NQ-HĐND ngày 07/12/2021 của HĐND tỉnh Bình Phước; Công văn số 2162/TTg-KTN ngày 26/11/2015 của Thủ tướng CP</t>
  </si>
  <si>
    <t>1.2.3</t>
  </si>
  <si>
    <t>Công trình, dự án do Hội đồng nhân dân cấp tỉnh chấp thuận mà phải thu hồi đất</t>
  </si>
  <si>
    <t>Đất phát triển công trình công cộng</t>
  </si>
  <si>
    <t>Nghị quyết số 17/2021/NQ-HĐND ngày 07/12/2021 của HĐND tỉnh Bình Phước; Công văn số 4184 ngày 04/12/2014 của UBND tỉnh</t>
  </si>
  <si>
    <t>Trong đó:</t>
  </si>
  <si>
    <t>- Đất phát triển cụm công nghiệp</t>
  </si>
  <si>
    <t>SKN</t>
  </si>
  <si>
    <t>Thanh Bình, Tân Khai</t>
  </si>
  <si>
    <t>- Đất phát triển các công trình công cộng</t>
  </si>
  <si>
    <t>PNK</t>
  </si>
  <si>
    <t>Thanh Bình</t>
  </si>
  <si>
    <t>Thu hồi đất của Công ty TNHH MTV Cao su Bình Long để bổ sung quy hoạch các Cụm Công nghiệp giai đoạn 2021-2030</t>
  </si>
  <si>
    <t>Phước An, Minh Tâm, Tân Hưng, Thanh An</t>
  </si>
  <si>
    <t>Nghị quyết số 17/2021/NQ-HĐND ngày 07/12/2021 của HĐND tỉnh Bình Phước; Nghị quyết số 09/2021/NQ-HĐND ngày 02/7/2021 của HĐND tỉnh; Báo cáo số 33/BC-UBND ngày 09/3/2021 của UBND huyện Hớn Quản; Biên bản làm việc ngày 26/02/2021 giữa UBND huyện Hớn Quản và Công ty TNHH MTV Cao su Bình Long</t>
  </si>
  <si>
    <t>- Cụm công nghiệp Phước An</t>
  </si>
  <si>
    <t>- Cụm công nghiệp Minh Tâm</t>
  </si>
  <si>
    <t>- Cụm công nghiệp Tân Hưng</t>
  </si>
  <si>
    <t>- Cụm công nghiệp Thanh An</t>
  </si>
  <si>
    <t>Công trình, dự án cấp huyện</t>
  </si>
  <si>
    <t>2.1</t>
  </si>
  <si>
    <t>Nhà máy điện mặt trời GRANDSOLAR</t>
  </si>
  <si>
    <t>DNL</t>
  </si>
  <si>
    <t>An Khương</t>
  </si>
  <si>
    <t>Nghị quyết số 17/2021/NQ-HĐND ngày 07/12/2021 của HĐND tỉnh Bình Phước; Công văn số 1895 ngày 03/7/2018 của UBND tỉnh</t>
  </si>
  <si>
    <t>Trạm 220KV Bình Long 2 - Trạm 110KV Bình Long</t>
  </si>
  <si>
    <t>Phước An, Tân Lợi, Tân Khai</t>
  </si>
  <si>
    <t>Nghị quyết số 17/2021/NQ-HĐND ngày 07/12/2021 của HĐND tỉnh Bình Phước; Công văn số 2802 ngày 27/9/2018 của UBND tỉnh; Công văn 1481 ngày 26/5/2020 của Công ty Điện lực Bình Phước</t>
  </si>
  <si>
    <t>- Xã Phước An</t>
  </si>
  <si>
    <t>- Xã Tân Lợi</t>
  </si>
  <si>
    <t>- Thị trấn Tân Khai</t>
  </si>
  <si>
    <t>Xây dựng móng trụ đường dây Bình Long 2- Srok Phu Miêng</t>
  </si>
  <si>
    <t>Thanh An</t>
  </si>
  <si>
    <t>Nghị quyết số 17/2021/NQ-HĐND ngày 07/12/2021 của HĐND tỉnh Bình Phước; Công văn số 939 ngày 05/6/2019 của UBND huyện</t>
  </si>
  <si>
    <t>Trạm biến áp 110KV Tân Hưng và đường dây 110KV nhánh rẽ đấu nối Trạm biến áp 110KV Tân Hưng</t>
  </si>
  <si>
    <t>Phước An, Tân Khai, Tân Quan</t>
  </si>
  <si>
    <t>Nghị quyết số 17/2021/NQ-HĐND ngày 07/12/2021 của HĐND tỉnh Bình Phước; Quyết định số 866/QĐ-BCT ngày 17/3/2017 của Bộ Công thương; Công văn số 3285 ngày 22/10/2020 của Công ty Điện lực Bình Phước</t>
  </si>
  <si>
    <t>- Xã Tân Quan</t>
  </si>
  <si>
    <t>Đường điện tổ trung, hạ thế</t>
  </si>
  <si>
    <t>Nghị quyết số 17/2021/NQ-HĐND ngày 07/12/2021 của HĐND tỉnh Bình Phước; Quyết định số 1780 ngày 27/8/2019 của UBND tỉnh</t>
  </si>
  <si>
    <t>Nhà máy điện mặt trời Minh Tâm 1,2,3</t>
  </si>
  <si>
    <t>Minh Tâm</t>
  </si>
  <si>
    <t>Nghị quyết số 17/2021/NQ-HĐND ngày 07/12/2021 của HĐND tỉnh Bình Phước; Nghị quyết số 09/2021/NQ-HĐND ngày 02/7/2021 của HĐND tỉnh; Công văn số 3756/UBND-TH ngày 13/12/2019 của UBND tỉnh; Công văn số 1443/UBND-TH ngày 14/5/2020 của UBND tỉnh; Công văn số 165/SCT-TM ngày 27/01/2021 của Sở Công thương</t>
  </si>
  <si>
    <t>Xây dựng đường phía Tây QL13 kết nối Chơn Thành - Hoa Lư</t>
  </si>
  <si>
    <t>CLN; ONT; DGT</t>
  </si>
  <si>
    <t>DGT</t>
  </si>
  <si>
    <t>An Phú, Đồng Nơ, Minh Đức, Minh Tâm, Tân Hiệp</t>
  </si>
  <si>
    <t>Nghị quyết số 17/2021/NQ-HĐND ngày 07/12/2021 của HĐND tỉnh Bình Phước; Quyết định số 2292 ngày 30/10/2019 của UBND tỉnh</t>
  </si>
  <si>
    <t>- Đoạn qua xã An Phú</t>
  </si>
  <si>
    <t>- Đoạn qua xã Đồng Nơ</t>
  </si>
  <si>
    <t>- Đoạn qua xã Minh Đức</t>
  </si>
  <si>
    <t>- Đoạn qua xã Minh Tâm</t>
  </si>
  <si>
    <t>- Đoạn qua xã Tân Hiệp</t>
  </si>
  <si>
    <t>Đường trục chính từ Tân Khai đi Phước An và Tân Quan</t>
  </si>
  <si>
    <t>CLN, LUK, ONT, ODT</t>
  </si>
  <si>
    <t>Tân Khai, Phước An, Tân Quan</t>
  </si>
  <si>
    <t>Nghị quyết số 17/2021/NQ-HĐND ngày 07/12/2021 của HĐND tỉnh Bình Phước; Nghị quyết số 11/NQ-HĐND ngày 13/7/2020 của HĐND tỉnh; Quyết định số 1801/QĐ-UBND ngày 05/8/2020 của UBND tỉnh; Quyết định số 550/QĐ-UBND ngày 05/3/2021 của UBND tỉnh</t>
  </si>
  <si>
    <t>- Đoạn qua xã Phước An</t>
  </si>
  <si>
    <t>- Đoạn qua xã Tân Quan</t>
  </si>
  <si>
    <t>- Đoạn qua thị trấn Tân Khai</t>
  </si>
  <si>
    <t>Nâng cấp đường vào cầu Huyện ủy và đường Khu phố 1, thị trấn Tân Khai</t>
  </si>
  <si>
    <t>Nghị quyết số 17/2021/NQ-HĐND ngày 07/12/2021 của HĐND tỉnh Bình Phước; Công văn số 244/UBND-KTHT ngày 04/3/2020 của UBND huyện</t>
  </si>
  <si>
    <t>Dự án thành phần 03, dự án LRAMP</t>
  </si>
  <si>
    <t>Nghị quyết số 17/2021/NQ-HĐND ngày 07/12/2021 của HĐND tỉnh Bình Phước; Quyết định số 622 ngày 02/3/2016 của Bộ GTVT; Quyết định số 643/QĐ-TCĐBVN ngày 25/3/2019 của Tổng cục đường bộ</t>
  </si>
  <si>
    <t>Hỗ trợ phát triển biên giới - Tiểu dự án tỉnh Bình Phước</t>
  </si>
  <si>
    <t>CLN, ONT, DGT</t>
  </si>
  <si>
    <t>Tân Hưng, Tân Lợi, Thanh An</t>
  </si>
  <si>
    <t>Nghị quyết số 17/2021/NQ-HĐND ngày 07/12/2021 của HĐND tỉnh Bình Phước; Quyết định số 920 ngày 17/4/2017 của UBND tỉnh</t>
  </si>
  <si>
    <t>- Xã Tân Hưng</t>
  </si>
  <si>
    <t>- Xã Thanh An</t>
  </si>
  <si>
    <t>Đường trục chính từ QL13 vào KCN Tân Khai II</t>
  </si>
  <si>
    <t>CLN, ODT</t>
  </si>
  <si>
    <t>Nghị quyết số 17/2021/NQ-HĐND ngày 07/12/2021 của HĐND tỉnh Bình Phước; Công văn số 2508/UBND-KT ngày 27/7/2020 của UBND tỉnh; Công văn số 3071/UBND-KT ngày 28/8/2020 của UBND tỉnh</t>
  </si>
  <si>
    <t xml:space="preserve">Đường Trục chính Bắc Nam nối dài (GĐ1) </t>
  </si>
  <si>
    <t>Nghị quyết số 17/2021/NQ-HĐND ngày 07/12/2021 của HĐND tỉnh Bình Phước; Quyết định số 413 ngày 02/3/2010 của UBND tỉnh</t>
  </si>
  <si>
    <t>Đường Trục chính Bắc Nam (giai đoạn 3), TTVH - TDTT huyện Hớn Quản và đường Đông Tây 9</t>
  </si>
  <si>
    <t>Đường Đông Tây 7 nối dài</t>
  </si>
  <si>
    <t>Xây dựng cầu dân sinh trên địa bàn tỉnh Bình Phước</t>
  </si>
  <si>
    <t>CLN, DGT, ONT, SON</t>
  </si>
  <si>
    <t>Đồng Nơ, Tân Hiệp,
Tân Lợi, Minh Tâm,
Tân Quan, Phước An, An Phú</t>
  </si>
  <si>
    <t>Nghị quyết số 17/2021/NQ-HĐND ngày 07/12/2021 của HĐND tỉnh Bình Phước; Nghị quyết số 09/2021/NQ-HĐND ngày 02/7/2021 của HĐND tỉnh; Quyết định số 3282/QĐ-UBND ngày 25/12/2020 của UBND tỉnh; Công văn số 162/BQLDA-KHTH ngày 10/3/2021 của Ban quản lý dự án đầu tư xây dựng tỉnh Bình Phước; Công văn số 924/BQLDA-TCKT ngày 24/9/2021 của BQLDA tỉnh</t>
  </si>
  <si>
    <t>- Xã Đồng Nơ</t>
  </si>
  <si>
    <t>- Xã Tân Hiệp</t>
  </si>
  <si>
    <t>- Xã Minh Tâm</t>
  </si>
  <si>
    <t>- Xã An Phú</t>
  </si>
  <si>
    <t>Nâng cấp, mở rộng đường từ Khu công nghiệp Việt Kiều kết nối với Khu công nghiệp Minh Hưng - Sikico, huyện Hớn Quản.</t>
  </si>
  <si>
    <t>CLN, ONT</t>
  </si>
  <si>
    <t>Đồng Nơ, Minh Đức</t>
  </si>
  <si>
    <t>Nghị quyết số 17/2021/NQ-HĐND ngày 07/12/2021 của HĐND tỉnh Bình Phước; Nghị quyết số 09/2021/NQ-HĐND ngày 02/7/2021 của HĐND tỉnh; Quyết định số 551/QĐ-UBND ngày 05/3/2021 của UBND tỉnh; Công văn số 91/BQLDA ngày 19/4/2021 của Ban quản lý dự án đầu tư xây dựng huyện Hớn Quản</t>
  </si>
  <si>
    <t>Xây dựng các tuyến đường từ thị trấn Tân Khai kết nối với các tuyến đường đi xã Phước An, Đồng Nơ và Minh Đức, huyện Hớn Quản.</t>
  </si>
  <si>
    <t>Tân Khai, Phước An, Đồng Nơ, Minh Đức</t>
  </si>
  <si>
    <t>Nghị quyết số 17/2021/NQ-HĐND ngày 07/12/2021 của HĐND tỉnh Bình Phước; Nghị quyết số 09/2021/NQ-HĐND ngày 02/7/2021 của HĐND tỉnh; Quyết định số 490/QĐ-UBND ngày 24/3/2021 của UBND huyện Hớn Quản; Công văn số 91/BQLDA ngày 19/4/2021 của Ban quản lý dự án đầu tư xây dựng huyện Hớn Quản</t>
  </si>
  <si>
    <t>Xây dựng đường từ xã Tân Hưng, huyện Hớn Quản đi xã Long Tân, huyện Phú Riềng.</t>
  </si>
  <si>
    <t>CLN (13,00);
LUK (0,50);
ONT (1,00)</t>
  </si>
  <si>
    <t>Nghị quyết số 17/2021/NQ-HĐND ngày 07/12/2021 của HĐND tỉnh Bình Phước; Nghị quyết số 09/2021/NQ-HĐND ngày 02/7/2021 của HĐND tỉnh; Quyết định số 1131/QĐ-UBND ngày 04/5/2021 của UBND tỉnh, Công văn số 91/BQLDA ngày 19/4/2021 của Ban quản lý dự án đầu tư xây dựng huyện Hớn Quản</t>
  </si>
  <si>
    <t>Mở rộng đường ĐT758 từ Bình Long đến Thuận Phú và kết nối QL14</t>
  </si>
  <si>
    <t>ONT, CLN, DGT, DTL</t>
  </si>
  <si>
    <t>Tân Hưng, Tân Lợi</t>
  </si>
  <si>
    <t>Nghị quyết số 17/2021/NQ-HĐND ngày 07/12/2021 của HĐND tỉnh Bình Phước; Nghị quyết số 18/NQ-HĐND ngày 02/7/2021 của HĐND tỉnh; Nghị quyết số 19/NQ-HĐND ngày 02/7/2021 của HĐND tỉnh; Công văn số 924/BQLDA-TCKT ngày 24/9/2021 của BQLDA tỉnh</t>
  </si>
  <si>
    <t>- Đoạn qua xã Tân Hưng</t>
  </si>
  <si>
    <t>CLN (7,40);
ONT (3,10);
DGT (5,00)</t>
  </si>
  <si>
    <t>- Đoạn qua xã Tân Lợi</t>
  </si>
  <si>
    <t>CLN (6,00);
ONT (1,82);
DGT (2,50);
DTL (0,10)</t>
  </si>
  <si>
    <t>Xây dựng đường liên xã Phước An đi Tân Hưng và Tân Quan, huyện Hớn Quản</t>
  </si>
  <si>
    <t>CLN, ONT, ODT</t>
  </si>
  <si>
    <t>Tân Hưng, Tân Khai</t>
  </si>
  <si>
    <t>Nghị quyết số 17/2021/NQ-HĐND ngày 07/12/2021 của HĐND tỉnh Bình Phước; Nghị quyết số 09/2021/NQ-HĐND ngày 02/7/2021 của HĐND tỉnh; Tờ trình số 48a/TTr-UBND ngày 09/6/2021 của UBND tỉnh</t>
  </si>
  <si>
    <t>- Đoạn qua TT. Tân Khai</t>
  </si>
  <si>
    <t>CLN (7,00);
ODT (0,50)</t>
  </si>
  <si>
    <t>CLN (7,00);
ONT (0,50)</t>
  </si>
  <si>
    <t>Xây dựng đường kết nối Đồng Xoài-Hớn Quản</t>
  </si>
  <si>
    <t>ODT, ONT, CLN, DGT, SON</t>
  </si>
  <si>
    <t>Tân Khai, Tân Quan</t>
  </si>
  <si>
    <t>Nâng cấp đường từ Ngã 3 Xa Cát vào Khu công nghiệp Việt Kiều, huyện Hớn Quản.</t>
  </si>
  <si>
    <t>Nghị quyết số 17/2021/NQ-HĐND ngày 07/12/2021 của HĐND tỉnh Bình Phước; Nghị quyết số 09/2021/NQ-HĐND ngày 02/7/2021 của HĐND tỉnh; Quyết định số 2021/QĐ-UBND ngày 20/08/2020 của UBND tỉnh, Công văn số 91/BQLDA ngày 19/4/2021 của Ban quản lý dự án đầu tư xây dựng huyện Hớn Quản</t>
  </si>
  <si>
    <t>Trường Tiểu học Phước An B</t>
  </si>
  <si>
    <t>DGD</t>
  </si>
  <si>
    <t>Nghị quyết số 17/2021/NQ-HĐND ngày 07/12/2021 của HĐND tỉnh Bình Phước; Nghị quyết số 09/2021/NQ-HĐND ngày 02/7/2021 của HĐND tỉnh; Quyết định số 1780 ngày 27/8/2019 của UBND tỉnh; Biên bản ngày 16/10/2017 giữa Cty TNHH MTV cao su Bình Long và UBND huyện</t>
  </si>
  <si>
    <t>Trường Tiểu học Tân Hưng B</t>
  </si>
  <si>
    <t>Nghị quyết số 17/2021/NQ-HĐND ngày 07/12/2021 của HĐND tỉnh Bình Phước; Quyết định số 1780 ngày 27/8/2019 của UBND tỉnh; Biên bản ngày 16/10/2017 giữa Cty TNHH MTV cao su Bình Long và UBND huyện</t>
  </si>
  <si>
    <t>Mở rộng Trường THCS Tân Lợi</t>
  </si>
  <si>
    <t>Tân Lợi</t>
  </si>
  <si>
    <t>Nghị quyết số 17/2021/NQ-HĐND ngày 07/12/2021 của HĐND tỉnh Bình Phước; Công văn số 1811/UBND-KSX ngày 14/11/2017 của UBND huyện</t>
  </si>
  <si>
    <t>Trường mầm non Trà Thanh</t>
  </si>
  <si>
    <t>Mỏ đá vôi Thanh Lương</t>
  </si>
  <si>
    <t>SKS</t>
  </si>
  <si>
    <t>An Phú, Minh Tâm</t>
  </si>
  <si>
    <t>Nghị quyết số 17/2021/NQ-HĐND ngày 07/12/2021 của HĐND tỉnh Bình Phước; Quyết định số 1065/QĐ-TTg ngày 09/7/2010 của Thủ tướng Chính phủ; Quyết định số 781/QĐ-UBND ngày 08/4/2016 của UBND tỉnh</t>
  </si>
  <si>
    <t>QH chợ</t>
  </si>
  <si>
    <t>DCH</t>
  </si>
  <si>
    <t>Tân Hiệp</t>
  </si>
  <si>
    <t>Nghị quyết số 17/2021/NQ-HĐND ngày 07/12/2021 của HĐND tỉnh Bình Phước; Công văn số 1366/UBND-KSX ngày 20/8/2019 của UBND huyện Hớn Quản</t>
  </si>
  <si>
    <t>Mở rộng nghĩa địa ấp 3</t>
  </si>
  <si>
    <t>NTD</t>
  </si>
  <si>
    <t>Nghị quyết số 17/2021/NQ-HĐND ngày 07/12/2021 của HĐND tỉnh Bình Phước; Biên bản ngày 16/10/2017 giữa UBND huyện và Công ty TNHH MTV Cao su Bình Long</t>
  </si>
  <si>
    <t>Xin giao về địa phương để quản lý</t>
  </si>
  <si>
    <t>PNK, ONT, DSH, DGT</t>
  </si>
  <si>
    <t>Minh Đức</t>
  </si>
  <si>
    <t>Nghị quyết số 17/2021/NQ-HĐND ngày 07/12/2021 của HĐND tỉnh Bình Phước; Biên bản ngày 16/9/2020 giữa UBND huyện và BQLKKT; Tờ trình số 144/TTr-UBND ngày 30/9/2020 của UBND huyện</t>
  </si>
  <si>
    <t>ONT</t>
  </si>
  <si>
    <t>Khu đô thị mới Nam An Lộc</t>
  </si>
  <si>
    <t>Nghị quyết số 17/2021/NQ-HĐND ngày 07/12/2021 của HĐND tỉnh Bình Phước; Công văn số 1157/UBND-KT ngày 23/4/2020 của UBND tỉnh</t>
  </si>
  <si>
    <t>Khu dân cư phía Tây TX. Bình Long</t>
  </si>
  <si>
    <t>ONT và các loại đất khác</t>
  </si>
  <si>
    <t>An Phú</t>
  </si>
  <si>
    <t>Nghị quyết số 17/2021/NQ-HĐND ngày 07/12/2021 của HĐND tỉnh Bình Phước; Thông báo số 195 ngày 02/8/2017 của UBND tỉnh; Công văn số 1039 ngày 06/5/2020 của Sở Xây dựng</t>
  </si>
  <si>
    <t>Khu TĐC thuộc TTHC xã Tân Lợi</t>
  </si>
  <si>
    <t>Nghị quyết số 17/2021/NQ-HĐND ngày 07/12/2021 của HĐND tỉnh Bình Phước; Quyết định số 2394/QĐ-UBND ngày 15/10/2015 của UBND huyện</t>
  </si>
  <si>
    <t>Khu dân cư Tân Hưng 1</t>
  </si>
  <si>
    <t>Nghị quyết số 17/2021/NQ-HĐND ngày 07/12/2021 của HĐND tỉnh Bình Phước</t>
  </si>
  <si>
    <t>Khu dân cư Sóc Quả</t>
  </si>
  <si>
    <t xml:space="preserve">Thu hồi đất giao UBND huyện quản lý để Thực hiện quy hoạch, tổ chức đấu giá quyền sử dụng đất để xây dựng Khu dân cư </t>
  </si>
  <si>
    <t>ODT</t>
  </si>
  <si>
    <t>Nghị quyết số 17/2021/NQ-HĐND ngày 07/12/2021 của HĐND tỉnh Bình Phước; Nghị quyết số 09/2021/NQ-HĐND ngày 02/7/2021 của HĐND tỉnh; Công văn số 2339/UBND-KT ngày 16/7/2020 của UBND tỉnh</t>
  </si>
  <si>
    <t>Chỉnh trang đô thị</t>
  </si>
  <si>
    <t>SKC</t>
  </si>
  <si>
    <t>Nghị quyết số 17/2021/NQ-HĐND ngày 07/12/2021 của HĐND tỉnh Bình Phước; Nghị quyết số 09/2021/NQ-HĐND ngày 02/7/2021 của HĐND tỉnh; Công văn số 1694/UBND-TH ngày 26/5/2021 của UBND tỉnh</t>
  </si>
  <si>
    <t>Khu dân cư phía Tây TTHC huyện Hớn Quản</t>
  </si>
  <si>
    <t>Nghị quyết số 17/2021/NQ-HĐND ngày 07/12/2021 của HĐND tỉnh Bình Phước; Công văn số 2339/UBND-KT ngày 16/7/2020 của UBND tỉnh, Thông báo số 272/TB-UBND ngày 17/9/2019 của UBND tỉnh, Công văn số 213/PKTHT-TH ngày 07/8/2021 của Phòng Kinh tế-Hạ tầng</t>
  </si>
  <si>
    <t>Xây dựng chợ, khu trung tâm văn hóa xã Minh Tâm</t>
  </si>
  <si>
    <t>DVH, DCH</t>
  </si>
  <si>
    <t>Nghị quyết số 17/2021/NQ-HĐND ngày 07/12/2021 của HĐND tỉnh Bình Phước; Nghị quyết số 09/2021/NQ-HĐND ngày 02/7/2021 của HĐND tỉnh; Biên bản ngày 16/10/2017 giữa Công ty TNHH MTV Cao su Bình Long và UBND huyện Hớn Quản</t>
  </si>
  <si>
    <t>Nhà văn hóa, khu vui chơi giải trí xã An Phú</t>
  </si>
  <si>
    <t>DVH</t>
  </si>
  <si>
    <t>Nghị quyết số 17/2021/NQ-HĐND ngày 07/12/2021 của HĐND tỉnh Bình Phước; Biên bản ngày 16/10/2017 giữa Cty TNHH MTV Cao su Bình Long và UBND huyện Hớn Quản</t>
  </si>
  <si>
    <t>Xây dựng mương cống thoát nước ngoài KCN Tân Khai II (nối tiếp)</t>
  </si>
  <si>
    <t>LUK (2,29);
CLN (0,29);
DTL (0,91);
NTS (0,09)</t>
  </si>
  <si>
    <t>DTL</t>
  </si>
  <si>
    <t>Nghị quyết số 17/2021/NQ-HĐND ngày 07/12/2021 của HĐND tỉnh Bình Phước; Quyết định số 2024/QĐ-UBND ngày 20/8/2020 của UBND tỉnh; Công văn số 752/BQLDA-KHTH ngày 30/9/2020 của BQLDA đầu tư xây dựng tỉnh</t>
  </si>
  <si>
    <t>Xây dựng mương cống thoát nước ngoài Khu công nghiệp Việt Kiều</t>
  </si>
  <si>
    <t>Nghị quyết số 17/2021/NQ-HĐND ngày 07/12/2021 của HĐND tỉnh Bình Phước; Quyết định số 2029/QĐ-UBND ngày 20/8/2020 của UBND tỉnh; Công văn số 703/SCT-VP ngày 12/5/2020 của Sở Công thương; Công văn số 752/BQLDA-KHTH ngày 30/9/2020 của BQLDA đầu tư xây dựng tỉnh</t>
  </si>
  <si>
    <t>Xây dựng hệ thống kênh thủy lợi nội đồng xã An Khương</t>
  </si>
  <si>
    <t>LUK</t>
  </si>
  <si>
    <t>Nghị quyết số 17/2021/NQ-HĐND ngày 07/12/2021 của HĐND tỉnh Bình Phước; Nghị quyết số 11/NQ-HĐND ngày 13/7/2020 của HĐND tỉnh; Quyết định số 1801/QĐ-UBND ngày 05/8/2020 của UBND tỉnh</t>
  </si>
  <si>
    <t>Dự án cụm hồ tình Bình Phước (tên cũ là dự án Cụm công trình thủy lợi các huyện biên giới tỉnh Bình Phước)</t>
  </si>
  <si>
    <t>CLN, SON, ONT, DGT, LUK, HNK</t>
  </si>
  <si>
    <t xml:space="preserve">Nghị quyết số 17/2021/NQ-HĐND ngày 07/12/2021 của HĐND tỉnh Bình Phước; Nghị quyết số 09/2021/NQ-HĐND ngày 02/7/2021 của HĐND tỉnh; Quyết định số 3156/QĐ-BNN-XD ngày 19/7/2021 của Bộ NNPTNT, Công văn số 924/BQLDA-TCKT ngày 24/9/2021 của BQLDA tỉnh </t>
  </si>
  <si>
    <t>Xây dựng mương thoát nước mưa và thoát nước thải ngoài hàng rào KCN Minh Hưng-Sikico mở rộng</t>
  </si>
  <si>
    <t>CLN (3,37);
DGT (1,00);
SON (0,50)</t>
  </si>
  <si>
    <t>Nghị quyết số 17/2021/NQ-HĐND ngày 07/12/2021 của HĐND tỉnh Bình Phước; Quyết định số 1127/QĐ-UBND ngày 04/5/2021 của UBND tỉnh; Công văn số 924/BQLDA-TCKT ngày 24/9/2021 của BQLDA tỉnh</t>
  </si>
  <si>
    <t>Dự án hiện đại hóa thủy lợi thích ứng biến đổi khí hậu - thành phần tỉnh Bình Phước (ADB)</t>
  </si>
  <si>
    <t>CLN (3,50);
DGT (1,00);
ONT (0,50);
SON (2,70)</t>
  </si>
  <si>
    <t>Nghị quyết số 17/2021/NQ-HĐND ngày 07/12/2021 của HĐND tỉnh Bình Phước; Công văn 148/TTg-QHQT ngày 02/02/2021 của Thủ tướng Chính Phủ; Nghị quyết số 09/2021/NQ-HĐND ngày 02/7/2021 của HĐND tỉnh; Công văn số 924/BQLDA-TCKT ngày 24/9/2021 của BQLDA tỉnh</t>
  </si>
  <si>
    <t>2.2</t>
  </si>
  <si>
    <t>Khu vực cần chuyển mục đích sử dụng đất để thực hiện việc nhận chuyển nhượng, thuê quyền sử dụng đất, nhận góp vốn bằng quyền sử dụng đất</t>
  </si>
  <si>
    <t>2.2.1 Khu vực chuyển mục đích sử dụng đất</t>
  </si>
  <si>
    <t>Khai thác mỏ sét gạch ngói và vật liệu san lấp (Cty TNHH MTV SX TM Đô Thành)</t>
  </si>
  <si>
    <t>SKX</t>
  </si>
  <si>
    <t>Quyết định số 2783 ngày 25/12/2019 của UBND tỉnh</t>
  </si>
  <si>
    <t>Trang trại chăn nuôi gà thịt Đặng Thanh Triều</t>
  </si>
  <si>
    <t>NKH, PNK</t>
  </si>
  <si>
    <t>Quyết định số 2503/QĐ-UBND ngày 06/10/2020 của UBND tỉnh điều chỉnh Quyết định số 1755/QĐ-UBND ngày 31/7/2020 của UBND tỉnh (thuận chủ trương mở rộng diện tích từ 0,3 ha lên 4,62 ha)</t>
  </si>
  <si>
    <t>Trang trại chăn nuôi 110.200 con gà trắng giống thịt (Cty TNHH Ngọc An Vui)</t>
  </si>
  <si>
    <t>Quyết định số 1785/QĐ-UBND ngày 04/8/2020 của UBND tỉnh</t>
  </si>
  <si>
    <t>Trang trại chăn nuôi heo giống và heo thịt (Nguyễn Thị Nhiều)</t>
  </si>
  <si>
    <t>Quyết định số 757/QĐ-UBND ngày 13/4/2020 của UBND tỉnh; Quyết định số 56/QĐ-UBND ngày 08/01/2021 của UBND tỉnh</t>
  </si>
  <si>
    <t>Trang trại chăn nuôi gà thịt (Cty TNHH DV TM Quang Tâm)</t>
  </si>
  <si>
    <t>Quyết định số 333/QĐ-UBND ngày 20/02/2019 của UBND tỉnh</t>
  </si>
  <si>
    <t>Trang trại chăn nuôi heo thịt (Cty TNHH Trà Thanh Farm)</t>
  </si>
  <si>
    <t>Quyết định số 1817/QĐ-UBND ngày 07/8/2020 của UBND tỉnh</t>
  </si>
  <si>
    <t>Trang trại chăn nuôi heo (Cty TNHH Tân Hưng Farm)</t>
  </si>
  <si>
    <t>Quyết định số 2346/QĐ-UBND ngày 21/9/2020 của UBND tỉnh</t>
  </si>
  <si>
    <t>Trang trại chăn nuôi gà giống bố mẹ (Cty TNHH Chăn nuôi Thanh Bình)</t>
  </si>
  <si>
    <t>Quyết định số 2547/QĐ-UBND ngày 12/10/2020 của UBND tỉnh</t>
  </si>
  <si>
    <t>Trang trại chăn nuôi gà thịt (Cty TNHH MTV Thương mại Thuận Hưng)</t>
  </si>
  <si>
    <t>Quyết định số 2465/QĐ-UBND ngày 30/9/2020 của UBND tỉnh</t>
  </si>
  <si>
    <t>Trang trại chăn nuôi heo thịt Trương Công Định</t>
  </si>
  <si>
    <t>Quyết định số 2783/QĐ-UBND ngày 06/11/2020 của UBND tỉnh</t>
  </si>
  <si>
    <t>Trại chăn nuôi heo (Hộ kinh doanh Nguyễn Thị Nhiều)</t>
  </si>
  <si>
    <t>Quyết định số 2462/QĐ-UBND ngày 30/9/2020 của UBND tỉnh</t>
  </si>
  <si>
    <t>Trang trại chăn nuôi gà thịt (Cty TNHH ĐT PT Duy Bảo)</t>
  </si>
  <si>
    <t>Quyết định số 240/QĐ-UBND ngày 26/01/2021 của UBND tỉnh</t>
  </si>
  <si>
    <t>Trang trại chăn nuôi gà (Công ty TNHH Chăn nuôi QT An Phú)</t>
  </si>
  <si>
    <t>Quyết định số 2170 ngày 27/8/2021 của UBND tỉnh</t>
  </si>
  <si>
    <t>Cửa hàng kinh doanh xăng dầu (Cty TNHH MTV Xăng dầu Nguyễn Hiền)</t>
  </si>
  <si>
    <t>CLN và các loại đất khác</t>
  </si>
  <si>
    <t>TMD</t>
  </si>
  <si>
    <t>Quyết định số 1999/QĐ-UBND ngày 24/9/2019 của UBND tỉnh</t>
  </si>
  <si>
    <t>Nâng cấp cải tạo cửa hàng kinh doanh xăng dầu (DNTN Bích Thủy)</t>
  </si>
  <si>
    <t>Quyết định số 2024/QĐ-UBND ngày 26/9/2019 của UBND tỉnh</t>
  </si>
  <si>
    <t>Trạm kinh doanh xăng dầu (Cty TNHH An Khang Trang)</t>
  </si>
  <si>
    <t>Quyết định số 2304/QĐ-UBND ngày 03/10/2018 của UBND tỉnh</t>
  </si>
  <si>
    <t>Cửa hàng kinh doanh xăng dầu (Cty TNHH Xăng dầu Hương Phát)</t>
  </si>
  <si>
    <t>Tân Quan</t>
  </si>
  <si>
    <t>Quyết định số 1495/QĐ-UBND ngày 18/7/2019 của UBND tỉnh</t>
  </si>
  <si>
    <t>Xây dựng cửa hàng kinh doanh xăng dầu (Công ty CP Nhiên liệu Phú Tân)</t>
  </si>
  <si>
    <t>Quyết định số 2670/QĐ-UBND ngày 15/10/2021 của UBND tỉnh</t>
  </si>
  <si>
    <t>Khu du lịch sinh thái nghỉ dưỡng Bằng Lăng Tím (Công ty CP Du lịch và Dịch vụ Phú Cường Tourist)</t>
  </si>
  <si>
    <t>Quyết định số 75/QĐ-UBND ngày 11/01/2021 của UBND tỉnh</t>
  </si>
  <si>
    <t>Cửa hàng xăng dầu (Cty TNHH MTV SX TM DV Thắng Lợi)</t>
  </si>
  <si>
    <t>Quyết định số 1204/QĐ-UBND ngày 07/6/2019 của UBND tỉnh</t>
  </si>
  <si>
    <t>Trụ sở làm việc nông trường cao su Bình Minh</t>
  </si>
  <si>
    <t>Công văn số 12 ngày 03/01/2020 của Công ty TNHH MTV Cao su Bình Long</t>
  </si>
  <si>
    <t>Nhà máy sản xuất đất giàu dinh dưỡng (Công ty TNHH sinh học Cao Gia Quý)</t>
  </si>
  <si>
    <t>Quyết định số 3178 ngày 16/12/2020 của UBND tỉnh</t>
  </si>
  <si>
    <t>Nhà xưởng sản xuất Mousse (Công ty TNHH Kim Chi Phát)</t>
  </si>
  <si>
    <t>Quyết định số 1280 ngày 18/5/2021 của UBND tỉnh</t>
  </si>
  <si>
    <t>Dự án trại chăn nuôi gà (Công ty TNHH Chấn Hưng Gia)</t>
  </si>
  <si>
    <t>Biên bản khảo sát ngày 28/12/2021</t>
  </si>
  <si>
    <t>Khu dân cư Khu phố 1</t>
  </si>
  <si>
    <t>CLN (6,73);
 ODT (2,00)</t>
  </si>
  <si>
    <t>ODT và các loại đất khác</t>
  </si>
  <si>
    <t>Công văn số 2559/UBND-KT ngày 06/9/2018 của UBND tỉnh</t>
  </si>
  <si>
    <t>Khu dân cư An Khương</t>
  </si>
  <si>
    <t>Quyết định số 1943/QĐ-UBND ngày 18/8/2020 của UBND tỉnh Bình Phước</t>
  </si>
  <si>
    <t>Khu dân cư An Thịnh</t>
  </si>
  <si>
    <t>Quyết định số 1942/QĐ-UBND ngày 18/8/2020 của UBND tỉnh Bình Phước</t>
  </si>
  <si>
    <t>Khu dân cư Tân Hưng</t>
  </si>
  <si>
    <t>Quyết định số 1394/QĐ-UBND ngày 24/6/2020 của UBND tỉnh</t>
  </si>
  <si>
    <t>Chuyển mục đích sang đất ở hộ gia đình, cá nhân</t>
  </si>
  <si>
    <t>-</t>
  </si>
  <si>
    <t>Xã An Khương</t>
  </si>
  <si>
    <t>CLN, HNK</t>
  </si>
  <si>
    <t>Xã An Phú</t>
  </si>
  <si>
    <t>Xã Đồng Nơ</t>
  </si>
  <si>
    <t>Xã Minh Đức</t>
  </si>
  <si>
    <t>Xã Minh Tâm</t>
  </si>
  <si>
    <t>Xã Phước An</t>
  </si>
  <si>
    <t>Xã Tân Hiệp</t>
  </si>
  <si>
    <t>Xã Tân Hưng</t>
  </si>
  <si>
    <t>Thị trấn Tân Khai</t>
  </si>
  <si>
    <t>Xã Tân Lợi</t>
  </si>
  <si>
    <t>Xã Tân Quan</t>
  </si>
  <si>
    <t>Xã Thanh An</t>
  </si>
  <si>
    <t>Xã Thanh Bình</t>
  </si>
  <si>
    <t>Chuyển mục đích cơ sở sản xuất phi nông nghiệp</t>
  </si>
  <si>
    <t>Chuyển mục đích sang đất thương mại, dịch vụ</t>
  </si>
  <si>
    <t>Chuyển mục đích sang đất trồng cây lâu năm</t>
  </si>
  <si>
    <t>HNK, NTS</t>
  </si>
  <si>
    <t>NTS</t>
  </si>
  <si>
    <t>NTS, SKC, HNK</t>
  </si>
  <si>
    <t>Chuyển mục đích sang đất phi nông nghiệp khác</t>
  </si>
  <si>
    <t>Chuyển mục đích sang đất nông nghiệp khác</t>
  </si>
  <si>
    <t>2.2.2. Giao đất</t>
  </si>
  <si>
    <t>Cơ sở thờ tự (Chùa Bảo Tích) (đã hiện trạng)</t>
  </si>
  <si>
    <t>TON</t>
  </si>
  <si>
    <t>Quyết định số 187/QĐ-UBND ngày 22/01/2021 của UBND tỉnh</t>
  </si>
  <si>
    <t>Cơ sở thờ tự (Chùa Thanh Long) (đã hiện trạng)</t>
  </si>
  <si>
    <t>Công văn số 2156/STNMT-CCQLĐĐ ngày 05/8/2021 của Sở Tài nguyên và Môi trường</t>
  </si>
  <si>
    <t>2.2.3. Khu vực đấu giá</t>
  </si>
  <si>
    <t>Đấu giá QSD đất 68 lô đất ở tại TTHC huyện Hớn Quản (còn lại)</t>
  </si>
  <si>
    <t>Kế hoạch số 210/KH-UBND ngày 02/12/2020 của UBND huyện</t>
  </si>
  <si>
    <t>Đấu giá QSD đất 06 lô đất ở giáp đường ĐT757</t>
  </si>
  <si>
    <t>Quyết định số 444/QĐ-UBND ngày 11/3/2019 của UBND tỉnh; Quyết định số 1530/QĐ-UBND ngày 08/7/2020 của
UBND tỉnh</t>
  </si>
  <si>
    <t>Đấu giá Khu dân cư phía Tây TTHC huyện Hớn Quản</t>
  </si>
  <si>
    <t>Công văn số 2339/UBND-KT ngày 16/7/2020 của UBND tỉnh, Thông báo số 272/TB-UBND ngày 17/9/2019 của UBND tỉnh, Kế hoạch số 210/KH-UBND ngày 02/12/2020 của UBND huyện</t>
  </si>
  <si>
    <t>Đấu giá QSD đất khu đất trụ sở UBND xã Tân Khai (cũ)</t>
  </si>
  <si>
    <t>TSC</t>
  </si>
  <si>
    <t>Kế hoạch số 54/KH-UBND ngày 04/3/2021 của UBND huyện Hớn Quản</t>
  </si>
  <si>
    <t>Phụ lục 04</t>
  </si>
  <si>
    <t>DANH SÁCH ĐĂNG KÝ NHU CẦU CHUYỂN MỤC ĐÍCH SỬ DỤNG ĐẤT HỘ GIA ĐÌNH, CÁ NHÂN TRONG NĂM 2022</t>
  </si>
  <si>
    <t>HUYỆN HỚN QUẢN, TỈNH BÌNH PHƯỚC</t>
  </si>
  <si>
    <t>Hộ gia đình, cá nhân</t>
  </si>
  <si>
    <t>Địa chỉ
thửa đất 
(cấp xã)</t>
  </si>
  <si>
    <t>Diện 
tích (ha)</t>
  </si>
  <si>
    <t>Loại đất</t>
  </si>
  <si>
    <t>Số thửa, tờ bản đồ</t>
  </si>
  <si>
    <t>Hiện trạng</t>
  </si>
  <si>
    <t>Xin CMĐ</t>
  </si>
  <si>
    <t>I</t>
  </si>
  <si>
    <t>Nguyễn Thanh Phong</t>
  </si>
  <si>
    <t>Thửa 08, tờ 09</t>
  </si>
  <si>
    <t>Lưu Văn Thanh</t>
  </si>
  <si>
    <t>Thửa 803, tờ 23</t>
  </si>
  <si>
    <t>Hà Thị Lân</t>
  </si>
  <si>
    <t>Thửa 231, tờ 06</t>
  </si>
  <si>
    <t>Nguyễn Thị Thu Hà</t>
  </si>
  <si>
    <t>Thửa 219, tờ 06</t>
  </si>
  <si>
    <t>Hoàng Thị Tình</t>
  </si>
  <si>
    <t>Thửa 198, tờ 24</t>
  </si>
  <si>
    <t>Nguyễn Tấn Linh</t>
  </si>
  <si>
    <t>Thửa 130, tờ 28</t>
  </si>
  <si>
    <t>Đinh Văn Hiệp</t>
  </si>
  <si>
    <t>Thửa 676, tờ 29</t>
  </si>
  <si>
    <t>Lê Văn Đại</t>
  </si>
  <si>
    <t>Thửa 02, tờ 10</t>
  </si>
  <si>
    <t>Nguyễn Văn Thương
(Trần Văn Tiến)</t>
  </si>
  <si>
    <t>Thửa 134, tờ 05</t>
  </si>
  <si>
    <t>Lại Hữu Tiến
(Đặng Thị Sáu)</t>
  </si>
  <si>
    <t>Thửa 113, tờ 11</t>
  </si>
  <si>
    <t>Phạm  Hữu Tuấn và
Nguyễn Thị Loan</t>
  </si>
  <si>
    <t>Thửa 15, tờ 10</t>
  </si>
  <si>
    <t>Lường Quốc Huấn</t>
  </si>
  <si>
    <t>Thửa 14, tờ 10</t>
  </si>
  <si>
    <t>Nguyễn Trường Sơn Thái</t>
  </si>
  <si>
    <t>Thửa 689, tờ 5</t>
  </si>
  <si>
    <t>Thửa 147, tờ 24</t>
  </si>
  <si>
    <t>Hoàng Văn Hanh</t>
  </si>
  <si>
    <t>Thửa 214, tờ 19</t>
  </si>
  <si>
    <t>Vũ Đức Ngọc</t>
  </si>
  <si>
    <t>Thửa 71, tờ 24</t>
  </si>
  <si>
    <t>Nguyễn Ngọc Vũ</t>
  </si>
  <si>
    <t>Thửa 607, tờ 23</t>
  </si>
  <si>
    <t>Lê Ngọc Hưng</t>
  </si>
  <si>
    <t>Thửa 148, tờ 19</t>
  </si>
  <si>
    <t>Phạm Thị Ánh Nguyệt</t>
  </si>
  <si>
    <t>Thửa 188, tờ 02</t>
  </si>
  <si>
    <t>Nguyễn Ngọc Nhân</t>
  </si>
  <si>
    <t>Thửa 420, tờ 06</t>
  </si>
  <si>
    <t>Nguyễn Vĩnh Tuấn</t>
  </si>
  <si>
    <t>Thửa 307, tờ 19</t>
  </si>
  <si>
    <t>Thửa 316, tờ 19</t>
  </si>
  <si>
    <t>Mai Thành Luân</t>
  </si>
  <si>
    <t>Thửa 01, tờ 20</t>
  </si>
  <si>
    <t>Phạm Tiến</t>
  </si>
  <si>
    <t>Thửa 187, tờ 05</t>
  </si>
  <si>
    <t>Nguyễn Thị Mai</t>
  </si>
  <si>
    <t>Thửa 113, tờ 13</t>
  </si>
  <si>
    <t>Nguyễn Văn Hào</t>
  </si>
  <si>
    <t>Thửa 02, tờ 20</t>
  </si>
  <si>
    <t>Bùi Thị Thúy</t>
  </si>
  <si>
    <t>Thửa 857, tờ 06</t>
  </si>
  <si>
    <t>Trần Văn Tưởng</t>
  </si>
  <si>
    <t>Thửa 300, tờ 02</t>
  </si>
  <si>
    <t>Thị Vêm</t>
  </si>
  <si>
    <t>Thửa 438, tờ 06</t>
  </si>
  <si>
    <t>Nguyễn Thị Hoa</t>
  </si>
  <si>
    <t>Thửa 219, tờ 6</t>
  </si>
  <si>
    <t>Thị Tha</t>
  </si>
  <si>
    <t>Thửa 46, tờ 07</t>
  </si>
  <si>
    <t>Trần Văn Hải</t>
  </si>
  <si>
    <t>Thửa 404, tờ 10</t>
  </si>
  <si>
    <t>Nguyễn Nam Phong</t>
  </si>
  <si>
    <t>Thửa 138, tờ 28</t>
  </si>
  <si>
    <t>Phạm Thị Mộng Thắm</t>
  </si>
  <si>
    <t>Thửa 432, tờ 33</t>
  </si>
  <si>
    <t>Điểu Báo</t>
  </si>
  <si>
    <t>Thửa 232, tờ 08</t>
  </si>
  <si>
    <t>Đào Thị Hảo</t>
  </si>
  <si>
    <t>Thửa 885, tờ 06</t>
  </si>
  <si>
    <t>Lê Thị Thu</t>
  </si>
  <si>
    <t>Thửa 228, tờ 11</t>
  </si>
  <si>
    <t>Nguyễn Văn Khỏe</t>
  </si>
  <si>
    <t>Thửa 425, tờ 10</t>
  </si>
  <si>
    <t>Đăng Thị Sáu</t>
  </si>
  <si>
    <t>Thửa 550, tờ 05</t>
  </si>
  <si>
    <t>Nguyễn Lê Đông Hồ</t>
  </si>
  <si>
    <t>Thửa 551, tờ 05</t>
  </si>
  <si>
    <t>Hồ Sĩ Ngọc</t>
  </si>
  <si>
    <t>Thửa 70, tờ 06</t>
  </si>
  <si>
    <t>Trương Văn Tèo</t>
  </si>
  <si>
    <t>Thửa 131, tờ 09</t>
  </si>
  <si>
    <t>Võ Văn Phúc</t>
  </si>
  <si>
    <t>Thửa 34, tờ 07</t>
  </si>
  <si>
    <t>Lại Khắc Tú</t>
  </si>
  <si>
    <t>Thửa 685, tờ 29</t>
  </si>
  <si>
    <t>Phan Văn Tựu</t>
  </si>
  <si>
    <t>Thửa 640, tờ 23</t>
  </si>
  <si>
    <t>Nguyễn Tấn Phú</t>
  </si>
  <si>
    <t>Thửa 688, tờ 06</t>
  </si>
  <si>
    <t>Nguyễn Văn Lộc</t>
  </si>
  <si>
    <t>Thửa 681, tờ 29</t>
  </si>
  <si>
    <t>Điểu Hiêm</t>
  </si>
  <si>
    <t>Thửa 309, tờ 29</t>
  </si>
  <si>
    <t>Hà Công Ngọ</t>
  </si>
  <si>
    <t>Thửa 253, tờ 13</t>
  </si>
  <si>
    <t>Nguyễn Thanh Tiến</t>
  </si>
  <si>
    <t>Thửa 91, tờ 23</t>
  </si>
  <si>
    <t>Nguyễn Minh Thế</t>
  </si>
  <si>
    <t>Thửa 149, tờ 09</t>
  </si>
  <si>
    <t>Điểu Định</t>
  </si>
  <si>
    <t>Thửa 93, tờ 11</t>
  </si>
  <si>
    <t>Nguyễn Thị Hải</t>
  </si>
  <si>
    <t>Thửa 201, tờ 28</t>
  </si>
  <si>
    <t>Phạm Văn Cao</t>
  </si>
  <si>
    <t xml:space="preserve">Thửa 18, tờ 10 </t>
  </si>
  <si>
    <t>Nguyễn Thanh Dũng</t>
  </si>
  <si>
    <t>Thửa 57, tờ 29</t>
  </si>
  <si>
    <t>Thị Hạnh</t>
  </si>
  <si>
    <t>Thửa 92, tờ 24</t>
  </si>
  <si>
    <t>Điểu Nghách</t>
  </si>
  <si>
    <t>Thửa 661, tờ 29</t>
  </si>
  <si>
    <t>Thửa 75, tờ 04</t>
  </si>
  <si>
    <t>Thửa 76, tờ 05</t>
  </si>
  <si>
    <t>Trần Minh Nam</t>
  </si>
  <si>
    <t>Thửa 199, tờ 02</t>
  </si>
  <si>
    <t>Thửa 684, tờ 29</t>
  </si>
  <si>
    <t>Điểu Phước</t>
  </si>
  <si>
    <t>Thửa 203, tờ 19</t>
  </si>
  <si>
    <t>Lê Thị Nam</t>
  </si>
  <si>
    <t>Thửa 33, tờ 29</t>
  </si>
  <si>
    <t>Đặng Viết Tiên</t>
  </si>
  <si>
    <t>Thửa 371, tờ 29</t>
  </si>
  <si>
    <t>Trần Thông</t>
  </si>
  <si>
    <t>Thửa 678, tờ 06</t>
  </si>
  <si>
    <t>Thửa 120, tờ 05</t>
  </si>
  <si>
    <t>Lê Thị Hà</t>
  </si>
  <si>
    <t>Thửa 175, tờ 02</t>
  </si>
  <si>
    <t>Nguyễn Tấn Lộc</t>
  </si>
  <si>
    <t>Thửa 218, tờ 06</t>
  </si>
  <si>
    <t>Tạ Hữu Dũng</t>
  </si>
  <si>
    <t>Thửa 437, tờ 02</t>
  </si>
  <si>
    <t>Trần Ngọc Phương</t>
  </si>
  <si>
    <t>Thửa 113, tờ 02</t>
  </si>
  <si>
    <t>Trịnh Thị Quyên</t>
  </si>
  <si>
    <t>Thửa 181, tờ 05</t>
  </si>
  <si>
    <t>Điểu Thị Mỹ Nương</t>
  </si>
  <si>
    <t>Thửa 870, tờ 6</t>
  </si>
  <si>
    <t>Ngô Công Ngân</t>
  </si>
  <si>
    <t>Thửa 766, tờ 23</t>
  </si>
  <si>
    <t>Lê Thị Mỹ Hạnh</t>
  </si>
  <si>
    <t>Thửa 875, tờ 6</t>
  </si>
  <si>
    <t>Phan Thị Xuân</t>
  </si>
  <si>
    <t>Nguyễn Duy Thao</t>
  </si>
  <si>
    <t>Thửa 163, tờ 9</t>
  </si>
  <si>
    <t>Trần Thị Dân</t>
  </si>
  <si>
    <t>Thửa 179, tờ 5</t>
  </si>
  <si>
    <t>Phạm Kim</t>
  </si>
  <si>
    <t>Thửa 9, tờ 10</t>
  </si>
  <si>
    <t>Thửa 76, tờ 4</t>
  </si>
  <si>
    <t>Đặng Thị Ngọc Giàu</t>
  </si>
  <si>
    <t>Thửa 3, tờ 11</t>
  </si>
  <si>
    <t>Điểu Thị Thu Sương</t>
  </si>
  <si>
    <t>Thửa 871, tờ 6</t>
  </si>
  <si>
    <t>Nguyễn Đức Thao</t>
  </si>
  <si>
    <t>Thửa 171, tờ 5</t>
  </si>
  <si>
    <t>Thửa 763, tờ 23</t>
  </si>
  <si>
    <t>Hoàng Văn Bên</t>
  </si>
  <si>
    <t>Thửa 414, 417, 418, tờ 2</t>
  </si>
  <si>
    <t>Bùi Tấn Đạt</t>
  </si>
  <si>
    <t>Thửa 6, tờ 8</t>
  </si>
  <si>
    <t>Ngô Trọng Cường</t>
  </si>
  <si>
    <t>Thửa 215, tờ 24</t>
  </si>
  <si>
    <t>Nguyễn Văn Hùng</t>
  </si>
  <si>
    <t>Thửa 595, tờ 18</t>
  </si>
  <si>
    <t>Thửa 767, tờ 18</t>
  </si>
  <si>
    <t>Hà Văn Thiền</t>
  </si>
  <si>
    <t>Thửa 81, tờ 4</t>
  </si>
  <si>
    <t>Ninh Văn Cường</t>
  </si>
  <si>
    <t>Thửa 501, tờ 2</t>
  </si>
  <si>
    <t>Thửa 82, tờ 4</t>
  </si>
  <si>
    <t>Thửa 850, tờ 23</t>
  </si>
  <si>
    <t>Đào Tiến Dũng</t>
  </si>
  <si>
    <t>Thửa 128, tờ 5</t>
  </si>
  <si>
    <t>Điểu Đình</t>
  </si>
  <si>
    <t>Thửa 378, tờ 29</t>
  </si>
  <si>
    <t>Bùi Văn Quang
(Trịnh Xuân Thiệp)</t>
  </si>
  <si>
    <t>Thửa 117, tờ 05</t>
  </si>
  <si>
    <t>Phạm Thị Thúy Hà</t>
  </si>
  <si>
    <t>Thửa 268, tờ 05</t>
  </si>
  <si>
    <t>Phạm Hồng Liên</t>
  </si>
  <si>
    <t>Thửa 920, tờ 06</t>
  </si>
  <si>
    <t>Quách Kim Hồng</t>
  </si>
  <si>
    <t>Thửa 921, tờ 06</t>
  </si>
  <si>
    <t xml:space="preserve">Vũ Văn Thọ </t>
  </si>
  <si>
    <t xml:space="preserve">Thửa 428, tờ 10 </t>
  </si>
  <si>
    <t>Nguyễn Bá Khuê</t>
  </si>
  <si>
    <t>Thửa 603, tờ 52</t>
  </si>
  <si>
    <t>Thửa 650, tờ 02</t>
  </si>
  <si>
    <t>Thửa 647, tờ 02</t>
  </si>
  <si>
    <t>Thửa 651, tờ 02</t>
  </si>
  <si>
    <t>Thửa 648, tờ 02</t>
  </si>
  <si>
    <t>Thửa 652, tờ 02</t>
  </si>
  <si>
    <t>Thửa 649, tờ 02</t>
  </si>
  <si>
    <t>Nguyễn Hữu Thọ</t>
  </si>
  <si>
    <t>Thửa 251, tờ 13</t>
  </si>
  <si>
    <t>Trần Học Lễ</t>
  </si>
  <si>
    <t>Thửa 128, tờ 05</t>
  </si>
  <si>
    <t>Phạm Hải</t>
  </si>
  <si>
    <t>Thửa 216, tờ 11</t>
  </si>
  <si>
    <t>Đào Hồng Lựu</t>
  </si>
  <si>
    <t>Thửa 130, tờ 13</t>
  </si>
  <si>
    <t>Phan Thị Hồng Nhung</t>
  </si>
  <si>
    <t>Thửa 434, tờ 33</t>
  </si>
  <si>
    <t>NKH</t>
  </si>
  <si>
    <t>Đào Kim Thoa</t>
  </si>
  <si>
    <t>Thửa 262, tờ 11</t>
  </si>
  <si>
    <t>Phạm Văn Tích</t>
  </si>
  <si>
    <t>Thửa 17, tờ 10</t>
  </si>
  <si>
    <t>Thị Giét</t>
  </si>
  <si>
    <t>Thửa 90, tờ 23</t>
  </si>
  <si>
    <t>Nguyễn Đình Bảy</t>
  </si>
  <si>
    <t>Thửa 708, tờ 02</t>
  </si>
  <si>
    <t>Nguyễn Thị Ngùy</t>
  </si>
  <si>
    <t>Thửa 682, tờ 02</t>
  </si>
  <si>
    <t>Thửa 683, tờ 02</t>
  </si>
  <si>
    <t>Nguyễn Thị Hồng Luyến</t>
  </si>
  <si>
    <t>Thửa 352, tờ 19</t>
  </si>
  <si>
    <t>Phan Thị Thanh Trang</t>
  </si>
  <si>
    <t>Thửa 587, tờ 05</t>
  </si>
  <si>
    <t>Bùi Thi Hiền</t>
  </si>
  <si>
    <t>Thửa 109, tờ  05</t>
  </si>
  <si>
    <t>Thửa 576, tờ 05</t>
  </si>
  <si>
    <t>Phạm Văn Trung</t>
  </si>
  <si>
    <t>Thửa 163, tờ  11</t>
  </si>
  <si>
    <t>Thửa 371, tờ  29</t>
  </si>
  <si>
    <t>Nguyễn Văn Thắng</t>
  </si>
  <si>
    <t>Thửa 05, tờ  09</t>
  </si>
  <si>
    <t>Phạm Văn Xiu</t>
  </si>
  <si>
    <t>Thửa 233, tờ  08</t>
  </si>
  <si>
    <t>Hồ Văn Thọ</t>
  </si>
  <si>
    <t>Thửa 670, tờ  05</t>
  </si>
  <si>
    <t>Nguyễn Thị Thoa</t>
  </si>
  <si>
    <t>Thửa 212, tờ 18</t>
  </si>
  <si>
    <t>Trần Văn Nghị</t>
  </si>
  <si>
    <t>Thửa 273, tờ 02</t>
  </si>
  <si>
    <t>Nguyễn Thành Xúng</t>
  </si>
  <si>
    <t>Thửa 627,  tờ 29</t>
  </si>
  <si>
    <t>Thị Phên</t>
  </si>
  <si>
    <t>Thửa 125,  tờ 23</t>
  </si>
  <si>
    <t>Thửa 658, tờ 29</t>
  </si>
  <si>
    <t>Lê Văn Lai</t>
  </si>
  <si>
    <t xml:space="preserve">Lê Văn Hồng </t>
  </si>
  <si>
    <t>Thửa 224, tờ 02</t>
  </si>
  <si>
    <t xml:space="preserve">Chuyển rồi </t>
  </si>
  <si>
    <t>Lê Hồng Phúc</t>
  </si>
  <si>
    <t>Hồ Thị Trúc Linh</t>
  </si>
  <si>
    <t>Thửa 621, tờ 05</t>
  </si>
  <si>
    <t>Đoàn Lê Mỹ Hạnh</t>
  </si>
  <si>
    <t>Thửa 556, tờ 05</t>
  </si>
  <si>
    <t>Điểu Ôm</t>
  </si>
  <si>
    <t>Thửa 655, tờ 29</t>
  </si>
  <si>
    <t>Trần Như Đương</t>
  </si>
  <si>
    <t>Thửa 489, tờ 06</t>
  </si>
  <si>
    <t>Đinh Thị Thảo</t>
  </si>
  <si>
    <t>Thửa 132, tờ 28</t>
  </si>
  <si>
    <t>Đinh Thị Hiền</t>
  </si>
  <si>
    <t>Thửa 181, tờ 28</t>
  </si>
  <si>
    <t>Pham thanh Sơn,
Nguyễn Trọng Dùng,
Lê Văn Lương</t>
  </si>
  <si>
    <t>Thửa 272, tờ 33</t>
  </si>
  <si>
    <t>Đinh Ngọc Toàn</t>
  </si>
  <si>
    <t>Thửa 48, tờ 29</t>
  </si>
  <si>
    <t>Ngô Thị Hải Yến</t>
  </si>
  <si>
    <t>Thửa 427,  tờ 10</t>
  </si>
  <si>
    <t>Điểu Phó</t>
  </si>
  <si>
    <t>Thửa 397,  tờ 06</t>
  </si>
  <si>
    <t>Nguyễn Đình Dũng</t>
  </si>
  <si>
    <t>Thửa 692,  tờ 02</t>
  </si>
  <si>
    <t>Thửa 693,  tờ 02</t>
  </si>
  <si>
    <t>Thửa 694,  tờ 02</t>
  </si>
  <si>
    <t>Thửa 695,  tờ 02</t>
  </si>
  <si>
    <t>Thửa 696,  tờ 02</t>
  </si>
  <si>
    <t>Thửa 697,  tờ 02</t>
  </si>
  <si>
    <t>Thửa 698,  tờ 02</t>
  </si>
  <si>
    <t>Thửa 699,  tờ 02</t>
  </si>
  <si>
    <t>Thửa 700,  tờ 02</t>
  </si>
  <si>
    <t>Thửa 690,  tờ 02</t>
  </si>
  <si>
    <t>Huỳnh Minh Phúc</t>
  </si>
  <si>
    <t>Thửa 272,  tờ 02</t>
  </si>
  <si>
    <t>Pham Văn Hưỡng</t>
  </si>
  <si>
    <t>Thửa 297, tờ 02</t>
  </si>
  <si>
    <t>Nguyễn Thị Mận</t>
  </si>
  <si>
    <t>Thửa 867, tờ 23</t>
  </si>
  <si>
    <t>Thửa 691,  tờ 02</t>
  </si>
  <si>
    <t>Thửa 669, tờ 06</t>
  </si>
  <si>
    <t>Đã chuyển 200m²</t>
  </si>
  <si>
    <t>Hoàng Văn Phượng</t>
  </si>
  <si>
    <t>Thửa 288, tờ 13</t>
  </si>
  <si>
    <t>Nguyễn Xuân Quang</t>
  </si>
  <si>
    <t>Thửa 291, tờ 13</t>
  </si>
  <si>
    <t>Thửa 233, tờ 2</t>
  </si>
  <si>
    <t>Đã chuyển 2.000m²</t>
  </si>
  <si>
    <t>Thửa 731, tờ 02</t>
  </si>
  <si>
    <t>Thửa 732, tờ 02</t>
  </si>
  <si>
    <t>Thửa 733, tờ 02</t>
  </si>
  <si>
    <t>Thửa 734, tờ 02</t>
  </si>
  <si>
    <t>Thửa 735, tờ 02</t>
  </si>
  <si>
    <t>Thửa 736, tờ 02</t>
  </si>
  <si>
    <t>Thửa 737, tờ 02</t>
  </si>
  <si>
    <t>Thửa 738, tờ 02</t>
  </si>
  <si>
    <t>Đào Thị Bích Hạnh</t>
  </si>
  <si>
    <t>Thửa 723, tờ 2</t>
  </si>
  <si>
    <t>Nguyễn Tấn Phong</t>
  </si>
  <si>
    <t>Thửa 863, tờ 18</t>
  </si>
  <si>
    <t>Cao Thị Thái Thủy</t>
  </si>
  <si>
    <t>Thửa 603, tờ 05</t>
  </si>
  <si>
    <t>Thân Văn Tuấn</t>
  </si>
  <si>
    <t>Thửa 699, tờ 29</t>
  </si>
  <si>
    <t>Thửa 589, tờ  05</t>
  </si>
  <si>
    <t>Đào Văn Tài</t>
  </si>
  <si>
    <t>Thửa 441, tờ 33</t>
  </si>
  <si>
    <t>Bùi Văn Quang</t>
  </si>
  <si>
    <t>Thửa 546, tờ 05</t>
  </si>
  <si>
    <t>Lê Minh Tấn Quốc</t>
  </si>
  <si>
    <t>Thửa 257, tờ 13</t>
  </si>
  <si>
    <t>Trần Hoàng Hải</t>
  </si>
  <si>
    <t>Thửa 439, tờ 02</t>
  </si>
  <si>
    <t>Thửa 397, tờ 06</t>
  </si>
  <si>
    <t>Đỗ Thị Hồng</t>
  </si>
  <si>
    <t>Thửa 844, tờ 23</t>
  </si>
  <si>
    <t>Đã chuyển 600m²</t>
  </si>
  <si>
    <t>Nguyễn Quốc Hội</t>
  </si>
  <si>
    <t>Thửa 201, tờ 06</t>
  </si>
  <si>
    <t>Chuyển rồi</t>
  </si>
  <si>
    <t>Thửa 153, tờ 28</t>
  </si>
  <si>
    <t>Đã chuyển 2.800m²</t>
  </si>
  <si>
    <t>Thửa 168, tờ 28</t>
  </si>
  <si>
    <t>Đã chuyển 1.600m²</t>
  </si>
  <si>
    <t>Nguyễn Văn Hồng</t>
  </si>
  <si>
    <t>Thửa 614, tờ 05</t>
  </si>
  <si>
    <t>Nguyễn Trúc Quỳnh</t>
  </si>
  <si>
    <t>Hoàng Văn Hải</t>
  </si>
  <si>
    <t>Thửa 98, tờ 05</t>
  </si>
  <si>
    <t>Đã chuyển 2.200m²</t>
  </si>
  <si>
    <t>Lê Gia Văn</t>
  </si>
  <si>
    <t>Thửa 490, tờ 02</t>
  </si>
  <si>
    <t>Trần Quốc Tuấn</t>
  </si>
  <si>
    <t>Thửa 268, tờ 21</t>
  </si>
  <si>
    <t>Thửa 275, tờ 21</t>
  </si>
  <si>
    <t>Trần Dương Thị Thanh Tuyền</t>
  </si>
  <si>
    <t>Thửa 283, tờ 21</t>
  </si>
  <si>
    <t>Thửa 271, tờ 21</t>
  </si>
  <si>
    <t>Lê Xuân Khánh</t>
  </si>
  <si>
    <t>Thửa 362, tờ 19</t>
  </si>
  <si>
    <t>Nguyễn Thị Cúc</t>
  </si>
  <si>
    <t>Thửa 158, tờ 02</t>
  </si>
  <si>
    <t>Đào Thái Sơn</t>
  </si>
  <si>
    <t>Thửa 263, tờ 11</t>
  </si>
  <si>
    <t>Nguyễn Đăng Nam</t>
  </si>
  <si>
    <t>Thửa 701, tờ 02</t>
  </si>
  <si>
    <t>Nguyễn Văn Huy</t>
  </si>
  <si>
    <t>Thửa 5, tờ 9</t>
  </si>
  <si>
    <t>Đã chuyển 300m²</t>
  </si>
  <si>
    <t>Thửa 1073, tờ 06</t>
  </si>
  <si>
    <t>Thửa 1074, tờ 06</t>
  </si>
  <si>
    <t>Thửa 1075, tờ 06</t>
  </si>
  <si>
    <t>Thửa 1076, tờ 06</t>
  </si>
  <si>
    <t>Thửa 1077, tờ 06</t>
  </si>
  <si>
    <t>Thửa 1078, tờ 06</t>
  </si>
  <si>
    <t>Võ Văn Thành</t>
  </si>
  <si>
    <t>Thửa 160, tờ 09</t>
  </si>
  <si>
    <t>Nguyễn Đăng Vương</t>
  </si>
  <si>
    <t>Thửa 87, tờ 15</t>
  </si>
  <si>
    <t>Nguyễn Văn Nam</t>
  </si>
  <si>
    <t>Thửa 16, tờ 10</t>
  </si>
  <si>
    <t>Hồ Thị Minh Nguyệt</t>
  </si>
  <si>
    <t>Thửa 158, tờ  09</t>
  </si>
  <si>
    <t>Thửa 974, tờ  06</t>
  </si>
  <si>
    <t>Thửa 975, tờ 06</t>
  </si>
  <si>
    <t>Huỳnh Thị Điệp</t>
  </si>
  <si>
    <t>Thửa 884, tờ 06</t>
  </si>
  <si>
    <t>Nguyễn Tấn Hùng</t>
  </si>
  <si>
    <t>Thửa 229, tờ 13</t>
  </si>
  <si>
    <t>Đào Thị Thúy</t>
  </si>
  <si>
    <t>Thửa 478, tờ 02</t>
  </si>
  <si>
    <t>Võ Thị Hoành</t>
  </si>
  <si>
    <t>Thửa 130, tờ 05</t>
  </si>
  <si>
    <t>Nguyễn Thắng Lợi</t>
  </si>
  <si>
    <t>Thửa 180, tờ 05</t>
  </si>
  <si>
    <t>Đinh Thị Châu</t>
  </si>
  <si>
    <t>Thửa 429, tờ 02</t>
  </si>
  <si>
    <t>Thửa 692, tờ 02</t>
  </si>
  <si>
    <t>Thửa 693, tờ 02</t>
  </si>
  <si>
    <t>Thửa 694, tờ 02</t>
  </si>
  <si>
    <t>Thửa 695, tờ 02</t>
  </si>
  <si>
    <t>Thửa 696, tờ 02</t>
  </si>
  <si>
    <t>Thửa 697, tờ 02</t>
  </si>
  <si>
    <t>Thửa 698, tờ 02</t>
  </si>
  <si>
    <t>Thửa 699, tờ 02</t>
  </si>
  <si>
    <t>Thửa 700, tờ 02</t>
  </si>
  <si>
    <t>Thửa 690, tờ 02</t>
  </si>
  <si>
    <t>Thửa 691, tờ 02</t>
  </si>
  <si>
    <t>Ngô Thị Hoạt</t>
  </si>
  <si>
    <t>Thửa 132, tờ 04</t>
  </si>
  <si>
    <t>Đỗ Thị Lan</t>
  </si>
  <si>
    <t>Thửa 739, tờ 02</t>
  </si>
  <si>
    <t>Hứa Quốc Sơn</t>
  </si>
  <si>
    <t>Thửa 524, tờ 6</t>
  </si>
  <si>
    <t>Lê Thị Hồng Thắm</t>
  </si>
  <si>
    <t>Thửa 238, tờ 02</t>
  </si>
  <si>
    <t>Nguyễn Đỗ Thanh Sang</t>
  </si>
  <si>
    <t>Thửa 96, tờ 17</t>
  </si>
  <si>
    <t>Nguyễn Thanh Phương</t>
  </si>
  <si>
    <t>Thửa 851, tờ 23</t>
  </si>
  <si>
    <t>Lê Thị Lý</t>
  </si>
  <si>
    <t>Thửa 289, tờ 13</t>
  </si>
  <si>
    <t>Thửa 229, tờ 15</t>
  </si>
  <si>
    <t>Thị Anh</t>
  </si>
  <si>
    <t>Thửa 305, tờ 33</t>
  </si>
  <si>
    <t>Lê Văn Nhân</t>
  </si>
  <si>
    <t>Thửa 135, tờ 28</t>
  </si>
  <si>
    <t>Trần Thị Bốn</t>
  </si>
  <si>
    <t>BHK</t>
  </si>
  <si>
    <t>Thửa 44, tờ 11</t>
  </si>
  <si>
    <t>Nguyễn Văn Thượng</t>
  </si>
  <si>
    <t>Thửa 127, tờ 28</t>
  </si>
  <si>
    <t>Thửa 76, tờ 13</t>
  </si>
  <si>
    <t>Thửa 71, tờ 11</t>
  </si>
  <si>
    <t>Trần Đức Đỗ</t>
  </si>
  <si>
    <t>Thửa 792, tờ 7</t>
  </si>
  <si>
    <t>Nguyễn Thị Nhi</t>
  </si>
  <si>
    <t>Thửa 133, tờ 28</t>
  </si>
  <si>
    <t>Thửa 119, tờ 28</t>
  </si>
  <si>
    <t>Đào Văn Hành</t>
  </si>
  <si>
    <t>Thửa 873, tờ 6</t>
  </si>
  <si>
    <t>Đặng Văn Vở</t>
  </si>
  <si>
    <t>Thửa 450, tờ 6</t>
  </si>
  <si>
    <t xml:space="preserve">Thửa 413, tờ 6 </t>
  </si>
  <si>
    <t>Điểu Quốc Trung</t>
  </si>
  <si>
    <t>Thửa 239, tờ 8</t>
  </si>
  <si>
    <t>Nguyễn Thị Phượng</t>
  </si>
  <si>
    <t>Thửa 811, tờ 02</t>
  </si>
  <si>
    <t>Vũ Thị Ngọc Diệp</t>
  </si>
  <si>
    <t>Thửa 118, tờ 13</t>
  </si>
  <si>
    <t>Trương Công Trung</t>
  </si>
  <si>
    <t>Thửa 711, tờ 02</t>
  </si>
  <si>
    <t>Đinh Công Ứng</t>
  </si>
  <si>
    <t>Thửa 345, tờ 02</t>
  </si>
  <si>
    <t>Huỳnh Hữu Châu</t>
  </si>
  <si>
    <t>Thửa 23, tờ 27</t>
  </si>
  <si>
    <t>Lê Thị Thùy An</t>
  </si>
  <si>
    <t>Thửa 363, tờ 19</t>
  </si>
  <si>
    <t>Thửa 364, tờ 19</t>
  </si>
  <si>
    <t>Thửa 365, tờ 19</t>
  </si>
  <si>
    <t>Thửa 366, tờ 19</t>
  </si>
  <si>
    <t>Hoàng Thị Phương</t>
  </si>
  <si>
    <t>Thửa 688, tờ 02</t>
  </si>
  <si>
    <t>Thị Bên</t>
  </si>
  <si>
    <t>Thửa 702, tờ 22</t>
  </si>
  <si>
    <t>Điểu Đông</t>
  </si>
  <si>
    <t>Thửa 65, tờ 29</t>
  </si>
  <si>
    <t>Nguyễn Đình Nam</t>
  </si>
  <si>
    <t>Thửa 442, tờ 6</t>
  </si>
  <si>
    <t xml:space="preserve">Điểu Thị Minh Nhiên </t>
  </si>
  <si>
    <t>Thửa 241, tờ 8</t>
  </si>
  <si>
    <t>Nguyễn Hoài Thanh</t>
  </si>
  <si>
    <t>Thửa 192, tờ 8</t>
  </si>
  <si>
    <t>Thửa 193, tờ 8</t>
  </si>
  <si>
    <t>Bùi Hữu Vinh</t>
  </si>
  <si>
    <t>Thửa 651, tờ 22</t>
  </si>
  <si>
    <t>Đỗ Văn Chiến</t>
  </si>
  <si>
    <t>Thửa 711, tờ 29</t>
  </si>
  <si>
    <t>Thửa 707, tờ 29</t>
  </si>
  <si>
    <t>Đặng Viết Thiên</t>
  </si>
  <si>
    <t>Thửa 706, tờ 29</t>
  </si>
  <si>
    <t>Nguyễn Đình Ngữ</t>
  </si>
  <si>
    <t>Thửa 145, tờ 24</t>
  </si>
  <si>
    <t>Thửa 413, tờ 6</t>
  </si>
  <si>
    <t>Vũ Thị Thủy</t>
  </si>
  <si>
    <t>Thửa 208, tờ 6</t>
  </si>
  <si>
    <t>Lâm Đức Thiện</t>
  </si>
  <si>
    <t>Thửa 353, tờ 19</t>
  </si>
  <si>
    <t>Thửa 178, tờ 29</t>
  </si>
  <si>
    <t>Nguyễn Thị Cẩm Tiên</t>
  </si>
  <si>
    <t>Thửa 852, tờ 05</t>
  </si>
  <si>
    <t>Thửa 06, tờ 3185-2021</t>
  </si>
  <si>
    <t>Lê Minh Tiến</t>
  </si>
  <si>
    <t>Thửa 487, tờ 29</t>
  </si>
  <si>
    <t>Thửa 460, tờ 29</t>
  </si>
  <si>
    <t>Phạm Văn Thanh</t>
  </si>
  <si>
    <t>Thửa 51, tờ 15</t>
  </si>
  <si>
    <t>Nguyễn Thị Hải Yến</t>
  </si>
  <si>
    <t>Thửa 449, tờ 06</t>
  </si>
  <si>
    <t>Hứa Quốc Tâm</t>
  </si>
  <si>
    <t>Thửa 508, tờ 06</t>
  </si>
  <si>
    <t>Huỳnh Thị Búp</t>
  </si>
  <si>
    <t>Thửa 187, tờ 02</t>
  </si>
  <si>
    <t>Đặng Thị Ngọc Loan</t>
  </si>
  <si>
    <t>Thửa 97, tờ 13</t>
  </si>
  <si>
    <t>Nguyễn Hoàng Yến Nhi</t>
  </si>
  <si>
    <t>Thửa 298, tờ 11</t>
  </si>
  <si>
    <t>Thửa 299, tờ 11</t>
  </si>
  <si>
    <t>Thửa 875, tờ 06</t>
  </si>
  <si>
    <t>Lê Duy</t>
  </si>
  <si>
    <t>Nguyễn Tấn Đức</t>
  </si>
  <si>
    <t>Thửa 105, tờ 02</t>
  </si>
  <si>
    <t>Phan Quốc Thanh</t>
  </si>
  <si>
    <t>Thửa 127, tờ 02</t>
  </si>
  <si>
    <t>Thửa 117, tờ 02</t>
  </si>
  <si>
    <t>Trần Văn Thọ</t>
  </si>
  <si>
    <t>Thửa 649, tờ 05</t>
  </si>
  <si>
    <t>Lê Văn Thành</t>
  </si>
  <si>
    <t>Thửa 235, tờ 02</t>
  </si>
  <si>
    <t>Thị Khéc</t>
  </si>
  <si>
    <t>Thửa 94, tờ 19</t>
  </si>
  <si>
    <t>Nguyễn Thị Tiếng</t>
  </si>
  <si>
    <t>Thửa 542, tờ 06</t>
  </si>
  <si>
    <t>Điểu Hoàng Long</t>
  </si>
  <si>
    <t>Thửa 306, tờ 11</t>
  </si>
  <si>
    <t>Võ Nguyên Phú</t>
  </si>
  <si>
    <t>Thửa 102, tờ 13</t>
  </si>
  <si>
    <t>Thửa 352, tờ 13</t>
  </si>
  <si>
    <t>Đặng Văn Tiến</t>
  </si>
  <si>
    <t>Thửa 109, tờ 5</t>
  </si>
  <si>
    <t>Thửa 649, tờ 5</t>
  </si>
  <si>
    <t>Lê Minh Đức</t>
  </si>
  <si>
    <t>Thửa 50, tờ 11</t>
  </si>
  <si>
    <t>Thửa 782, tờ 2</t>
  </si>
  <si>
    <t>Thị Hà</t>
  </si>
  <si>
    <t>Thửa 267, tờ 5</t>
  </si>
  <si>
    <t>Nguyễn Văn Phương</t>
  </si>
  <si>
    <t>Thửa 321, tờ 2</t>
  </si>
  <si>
    <t>Thị Tên</t>
  </si>
  <si>
    <t>Thửa 703, tờ 22</t>
  </si>
  <si>
    <t>Thị Nơng</t>
  </si>
  <si>
    <t>Thửa 433, tờ 05</t>
  </si>
  <si>
    <t>Vũ Thị Tuyết</t>
  </si>
  <si>
    <t>Thửa 275, tờ 02</t>
  </si>
  <si>
    <t>Phạm Ngọc Anh</t>
  </si>
  <si>
    <t>Thửa 738, tờ 05</t>
  </si>
  <si>
    <t>Thửa 737, tờ 05</t>
  </si>
  <si>
    <t>Vũ Văn Hưng</t>
  </si>
  <si>
    <t>Thửa 91, tờ 02</t>
  </si>
  <si>
    <t>Thửa 76, tờ 02</t>
  </si>
  <si>
    <t>Thửa 507, tờ 02</t>
  </si>
  <si>
    <t>Nguyễn Lê Trung</t>
  </si>
  <si>
    <t>Hoàng Văn Giàu</t>
  </si>
  <si>
    <t>Thửa 208, tờ 06</t>
  </si>
  <si>
    <t>Huỳnh Tú Phương Vy</t>
  </si>
  <si>
    <t>Thửa 95, tờ 06</t>
  </si>
  <si>
    <t>Phạm Thị Thúy</t>
  </si>
  <si>
    <t>Thửa 300, tờ 11</t>
  </si>
  <si>
    <t>Lê Thị Hồng Hạnh</t>
  </si>
  <si>
    <t>Thửa 296, tờ 11</t>
  </si>
  <si>
    <t>Nguyễn Thanh Cường</t>
  </si>
  <si>
    <t>Thửa 289, tờ 11</t>
  </si>
  <si>
    <t>Khức Trọng Đại</t>
  </si>
  <si>
    <t>Thửa 290, tờ 11</t>
  </si>
  <si>
    <t>Nguyễn Văn Cường</t>
  </si>
  <si>
    <t>Thửa 295, tờ 11</t>
  </si>
  <si>
    <t>Bùi Minh Hiếu</t>
  </si>
  <si>
    <t>Thửa 291, tờ 11</t>
  </si>
  <si>
    <t>Thửa 294, tờ 11</t>
  </si>
  <si>
    <t>Nguyễn Kim Hậu</t>
  </si>
  <si>
    <t>Thửa 190, tờ 4</t>
  </si>
  <si>
    <t>Lê Thuận Yến</t>
  </si>
  <si>
    <t>Thửa 904, tờ 6</t>
  </si>
  <si>
    <t>Thửa 902, tờ 6</t>
  </si>
  <si>
    <t>Điểu Khen</t>
  </si>
  <si>
    <t>Thửa 45, tờ 15</t>
  </si>
  <si>
    <t>Điểu Vôi</t>
  </si>
  <si>
    <t>Thửa 327, tờ 14</t>
  </si>
  <si>
    <t>Hồ Anh Tuấn</t>
  </si>
  <si>
    <t>Thửa 601, tờ 02</t>
  </si>
  <si>
    <t>Hồ Xuân Linh</t>
  </si>
  <si>
    <t>Thửa 20, tờ 11</t>
  </si>
  <si>
    <t>Lương Thị Lịch</t>
  </si>
  <si>
    <t>Thửa 490, tờ 06</t>
  </si>
  <si>
    <t>Thửa 977, tờ 5</t>
  </si>
  <si>
    <t>Võ Văn Thuộc</t>
  </si>
  <si>
    <t>Thửa 732, tờ 5</t>
  </si>
  <si>
    <t>Võ Văn Hưng</t>
  </si>
  <si>
    <t>Thửa 91, tờ 2</t>
  </si>
  <si>
    <t>Thửa 507, tờ 2</t>
  </si>
  <si>
    <t>Trịnh Hoài Dương</t>
  </si>
  <si>
    <t>Thửa 223, tờ 2</t>
  </si>
  <si>
    <t>Lê Văn Hiếu</t>
  </si>
  <si>
    <t>Thửa 47, tờ 4</t>
  </si>
  <si>
    <t>Nguyễn Minh Liêm</t>
  </si>
  <si>
    <t>Thửa 8, tờ 14</t>
  </si>
  <si>
    <t>Thửa 7, tờ 14</t>
  </si>
  <si>
    <t>Lê Văn Sỹ</t>
  </si>
  <si>
    <t>Nguyễn Hoài Hận</t>
  </si>
  <si>
    <t>Thửa 461, tờ 02</t>
  </si>
  <si>
    <t>Thửa 462, tờ 02</t>
  </si>
  <si>
    <t>Thửa 177, tờ 08</t>
  </si>
  <si>
    <t>Nguyễn Hoàng Kiệt</t>
  </si>
  <si>
    <t>Thửa 407, tờ 10</t>
  </si>
  <si>
    <t>Hoàng Trọng Hữu</t>
  </si>
  <si>
    <t>Thửa 145, tờ 13</t>
  </si>
  <si>
    <t>Điểu Bức</t>
  </si>
  <si>
    <t>Thửa 74, tờ 12</t>
  </si>
  <si>
    <t>Nguyễn Văn Thuyết</t>
  </si>
  <si>
    <t>Thửa 136, tờ 21</t>
  </si>
  <si>
    <t>Nguyễn Xuân Đồng</t>
  </si>
  <si>
    <t>Thửa 166, tờ 05</t>
  </si>
  <si>
    <t>Nguyễn Thị Lài</t>
  </si>
  <si>
    <t>Thửa 257, tờ 02</t>
  </si>
  <si>
    <t>Nguyễn Văn Trung</t>
  </si>
  <si>
    <t>Thửa 885, tờ 6</t>
  </si>
  <si>
    <t>Nguyễn Văn Khánh</t>
  </si>
  <si>
    <t>Thửa 13, tờ 5</t>
  </si>
  <si>
    <t>Thị Wẩy</t>
  </si>
  <si>
    <t>Thửa 18, tờ 5</t>
  </si>
  <si>
    <t>Hoàng Thị Bích</t>
  </si>
  <si>
    <t>Thửa 735, tờ 5</t>
  </si>
  <si>
    <t>Nguyễn Văn Thiện</t>
  </si>
  <si>
    <t>Thửa 225, tờ 5</t>
  </si>
  <si>
    <t>Lê Văn Công</t>
  </si>
  <si>
    <t>Thửa 357, tờ 19</t>
  </si>
  <si>
    <t>Lê Văn Tăng</t>
  </si>
  <si>
    <t>Thửa 969, tờ 6</t>
  </si>
  <si>
    <t>Lê Văn Cường</t>
  </si>
  <si>
    <t>Thửa 973, tờ 6</t>
  </si>
  <si>
    <t>Thửa 971, tờ 6</t>
  </si>
  <si>
    <t>Thửa 972, tờ 6</t>
  </si>
  <si>
    <t>Phạm Thị Doan</t>
  </si>
  <si>
    <t>Thửa 103, tờ 5</t>
  </si>
  <si>
    <t>Nguyễn Thị Hương Thảo</t>
  </si>
  <si>
    <t>Thửa 818, tờ 6</t>
  </si>
  <si>
    <t>Phạm Thanh Hồng</t>
  </si>
  <si>
    <t>Thửa 248, tờ 13</t>
  </si>
  <si>
    <t>Mai Thị Hồng</t>
  </si>
  <si>
    <t>Thửa 245, tờ 8</t>
  </si>
  <si>
    <t>Huỳnh Nhất Thống</t>
  </si>
  <si>
    <t>Thửa 859, tờ 5</t>
  </si>
  <si>
    <t>Nhị Thị Hồng Tươi</t>
  </si>
  <si>
    <t>Thửa 867, tờ 5</t>
  </si>
  <si>
    <t>Nguyễn Thành Nhân</t>
  </si>
  <si>
    <t>Thửa 861, tờ 5</t>
  </si>
  <si>
    <t>Thửa 850, tờ 5</t>
  </si>
  <si>
    <t>Lương Điểu Hương Thảo</t>
  </si>
  <si>
    <t>Thửa 246, tờ 8</t>
  </si>
  <si>
    <t>Đặng Ngọc Tuân</t>
  </si>
  <si>
    <t>Thửa 129, tờ 11</t>
  </si>
  <si>
    <t>Nguyễn Minh Tuấn</t>
  </si>
  <si>
    <t>Thửa 314, tờ 19</t>
  </si>
  <si>
    <t>Thửa 37, tờ 11</t>
  </si>
  <si>
    <t>Vũ Đức Lợi</t>
  </si>
  <si>
    <t>Thửa 818, tờ 05</t>
  </si>
  <si>
    <t>Nguyễn Tiến Vui</t>
  </si>
  <si>
    <t>Thửa 821, tờ 05</t>
  </si>
  <si>
    <t>Vũ Duy Biên</t>
  </si>
  <si>
    <t>Thửa 816, tờ 05</t>
  </si>
  <si>
    <t>Thửa 817, tờ 05</t>
  </si>
  <si>
    <t>Nguyễn Đức Định</t>
  </si>
  <si>
    <t>Thửa 823, tờ 05</t>
  </si>
  <si>
    <t>Nguyễn Xuân Nha</t>
  </si>
  <si>
    <t>Thửa 824, tờ 05</t>
  </si>
  <si>
    <t>Nguyễn Thế Phương</t>
  </si>
  <si>
    <t>Thửa 215, tờ 02</t>
  </si>
  <si>
    <t>Đào Thị Xuân Hương</t>
  </si>
  <si>
    <t>Thửa 349, tờ 19</t>
  </si>
  <si>
    <t>Thửa 249, tờ 13</t>
  </si>
  <si>
    <t>Hoàng Tiến Xê</t>
  </si>
  <si>
    <t>Thửa 261, tờ 5</t>
  </si>
  <si>
    <t xml:space="preserve">Phạm Dũng </t>
  </si>
  <si>
    <t>Thửa 3, tờ 32</t>
  </si>
  <si>
    <t>Thửa 713, tờ 2</t>
  </si>
  <si>
    <t>Nguyễn Văn Đăng</t>
  </si>
  <si>
    <t>Thửa 761, tờ 5</t>
  </si>
  <si>
    <t>Nguyễn Thị Minh Tiến</t>
  </si>
  <si>
    <t>Thửa 214, tờ 28</t>
  </si>
  <si>
    <t>Ưng Văn Long</t>
  </si>
  <si>
    <t>Thửa 83, tờ 11</t>
  </si>
  <si>
    <t>Thửa 955, tờ 6</t>
  </si>
  <si>
    <t>Thửa 951, tờ 6</t>
  </si>
  <si>
    <t>Thửa 257, tờ 2</t>
  </si>
  <si>
    <t>Thửa 626, tờ 4</t>
  </si>
  <si>
    <t>Nguyễn Thúc Dương</t>
  </si>
  <si>
    <t>Thửa 953, tờ 6</t>
  </si>
  <si>
    <t>Nguyễn Văn Trọng</t>
  </si>
  <si>
    <t>Thửa 590, tờ 05</t>
  </si>
  <si>
    <t>Nguyễn Đức Thuận</t>
  </si>
  <si>
    <t>Thửa 287, tờ 02</t>
  </si>
  <si>
    <t>Trần Đăng Khoa</t>
  </si>
  <si>
    <t>Thửa 582, tờ 02</t>
  </si>
  <si>
    <t xml:space="preserve">Lê Thị Phương Liên </t>
  </si>
  <si>
    <t>Nguyễn Công Nguyên</t>
  </si>
  <si>
    <t>Thửa 720, tờ 06</t>
  </si>
  <si>
    <t>Thửa 721, tờ 06</t>
  </si>
  <si>
    <t>Nguyễn Thị Đức</t>
  </si>
  <si>
    <t>Thửa 180, tờ 02</t>
  </si>
  <si>
    <t>Thửa 1155, tờ 6</t>
  </si>
  <si>
    <t>Thửa 1156, tờ 6</t>
  </si>
  <si>
    <t>Thửa 1157, tờ 6</t>
  </si>
  <si>
    <t>Thửa 1158, tờ 6</t>
  </si>
  <si>
    <t>Thửa 1159, tờ 6</t>
  </si>
  <si>
    <t>Thửa 1160, tờ 6</t>
  </si>
  <si>
    <t>Thửa 1161, tờ 6</t>
  </si>
  <si>
    <t>Thửa 1162, tờ 6</t>
  </si>
  <si>
    <t>Thửa 1163, tờ 6</t>
  </si>
  <si>
    <t>Thửa 1164, tờ 6</t>
  </si>
  <si>
    <t>Thửa 1165, tờ 6</t>
  </si>
  <si>
    <t>Thửa 1166, tờ 6</t>
  </si>
  <si>
    <t>Thửa 1167, tờ 6</t>
  </si>
  <si>
    <t>Thửa 1168, tờ 6</t>
  </si>
  <si>
    <t>Thửa 1169, tờ 6</t>
  </si>
  <si>
    <t>Thửa 1170, tờ 6</t>
  </si>
  <si>
    <t>Thửa 1171, tờ 6</t>
  </si>
  <si>
    <t>Thửa 1172, tờ 6</t>
  </si>
  <si>
    <t>Thửa 1173, tờ 6</t>
  </si>
  <si>
    <t>Thửa 1174, tờ 6</t>
  </si>
  <si>
    <t>Thửa 1175, tờ 6</t>
  </si>
  <si>
    <t>Thửa 1176, tờ 6</t>
  </si>
  <si>
    <t>Thửa 1177, tờ 6</t>
  </si>
  <si>
    <t>Thửa 1178, tờ 6</t>
  </si>
  <si>
    <t>Huỳnh Văn Y</t>
  </si>
  <si>
    <t>Thửa 185, tờ 04</t>
  </si>
  <si>
    <t>Phạm Thị Thu</t>
  </si>
  <si>
    <t>Thửa 184, tờ 04</t>
  </si>
  <si>
    <t>Thửa 183, tờ 04</t>
  </si>
  <si>
    <t>Nguyễn Việt Hùng</t>
  </si>
  <si>
    <t>Thửa 182, tờ 04</t>
  </si>
  <si>
    <t>Thửa 268, tờ 5</t>
  </si>
  <si>
    <t>Thửa 709, tờ 29</t>
  </si>
  <si>
    <t>Thửa 433, tờ 5</t>
  </si>
  <si>
    <t>Nguyễn Văn Tuấn</t>
  </si>
  <si>
    <t>Thửa 694, tờ 5</t>
  </si>
  <si>
    <t>Thửa 697, tờ 5</t>
  </si>
  <si>
    <t>Thửa 698, tờ 5</t>
  </si>
  <si>
    <t>Thửa 695, tờ 5</t>
  </si>
  <si>
    <t>Thửa 696, tờ 5</t>
  </si>
  <si>
    <t>Thửa 886, tờ 23</t>
  </si>
  <si>
    <t>Nguyễn Thị Thanh Dung</t>
  </si>
  <si>
    <t>Thửa 476, tờ 29</t>
  </si>
  <si>
    <t>Tiền Hồng Đức</t>
  </si>
  <si>
    <t>Thửa 397, tờ 6</t>
  </si>
  <si>
    <t>Hoàng Thị Thơm</t>
  </si>
  <si>
    <t>Thửa 635, tờ 5</t>
  </si>
  <si>
    <t>Thửa 667, tờ 5</t>
  </si>
  <si>
    <t>Thửa 230, tờ 24</t>
  </si>
  <si>
    <t>Lê Thị Phương Hiền</t>
  </si>
  <si>
    <t>Thửa 5, tờ 27</t>
  </si>
  <si>
    <t>Đinh Xuân Thịnh
(Bùi Hữu Vinh)</t>
  </si>
  <si>
    <t>Thửa 310, tờ 5</t>
  </si>
  <si>
    <t>Hồ Đức Thiện</t>
  </si>
  <si>
    <t>Thửa 842, tờ 2</t>
  </si>
  <si>
    <t>Thửa 2, tờ 20</t>
  </si>
  <si>
    <t>Nguyễn Văn Mạnh</t>
  </si>
  <si>
    <t>Thửa 869, tờ 5</t>
  </si>
  <si>
    <t>Thửa 864, tờ 5</t>
  </si>
  <si>
    <t>Thửa 868, tờ 5</t>
  </si>
  <si>
    <t>Hoàng Thị Nương</t>
  </si>
  <si>
    <t>Thửa 149, tờ 9</t>
  </si>
  <si>
    <t>Hồ Văn Phú</t>
  </si>
  <si>
    <t>Thửa 597, tờ 5</t>
  </si>
  <si>
    <t>Thị Me</t>
  </si>
  <si>
    <t>Thửa 717, tờ 18</t>
  </si>
  <si>
    <t>Thửa 163, tờ 11</t>
  </si>
  <si>
    <t>Thị Gái</t>
  </si>
  <si>
    <t>Thửa 384, tờ 10</t>
  </si>
  <si>
    <t>Thửa 436, tờ 10</t>
  </si>
  <si>
    <t xml:space="preserve"> Điểu Tài </t>
  </si>
  <si>
    <t>Thửa 284, tờ 5</t>
  </si>
  <si>
    <t>Thửa 461, tờ 5</t>
  </si>
  <si>
    <t xml:space="preserve">Thị Lan </t>
  </si>
  <si>
    <t>Vũ Hùng Cường</t>
  </si>
  <si>
    <t>Thửa 514, tờ 16</t>
  </si>
  <si>
    <t>Thửa 712, tờ 2</t>
  </si>
  <si>
    <t>Thửa 714, tờ 2</t>
  </si>
  <si>
    <t>Thửa 715, tờ 2</t>
  </si>
  <si>
    <t>Thửa 716, tờ 2</t>
  </si>
  <si>
    <t>Thửa 717, tờ 2</t>
  </si>
  <si>
    <t>Thửa 718, tờ 2</t>
  </si>
  <si>
    <t>Thửa 719, tờ 2</t>
  </si>
  <si>
    <t>Thửa 722, tờ 2</t>
  </si>
  <si>
    <t>Thửa 724, tờ 2</t>
  </si>
  <si>
    <t>Vũ Thị Thêm</t>
  </si>
  <si>
    <t>Thửa 472, tờ 2</t>
  </si>
  <si>
    <t>Thị Sí</t>
  </si>
  <si>
    <t>Thửa 446, tờ 16</t>
  </si>
  <si>
    <t>Tô Thị Thu Miền</t>
  </si>
  <si>
    <t>Thửa 886, tờ 5</t>
  </si>
  <si>
    <t>Điểu Kích</t>
  </si>
  <si>
    <t>Thửa 154, tờ 28</t>
  </si>
  <si>
    <t>Thửa 99, tờ 02</t>
  </si>
  <si>
    <t>Thửa 196, tờ 30</t>
  </si>
  <si>
    <t>Nguyễn Thành Tiên</t>
  </si>
  <si>
    <t>Thửa 282, tờ 05</t>
  </si>
  <si>
    <t>Lê Trọng Hải An</t>
  </si>
  <si>
    <t>Thửa 761, tờ 05</t>
  </si>
  <si>
    <t>Nguyễn Văn Lý</t>
  </si>
  <si>
    <t>Thửa 38, tờ 7</t>
  </si>
  <si>
    <t>Thửa 34, tờ 7</t>
  </si>
  <si>
    <t>Nguyễn Văn Trường</t>
  </si>
  <si>
    <t>Lê Thị Ngân</t>
  </si>
  <si>
    <t>Thửa 3, tờ 23</t>
  </si>
  <si>
    <t>Điểu Brem</t>
  </si>
  <si>
    <t>Thửa 28, tờ 30</t>
  </si>
  <si>
    <t>Thửa 1, tờ 28</t>
  </si>
  <si>
    <t>Phan Huy Bình</t>
  </si>
  <si>
    <t>Thửa 400, tờ 05</t>
  </si>
  <si>
    <t>Phạm Thị Thu Hương</t>
  </si>
  <si>
    <t>Thửa 25, tờ 02</t>
  </si>
  <si>
    <t>Thửa 583, tờ 02</t>
  </si>
  <si>
    <t>Thửa 112, tờ 05</t>
  </si>
  <si>
    <t>Thửa 724, tờ 02</t>
  </si>
  <si>
    <t>Trần Thanh Tường</t>
  </si>
  <si>
    <t>Thửa 272, tờ 05</t>
  </si>
  <si>
    <t>II</t>
  </si>
  <si>
    <t>Ngô Thị Hoa</t>
  </si>
  <si>
    <t>Thửa 25, tờ 25</t>
  </si>
  <si>
    <t>Nguyễn Đình Sơn</t>
  </si>
  <si>
    <t>Thửa 128, tờ 04</t>
  </si>
  <si>
    <t>Nguyễn Văn Uyên</t>
  </si>
  <si>
    <t>Thửa 60, tờ 10</t>
  </si>
  <si>
    <t>Thái Thị Nở</t>
  </si>
  <si>
    <t>Thửa 134, tờ 09</t>
  </si>
  <si>
    <t>Nguyễn Tuấn Khanh</t>
  </si>
  <si>
    <t>Thửa 305, tờ 04</t>
  </si>
  <si>
    <t>Nguyễn Văn Tuân</t>
  </si>
  <si>
    <t>Thửa 59, tờ 10</t>
  </si>
  <si>
    <t>Lê Thị Gái</t>
  </si>
  <si>
    <t>Thửa 97, tờ 18</t>
  </si>
  <si>
    <t>Nguyễn Thị Khuyến</t>
  </si>
  <si>
    <t>Thửa 192, tờ 09</t>
  </si>
  <si>
    <t>Hoàng Thanh Cường</t>
  </si>
  <si>
    <t>Thửa 53, tờ 09</t>
  </si>
  <si>
    <t>Tăng Văn Huân</t>
  </si>
  <si>
    <t>Thửa 366, tờ 04</t>
  </si>
  <si>
    <t>Trần Trung Thiện</t>
  </si>
  <si>
    <t>Thửa 23, tờ 24</t>
  </si>
  <si>
    <t>Nguyễn Thế Hùng</t>
  </si>
  <si>
    <t>Thửa 123, tờ 09</t>
  </si>
  <si>
    <t>Nguyễn Xuân Thủy</t>
  </si>
  <si>
    <t>Thửa 200, tờ 02</t>
  </si>
  <si>
    <t>Trần Văn Đỏ</t>
  </si>
  <si>
    <t>Thửa 204, tờ 03</t>
  </si>
  <si>
    <t>Nguyễn Thị Hằng</t>
  </si>
  <si>
    <t>Thửa 203, tờ 03</t>
  </si>
  <si>
    <t>Đỗ Xuân Quyết</t>
  </si>
  <si>
    <t>Thửa 205, tờ 03</t>
  </si>
  <si>
    <t>Thửa 202, tờ 03</t>
  </si>
  <si>
    <t>Nguyễn Văn Tiến</t>
  </si>
  <si>
    <t>Thửa 79, tờ 07</t>
  </si>
  <si>
    <t>Mai Xuân Tuyền</t>
  </si>
  <si>
    <t>Thửa 63, tờ 09</t>
  </si>
  <si>
    <t>Đào Thị Thất</t>
  </si>
  <si>
    <t>Thửa 127, tờ 09</t>
  </si>
  <si>
    <t>Nguyễn Thị Khỏe</t>
  </si>
  <si>
    <t>Thửa 94, tờ 07</t>
  </si>
  <si>
    <t>Nguyễn Văn Đông</t>
  </si>
  <si>
    <t>Thửa 194, tờ 24</t>
  </si>
  <si>
    <t>Nguyễn Văn Lượng</t>
  </si>
  <si>
    <t>Thửa 43, tờ 10</t>
  </si>
  <si>
    <t>Võ Văn Dũng</t>
  </si>
  <si>
    <t>Thửa 478, tờ 04</t>
  </si>
  <si>
    <t>Thửa 241, tờ 09</t>
  </si>
  <si>
    <t>Điểu Lăm</t>
  </si>
  <si>
    <t>Thửa 168, tờ 02</t>
  </si>
  <si>
    <t>Thị Sreo</t>
  </si>
  <si>
    <t>Thửa 107, tờ 02</t>
  </si>
  <si>
    <t>Nguyễn Văn Tài</t>
  </si>
  <si>
    <t>Thửa 44, tờ 03</t>
  </si>
  <si>
    <t>Bùi Minh Nghĩa</t>
  </si>
  <si>
    <t>Thửa 684, tờ 02</t>
  </si>
  <si>
    <t>Lương Văn Hùng</t>
  </si>
  <si>
    <t>Thửa 193, tờ 24</t>
  </si>
  <si>
    <t>Lưu Thị Kim Loan</t>
  </si>
  <si>
    <t>Thửa 238, tờ 03</t>
  </si>
  <si>
    <t>Nguyễn Thị Nhiều</t>
  </si>
  <si>
    <t>Thửa 862, tờ 02</t>
  </si>
  <si>
    <t>Nguyễn Văn Bình</t>
  </si>
  <si>
    <t>Thửa 235, tờ 03</t>
  </si>
  <si>
    <t>Thửa 66, tờ 03</t>
  </si>
  <si>
    <t>Nguyễn Quốc Việt</t>
  </si>
  <si>
    <t>Thửa 212, tờ 10</t>
  </si>
  <si>
    <t>Văn Công Tiến</t>
  </si>
  <si>
    <t>Thửa 614, tờ 02</t>
  </si>
  <si>
    <t>Nguyễn Văn Minh</t>
  </si>
  <si>
    <t>Thửa 125, tờ 09</t>
  </si>
  <si>
    <t>Phạm Văn Tuyên</t>
  </si>
  <si>
    <t>Thửa 217, tờ 10</t>
  </si>
  <si>
    <t>Nguyễn Hiệp Đoàn</t>
  </si>
  <si>
    <t>Thửa 314, tờ 04</t>
  </si>
  <si>
    <t>Phạm Văn Bảo</t>
  </si>
  <si>
    <t>Thửa 422, tờ 04</t>
  </si>
  <si>
    <t>Đỗ Minh Tùng</t>
  </si>
  <si>
    <t>Thửa 201, tờ 04</t>
  </si>
  <si>
    <t>Hoàng Thị Xuân</t>
  </si>
  <si>
    <t>Thửa 455, tờ 04</t>
  </si>
  <si>
    <t>Thửa 456, tờ 04</t>
  </si>
  <si>
    <t>Phạm Thị Doanh</t>
  </si>
  <si>
    <t>Thửa 189, tờ 04</t>
  </si>
  <si>
    <t>Bùi Văn Bắc</t>
  </si>
  <si>
    <t>Thửa 04, tờ 04</t>
  </si>
  <si>
    <t>Tạ Thị Thương</t>
  </si>
  <si>
    <t>Thửa 02, tờ 04</t>
  </si>
  <si>
    <t>Lê Thị Hoài</t>
  </si>
  <si>
    <t>Thửa 135, tờ 09</t>
  </si>
  <si>
    <t>Nguyễn Văn Gắng</t>
  </si>
  <si>
    <t>Thửa 216, tờ 02</t>
  </si>
  <si>
    <t>Nguyễn Thị Như Ý</t>
  </si>
  <si>
    <t>Nguyễn Thị Quế Anh</t>
  </si>
  <si>
    <t>Thái Văn Hồng</t>
  </si>
  <si>
    <t>Thửa 201, tờ 03</t>
  </si>
  <si>
    <t>Nguyễn Văn Cả</t>
  </si>
  <si>
    <t>Thửa 242, tờ 03</t>
  </si>
  <si>
    <t>Nguyễn Thị Thao</t>
  </si>
  <si>
    <t>Thửa 74, tờ 09</t>
  </si>
  <si>
    <t>Nguyễn Thị Thu Ngà</t>
  </si>
  <si>
    <t>Thửa 74, tờ 17</t>
  </si>
  <si>
    <t>Nguyễn Thị Hà</t>
  </si>
  <si>
    <t>Thửa 863, tờ 02</t>
  </si>
  <si>
    <t>Nguyễn Văn Qúy</t>
  </si>
  <si>
    <t>Thửa 25, tờ 07</t>
  </si>
  <si>
    <t>Nguyễn Bình Hòa</t>
  </si>
  <si>
    <t>Thửa 86, tờ 07</t>
  </si>
  <si>
    <t>Võ Thành Nhân</t>
  </si>
  <si>
    <t>Thửa 153, tờ 10</t>
  </si>
  <si>
    <t>Trần Hoàng Nam</t>
  </si>
  <si>
    <t>Thửa 634, tờ 02</t>
  </si>
  <si>
    <t>Nguyễn Văn Vịnh</t>
  </si>
  <si>
    <t>Thửa 193, tờ 03</t>
  </si>
  <si>
    <t>Đàm Văn Khánh</t>
  </si>
  <si>
    <t>Thửa 479, tờ 04</t>
  </si>
  <si>
    <t>Thửa 246, tờ 09</t>
  </si>
  <si>
    <t>Nguyễn Thị Thúy</t>
  </si>
  <si>
    <t>Thửa 175, tờ 07</t>
  </si>
  <si>
    <t>Thửa 41, tờ 03</t>
  </si>
  <si>
    <t>Mao Linh Đông</t>
  </si>
  <si>
    <t>Thửa 99, tờ 09</t>
  </si>
  <si>
    <t>Thửa 107, tờ 09</t>
  </si>
  <si>
    <t>Thửa 100, tờ 09</t>
  </si>
  <si>
    <t>Võ Đức Thiên</t>
  </si>
  <si>
    <t>Thửa 10. tờ 09</t>
  </si>
  <si>
    <t>Chung Xuân Kim Ngân</t>
  </si>
  <si>
    <t>Thửa 176, tờ 07</t>
  </si>
  <si>
    <t>Hồ Thị Loan</t>
  </si>
  <si>
    <t>Thửa 100, tờ 06</t>
  </si>
  <si>
    <t>Trần Văn Cường</t>
  </si>
  <si>
    <t>Thửa 17, tờ 07</t>
  </si>
  <si>
    <t>Đậu Thị Thân</t>
  </si>
  <si>
    <t>Thửa 39, tờ 10</t>
  </si>
  <si>
    <t>Đỗ Danh Nhiễu</t>
  </si>
  <si>
    <t>Thửa 06, tờ 18</t>
  </si>
  <si>
    <t>Thửa 04, tờ 18</t>
  </si>
  <si>
    <t>Lê Thị Lựu</t>
  </si>
  <si>
    <t>Thửa 126, tờ 09</t>
  </si>
  <si>
    <t>Trần Văn Chính</t>
  </si>
  <si>
    <t>Thửa 09, tờ 05</t>
  </si>
  <si>
    <t>Đặng Đình Qúy</t>
  </si>
  <si>
    <t>Thửa 31, tờ 04</t>
  </si>
  <si>
    <t>Lê Văn Đức</t>
  </si>
  <si>
    <t>Thửa 292, tờ 04</t>
  </si>
  <si>
    <t>Võ Văn Anh</t>
  </si>
  <si>
    <t>Thửa 225, tờ 10</t>
  </si>
  <si>
    <t>Thửa 226, tờ 10</t>
  </si>
  <si>
    <t>Võ Văn Ảnh</t>
  </si>
  <si>
    <t>Thửa 227, tờ 10</t>
  </si>
  <si>
    <t>Vũ Văn Khuyên</t>
  </si>
  <si>
    <t>Thửa 181, tờ 10</t>
  </si>
  <si>
    <t>Trần Hữu Minh</t>
  </si>
  <si>
    <t>Thửa 175, tờ 10</t>
  </si>
  <si>
    <t>Lê Thị Thơm</t>
  </si>
  <si>
    <t>Thửa 66, tờ 05</t>
  </si>
  <si>
    <t>Thửa 112, tờ 03</t>
  </si>
  <si>
    <t>Võ Văn Ánh</t>
  </si>
  <si>
    <t>Thửa 228, tờ 10</t>
  </si>
  <si>
    <t>Nguyễn Thị Ngôn</t>
  </si>
  <si>
    <t>Thửa 192, tờ 10</t>
  </si>
  <si>
    <t>Vũ Văn Sáng</t>
  </si>
  <si>
    <t>Thửa 253, tờ 04</t>
  </si>
  <si>
    <t>Thửa 02, tờ 09</t>
  </si>
  <si>
    <t>Dương Văn Thăng</t>
  </si>
  <si>
    <t>Thửa 248, tờ 09</t>
  </si>
  <si>
    <t>Thửa 24, tờ 09</t>
  </si>
  <si>
    <t>Bùi Văn Núi</t>
  </si>
  <si>
    <t>Thửa 278, tờ 17</t>
  </si>
  <si>
    <t>Thửa 279, tờ 17</t>
  </si>
  <si>
    <t>Đỗ Văn Dương</t>
  </si>
  <si>
    <t>Thửa 126, tờ 07</t>
  </si>
  <si>
    <t>Dương Văn Thủy</t>
  </si>
  <si>
    <t>Đinh Tấn Dũng</t>
  </si>
  <si>
    <t>Thửa 364, tờ 04</t>
  </si>
  <si>
    <t>Thửa 920, tờ 02</t>
  </si>
  <si>
    <t>Trần Hoàng Nam
(Nguyễn Thị Tấn)</t>
  </si>
  <si>
    <t>Nguyễn Văn Sót</t>
  </si>
  <si>
    <t>Thửa 431, tờ 04</t>
  </si>
  <si>
    <t>Từ Sơn Vũ</t>
  </si>
  <si>
    <t>Thửa 117, tờ 09</t>
  </si>
  <si>
    <t>Võ Văn Lượng</t>
  </si>
  <si>
    <t>Thửa 272, tờ 02</t>
  </si>
  <si>
    <t>Nguyễn Tấn Đạt</t>
  </si>
  <si>
    <t>Thửa 519, tờ 04</t>
  </si>
  <si>
    <t>Trần Văn Thu</t>
  </si>
  <si>
    <t>Thửa 141, tờ 04</t>
  </si>
  <si>
    <t>Bùi Văn Mạc</t>
  </si>
  <si>
    <t>Thửa 445, tờ 02</t>
  </si>
  <si>
    <t>Thửa 502, tờ 02</t>
  </si>
  <si>
    <t>Phạm Thị Lệ</t>
  </si>
  <si>
    <t>Thửa 95, tờ 02</t>
  </si>
  <si>
    <t>Lê Thị Điệp</t>
  </si>
  <si>
    <t>Thửa 77, tờ 05</t>
  </si>
  <si>
    <t>Phùng Thị Thu Hà</t>
  </si>
  <si>
    <t>Thửa 89, tờ 07</t>
  </si>
  <si>
    <t>Nguyễn Văn Thành</t>
  </si>
  <si>
    <t>Thửa 91, tờ 07</t>
  </si>
  <si>
    <t>Lê Thị Kim Nương</t>
  </si>
  <si>
    <t>Thửa 351, tờ 03</t>
  </si>
  <si>
    <t>Phạm Thế Vinh</t>
  </si>
  <si>
    <t>Thửa 626, tờ 04</t>
  </si>
  <si>
    <t>Thửa 184, tờ 07</t>
  </si>
  <si>
    <t>Thửa 185, tờ 07</t>
  </si>
  <si>
    <t>Thửa 187, tờ 07</t>
  </si>
  <si>
    <t>Thửa 188, tờ 07</t>
  </si>
  <si>
    <t>Thửa 189, tờ 07</t>
  </si>
  <si>
    <t>Thửa 190, tờ 07</t>
  </si>
  <si>
    <t>Ngô Thanh Hùng</t>
  </si>
  <si>
    <t>Thửa 10, tờ 05</t>
  </si>
  <si>
    <t>Thửa 407, tờ 02</t>
  </si>
  <si>
    <t>Nguyễn Thị Tuyết Hạnh</t>
  </si>
  <si>
    <t>Thửa 350, tờ 02</t>
  </si>
  <si>
    <t>Nguyễn Văn Nốp</t>
  </si>
  <si>
    <t>Thửa 538, tờ 02</t>
  </si>
  <si>
    <t>Hồ Thị Thanh Chung</t>
  </si>
  <si>
    <t>Thửa 305, tờ 02</t>
  </si>
  <si>
    <t>Võ Trung Phổ</t>
  </si>
  <si>
    <t>Thửa 30, tờ 07</t>
  </si>
  <si>
    <t>Nguyễn Văn Đạt</t>
  </si>
  <si>
    <t>Thửa 174, tờ 03</t>
  </si>
  <si>
    <t>Hồ Hữu Nghĩa</t>
  </si>
  <si>
    <t>Thửa 81, tờ 09</t>
  </si>
  <si>
    <t>Trần Thị Hoàn</t>
  </si>
  <si>
    <t>Thửa 95, tờ 07</t>
  </si>
  <si>
    <t>Dương Văn Ánh</t>
  </si>
  <si>
    <t>Thửa 179, tờ 09</t>
  </si>
  <si>
    <t>Trần Văn Đồng</t>
  </si>
  <si>
    <t>Thửa 665, tờ 02</t>
  </si>
  <si>
    <t>Trần Thị Xuân</t>
  </si>
  <si>
    <t>Thửa 548, tờ 04</t>
  </si>
  <si>
    <t>Lê Đình Lập</t>
  </si>
  <si>
    <t>Thửa 208, tờ 10</t>
  </si>
  <si>
    <t>Nguyễn Văn Tuyến</t>
  </si>
  <si>
    <t>Thửa 51, tờ 09</t>
  </si>
  <si>
    <t>Nguyễn Thị Lý</t>
  </si>
  <si>
    <t>Thửa 157, tờ 10</t>
  </si>
  <si>
    <t>Dương Kim Oanh</t>
  </si>
  <si>
    <t>Vương Thanh Hải</t>
  </si>
  <si>
    <t>Thửa 789, tờ 02</t>
  </si>
  <si>
    <t>Thửa 234, tờ 03</t>
  </si>
  <si>
    <t>Nguyễn Thị Cương</t>
  </si>
  <si>
    <t>Thân Văn Lập</t>
  </si>
  <si>
    <t>Thửa 154, tờ 03</t>
  </si>
  <si>
    <t>Thửa 65, tờ 03</t>
  </si>
  <si>
    <t>Phạm Thị Thanh Huyền</t>
  </si>
  <si>
    <t>Thửa 244, tờ 03</t>
  </si>
  <si>
    <t>Thửa 73, tờ 17</t>
  </si>
  <si>
    <t>Vũ Văn Theo</t>
  </si>
  <si>
    <t>Thửa 42, tờ 07</t>
  </si>
  <si>
    <t>Nguyễn Hoàng Bé</t>
  </si>
  <si>
    <t>Lương Trọng Dương</t>
  </si>
  <si>
    <t>Thửa 319, tờ 07</t>
  </si>
  <si>
    <t>Thửa 41, tờ 10</t>
  </si>
  <si>
    <t>Nguyễn Thanh Loan</t>
  </si>
  <si>
    <t>Thửa 240, tờ 03</t>
  </si>
  <si>
    <t>Phan Văn Nhị</t>
  </si>
  <si>
    <t>Thửa 482, tờ 04</t>
  </si>
  <si>
    <t>Thửa 22, tờ 18</t>
  </si>
  <si>
    <t>Đào Thị Vinh</t>
  </si>
  <si>
    <t>Thửa 35, tờ 25</t>
  </si>
  <si>
    <t>Mai Văn Tân</t>
  </si>
  <si>
    <t>Thửa 252, tờ 04</t>
  </si>
  <si>
    <t>Trần Quốc Việt</t>
  </si>
  <si>
    <t>Thửa 342, tờ 04</t>
  </si>
  <si>
    <t>Đậu Đức Tương</t>
  </si>
  <si>
    <t>Thửa 142, tờ 04</t>
  </si>
  <si>
    <t>Trương Văn Dương</t>
  </si>
  <si>
    <t>Thửa 623, tờ 04</t>
  </si>
  <si>
    <t>Thửa 350, tờ 03</t>
  </si>
  <si>
    <t>Đã chuyển 500m²</t>
  </si>
  <si>
    <t>Thửa 670, tờ 04</t>
  </si>
  <si>
    <t>Thửa 671, tờ 04</t>
  </si>
  <si>
    <t>Thửa 272, tờ 09</t>
  </si>
  <si>
    <t>Thửa 267, tờ 09</t>
  </si>
  <si>
    <t>Lưu Thanh Lộc</t>
  </si>
  <si>
    <t>Thửa 63, tờ 03</t>
  </si>
  <si>
    <t>Điểu Nam</t>
  </si>
  <si>
    <t>Thửa 130, tờ 09</t>
  </si>
  <si>
    <t>Võ Văn Điểu</t>
  </si>
  <si>
    <t>Thửa 704, tờ 02</t>
  </si>
  <si>
    <t>Phạm Thắng</t>
  </si>
  <si>
    <t>Thửa 109, tờ 10</t>
  </si>
  <si>
    <t>Thửa 604, tờ 04</t>
  </si>
  <si>
    <t>Thửa 605, tờ 04</t>
  </si>
  <si>
    <t>Lê Hoàng Phi</t>
  </si>
  <si>
    <t>Thửa 352, tờ 04</t>
  </si>
  <si>
    <t>Vũ Thị Nhu</t>
  </si>
  <si>
    <t>Thửa 52, tờ 03</t>
  </si>
  <si>
    <t>Trương Vũ Anh Khoa</t>
  </si>
  <si>
    <t>Thửa 129, tờ 09</t>
  </si>
  <si>
    <t>Thửa 213, tờ 10</t>
  </si>
  <si>
    <t>Nguyễn Hòa Thuận</t>
  </si>
  <si>
    <t>Thửa 228, tờ 24</t>
  </si>
  <si>
    <t>Thửa 108, tờ 18</t>
  </si>
  <si>
    <t>Thửa 96, tờ 18</t>
  </si>
  <si>
    <t>Nguyễn Thị Hợi</t>
  </si>
  <si>
    <t>Thửa 43, tờ 09</t>
  </si>
  <si>
    <t>Đào Thị Ngọc Hạnh</t>
  </si>
  <si>
    <t>Thửa 676, tờ 04</t>
  </si>
  <si>
    <t>Nguyễn Thị Thu Hiền</t>
  </si>
  <si>
    <t>Thửa 78, tờ 25</t>
  </si>
  <si>
    <t>Cù Thị Thúy Nga</t>
  </si>
  <si>
    <t>Thửa 1090, tờ 02</t>
  </si>
  <si>
    <t>Thửa 1088, tờ 02</t>
  </si>
  <si>
    <t>Thửa 1089, tờ 02</t>
  </si>
  <si>
    <t>Thửa 1091, tờ 02</t>
  </si>
  <si>
    <t>Thửa 1092, tờ 02</t>
  </si>
  <si>
    <t>Vương Công Tiến</t>
  </si>
  <si>
    <t>Thửa 616, tờ 02</t>
  </si>
  <si>
    <t>Thửa 384, tờ 04</t>
  </si>
  <si>
    <t>Đỗ Thị Mức</t>
  </si>
  <si>
    <t>Thửa 202, tờ 04</t>
  </si>
  <si>
    <t>Lưu Thị Thu Bình</t>
  </si>
  <si>
    <t>Thửa 1026, tờ 02</t>
  </si>
  <si>
    <t>Thửa 616, tờ 04</t>
  </si>
  <si>
    <t>Nguyễn Thọ Tiến</t>
  </si>
  <si>
    <t>Thửa 835, tờ 054</t>
  </si>
  <si>
    <t>Mai Thị Tuyết</t>
  </si>
  <si>
    <t>Thửa 80, tờ 09</t>
  </si>
  <si>
    <t>Mai Xuân Tráng</t>
  </si>
  <si>
    <t>Thửa 69, tờ 09</t>
  </si>
  <si>
    <t>Đã chuyển 1.100m²</t>
  </si>
  <si>
    <t>Thửa 805, tờ 02</t>
  </si>
  <si>
    <t>Thị Đâng</t>
  </si>
  <si>
    <t>Thửa 266, tờ 02</t>
  </si>
  <si>
    <t>Lê Thị Tuyết</t>
  </si>
  <si>
    <t>Thửa 633, tờ 04</t>
  </si>
  <si>
    <t>Lê Hoàng Dân</t>
  </si>
  <si>
    <t>Thửa 179, tờ 04</t>
  </si>
  <si>
    <t>Võ Thị Hòa</t>
  </si>
  <si>
    <t>Thửa 209, tờ 10</t>
  </si>
  <si>
    <t>Tưởng Minh Hóa</t>
  </si>
  <si>
    <t>Thửa 97, tờ 4810-2020</t>
  </si>
  <si>
    <t>Nguyễn Thị Mão</t>
  </si>
  <si>
    <t>Thửa 187, tờ 03</t>
  </si>
  <si>
    <t>Trần Thanh Duy</t>
  </si>
  <si>
    <t>Thửa 216, tờ 10</t>
  </si>
  <si>
    <t>Ngô Xuân Cần</t>
  </si>
  <si>
    <t>Thửa 148, tờ 07</t>
  </si>
  <si>
    <t>Nguyễn Thị Tấn</t>
  </si>
  <si>
    <t>Thửa 1118, tờ 02</t>
  </si>
  <si>
    <t>Thửa 667, tờ 04</t>
  </si>
  <si>
    <t>Thửa 1131, tờ 02</t>
  </si>
  <si>
    <t>Nguyễn Thị Mỹ</t>
  </si>
  <si>
    <t>Thửa 76, tờ 5</t>
  </si>
  <si>
    <t>Nguyễn Đình Hà
(Võ Văn Thành)</t>
  </si>
  <si>
    <t>Thửa 223, tờ 10</t>
  </si>
  <si>
    <t>Nguyễn Ngọc Sơn</t>
  </si>
  <si>
    <t>Thửa 1029, tờ 02</t>
  </si>
  <si>
    <t>Thửa 1030, tờ 02</t>
  </si>
  <si>
    <t>Thửa 1031, tờ 02</t>
  </si>
  <si>
    <t>Thửa 1117, tờ 02</t>
  </si>
  <si>
    <t>Phạm Thị Vân</t>
  </si>
  <si>
    <t>Thửa 156, tờ 10</t>
  </si>
  <si>
    <t>Tống Thạch Trường Thiên</t>
  </si>
  <si>
    <t>Thửa 641, tờ 04</t>
  </si>
  <si>
    <t>Thửa 258, tờ 03</t>
  </si>
  <si>
    <t>Cao Văn Hải</t>
  </si>
  <si>
    <t>Thửa 1003, tờ 02</t>
  </si>
  <si>
    <t>Nguyễn Tâm</t>
  </si>
  <si>
    <t>Thửa 1001, tờ 02</t>
  </si>
  <si>
    <t>Lê Thị Bằng</t>
  </si>
  <si>
    <t>Thửa 1007, tờ 02</t>
  </si>
  <si>
    <t>Thửa 1006, tờ 02</t>
  </si>
  <si>
    <t>Thửa 1008, tờ 02</t>
  </si>
  <si>
    <t>Thửa 122, tờ 4661-2021</t>
  </si>
  <si>
    <t>Nguyễn Đức Việt</t>
  </si>
  <si>
    <t>Thửa 110, tờ 09</t>
  </si>
  <si>
    <t>Lê Thị Mai Hương</t>
  </si>
  <si>
    <t>Thửa 716, tờ 04</t>
  </si>
  <si>
    <t>Trần Văn Nhái</t>
  </si>
  <si>
    <t>Thửa 327, tờ 04</t>
  </si>
  <si>
    <t>Bùi Văn Ninh</t>
  </si>
  <si>
    <t>Thửa 19, tờ 25</t>
  </si>
  <si>
    <t>Bùi Đức Thanh</t>
  </si>
  <si>
    <t>Thửa 5, tờ 17</t>
  </si>
  <si>
    <t>Bùi Văn Lâm</t>
  </si>
  <si>
    <t>Thửa 3, tờ 17</t>
  </si>
  <si>
    <t>Bùi Văn Phong</t>
  </si>
  <si>
    <t>Thửa 52, tờ 25</t>
  </si>
  <si>
    <t>Thửa 28, tờ 25</t>
  </si>
  <si>
    <t>Phạm Quang Minh</t>
  </si>
  <si>
    <t>Thửa 621, tờ 4</t>
  </si>
  <si>
    <t>Vũ Văn Hiệp</t>
  </si>
  <si>
    <t>Thửa 236, tờ 10</t>
  </si>
  <si>
    <t>Thửa 79, tờ 7</t>
  </si>
  <si>
    <t>Điểu Em</t>
  </si>
  <si>
    <t>Thửa 417, tờ 2</t>
  </si>
  <si>
    <t>Thửa 1020, tờ 2</t>
  </si>
  <si>
    <t>Đoàn Văn Thắng</t>
  </si>
  <si>
    <t>Thửa 363, tờ 2</t>
  </si>
  <si>
    <t>Phạm Thị Thụy</t>
  </si>
  <si>
    <t>Thửa 82, tờ 7</t>
  </si>
  <si>
    <t>Lâm Tiết Hùng</t>
  </si>
  <si>
    <t>Thửa 102, tờ 18</t>
  </si>
  <si>
    <t>Thửa 676, tờ 4</t>
  </si>
  <si>
    <t>Vũ Thị Lan</t>
  </si>
  <si>
    <t>Thửa 641, tờ 4</t>
  </si>
  <si>
    <t>Hoàng Thị Ly</t>
  </si>
  <si>
    <t>Thửa 910, tờ 2</t>
  </si>
  <si>
    <t>Lê Thị Bích Đoàn</t>
  </si>
  <si>
    <t>Thửa 1, tờ 5</t>
  </si>
  <si>
    <t>Thửa 693, tờ 4</t>
  </si>
  <si>
    <t>Thửa 514, tờ 4</t>
  </si>
  <si>
    <t>Thị Dênh</t>
  </si>
  <si>
    <t>Thửa 412, tờ 02</t>
  </si>
  <si>
    <t>Nguyễn Phương</t>
  </si>
  <si>
    <t>Thửa 673, tờ 04</t>
  </si>
  <si>
    <t>Thửa 975, tờ 02</t>
  </si>
  <si>
    <t>Lê Thị Hạnh</t>
  </si>
  <si>
    <t>Thửa 22, tờ 4</t>
  </si>
  <si>
    <t>Trần Quốc Thanh</t>
  </si>
  <si>
    <t>Thửa 1087, tờ 02</t>
  </si>
  <si>
    <t>Thửa 1085, tờ 02</t>
  </si>
  <si>
    <t>Thửa 82, tờ 07</t>
  </si>
  <si>
    <t>Điểu Nanh</t>
  </si>
  <si>
    <t>Thửa 201, tờ 02</t>
  </si>
  <si>
    <t>Vũ Thị Phượng</t>
  </si>
  <si>
    <t>Thửa 83, tờ 04</t>
  </si>
  <si>
    <t>Thửa 133, tờ 04</t>
  </si>
  <si>
    <t>Thửa 674, tờ 04</t>
  </si>
  <si>
    <t>Thửa 1002, tờ 02</t>
  </si>
  <si>
    <t>Lê Thanh Tuấn</t>
  </si>
  <si>
    <t>Thửa 22, tờ 04</t>
  </si>
  <si>
    <t>Phạm Thị Hiếu</t>
  </si>
  <si>
    <t>Thửa 504, tờ 04</t>
  </si>
  <si>
    <t>Lê Văn Thức</t>
  </si>
  <si>
    <t>Thửa 501, tờ 04</t>
  </si>
  <si>
    <t>Trần Văn Kiệt</t>
  </si>
  <si>
    <t>Thửa 625, tờ 04</t>
  </si>
  <si>
    <t>Hồ Xuân Phương</t>
  </si>
  <si>
    <t>Thửa 1128, tờ 02</t>
  </si>
  <si>
    <t>Phạm Ngọc Thắng</t>
  </si>
  <si>
    <t>Thửa 1127, tờ 02</t>
  </si>
  <si>
    <t>Trần Thị Ngọc Diễm</t>
  </si>
  <si>
    <t>Thửa 1129, tờ 02</t>
  </si>
  <si>
    <t>Lê Văn Minh</t>
  </si>
  <si>
    <t>Thửa 666, tờ 02</t>
  </si>
  <si>
    <t>Điểu Sóc</t>
  </si>
  <si>
    <t>Thửa 12, tờ 3</t>
  </si>
  <si>
    <t>Trương Quang Định</t>
  </si>
  <si>
    <t>Thửa 17, tờ 3</t>
  </si>
  <si>
    <t>Nguyễn Văn Lâm</t>
  </si>
  <si>
    <t>Thửa 11, tờ 3</t>
  </si>
  <si>
    <t>Trương Anh Phương</t>
  </si>
  <si>
    <t>Thửa 90, tờ 4374-2020</t>
  </si>
  <si>
    <t>III</t>
  </si>
  <si>
    <t>Thửa 438, tờ 22</t>
  </si>
  <si>
    <t>Huỳnh Văn Sân</t>
  </si>
  <si>
    <t>Thửa 115, tờ 19</t>
  </si>
  <si>
    <t>Hồ Văn Tịnh</t>
  </si>
  <si>
    <t>Thửa 8, tờ 36</t>
  </si>
  <si>
    <t>Đinh Thế Chung</t>
  </si>
  <si>
    <t>Thửa 402, tờ 22</t>
  </si>
  <si>
    <t>Trịnh Minh Hoàn</t>
  </si>
  <si>
    <t>Thửa 06, tờ 21</t>
  </si>
  <si>
    <t>Hồ Tuyết</t>
  </si>
  <si>
    <t>Thửa 30, tờ 21</t>
  </si>
  <si>
    <t>Hoàng Thị Kim Oanh</t>
  </si>
  <si>
    <t>Thửa 88, tờ 21</t>
  </si>
  <si>
    <t>Thửa 70, tờ 21</t>
  </si>
  <si>
    <t>Nguyễn Văn Hải Dương</t>
  </si>
  <si>
    <t>Thửa 133, tờ 25</t>
  </si>
  <si>
    <t>Nguyễn Văn Hải Long</t>
  </si>
  <si>
    <t>Thửa 112, tờ 25</t>
  </si>
  <si>
    <t>Hồ Ngọc Hà</t>
  </si>
  <si>
    <t>Thửa 133, tờ 18</t>
  </si>
  <si>
    <t>Lai Thị Thanh Thuý</t>
  </si>
  <si>
    <t>Thửa 68, tờ 23</t>
  </si>
  <si>
    <t>Lai Văn Quang</t>
  </si>
  <si>
    <t>Thửa 71, tờ 23</t>
  </si>
  <si>
    <t>Lai Thị Thanh Thúy</t>
  </si>
  <si>
    <t>Thửa 65, tờ 23</t>
  </si>
  <si>
    <t>Thửa 69, tờ 23</t>
  </si>
  <si>
    <t>Tô Thị Hường</t>
  </si>
  <si>
    <t>Thửa 52, tờ 30</t>
  </si>
  <si>
    <t>Nguyễn Thị Thanh Tâm</t>
  </si>
  <si>
    <t>Thửa 15, tờ 33</t>
  </si>
  <si>
    <t>Nguyễn Bá Hải</t>
  </si>
  <si>
    <t>Thửa 231, tờ 20</t>
  </si>
  <si>
    <t>Nguyễn Duy Linh</t>
  </si>
  <si>
    <t>Thửa 22, tờ 21</t>
  </si>
  <si>
    <t xml:space="preserve">Trương Văn Hón </t>
  </si>
  <si>
    <t>Thửa 14, tờ 16</t>
  </si>
  <si>
    <t>Trương Đức Dũng</t>
  </si>
  <si>
    <t>Thửa 148, tờ 21</t>
  </si>
  <si>
    <t>Nguyễn Mạnh Hùng</t>
  </si>
  <si>
    <t>Thửa 50, tờ 17</t>
  </si>
  <si>
    <t>Đới Thị Kim Doan</t>
  </si>
  <si>
    <t>Thửa 15, tờ 17</t>
  </si>
  <si>
    <t>Lê Danh Sơn</t>
  </si>
  <si>
    <t>Thửa 445, tờ 22</t>
  </si>
  <si>
    <t>Phan Huy Long</t>
  </si>
  <si>
    <t>Thửa 97, tờ 22</t>
  </si>
  <si>
    <t>Thửa 218, tờ 22</t>
  </si>
  <si>
    <t>Hoàng Thị Kim Liên</t>
  </si>
  <si>
    <t>Thửa 76, tờ 19</t>
  </si>
  <si>
    <t>Ngô Văn Phi</t>
  </si>
  <si>
    <t>Thửa 215, tờ 20</t>
  </si>
  <si>
    <t>Hồ Phúc</t>
  </si>
  <si>
    <t>Thửa 258, tờ 22</t>
  </si>
  <si>
    <t>Hồ Văn Công</t>
  </si>
  <si>
    <t>Thửa 80, tờ 24</t>
  </si>
  <si>
    <t>Nguyễn Văn Đức</t>
  </si>
  <si>
    <t>Thửa 149, tờ 21</t>
  </si>
  <si>
    <t>Thửa 83, tờ 21</t>
  </si>
  <si>
    <t>Hồ Viết Xuân</t>
  </si>
  <si>
    <t>Thửa 38, tờ 24</t>
  </si>
  <si>
    <t>Phùng Thị Thuỷ</t>
  </si>
  <si>
    <t>Thửa 11, tờ 23</t>
  </si>
  <si>
    <t>Hồ Thị Bích</t>
  </si>
  <si>
    <t>Thửa 51, tờ 30</t>
  </si>
  <si>
    <t>Nguyễn Hữu Tài</t>
  </si>
  <si>
    <t>Thửa 13, tờ 23</t>
  </si>
  <si>
    <t>Thửa 08, tờ 23</t>
  </si>
  <si>
    <t>Trần Thị Điểu</t>
  </si>
  <si>
    <t>Thửa 123, tờ 22</t>
  </si>
  <si>
    <t>Võ Đình Đề</t>
  </si>
  <si>
    <t>Thửa 44, tờ 28</t>
  </si>
  <si>
    <t>Dương Truyền Thống</t>
  </si>
  <si>
    <t>Thửa 22, tờ 16</t>
  </si>
  <si>
    <t>Phạm Thị Hưởng</t>
  </si>
  <si>
    <t>Thửa 170, tờ 22</t>
  </si>
  <si>
    <t>Hồ Văn Thanh</t>
  </si>
  <si>
    <t>Thửa 64, tờ 21</t>
  </si>
  <si>
    <t>Thửa 786, 487, tờ 22</t>
  </si>
  <si>
    <t>Hồ Thị Thông</t>
  </si>
  <si>
    <t>Thửa 21, tờ 28</t>
  </si>
  <si>
    <t>Trần Viết Nam</t>
  </si>
  <si>
    <t>Nguyễn Văn Vũ</t>
  </si>
  <si>
    <t>Thửa 25, tờ 24</t>
  </si>
  <si>
    <t>Hồ Hữu Phát</t>
  </si>
  <si>
    <t>Hồ Bá Trung</t>
  </si>
  <si>
    <t>Thửa 105, tờ 18</t>
  </si>
  <si>
    <t>Hồ Văn Canh</t>
  </si>
  <si>
    <t>Thửa 95, tờ 18</t>
  </si>
  <si>
    <t>Trương Văn Thêm</t>
  </si>
  <si>
    <t>Thửa 90, tờ 18</t>
  </si>
  <si>
    <t>Hồ Thị Mai</t>
  </si>
  <si>
    <t>Thửa 39, tờ 33</t>
  </si>
  <si>
    <t>Hồ Thị Hiền</t>
  </si>
  <si>
    <t>Thửa 38, tờ 33</t>
  </si>
  <si>
    <t>Tô Văn Sửu</t>
  </si>
  <si>
    <t>Thửa 27, tờ 33</t>
  </si>
  <si>
    <t>Hồ Bá Thủy</t>
  </si>
  <si>
    <t>Thửa 20, tờ 34</t>
  </si>
  <si>
    <t>Nguyễn Thị Ngọc</t>
  </si>
  <si>
    <t>Thửa 63, tờ 25</t>
  </si>
  <si>
    <t>Lại Văn Hùng</t>
  </si>
  <si>
    <t>Thửa 134, tờ 19</t>
  </si>
  <si>
    <t>Phạm Văn Thuỷ</t>
  </si>
  <si>
    <t>Thửa 59, tờ 16</t>
  </si>
  <si>
    <t>Thửa 152, tờ 21</t>
  </si>
  <si>
    <t>Lê Thị Ngọc</t>
  </si>
  <si>
    <t>Thửa 81, tờ 14</t>
  </si>
  <si>
    <t>Trịnh Thị Công</t>
  </si>
  <si>
    <t>Thửa 80, tờ 14</t>
  </si>
  <si>
    <t>Nguyễn Thị Hanh</t>
  </si>
  <si>
    <t>Thửa 159, tờ 20</t>
  </si>
  <si>
    <t>Trần Châu Quốc</t>
  </si>
  <si>
    <t>Thửa 321, tờ 22</t>
  </si>
  <si>
    <t xml:space="preserve">Võ Ngọc Thịnh </t>
  </si>
  <si>
    <t>Thửa 125, tờ 21</t>
  </si>
  <si>
    <t>Hồ Sỹ Truật</t>
  </si>
  <si>
    <t>Thửa 19, tờ 18</t>
  </si>
  <si>
    <t>Đinh Trọng Giáo</t>
  </si>
  <si>
    <t>Thửa 59, tờ 22</t>
  </si>
  <si>
    <t>Hoàng Văn Sáu</t>
  </si>
  <si>
    <t>Thửa 122, tờ 22</t>
  </si>
  <si>
    <t>Điểu Hàn Phong Vân</t>
  </si>
  <si>
    <t>Thửa 36, tờ 24</t>
  </si>
  <si>
    <t>Dương Văn Độ</t>
  </si>
  <si>
    <t>Thửa 226, tờ 22</t>
  </si>
  <si>
    <t>Đỗ Văn Định</t>
  </si>
  <si>
    <t>Thửa 15, tờ 19</t>
  </si>
  <si>
    <t>Trần Bích Nga</t>
  </si>
  <si>
    <t>Thửa 244, tờ 20</t>
  </si>
  <si>
    <t>Trần Văn Trầm</t>
  </si>
  <si>
    <t>Thửa 153, tờ 21</t>
  </si>
  <si>
    <t>Thửa 155, tờ 21</t>
  </si>
  <si>
    <t>Thửa 157, tờ 21</t>
  </si>
  <si>
    <t>Thửa 158, tờ 21</t>
  </si>
  <si>
    <t>Thửa 159, tờ 21</t>
  </si>
  <si>
    <t>Thửa 139, tờ 22</t>
  </si>
  <si>
    <t>Thửa 101, tờ 18</t>
  </si>
  <si>
    <t>Mai Văn Vị</t>
  </si>
  <si>
    <t>Thửa 130, tờ 20</t>
  </si>
  <si>
    <t>Lê Thị Bắc</t>
  </si>
  <si>
    <t>Thửa 8, tờ 29</t>
  </si>
  <si>
    <t>Trương Thị Đoàn</t>
  </si>
  <si>
    <t>Thửa 48, tờ 17</t>
  </si>
  <si>
    <t>Nguyễn Chí Thanh</t>
  </si>
  <si>
    <t>Thửa 89, tờ 22</t>
  </si>
  <si>
    <t>Hồ Hữu Hùng</t>
  </si>
  <si>
    <t>Thửa 10, tờ 28</t>
  </si>
  <si>
    <t>Hồ Thế Doãn</t>
  </si>
  <si>
    <t>Thửa 12, tờ 29</t>
  </si>
  <si>
    <t>Bùi Xuân Kiên</t>
  </si>
  <si>
    <t>Thửa 93, tờ 21</t>
  </si>
  <si>
    <t>Lê Thị Ngụ</t>
  </si>
  <si>
    <t>Thửa 43, tờ 20</t>
  </si>
  <si>
    <t>Hồ Văn Diên</t>
  </si>
  <si>
    <t>Thửa 33, tờ 33</t>
  </si>
  <si>
    <t>Bùi Xuân Cương</t>
  </si>
  <si>
    <t>Thửa 8, tờ 21</t>
  </si>
  <si>
    <t>Thửa 56, tờ 19</t>
  </si>
  <si>
    <t>Bùi Thị Vân</t>
  </si>
  <si>
    <t>Thửa 204, tờ 24</t>
  </si>
  <si>
    <t>Hồ Kim Thắng</t>
  </si>
  <si>
    <t>Thửa 21, tờ 18</t>
  </si>
  <si>
    <t>Trần Công Phước</t>
  </si>
  <si>
    <t>Thửa 108, tờ 25</t>
  </si>
  <si>
    <t>Trương Đắc Quyền</t>
  </si>
  <si>
    <t>Thửa 60, tờ 17</t>
  </si>
  <si>
    <t>Hồ Thị Hạnh</t>
  </si>
  <si>
    <t>Thửa 22, tờ 17</t>
  </si>
  <si>
    <t>Vũ Văn Thạo</t>
  </si>
  <si>
    <t>Thửa 10, tờ 22</t>
  </si>
  <si>
    <t>Trần Châu Long</t>
  </si>
  <si>
    <t>Thửa 302, tờ 22</t>
  </si>
  <si>
    <t>Đinh Trọng Toan</t>
  </si>
  <si>
    <t>Thửa 6, tờ 32</t>
  </si>
  <si>
    <t>Thửa 8, tờ 32</t>
  </si>
  <si>
    <t>Nguyễn Tiến Mạnh</t>
  </si>
  <si>
    <t>Thửa 301, tờ 22</t>
  </si>
  <si>
    <t>Hồ Văn Việt</t>
  </si>
  <si>
    <t>Thửa 397, tờ 22</t>
  </si>
  <si>
    <t>Hồ Văn Chung</t>
  </si>
  <si>
    <t>Thửa 35, tờ 28</t>
  </si>
  <si>
    <t>Hồ Hải Lợi</t>
  </si>
  <si>
    <t>Thửa 82, tờ 18</t>
  </si>
  <si>
    <t>Trần Văn Thạch</t>
  </si>
  <si>
    <t>Thửa 73, tờ 19</t>
  </si>
  <si>
    <t>Thửa 28, tờ 24</t>
  </si>
  <si>
    <t>Hồ Thị Hương</t>
  </si>
  <si>
    <t>Thửa 28, tờ 31</t>
  </si>
  <si>
    <t>Hồ Văn Tuấn</t>
  </si>
  <si>
    <t>Thửa 09, tờ 1298-2019</t>
  </si>
  <si>
    <t xml:space="preserve">Phan Văn Toàn 
</t>
  </si>
  <si>
    <t>Thửa 05, tờ 28</t>
  </si>
  <si>
    <t>Nguyễn Văn Bảy</t>
  </si>
  <si>
    <t>Thửa 40, tờ 28</t>
  </si>
  <si>
    <t>Nguyễn Thị Thanh</t>
  </si>
  <si>
    <t>Thửa 24, tờ 31</t>
  </si>
  <si>
    <t>Phạm Chí Hoài</t>
  </si>
  <si>
    <t>Trương Văn Sơn</t>
  </si>
  <si>
    <t>Thửa 46, tờ 21</t>
  </si>
  <si>
    <t>Nguyễn Thị Minh Huệ</t>
  </si>
  <si>
    <t>Thửa 88, tờ 25</t>
  </si>
  <si>
    <t>Thửa 150, tờ 24</t>
  </si>
  <si>
    <t>Nguyễn Đình Hòa</t>
  </si>
  <si>
    <t>Thửa 06, tờ 28</t>
  </si>
  <si>
    <t>Nguyễn Văn Bổng</t>
  </si>
  <si>
    <t>Thửa 136, tờ 19</t>
  </si>
  <si>
    <t>Hồ Khắc Việt</t>
  </si>
  <si>
    <t>Thửa 83, tờ 20</t>
  </si>
  <si>
    <t>Thửa 7, tờ 28</t>
  </si>
  <si>
    <t>Hồ Minh Thanh</t>
  </si>
  <si>
    <t>Thửa 72, tờ 14</t>
  </si>
  <si>
    <t>Trương Đức Lâm</t>
  </si>
  <si>
    <t>Thửa 74, tờ 18</t>
  </si>
  <si>
    <t>Thửa 25, tờ 31</t>
  </si>
  <si>
    <t>Thửa 390, tờ 22</t>
  </si>
  <si>
    <t>Hồ Khắc Quảng</t>
  </si>
  <si>
    <t>Thửa 26, tờ 18</t>
  </si>
  <si>
    <t>Nguyễn Văn Trinh</t>
  </si>
  <si>
    <t>Thửa 387, tờ 17</t>
  </si>
  <si>
    <t>Hồ Sư Phan</t>
  </si>
  <si>
    <t>Thửa 3, tờ 18</t>
  </si>
  <si>
    <t>Thửa 64, tờ 16</t>
  </si>
  <si>
    <t>Phùng Thị Hà</t>
  </si>
  <si>
    <t>Thửa 63, tờ 19</t>
  </si>
  <si>
    <t>Thửa 73, tờ 14</t>
  </si>
  <si>
    <t>Lê Thị Trang</t>
  </si>
  <si>
    <t>Thửa 119, tờ 2020</t>
  </si>
  <si>
    <t>Hồ Thị Khon</t>
  </si>
  <si>
    <t>Thửa 2, tờ 36</t>
  </si>
  <si>
    <t>Ngô Văn Thi</t>
  </si>
  <si>
    <t>Thửa 31, tờ 14</t>
  </si>
  <si>
    <t>Võ Quốc Hiền</t>
  </si>
  <si>
    <t>Thửa 75, tờ 21</t>
  </si>
  <si>
    <t>Bùi Văn Đối</t>
  </si>
  <si>
    <t>Thửa 3, tờ 33</t>
  </si>
  <si>
    <t>Phạm Hữu Tín</t>
  </si>
  <si>
    <t>Thửa 19, tờ 14</t>
  </si>
  <si>
    <t>Lê Trọng Tuấn</t>
  </si>
  <si>
    <t>Thửa 60, tờ 14</t>
  </si>
  <si>
    <t>Thửa 24, tờ 24</t>
  </si>
  <si>
    <t>Lê Đình Nam</t>
  </si>
  <si>
    <t>Thửa 69, tờ 20</t>
  </si>
  <si>
    <t>Phạm Văn Tuấn</t>
  </si>
  <si>
    <t>Thửa 42, tờ 20</t>
  </si>
  <si>
    <t>Nguyễn Thị Thanh Trang</t>
  </si>
  <si>
    <t>Thửa 145, tờ 19</t>
  </si>
  <si>
    <t>Nguyễn Thị Tài</t>
  </si>
  <si>
    <t>Thửa 47, tờ 15</t>
  </si>
  <si>
    <t>Hồ Vinh Dự</t>
  </si>
  <si>
    <t>Thửa 91, tờ 18</t>
  </si>
  <si>
    <t>Lương Hoàng Vũ</t>
  </si>
  <si>
    <t>Thửa 13, tờ 16</t>
  </si>
  <si>
    <t>Hồ Văn Huệ</t>
  </si>
  <si>
    <t>Thửa 40, tờ 21</t>
  </si>
  <si>
    <t>Trần Công Đại</t>
  </si>
  <si>
    <t>Nguyễn Đình  Cường</t>
  </si>
  <si>
    <t>Thửa 86, tờ 20</t>
  </si>
  <si>
    <t>Lê Viết Hạnh</t>
  </si>
  <si>
    <t>Thửa 10, tờ 36</t>
  </si>
  <si>
    <t>Thửa 11, tờ 36</t>
  </si>
  <si>
    <t>Thửa 12, tờ 36</t>
  </si>
  <si>
    <t>Thửa 13, tờ 36</t>
  </si>
  <si>
    <t>Thửa 14, tờ 36</t>
  </si>
  <si>
    <t xml:space="preserve">Nguyễn Hữu Nghị </t>
  </si>
  <si>
    <t>Thửa 133, tờ 21</t>
  </si>
  <si>
    <t>Thửa 36, tờ 14</t>
  </si>
  <si>
    <t>Thửa 181, tờ 21</t>
  </si>
  <si>
    <t>Đinh Trọng Cương</t>
  </si>
  <si>
    <t>Thửa 04, tờ 29</t>
  </si>
  <si>
    <t>Phạm Văn Bình</t>
  </si>
  <si>
    <t>Thửa 212, tờ 24</t>
  </si>
  <si>
    <t>Thửa 11, tờ 33</t>
  </si>
  <si>
    <t>Hồ Thị Liên</t>
  </si>
  <si>
    <t>Thửa 20, tờ 32</t>
  </si>
  <si>
    <t>Hồ Quang Toản</t>
  </si>
  <si>
    <t>Thửa 21, tờ 32</t>
  </si>
  <si>
    <t>Bùi Văn Bàn</t>
  </si>
  <si>
    <t>Thửa 84, tờ 18</t>
  </si>
  <si>
    <t>Hồ Văn Suy</t>
  </si>
  <si>
    <t>Thửa 94, tờ 18</t>
  </si>
  <si>
    <t>Trần Sô</t>
  </si>
  <si>
    <t>Thửa 09, tờ 19</t>
  </si>
  <si>
    <t>Nguyễn Khắc Đại</t>
  </si>
  <si>
    <t>Thửa 21, tờ 22</t>
  </si>
  <si>
    <t>Đã chuyển 100m²</t>
  </si>
  <si>
    <t>Bùi Đình Phán</t>
  </si>
  <si>
    <t>Thửa 318, tờ 22</t>
  </si>
  <si>
    <t>Hồ Thị Thành</t>
  </si>
  <si>
    <t>Thửa 180, tờ 21</t>
  </si>
  <si>
    <t>Đã chuyển 900m²</t>
  </si>
  <si>
    <t>Thửa 538, tờ 22</t>
  </si>
  <si>
    <t>Nguyễn Việt Dũng</t>
  </si>
  <si>
    <t>Thửa 142, tờ 16</t>
  </si>
  <si>
    <t>Thửa 25, tờ 33</t>
  </si>
  <si>
    <t>Phan Thị Lương</t>
  </si>
  <si>
    <t>Thửa 30, tờ 17</t>
  </si>
  <si>
    <t>Thửa 33, tờ 14</t>
  </si>
  <si>
    <t>Hồ Sư Tuyến</t>
  </si>
  <si>
    <t>Thửa 29, tờ 32</t>
  </si>
  <si>
    <t>Phùng Xuân Toán</t>
  </si>
  <si>
    <t>Thửa 12, tờ 19</t>
  </si>
  <si>
    <t>Võ Thị Thung</t>
  </si>
  <si>
    <t>Thửa 22, tờ 32</t>
  </si>
  <si>
    <t>Đặng Văn Tần</t>
  </si>
  <si>
    <t>Thửa 17, tờ 17</t>
  </si>
  <si>
    <t>Phạm Thị Dương</t>
  </si>
  <si>
    <t>Thửa 23, tờ 17</t>
  </si>
  <si>
    <t>Bùi Văn Ty</t>
  </si>
  <si>
    <t>Thửa 35, tờ 32</t>
  </si>
  <si>
    <t>Hồ Hữu Uyên</t>
  </si>
  <si>
    <t>Thửa 13, tờ 22</t>
  </si>
  <si>
    <t>Đặng Thị Nhung</t>
  </si>
  <si>
    <t>Thửa 18, tờ 16</t>
  </si>
  <si>
    <t>Hồ Thị Hằng</t>
  </si>
  <si>
    <t>Thửa 16, tờ 35</t>
  </si>
  <si>
    <t>Trương Đức Hải</t>
  </si>
  <si>
    <t>Thửa 4, tờ 21</t>
  </si>
  <si>
    <t>Thửa 34, tờ 17</t>
  </si>
  <si>
    <t>Cao Thị Thuyên</t>
  </si>
  <si>
    <t>Thửa 20, tờ 33</t>
  </si>
  <si>
    <t>Nguyễn Thanh Tuấn</t>
  </si>
  <si>
    <t>Thửa 45, tờ 30</t>
  </si>
  <si>
    <t>Phạm Ngọc Tuấn</t>
  </si>
  <si>
    <t>Thửa 156, tờ 19</t>
  </si>
  <si>
    <t>Nguyễn Thanh Tường</t>
  </si>
  <si>
    <t>Thửa 44, tờ 30</t>
  </si>
  <si>
    <t>Hà Bá Vũ</t>
  </si>
  <si>
    <t>Thửa 43, tờ 16</t>
  </si>
  <si>
    <t>Nguyễn Đức Lễ</t>
  </si>
  <si>
    <t>Thửa 70, tờ 14</t>
  </si>
  <si>
    <t>Hồ Công Minh</t>
  </si>
  <si>
    <t>Thửa 16, tờ 14</t>
  </si>
  <si>
    <t>Thửa 21, tờ 14</t>
  </si>
  <si>
    <t>Thửa 44, tờ 18</t>
  </si>
  <si>
    <t>Hồ Thị Thu</t>
  </si>
  <si>
    <t>Thửa 24, tờ 25</t>
  </si>
  <si>
    <t>Mai Văn Hải</t>
  </si>
  <si>
    <t>Thửa 8, tờ 17</t>
  </si>
  <si>
    <t>Hồ Hữu Lãn</t>
  </si>
  <si>
    <t>Thửa 40, tờ 30</t>
  </si>
  <si>
    <t>Thửa 11, tờ 14</t>
  </si>
  <si>
    <t>Vũ Thị Nhạn</t>
  </si>
  <si>
    <t>Thửa 79, tờ 14</t>
  </si>
  <si>
    <t>Lê Văn Huân</t>
  </si>
  <si>
    <t>Nguyễn Thị Phương</t>
  </si>
  <si>
    <t>Thửa 552, tờ 22</t>
  </si>
  <si>
    <t>Thửa 553, tờ 22</t>
  </si>
  <si>
    <t>Thửa 545, tờ 22</t>
  </si>
  <si>
    <t>Hồ Văn Loan</t>
  </si>
  <si>
    <t>Thửa 9, tờ 29</t>
  </si>
  <si>
    <t>Hồ Thị Quyết</t>
  </si>
  <si>
    <t>Thửa 151, tờ 21</t>
  </si>
  <si>
    <t>Hồ Văn Nhiệm</t>
  </si>
  <si>
    <t>Thửa 80, tờ 21</t>
  </si>
  <si>
    <t>Hồ Thị Lan</t>
  </si>
  <si>
    <t>Thửa 57, tờ 16</t>
  </si>
  <si>
    <t>Thửa 5, tờ 21</t>
  </si>
  <si>
    <t>Hồ Bá Quan</t>
  </si>
  <si>
    <t>Thửa 7, tờ 36</t>
  </si>
  <si>
    <t>Nguyễn Thành Tâm</t>
  </si>
  <si>
    <t>Thửa 201, tờ 20</t>
  </si>
  <si>
    <t>Thửa 117, tờ 2020</t>
  </si>
  <si>
    <t>Hoàng Thị Nhan</t>
  </si>
  <si>
    <t>Thửa 53, tờ 15</t>
  </si>
  <si>
    <t>Hoàng Đình Việt</t>
  </si>
  <si>
    <t>Thửa 55, tờ 15</t>
  </si>
  <si>
    <t>Thửa 54, tờ 15</t>
  </si>
  <si>
    <t>Nguyễn Văn Vụ</t>
  </si>
  <si>
    <t>Thửa 129, tờ 14</t>
  </si>
  <si>
    <t>Thửa 130, tờ 14</t>
  </si>
  <si>
    <t>Thửa 133, tờ 14</t>
  </si>
  <si>
    <t>Thửa 127, tờ 14</t>
  </si>
  <si>
    <t>Thửa 560, tờ 22</t>
  </si>
  <si>
    <t>Thửa 561, tờ 22</t>
  </si>
  <si>
    <t>Lê Thị Đăng</t>
  </si>
  <si>
    <t>Thửa 167, tờ 22</t>
  </si>
  <si>
    <t>Lê Thị Riêng</t>
  </si>
  <si>
    <t>Thửa 157, tờ 22</t>
  </si>
  <si>
    <t>Trương Thị Nam</t>
  </si>
  <si>
    <t>Thửa 50, tờ 16</t>
  </si>
  <si>
    <t>Thửa 6, tờ 21</t>
  </si>
  <si>
    <t>Nguyễn Thị Khoa</t>
  </si>
  <si>
    <t>Thửa 106, tờ 42</t>
  </si>
  <si>
    <t>Thửa 38, tờ 17</t>
  </si>
  <si>
    <t>Nguyễn Hữu Nghị</t>
  </si>
  <si>
    <t>Bùi Thị Xuyên</t>
  </si>
  <si>
    <t>Thửa 61, tờ 18</t>
  </si>
  <si>
    <t>Thửa 12, tờ 35</t>
  </si>
  <si>
    <t>Thửa 531, tờ 22</t>
  </si>
  <si>
    <t>Nguyễn Hữu Tín</t>
  </si>
  <si>
    <t>Thửa 165, 166, tờ14</t>
  </si>
  <si>
    <t>Thửa 167, 168, tờ14</t>
  </si>
  <si>
    <t>Thửa 169 , 170, tờ 14</t>
  </si>
  <si>
    <t>Thửa 171, 172, tờ14</t>
  </si>
  <si>
    <t>Thửa 173, 174, tờ14</t>
  </si>
  <si>
    <t>Thửa 175, 176, tờ14</t>
  </si>
  <si>
    <t>Thửa 177, 178, tờ14</t>
  </si>
  <si>
    <t>Thửa 179, tờ14</t>
  </si>
  <si>
    <t>Thửa 193, 194, tờ 14</t>
  </si>
  <si>
    <t>Thửa 195, 196, tờ 14</t>
  </si>
  <si>
    <t>Thửa 199, 200, tờ 14</t>
  </si>
  <si>
    <t>Thửa 152, 153, tờ 14</t>
  </si>
  <si>
    <t>Thửa 154, 155, tờ 14</t>
  </si>
  <si>
    <t>Thửa 156, 157, tờ 14</t>
  </si>
  <si>
    <t>Đinh Xuân Hồng</t>
  </si>
  <si>
    <t>Thửa 135, 136, tờ 14</t>
  </si>
  <si>
    <t>Thửa 137, 138, tờ 14</t>
  </si>
  <si>
    <t>Thửa 139, 140, tờ 14</t>
  </si>
  <si>
    <t>Thửa 141, 142, tờ 14</t>
  </si>
  <si>
    <t>Thửa 143, 144, tờ 14</t>
  </si>
  <si>
    <t>Thửa 145, 146, tờ 14</t>
  </si>
  <si>
    <t>Thửa 147, 148, tờ 14</t>
  </si>
  <si>
    <t>Thửa 149, 150, tờ 14</t>
  </si>
  <si>
    <t>Thửa 151, tờ 14</t>
  </si>
  <si>
    <t>Thửa 87, tờ 19</t>
  </si>
  <si>
    <t>Phan Thanh Hoà</t>
  </si>
  <si>
    <t>Thửa 74, tờ 24</t>
  </si>
  <si>
    <t>Nguyễn Thị Thu Vân</t>
  </si>
  <si>
    <t>Thửa 49, tờ 14</t>
  </si>
  <si>
    <t>Nguyễn Thị Hoàng Vân</t>
  </si>
  <si>
    <t>Thửa 168, tờ 24</t>
  </si>
  <si>
    <t>Phạm Hữu Thắm</t>
  </si>
  <si>
    <t>Thửa 41, tờ 21</t>
  </si>
  <si>
    <t>Thửa 47, tờ 21</t>
  </si>
  <si>
    <t>Thửa 57, tờ 21</t>
  </si>
  <si>
    <t>Thửa 61, tờ 21</t>
  </si>
  <si>
    <t>Thửa 43, tờ 14</t>
  </si>
  <si>
    <t>Phạm Thị Hồng</t>
  </si>
  <si>
    <t>Thửa 230, tờ 22</t>
  </si>
  <si>
    <t>Lê Văn Thu</t>
  </si>
  <si>
    <t>Lê Duy Hưng</t>
  </si>
  <si>
    <t>Thửa 96, tờ 19</t>
  </si>
  <si>
    <t>Bùi Thị Nguyên</t>
  </si>
  <si>
    <t>Thửa 81, tờ 16</t>
  </si>
  <si>
    <t>Trần Xuân Phương</t>
  </si>
  <si>
    <t>Thửa 267, tờ 22</t>
  </si>
  <si>
    <t>Trần Xuân Chiến</t>
  </si>
  <si>
    <t>Thửa 268, tờ 22</t>
  </si>
  <si>
    <t>Trần Xuân Sửu</t>
  </si>
  <si>
    <t>Thửa 262, tờ 22</t>
  </si>
  <si>
    <t>Hoàng Đình Dương</t>
  </si>
  <si>
    <t>Thửa 112, tờ 22</t>
  </si>
  <si>
    <t>Hồ Thanh Bơng</t>
  </si>
  <si>
    <t>Thửa 53, tờ 24</t>
  </si>
  <si>
    <t>Hồ Vĩnh Tài</t>
  </si>
  <si>
    <t>Thửa 141, tờ 18</t>
  </si>
  <si>
    <t>Lê Bá Duẩn</t>
  </si>
  <si>
    <t>Thửa 53, tờ 32</t>
  </si>
  <si>
    <t>Hoàng Sơn Đông</t>
  </si>
  <si>
    <t>Hồ Thị Tái</t>
  </si>
  <si>
    <t>Thửa 24, tờ 30</t>
  </si>
  <si>
    <t>Phan Kim Trúc</t>
  </si>
  <si>
    <t>Thửa 103, tờ 14</t>
  </si>
  <si>
    <t>Nguyễn Thị Tâm</t>
  </si>
  <si>
    <t>Thửa 50, tờ 29</t>
  </si>
  <si>
    <t>Hồ Văn Vinh</t>
  </si>
  <si>
    <t>Thửa 24, tờ 18</t>
  </si>
  <si>
    <t>Hồ Viết Hồng</t>
  </si>
  <si>
    <t>Thửa 51, tờ 29</t>
  </si>
  <si>
    <t>Phạm Thị Ngọc</t>
  </si>
  <si>
    <t>Thửa 214, tờ 24</t>
  </si>
  <si>
    <t>Thửa 171, tờ 19</t>
  </si>
  <si>
    <t>Trương Đức Thảo</t>
  </si>
  <si>
    <t>Thửa 70, tờ 24</t>
  </si>
  <si>
    <t>Trần Thị Thảo</t>
  </si>
  <si>
    <t>Thửa 01, tờ 23</t>
  </si>
  <si>
    <t>Bùi Văn Ngoan</t>
  </si>
  <si>
    <t>Thửa 23, tờ 31</t>
  </si>
  <si>
    <t>Trần Viết Thống</t>
  </si>
  <si>
    <t>Thửa 38, tờ 23</t>
  </si>
  <si>
    <t>Hồ Thị Thế</t>
  </si>
  <si>
    <t>Thửa 66, tờ 18</t>
  </si>
  <si>
    <t>Lê Thọ Huân</t>
  </si>
  <si>
    <t>Thửa 238, tờ 14</t>
  </si>
  <si>
    <t xml:space="preserve">Hồ Hữu Bằng </t>
  </si>
  <si>
    <t>Thửa 42, tờ 32</t>
  </si>
  <si>
    <t>Thửa 40, tờ 32</t>
  </si>
  <si>
    <t>Trần Thị Niên</t>
  </si>
  <si>
    <t>Thửa 103, tờ 19</t>
  </si>
  <si>
    <t>Lê Thị Yến</t>
  </si>
  <si>
    <t>Phan Văn Toản</t>
  </si>
  <si>
    <t>Thửa 181, tờ 19</t>
  </si>
  <si>
    <t>Vũ Xuân Chung</t>
  </si>
  <si>
    <t>Thửa 9, tờ 33</t>
  </si>
  <si>
    <t>Thửa 12, tờ 33</t>
  </si>
  <si>
    <t>Hồ Kim Thành</t>
  </si>
  <si>
    <t>Thửa 35, tờ 33</t>
  </si>
  <si>
    <t>Thửa 2, tờ 35</t>
  </si>
  <si>
    <t>Hồ Văn Hòa</t>
  </si>
  <si>
    <t>Thửa 94, tờ 16</t>
  </si>
  <si>
    <t>Trương Đắc Thanh</t>
  </si>
  <si>
    <t>Thửa 93, tờ 16</t>
  </si>
  <si>
    <t>Thửa 224, tờ 24</t>
  </si>
  <si>
    <t>Tô Duy Hùng</t>
  </si>
  <si>
    <t>Thửa 95, tờ 16</t>
  </si>
  <si>
    <t>Nguyễn Phức Hưng</t>
  </si>
  <si>
    <t>Thửa 191, tờ 21</t>
  </si>
  <si>
    <t>Thửa 192, tờ 21</t>
  </si>
  <si>
    <t>Thửa 107, tờ 21</t>
  </si>
  <si>
    <t>Nguyễn Thị Hiền</t>
  </si>
  <si>
    <t>Thửa 52, tờ 19</t>
  </si>
  <si>
    <t>Thửa 158, tờ 24</t>
  </si>
  <si>
    <t>Hồ Thanh Bờng</t>
  </si>
  <si>
    <t>Thửa 22, tờ 29</t>
  </si>
  <si>
    <t>Hồ Văn Dũng</t>
  </si>
  <si>
    <t>Thửa 3, tờ 31</t>
  </si>
  <si>
    <t>Đặng Ngọc Thạch</t>
  </si>
  <si>
    <t>Thửa 179, tờ 20</t>
  </si>
  <si>
    <t>Hồ Sỹ Hiến</t>
  </si>
  <si>
    <t>Thửa 14, tờ 19</t>
  </si>
  <si>
    <t>Hoàng Văn Toán</t>
  </si>
  <si>
    <t>Thửa 9, tờ 26</t>
  </si>
  <si>
    <t>Đỗ Đức Bình</t>
  </si>
  <si>
    <t>Thửa 69, tờ 21</t>
  </si>
  <si>
    <t>Đinh Thị Hội</t>
  </si>
  <si>
    <t>Thửa 29, tờ 17</t>
  </si>
  <si>
    <t>Hồ Hữu Bình</t>
  </si>
  <si>
    <t>Thửa 1, tờ 18</t>
  </si>
  <si>
    <t>Phạm Xuân Nam</t>
  </si>
  <si>
    <t>Thửa 565, tờ 22</t>
  </si>
  <si>
    <t>Phạm Thị Mai</t>
  </si>
  <si>
    <t>Thửa 46, tờ 14</t>
  </si>
  <si>
    <t>Phạm Kiều Hưng</t>
  </si>
  <si>
    <t>Thửa 169, tờ 19</t>
  </si>
  <si>
    <t>Thửa 77, tờ 18</t>
  </si>
  <si>
    <t>Hoàng Hoài</t>
  </si>
  <si>
    <t>Thửa 22, tờ 35</t>
  </si>
  <si>
    <t>Hồ Xuân Lợi</t>
  </si>
  <si>
    <t>Thửa 19, tờ 29</t>
  </si>
  <si>
    <t>Lê Huy Hải</t>
  </si>
  <si>
    <t>Nguyễn Ngọc Thắng</t>
  </si>
  <si>
    <t>Thửa 105, tờ 16</t>
  </si>
  <si>
    <t>Thửa 120, tờ 18</t>
  </si>
  <si>
    <t>Thửa 81, tờ 18</t>
  </si>
  <si>
    <t>Lê Xuân Niên</t>
  </si>
  <si>
    <t>Thửa 313, tờ 22</t>
  </si>
  <si>
    <t>Thửa 315, tờ 22</t>
  </si>
  <si>
    <t>Hồ Ngọc Hoàn</t>
  </si>
  <si>
    <t>Thửa 12, tờ 31</t>
  </si>
  <si>
    <t>Thửa 16, tờ 31</t>
  </si>
  <si>
    <t>Đinh Trọng Thiết</t>
  </si>
  <si>
    <t>Thửa 118, tờ 24</t>
  </si>
  <si>
    <t>Nguyễn Bá Nhàn</t>
  </si>
  <si>
    <t>Thửa 26, tờ 19</t>
  </si>
  <si>
    <t>Hồ Trọng Chính</t>
  </si>
  <si>
    <t>Thửa 121, tờ 18</t>
  </si>
  <si>
    <t>Thửa 69, tờ 17</t>
  </si>
  <si>
    <t>Thửa 68, tờ 17</t>
  </si>
  <si>
    <t>Đới Thị Oanh</t>
  </si>
  <si>
    <t>Thửa 70, tờ 17</t>
  </si>
  <si>
    <t>IV</t>
  </si>
  <si>
    <t>Mai Thị Thêu</t>
  </si>
  <si>
    <t>Thửa 102, tờ 22</t>
  </si>
  <si>
    <t>Lê Văn Phúc</t>
  </si>
  <si>
    <t>Thửa168, tờ23</t>
  </si>
  <si>
    <t>Trần Thị Thu</t>
  </si>
  <si>
    <t>Thửa 42, tờ 23</t>
  </si>
  <si>
    <t>Phạm Đức Dục</t>
  </si>
  <si>
    <t>Thửa 241, tờ 18</t>
  </si>
  <si>
    <t xml:space="preserve">Nguyễn Văn Thắng </t>
  </si>
  <si>
    <t>Thửa 17, tờ 20</t>
  </si>
  <si>
    <t>Lê văn Vinh</t>
  </si>
  <si>
    <t>Thửa 87, tờ 22</t>
  </si>
  <si>
    <t>Nguyễn Thị Tươi</t>
  </si>
  <si>
    <t>Thửa 381, tờ 24</t>
  </si>
  <si>
    <t>Trần Nam Tiến</t>
  </si>
  <si>
    <t>Thửa 396, tờ 28</t>
  </si>
  <si>
    <t>Mai Đình Hồi</t>
  </si>
  <si>
    <t>Thửa 735, tờ 24</t>
  </si>
  <si>
    <t>Minh Thị Son</t>
  </si>
  <si>
    <t>Thửa 30, tờ 24</t>
  </si>
  <si>
    <t>Phạm Phước Thành</t>
  </si>
  <si>
    <t>Thửa 103, tờ 24</t>
  </si>
  <si>
    <t>Lê Thành Tâm</t>
  </si>
  <si>
    <t>Thửa 82, tờ 19</t>
  </si>
  <si>
    <t>Thửa 47, tờ 24</t>
  </si>
  <si>
    <t>Châu Hoàng Tấn Phong</t>
  </si>
  <si>
    <t>Thửa 430, tờ 28</t>
  </si>
  <si>
    <t>Châu Bích Phụng</t>
  </si>
  <si>
    <t>Thửa 431, tờ 28</t>
  </si>
  <si>
    <t>Nguyễn Xuân Đình</t>
  </si>
  <si>
    <t>Thửa 450, tờ 29</t>
  </si>
  <si>
    <t>Huỳnh Kim Lợi</t>
  </si>
  <si>
    <t>Thửa 618, tờ 24</t>
  </si>
  <si>
    <t>Đặng Thị Hải Yến</t>
  </si>
  <si>
    <t>Thửa 04, tờ 27</t>
  </si>
  <si>
    <t>Nguyễn Thị Bội</t>
  </si>
  <si>
    <t>Thửa 523, tờ 24</t>
  </si>
  <si>
    <t>Nguyễn Thành Quang</t>
  </si>
  <si>
    <t>Thửa 18, tờ 31</t>
  </si>
  <si>
    <t>Trương Thị Thanh Hoa</t>
  </si>
  <si>
    <t>Thửa 93, tờ 27</t>
  </si>
  <si>
    <t>Hồng Văn Mai
+ Bùi Đình Phương</t>
  </si>
  <si>
    <t>Thửa 644, tờ 24</t>
  </si>
  <si>
    <t>Trương Thanh Huyền</t>
  </si>
  <si>
    <t>Thửa 86, tờ 27</t>
  </si>
  <si>
    <t>Trần Thị Tâm</t>
  </si>
  <si>
    <t>Thửa 13, tờ 24</t>
  </si>
  <si>
    <t>Sơn Lai</t>
  </si>
  <si>
    <t>Thửa 373, tờ 28</t>
  </si>
  <si>
    <t>Chu Tiến Mạnh</t>
  </si>
  <si>
    <t>Thửa 429, tờ 28</t>
  </si>
  <si>
    <t>Nguyễn Thành Nam</t>
  </si>
  <si>
    <t>Thửa 02, tờ 27</t>
  </si>
  <si>
    <t>Nguyễn Hữu Huỳnh</t>
  </si>
  <si>
    <t>Thửa 208, tờ 28</t>
  </si>
  <si>
    <t>Hoàng Văn Mai</t>
  </si>
  <si>
    <t>Nguyễn Văn Thanh</t>
  </si>
  <si>
    <t>Thửa 16, tờ 29</t>
  </si>
  <si>
    <t>Nguyễn Văn Thông</t>
  </si>
  <si>
    <t>Thửa 509, tờ 24</t>
  </si>
  <si>
    <t>Điểu Ngoãn</t>
  </si>
  <si>
    <t>Thửa 46, tờ 29</t>
  </si>
  <si>
    <t>Điểu Nho</t>
  </si>
  <si>
    <t>Thửa 54, tờ 29</t>
  </si>
  <si>
    <t>Lê Thị Ngọc Hoa</t>
  </si>
  <si>
    <t>Thửa 539, tờ 24</t>
  </si>
  <si>
    <t>Phạm Thị Bích Thủy</t>
  </si>
  <si>
    <t>Đoàn Văn Duyên</t>
  </si>
  <si>
    <t>Thửa 332, tờ 24</t>
  </si>
  <si>
    <t>Vũ Thị Thu</t>
  </si>
  <si>
    <t>Thửa 129, tờ 23</t>
  </si>
  <si>
    <t>Phạm Thị Bài</t>
  </si>
  <si>
    <t>Thửa 61, tờ 23</t>
  </si>
  <si>
    <t>Nguyễn Thị Là</t>
  </si>
  <si>
    <t>Thửa 753, tờ 24</t>
  </si>
  <si>
    <t>Nguyễn Mạnh Tuấn</t>
  </si>
  <si>
    <t>Thửa 133, tờ 23</t>
  </si>
  <si>
    <t>Vũ Ngọc Cường</t>
  </si>
  <si>
    <t>Thửa 32, tờ 28</t>
  </si>
  <si>
    <t>Đặng Viết Thủy</t>
  </si>
  <si>
    <t>Thửa 30, tờ 27</t>
  </si>
  <si>
    <t>Nguyễn Thị Thanh Thảo</t>
  </si>
  <si>
    <t>Thửa 409, tờ 24</t>
  </si>
  <si>
    <t>Trần Văn Đạo</t>
  </si>
  <si>
    <t>Phan Thị Ngọc Hà</t>
  </si>
  <si>
    <t>Thửa 459, tờ 29</t>
  </si>
  <si>
    <t>Phạm Văn Tùng</t>
  </si>
  <si>
    <t>Vũ Thị Kim Liên</t>
  </si>
  <si>
    <t>Thửa 433, tờ 29</t>
  </si>
  <si>
    <t>Hồ Minh Trọng</t>
  </si>
  <si>
    <t>Tạ Ngọc Lang</t>
  </si>
  <si>
    <t>Thửa 23, tờ 28</t>
  </si>
  <si>
    <t>Thửa 637, tờ 24</t>
  </si>
  <si>
    <t>Phan Thị Nhạn</t>
  </si>
  <si>
    <t>Phạm Hữu Bài</t>
  </si>
  <si>
    <t>Thửa 411, tờ 23</t>
  </si>
  <si>
    <t>Đinh Minh Thanh</t>
  </si>
  <si>
    <t>Thửa 239, tờ 28</t>
  </si>
  <si>
    <t>Phan Quang Thành</t>
  </si>
  <si>
    <t>Nguyễn Thị Danh</t>
  </si>
  <si>
    <t>Lê Minh Tuấn</t>
  </si>
  <si>
    <t>Nguyễn Thị Hồng</t>
  </si>
  <si>
    <t>Thửa 592, tờ 24</t>
  </si>
  <si>
    <t>Ngô Tuấn Long</t>
  </si>
  <si>
    <t>Thửa 112, tờ 28</t>
  </si>
  <si>
    <t>Hoàng Văn Ái</t>
  </si>
  <si>
    <t>Thửa 319, tờ 24</t>
  </si>
  <si>
    <t>Trần Thị Kim Phượng</t>
  </si>
  <si>
    <t>Thửa 107, tờ 27</t>
  </si>
  <si>
    <t>Thửa 108, tờ 27</t>
  </si>
  <si>
    <t>Thửa 109, tờ 27</t>
  </si>
  <si>
    <t>Thửa 110, tờ 27</t>
  </si>
  <si>
    <t>Thửa 111, tờ 27</t>
  </si>
  <si>
    <t>Nguyễn Văn Tý</t>
  </si>
  <si>
    <t>Tạ Văn Tuấn</t>
  </si>
  <si>
    <t>Thửa 140, tờ 20</t>
  </si>
  <si>
    <t>Huỳnh Thị Kim Thế</t>
  </si>
  <si>
    <t>Thửa 357, tờ 28</t>
  </si>
  <si>
    <t>Phương Văn Nhình</t>
  </si>
  <si>
    <t>Thửa 178, tờ 17</t>
  </si>
  <si>
    <t>Thửa 286, tờ 24</t>
  </si>
  <si>
    <t>Đoàn Thanh Lâm</t>
  </si>
  <si>
    <t>Thửa 677, tờ 24</t>
  </si>
  <si>
    <t>Lê Văn Vinh</t>
  </si>
  <si>
    <t>Thửa 57, tờ 22</t>
  </si>
  <si>
    <t>Đoàn Văn Dũng</t>
  </si>
  <si>
    <t>Nguyễn Thị Lưng</t>
  </si>
  <si>
    <t>Thửa 111, tờ 20</t>
  </si>
  <si>
    <t>Dương Thành Danh</t>
  </si>
  <si>
    <t>Thửa 195, tờ 18</t>
  </si>
  <si>
    <t>DươngThị Tài Lành</t>
  </si>
  <si>
    <t>Thửa 135, tờ 18</t>
  </si>
  <si>
    <t>Phạm Thị Bon</t>
  </si>
  <si>
    <t>Thửa 662, tờ 24</t>
  </si>
  <si>
    <t>Hòang Thị Linh</t>
  </si>
  <si>
    <t>Thửa 318, tờ 24</t>
  </si>
  <si>
    <t>Phan Thành Quang</t>
  </si>
  <si>
    <t>Thượng Thị Sum</t>
  </si>
  <si>
    <t>Thửa 14, tờ 31</t>
  </si>
  <si>
    <t>Thửa 266, tờ 24</t>
  </si>
  <si>
    <t>Bùi Đình Phương</t>
  </si>
  <si>
    <t>Phạm Thị Nhạn</t>
  </si>
  <si>
    <t>Trịnh Đình Sự</t>
  </si>
  <si>
    <t>Thửa 448, tờ 28</t>
  </si>
  <si>
    <t>Điểu Hon</t>
  </si>
  <si>
    <t>Thửa 180, tờ 30</t>
  </si>
  <si>
    <t>Phùng Thị Liên</t>
  </si>
  <si>
    <t>Thửa 76, tờ 27</t>
  </si>
  <si>
    <t>Đinh Thị Xứng</t>
  </si>
  <si>
    <t>Thửa 109, tờ 22</t>
  </si>
  <si>
    <t>Lê Thị Hồng</t>
  </si>
  <si>
    <t>Thửa 108, tờ 22</t>
  </si>
  <si>
    <t>Đoàn Văn Bình</t>
  </si>
  <si>
    <t>Thửa 764, tờ 24</t>
  </si>
  <si>
    <t>Phạm Thị Được</t>
  </si>
  <si>
    <t>Thửa 78, tờ 23</t>
  </si>
  <si>
    <t>Đỗ Văn Hiển</t>
  </si>
  <si>
    <t>Thửa 113, tờ 27</t>
  </si>
  <si>
    <t>Lê Thị Thảo</t>
  </si>
  <si>
    <t>Thửa 115, tờ 27</t>
  </si>
  <si>
    <t>Mai Văn Lượng</t>
  </si>
  <si>
    <t>Thửa 366, tờ 28</t>
  </si>
  <si>
    <t>Thửa 81, tờ 28</t>
  </si>
  <si>
    <t>Hoàng Thị Hương</t>
  </si>
  <si>
    <t>Thửa 14, tờ 27</t>
  </si>
  <si>
    <t>Đã chuyển 1.900m²</t>
  </si>
  <si>
    <t>Trần Ngọc Phin</t>
  </si>
  <si>
    <t>Thửa 21, tờ 27</t>
  </si>
  <si>
    <t>Tạ Đình Đề</t>
  </si>
  <si>
    <t>Thửa 360, tờ 29</t>
  </si>
  <si>
    <t>Thửa 29, tờ 16</t>
  </si>
  <si>
    <t>Nguyễn Văn Hòa</t>
  </si>
  <si>
    <t>Thửa 229, tờ 30</t>
  </si>
  <si>
    <t>Nguyễn Văn Dũng</t>
  </si>
  <si>
    <t>Thửa 624, tờ 24</t>
  </si>
  <si>
    <t>Lại Thị Hồng Hà</t>
  </si>
  <si>
    <t>Thửa 19, tờ 19</t>
  </si>
  <si>
    <t>Tô Thị Chúc</t>
  </si>
  <si>
    <t>Thửa 29, tờ 24</t>
  </si>
  <si>
    <t>Thửa 89, tờ 27</t>
  </si>
  <si>
    <t>Thửa 114, tờ 27</t>
  </si>
  <si>
    <t>Võ Văn Khiêm</t>
  </si>
  <si>
    <t>Thửa 174, tờ 23</t>
  </si>
  <si>
    <t>Phạm Chí Chánh</t>
  </si>
  <si>
    <t>Thửa 49, tờ 22</t>
  </si>
  <si>
    <t>Lê Hữu Đức</t>
  </si>
  <si>
    <t>Thửa 449, tờ 28</t>
  </si>
  <si>
    <t>Vũ Hải Nam</t>
  </si>
  <si>
    <t>Thửa 188, tờ 18</t>
  </si>
  <si>
    <t>Vũ Thị Điệp</t>
  </si>
  <si>
    <t>Thửa 419, tờ 28</t>
  </si>
  <si>
    <t>Thửa 58, tờ 28</t>
  </si>
  <si>
    <t>Phạm Thị Bích Liên</t>
  </si>
  <si>
    <t>Thửa 79, tờ 23</t>
  </si>
  <si>
    <t>Nguyễn Quốc Huy</t>
  </si>
  <si>
    <t>Thửa 314, tờ 24</t>
  </si>
  <si>
    <t>Nguyễn Thành Sang</t>
  </si>
  <si>
    <t>Thửa 7, tờ 24</t>
  </si>
  <si>
    <t>Nguyễn Thị Dụng</t>
  </si>
  <si>
    <t>Thửa 456, tờ 28</t>
  </si>
  <si>
    <t xml:space="preserve">ONT </t>
  </si>
  <si>
    <t>Thửa 49, tờ 19</t>
  </si>
  <si>
    <t>Thửa 417, tờ 28</t>
  </si>
  <si>
    <t>Nguyễn Thị Thể</t>
  </si>
  <si>
    <t>Thửa 146, tờ 23</t>
  </si>
  <si>
    <t>Thửa 411, tờ 28</t>
  </si>
  <si>
    <t>Trần Thị Tiến</t>
  </si>
  <si>
    <t>Thửa 87, tờ 28</t>
  </si>
  <si>
    <t>Trần Thị Bích Thiện</t>
  </si>
  <si>
    <t>Thửa 125, tờ 23</t>
  </si>
  <si>
    <t>Vũ Thị Nữ</t>
  </si>
  <si>
    <t>Thửa 434, tờ 29</t>
  </si>
  <si>
    <t>Phan Đình Vũ</t>
  </si>
  <si>
    <t>Thửa 65, tờ 28</t>
  </si>
  <si>
    <t>Thượng Thị Gái</t>
  </si>
  <si>
    <t>Thửa 564, tờ 24</t>
  </si>
  <si>
    <t>Thửa 136, tờ 27</t>
  </si>
  <si>
    <t>Thửa 456, tờ 29</t>
  </si>
  <si>
    <t>Đã chuyển 967m²</t>
  </si>
  <si>
    <t>Nguyễn Phúc Hưng</t>
  </si>
  <si>
    <t>Thửa 79, tờ 18</t>
  </si>
  <si>
    <t>Đặng Kiên Chì</t>
  </si>
  <si>
    <t>Thửa 137, tờ 27</t>
  </si>
  <si>
    <t>Hoàng Thị Thủy</t>
  </si>
  <si>
    <t>Thửa 746, tờ 24</t>
  </si>
  <si>
    <t>Nguyễn Thị Năm</t>
  </si>
  <si>
    <t>Thửa 52, tờ 20</t>
  </si>
  <si>
    <t>Phan Trần Dũng</t>
  </si>
  <si>
    <t>Thửa 39, tờ 28</t>
  </si>
  <si>
    <t>Phạm Thành Nhân</t>
  </si>
  <si>
    <t>Thửa 385, tờ 17</t>
  </si>
  <si>
    <t>Nguyễn Mỹ Phúc</t>
  </si>
  <si>
    <t>Thửa 1, tờ 20</t>
  </si>
  <si>
    <t>Hoàng Minh Tuấn</t>
  </si>
  <si>
    <t>Thửa 104, tờ 24</t>
  </si>
  <si>
    <t>Phạm Văn Tam</t>
  </si>
  <si>
    <t>Thửa 630, tờ 24</t>
  </si>
  <si>
    <t>Trần Thị Hoa</t>
  </si>
  <si>
    <t>Trần Xuân Lượng</t>
  </si>
  <si>
    <t>Thửa 104, tờ 27</t>
  </si>
  <si>
    <t>Nguyễn Minh Trí</t>
  </si>
  <si>
    <t>Thửa 79, tờ 27</t>
  </si>
  <si>
    <t>Đặng Viết Thủy</t>
  </si>
  <si>
    <t>Nguyễn Thị Hòa</t>
  </si>
  <si>
    <t>Trần Thị Trừ</t>
  </si>
  <si>
    <t>Thửa 428, tờ 28</t>
  </si>
  <si>
    <t>Nguyễn Thị Lý</t>
  </si>
  <si>
    <t>Thửa 482, tờ 29</t>
  </si>
  <si>
    <t>Thửa 15, tờ 29</t>
  </si>
  <si>
    <t>Phạm Thị Hòa</t>
  </si>
  <si>
    <t>Thửa 451, tờ 29</t>
  </si>
  <si>
    <t>Nguyễn Thị Thái Vân</t>
  </si>
  <si>
    <t>Thửa 232, tờ 30</t>
  </si>
  <si>
    <t>Lâm Văn Thành</t>
  </si>
  <si>
    <t>Thửa 19, tờ 34</t>
  </si>
  <si>
    <t>Châu Văn Trương</t>
  </si>
  <si>
    <t>Nguyễn Thị Hậu</t>
  </si>
  <si>
    <t>Lê Thị Mỹ Phận</t>
  </si>
  <si>
    <t>Thửa 718, tờ 24</t>
  </si>
  <si>
    <t>Nguyễn Văn Ủy</t>
  </si>
  <si>
    <t>Thửa 738, tờ 24</t>
  </si>
  <si>
    <t>Nguyễn Thị Hội</t>
  </si>
  <si>
    <t>Thửa 106, tờ 27</t>
  </si>
  <si>
    <t>Nguyễn Thị Gà</t>
  </si>
  <si>
    <t>Thửa 338, tờ 28</t>
  </si>
  <si>
    <t>Nguyễn Hữu Á</t>
  </si>
  <si>
    <t>Thửa 44, tờ 29</t>
  </si>
  <si>
    <t>Nguyễn Thị Thủy</t>
  </si>
  <si>
    <t>Thửa 413, tờ 30</t>
  </si>
  <si>
    <t>Thửa 160, tờ 30</t>
  </si>
  <si>
    <t>Nguyễn Thị Năm</t>
  </si>
  <si>
    <t>Nguyễn Thanh Long</t>
  </si>
  <si>
    <t>Thửa 138, tờ 20</t>
  </si>
  <si>
    <t>Đỗ Thị Hà</t>
  </si>
  <si>
    <t>Thửa 184, tờ 23</t>
  </si>
  <si>
    <t>Phùng Văn Hùng</t>
  </si>
  <si>
    <t>Thửa 30, tờ 23</t>
  </si>
  <si>
    <t>Bùi Nam Thanh</t>
  </si>
  <si>
    <t>Thửa 80, tờ 06</t>
  </si>
  <si>
    <t>Đặng Chí Minh</t>
  </si>
  <si>
    <t>V</t>
  </si>
  <si>
    <t>Lê Thị Thanh Vượng</t>
  </si>
  <si>
    <t>Thửa 223, tờ 1</t>
  </si>
  <si>
    <t>Võ Văn Hòa</t>
  </si>
  <si>
    <t>Phan Thị Mỹ Linh</t>
  </si>
  <si>
    <t>Thửa 340, tờ 8</t>
  </si>
  <si>
    <t>Hồ Thị Vui</t>
  </si>
  <si>
    <t>Thửa 125, tờ 1</t>
  </si>
  <si>
    <t>Hoàng Văn Tiến</t>
  </si>
  <si>
    <t>Thửa 535, tờ 11</t>
  </si>
  <si>
    <t>Đoàn Thị Thanh Mai</t>
  </si>
  <si>
    <t>Thửa 508, tờ 11</t>
  </si>
  <si>
    <t>Võ Thị Kim Chi</t>
  </si>
  <si>
    <t>Thửa 387, tờ 4</t>
  </si>
  <si>
    <t>Nguyễn Thị Thu Nguyệt</t>
  </si>
  <si>
    <t>Thửa 386, tờ 4</t>
  </si>
  <si>
    <t>Võ Thị Đào</t>
  </si>
  <si>
    <t>Thửa 377, tờ 4</t>
  </si>
  <si>
    <t>Lý Thị Muối</t>
  </si>
  <si>
    <t>Thửa 328, tờ 9</t>
  </si>
  <si>
    <t>Trần Kỳ Phương</t>
  </si>
  <si>
    <t>Thửa 285, tờ 1</t>
  </si>
  <si>
    <t>Trần Thị Êm</t>
  </si>
  <si>
    <t>Thửa 183, tờ 7</t>
  </si>
  <si>
    <t>Lê Thị Ánh Nguyệt</t>
  </si>
  <si>
    <t>Châu Văn Kha</t>
  </si>
  <si>
    <t>Thửa 115, tờ 9</t>
  </si>
  <si>
    <t xml:space="preserve">Nguyễn Thị Yến </t>
  </si>
  <si>
    <t>Thửa 67, tờ 14</t>
  </si>
  <si>
    <t>Lê Tân Hùng</t>
  </si>
  <si>
    <t>Thửa 15, tờ 14</t>
  </si>
  <si>
    <t>Đậu Văn Tấn</t>
  </si>
  <si>
    <t>Thửa 80, tờ 11</t>
  </si>
  <si>
    <t>Thửa 35, tờ 10</t>
  </si>
  <si>
    <t>Châu Hoàng Minh</t>
  </si>
  <si>
    <t>Thửa 34, tờ 10</t>
  </si>
  <si>
    <t>Lê Phước Bình</t>
  </si>
  <si>
    <t>Thửa 32, tờ 10</t>
  </si>
  <si>
    <t>Bùi Thị Nga</t>
  </si>
  <si>
    <t>Thửa 28, tờ 01</t>
  </si>
  <si>
    <t>Thửa 95, tờ 11</t>
  </si>
  <si>
    <t>Phạm Thị Thanh</t>
  </si>
  <si>
    <t>Thửa 139, tờ 01</t>
  </si>
  <si>
    <t>Nguyễn Thị Liên</t>
  </si>
  <si>
    <t>Thửa 235, tờ 1</t>
  </si>
  <si>
    <t>Lê Thị Sơn</t>
  </si>
  <si>
    <t>Thửa 55, tờ 1</t>
  </si>
  <si>
    <t>Ngô Phi Long</t>
  </si>
  <si>
    <t>Thửa 01, tờ 14</t>
  </si>
  <si>
    <t>Nguyễn Thị Ngọc Dao</t>
  </si>
  <si>
    <t>Thửa 262, tờ 04</t>
  </si>
  <si>
    <t>Thửa 295, tờ 04</t>
  </si>
  <si>
    <t>Trần Thị Thúy</t>
  </si>
  <si>
    <t>Thửa 128, tờ 11</t>
  </si>
  <si>
    <t>Thửa 507, tờ 08</t>
  </si>
  <si>
    <t>Lê Thị Hương</t>
  </si>
  <si>
    <t>Thửa 533, tờ 11</t>
  </si>
  <si>
    <t>Nguyễn Thiện Thanh</t>
  </si>
  <si>
    <t>Thửa 79, tờ 01</t>
  </si>
  <si>
    <t>Nguyễn Thị Huế</t>
  </si>
  <si>
    <t>Thửa 274, tờ 06</t>
  </si>
  <si>
    <t>Bùi Văn Đông</t>
  </si>
  <si>
    <t>HNK</t>
  </si>
  <si>
    <t>Thửa 08, tờ 01</t>
  </si>
  <si>
    <t>Thửa 274, tờ 01</t>
  </si>
  <si>
    <t>Hoàng Ngọc Long</t>
  </si>
  <si>
    <t>Thửa 50, tờ 01</t>
  </si>
  <si>
    <t>Nguyễn Bình Khánh Hải</t>
  </si>
  <si>
    <t>Thửa 181, tờ 02</t>
  </si>
  <si>
    <t>Nguyễn Mạnh Quyết</t>
  </si>
  <si>
    <t>Thửa 138, tờ 07</t>
  </si>
  <si>
    <t>Trần Văn Đức</t>
  </si>
  <si>
    <t>Thửa 460, tờ 08</t>
  </si>
  <si>
    <t>Nguyễn Trọng Hùng</t>
  </si>
  <si>
    <t>Thửa 126, tờ 01</t>
  </si>
  <si>
    <t>Phan Thị Thùy Trang</t>
  </si>
  <si>
    <t>Thửa 124, tờ 01</t>
  </si>
  <si>
    <t>Đỗ Văn Kiệm</t>
  </si>
  <si>
    <t>Thửa 195, tờ 01</t>
  </si>
  <si>
    <t>Đặng A Cấm</t>
  </si>
  <si>
    <t>Thửa 01, tờ 06</t>
  </si>
  <si>
    <t>Đỗ Thành Thăng</t>
  </si>
  <si>
    <t>Thửa 179, tờ 02</t>
  </si>
  <si>
    <t>Phạm Thánh Thiện</t>
  </si>
  <si>
    <t>Dương Thị Liên</t>
  </si>
  <si>
    <t>Hoàng Văn Kiểm</t>
  </si>
  <si>
    <t>Thửa 86, tờ 14</t>
  </si>
  <si>
    <t>Nguyễn Văn Nhâm</t>
  </si>
  <si>
    <t>Thửa 57, tờ 18</t>
  </si>
  <si>
    <t>Thửa 05, tờ 14</t>
  </si>
  <si>
    <t>Trương Thế Phong</t>
  </si>
  <si>
    <t>Thửa 268, tờ 04</t>
  </si>
  <si>
    <t>Thửa 285, tờ 06</t>
  </si>
  <si>
    <t>Lê Thị Huệ</t>
  </si>
  <si>
    <t>Thửa 558, tờ 11</t>
  </si>
  <si>
    <t>Nguyễn Thành Kiên</t>
  </si>
  <si>
    <t>Thửa 71, tờ 2756-2020</t>
  </si>
  <si>
    <t>Vũ Thị Yến Hương</t>
  </si>
  <si>
    <t>Thửa 85, tờ 4</t>
  </si>
  <si>
    <t>Thửa 93, tờ 4</t>
  </si>
  <si>
    <t>Phan Văn Thái</t>
  </si>
  <si>
    <t>Thửa 321, tờ 4</t>
  </si>
  <si>
    <t>Nguyễn Thị KimThanh</t>
  </si>
  <si>
    <t>Thửa 1463, tờ 4</t>
  </si>
  <si>
    <t>Trần Thị Diễn</t>
  </si>
  <si>
    <t>Thửa 111, tờ 14</t>
  </si>
  <si>
    <t>Thửa 313, tờ 8</t>
  </si>
  <si>
    <t>Võ Văn Tý</t>
  </si>
  <si>
    <t>Thửa 52, tờ 10</t>
  </si>
  <si>
    <t>Thửa 51, tờ 10</t>
  </si>
  <si>
    <t>Hoàng Văn Thích</t>
  </si>
  <si>
    <t>Thửa 458, tờ 11</t>
  </si>
  <si>
    <t>Thửa 138, tờ 7</t>
  </si>
  <si>
    <t xml:space="preserve">Đậu Văn Tấn </t>
  </si>
  <si>
    <t>Lê Thanh Hải</t>
  </si>
  <si>
    <t>Thửa 355, tờ 06</t>
  </si>
  <si>
    <t>Thửa 356, tờ 06</t>
  </si>
  <si>
    <t>Đặng A Cấm
(Lê Hoàng Anh)</t>
  </si>
  <si>
    <t>Nguyễn Thị Dân</t>
  </si>
  <si>
    <t>Thửa 02, tờ 11</t>
  </si>
  <si>
    <t>Nguyễn Thị Kiều Tiên</t>
  </si>
  <si>
    <t>Thửa 135, tờ 07</t>
  </si>
  <si>
    <t>Kim Đa</t>
  </si>
  <si>
    <t>Thửa 222, tờ 01</t>
  </si>
  <si>
    <t>Lê Thị Loan</t>
  </si>
  <si>
    <t>Thửa 602, tờ 11</t>
  </si>
  <si>
    <t>Vũ Văn Thẩm</t>
  </si>
  <si>
    <t>Thửa 182, tờ 7</t>
  </si>
  <si>
    <t>Thửa 87,75,88, tờ 11</t>
  </si>
  <si>
    <t>Lê Hoàng Anh</t>
  </si>
  <si>
    <t>Thửa 1, tờ 6</t>
  </si>
  <si>
    <t>Ngô Văn Đức</t>
  </si>
  <si>
    <t>Thửa 467, tờ 8</t>
  </si>
  <si>
    <t>Bùi Văn Đào</t>
  </si>
  <si>
    <t>Thửa 70, tờ 11</t>
  </si>
  <si>
    <t xml:space="preserve">Trần Văn Dũng </t>
  </si>
  <si>
    <t>Thửa 204, tờ 4</t>
  </si>
  <si>
    <t>Thửa 384, tờ 4</t>
  </si>
  <si>
    <t>Lê Xuân Thắng</t>
  </si>
  <si>
    <t>Thửa 112, tờ 6</t>
  </si>
  <si>
    <t>Thửa 284, tờ 18</t>
  </si>
  <si>
    <t>Hoàng Văn Sáng</t>
  </si>
  <si>
    <t>Thửa 48, tờ 1</t>
  </si>
  <si>
    <t>Lê Xuân Sỹ</t>
  </si>
  <si>
    <t>Thửa 69, tờ 11</t>
  </si>
  <si>
    <t>Nguyễn Như Mạnh</t>
  </si>
  <si>
    <t>Thửa 58, tờ 4</t>
  </si>
  <si>
    <t>Bùi Văn Đăng</t>
  </si>
  <si>
    <t>Thửa 69, tờ 1</t>
  </si>
  <si>
    <t>Nguyễn Thị Loan</t>
  </si>
  <si>
    <t>Thửa 54, tờ 10</t>
  </si>
  <si>
    <t>Lê Xuân Cường</t>
  </si>
  <si>
    <t>Thửa 405, tờ 4</t>
  </si>
  <si>
    <t>Pham Thế Vinh</t>
  </si>
  <si>
    <t>Thửa 302, tờ 1</t>
  </si>
  <si>
    <t>Lê Thị Hường</t>
  </si>
  <si>
    <t>Thửa 303, tờ 1</t>
  </si>
  <si>
    <t>Thửa 305, tờ 1</t>
  </si>
  <si>
    <t>Thửa 306, tờ 1</t>
  </si>
  <si>
    <t>Thửa 313, tờ 1</t>
  </si>
  <si>
    <t>Thửa 312, tờ 1</t>
  </si>
  <si>
    <t>Nguyễn Hồng Anh</t>
  </si>
  <si>
    <t>Thửa 304, tờ 1</t>
  </si>
  <si>
    <t>Cái Hữu Trung</t>
  </si>
  <si>
    <t>Thửa 300, tờ 1</t>
  </si>
  <si>
    <t>Thửa 317, tờ 1</t>
  </si>
  <si>
    <t>Lương Xuân Hoàng</t>
  </si>
  <si>
    <t>Thửa 81, tờ 11</t>
  </si>
  <si>
    <t>Thửa 319, tờ 1</t>
  </si>
  <si>
    <t>Nguyễn Bí Trung</t>
  </si>
  <si>
    <t>Thửa 318, tờ 1</t>
  </si>
  <si>
    <t>Đoàn Trung Dũng</t>
  </si>
  <si>
    <t>Thửa 295, tờ 4</t>
  </si>
  <si>
    <t>Trần Văn Hiểu</t>
  </si>
  <si>
    <t>Thửa 516, tờ 11</t>
  </si>
  <si>
    <t>Trần Xuân Tùng</t>
  </si>
  <si>
    <t>Thửa 369, tờ 6</t>
  </si>
  <si>
    <t>Châu Thị Kim Hiếu</t>
  </si>
  <si>
    <t>Nguyễn Thanh Lâm</t>
  </si>
  <si>
    <t>Thửa 70, tờ 851-2020</t>
  </si>
  <si>
    <t>Ninh Văn Thức</t>
  </si>
  <si>
    <t>Thửa 174, tờ 11</t>
  </si>
  <si>
    <t>Thửa 226, tờ 11</t>
  </si>
  <si>
    <t>Nguyễn Thị Kim Thanh</t>
  </si>
  <si>
    <t>Thửa 146, tờ 01</t>
  </si>
  <si>
    <t>Nguyễn Thị Hồng Loan</t>
  </si>
  <si>
    <t>Thửa 458, tờ 05</t>
  </si>
  <si>
    <t>Thửa 459, tờ 05</t>
  </si>
  <si>
    <t>Trần Tuấn Anh</t>
  </si>
  <si>
    <t>Thửa 270, tờ 04</t>
  </si>
  <si>
    <t>Thửa 01, tờ 07</t>
  </si>
  <si>
    <t>Trần Thị Hoa</t>
  </si>
  <si>
    <t>Thửa 92, tờ 11</t>
  </si>
  <si>
    <t>Thửa 303, tờ 01</t>
  </si>
  <si>
    <t>Thửa 84, tờ 01</t>
  </si>
  <si>
    <t>Hoàng Thị Thể</t>
  </si>
  <si>
    <t>Thửa 348, tờ 6</t>
  </si>
  <si>
    <t>Trần Thị Lan</t>
  </si>
  <si>
    <t>Thửa 486, tờ 8</t>
  </si>
  <si>
    <t>Đồng Văn Tân</t>
  </si>
  <si>
    <t>Thửa 33, tờ 1</t>
  </si>
  <si>
    <t>Huỳnh Mộng Loan</t>
  </si>
  <si>
    <t>Thửa 152, tờ 4</t>
  </si>
  <si>
    <t>Trương Thị Mỹ Linh</t>
  </si>
  <si>
    <t>Thửa 487, tờ 8</t>
  </si>
  <si>
    <t>Đầu Thị Mỹ Chi</t>
  </si>
  <si>
    <t>Nguyễn Văn Gỉãi</t>
  </si>
  <si>
    <t>Thửa 334, tờ 4</t>
  </si>
  <si>
    <t>Thửa 502, tờ 8</t>
  </si>
  <si>
    <t xml:space="preserve">Phùng Anh Đức </t>
  </si>
  <si>
    <t>Thửa 440, tờ 5</t>
  </si>
  <si>
    <t>Nguyễn Ngọc</t>
  </si>
  <si>
    <t>Thửa 7, tờ 4</t>
  </si>
  <si>
    <t>Lê Thị Thanh Hải</t>
  </si>
  <si>
    <t>Thửa 243, tờ 1</t>
  </si>
  <si>
    <t>Thửa 456, tờ 11</t>
  </si>
  <si>
    <t>Trương Thị Thu</t>
  </si>
  <si>
    <t>Thửa 519, tờ 11</t>
  </si>
  <si>
    <t xml:space="preserve">Nguyễn Thị Hải </t>
  </si>
  <si>
    <t>Thửa 278, tờ 1</t>
  </si>
  <si>
    <t>Nguyễn Quốc Trị</t>
  </si>
  <si>
    <t>Thửa 177, tờ 1</t>
  </si>
  <si>
    <t xml:space="preserve">Nguyễn Văn Tình </t>
  </si>
  <si>
    <t>Thửa 215, tờ 9</t>
  </si>
  <si>
    <t>Thửa 221, tờ 11</t>
  </si>
  <si>
    <t>Thửa 262, tờ 4</t>
  </si>
  <si>
    <t xml:space="preserve">Văn Bá Hạnh </t>
  </si>
  <si>
    <t>Thửa 178, tờ 4</t>
  </si>
  <si>
    <t>Nguyễn Xuân Tuấn</t>
  </si>
  <si>
    <t>Thửa 307, tờ 1</t>
  </si>
  <si>
    <t>Nguyễn Văn Chóng</t>
  </si>
  <si>
    <t>Thửa 160, tờ 7</t>
  </si>
  <si>
    <t>Chuyển rổi</t>
  </si>
  <si>
    <t>Nguyễn Hữu Thắng</t>
  </si>
  <si>
    <t>Thửa 413, tờ 4</t>
  </si>
  <si>
    <t>Trần Thị Thu Yến</t>
  </si>
  <si>
    <t>Thửa 408, tờ 4</t>
  </si>
  <si>
    <t>Thửa 409, tờ 4</t>
  </si>
  <si>
    <t>Thửa 411, tờ 4</t>
  </si>
  <si>
    <t>Thửa 410, tờ 4</t>
  </si>
  <si>
    <t>Đỗ Xuân Chiến</t>
  </si>
  <si>
    <t>Thửa 407, tờ 4</t>
  </si>
  <si>
    <t>Huỳnh Thị Kim Phượng</t>
  </si>
  <si>
    <t>Thửa 433, tờ 4</t>
  </si>
  <si>
    <t xml:space="preserve">Nguyễn Thị Loan </t>
  </si>
  <si>
    <t>Thửa 434, tờ 4</t>
  </si>
  <si>
    <t>Thửa 435, tờ 4</t>
  </si>
  <si>
    <t>Thửa 432, tờ 4</t>
  </si>
  <si>
    <t xml:space="preserve">Nguyễn Mỹ Phúc </t>
  </si>
  <si>
    <t>Thửa 424, tờ 6</t>
  </si>
  <si>
    <t>Thửa 432, tờ 6</t>
  </si>
  <si>
    <t>Nguyễn Thị Mỹ Hằng</t>
  </si>
  <si>
    <t>Thửa 420, tờ 6</t>
  </si>
  <si>
    <t>Tô Duy Hoàng</t>
  </si>
  <si>
    <t>Thửa 417, tờ 4</t>
  </si>
  <si>
    <t>Thửa 418, tờ 4</t>
  </si>
  <si>
    <t>Thửa 421, tờ 4</t>
  </si>
  <si>
    <t>Thửa 422, tờ 4</t>
  </si>
  <si>
    <t>Thửa 423, tờ 4</t>
  </si>
  <si>
    <t>Đỗ Văn Liêm</t>
  </si>
  <si>
    <t>Thửa 270, tờ 1</t>
  </si>
  <si>
    <t>Cao Xuân Thọ</t>
  </si>
  <si>
    <t>Thửa 135, tờ 7</t>
  </si>
  <si>
    <t>Nguyễn Văn Nhơn</t>
  </si>
  <si>
    <t>Thửa 303, tờ 4</t>
  </si>
  <si>
    <t>Nguyễn Thanh Thủy</t>
  </si>
  <si>
    <t>Thửa 151, tờ 4</t>
  </si>
  <si>
    <t>Lê Thị Thu Hiền</t>
  </si>
  <si>
    <t>Thửa 152, tờ 7</t>
  </si>
  <si>
    <t>Trần Quốc Huy</t>
  </si>
  <si>
    <t>Thửa 182, tờ 2</t>
  </si>
  <si>
    <t>Đinh Văn Cương</t>
  </si>
  <si>
    <t>Thửa 183, tờ 2</t>
  </si>
  <si>
    <t>Cao Thùy Dung</t>
  </si>
  <si>
    <t>Thửa 557, tờ 11</t>
  </si>
  <si>
    <t>Phùng Nhân Toàn</t>
  </si>
  <si>
    <t xml:space="preserve">Hoàng Thị Hồng Loan </t>
  </si>
  <si>
    <t>Thửa 338, tờ 6</t>
  </si>
  <si>
    <t>Nguyễn Nho Luận</t>
  </si>
  <si>
    <t>Thửa 22, tờ 11</t>
  </si>
  <si>
    <t>Phạm Hồng Hạnh</t>
  </si>
  <si>
    <t>Thửa 416, tờ 6</t>
  </si>
  <si>
    <t>Thửa 417, tờ 6</t>
  </si>
  <si>
    <t>Nguyễn Thị Thúy Aí</t>
  </si>
  <si>
    <t>Thửa 409, tờ 6</t>
  </si>
  <si>
    <t>Thửa 410, tờ 6</t>
  </si>
  <si>
    <t>Thửa 408, tờ 6</t>
  </si>
  <si>
    <t xml:space="preserve">Trịnh Bá Hào </t>
  </si>
  <si>
    <t>Thửa 411, tờ 6</t>
  </si>
  <si>
    <t>Nguyễn Đình Được</t>
  </si>
  <si>
    <t>Thửa 412, tờ 6</t>
  </si>
  <si>
    <t>Nguyễn Đình Đức</t>
  </si>
  <si>
    <t>Thửa 414, tờ 6</t>
  </si>
  <si>
    <t>Thửa 415, tờ 6</t>
  </si>
  <si>
    <t>Nguyễn Văn Kiên</t>
  </si>
  <si>
    <t>Thửa 283, tờ 09</t>
  </si>
  <si>
    <t>Thửa 172, tờ 11</t>
  </si>
  <si>
    <t>Hà Quang Huân</t>
  </si>
  <si>
    <t>Thửa 367, tờ 01</t>
  </si>
  <si>
    <t>Nguyễn Tấn Phát</t>
  </si>
  <si>
    <t>Đã chuyển 732m²</t>
  </si>
  <si>
    <t>Trần Thị Ngọc Bạch</t>
  </si>
  <si>
    <t>Thửa 174, tờ 02</t>
  </si>
  <si>
    <t>Võ Văn Mến</t>
  </si>
  <si>
    <t>Thửa 137, tờ 06</t>
  </si>
  <si>
    <t>Trần Văn Thành</t>
  </si>
  <si>
    <t>Thửa 90, tờ 01</t>
  </si>
  <si>
    <t>Điểu Ẩm</t>
  </si>
  <si>
    <t>Thửa 267, tờ 06</t>
  </si>
  <si>
    <t>Thửa 249, tờ 06</t>
  </si>
  <si>
    <t xml:space="preserve">Thửa 384, tờ 04 </t>
  </si>
  <si>
    <t>Nguyễn Xuân Trường</t>
  </si>
  <si>
    <t>Đinh Quang Lập</t>
  </si>
  <si>
    <t>Thửa 451, tờ 6</t>
  </si>
  <si>
    <t>Thửa 452, tờ 6</t>
  </si>
  <si>
    <t>Thửa 453, tờ 6</t>
  </si>
  <si>
    <t>Thửa 108, tờ 14</t>
  </si>
  <si>
    <t>Nguyễn Văn Kháng</t>
  </si>
  <si>
    <t>Thửa 197, tờ 5</t>
  </si>
  <si>
    <t>Thửa 231, tờ 01</t>
  </si>
  <si>
    <t>Thửa 268, tờ 585-2021</t>
  </si>
  <si>
    <t>Phan Bá Huy</t>
  </si>
  <si>
    <t>Thửa 166, tờ 06</t>
  </si>
  <si>
    <t>Thửa 167, tờ 06</t>
  </si>
  <si>
    <t>Huỳnh Thị Ánh Nguyệt</t>
  </si>
  <si>
    <t>Thửa 609, tờ 11</t>
  </si>
  <si>
    <t>Thửa 610, tờ 11</t>
  </si>
  <si>
    <t>Bùi Văn Huynh</t>
  </si>
  <si>
    <t>Thửa 89, tờ 04</t>
  </si>
  <si>
    <t>Nguyễn Đình Hà</t>
  </si>
  <si>
    <t>Thửa 65, tờ 06</t>
  </si>
  <si>
    <t>Trần Đình Hải</t>
  </si>
  <si>
    <t>Thửa 13, tờ 11</t>
  </si>
  <si>
    <t>Bừi Đức Tính</t>
  </si>
  <si>
    <t>Thửa 17, tờ 14</t>
  </si>
  <si>
    <t>Thửa 209. tờ 06</t>
  </si>
  <si>
    <t>Thửa 485, tờ 06</t>
  </si>
  <si>
    <t>Đã chuyển 1.300m²</t>
  </si>
  <si>
    <t>Bùi Văn Cương</t>
  </si>
  <si>
    <t>Thửa 30, tờ 01</t>
  </si>
  <si>
    <t>Thửa 658, tờ 11</t>
  </si>
  <si>
    <t>Trần Lương Hoài Phương</t>
  </si>
  <si>
    <t>Thửa 161, tờ 06</t>
  </si>
  <si>
    <t>Đã chuyển 700m²</t>
  </si>
  <si>
    <t>Vương Thanh Hùng</t>
  </si>
  <si>
    <t>Thửa 50, tờ 10</t>
  </si>
  <si>
    <t>Nguyễn Phát Vinh</t>
  </si>
  <si>
    <t>Thửa 323, tờ 11</t>
  </si>
  <si>
    <t>Thửa 326, tờ 11</t>
  </si>
  <si>
    <t>Bùi Đức Tính</t>
  </si>
  <si>
    <t>Nguyễn Hữu Hà</t>
  </si>
  <si>
    <t>Thửa 389, tờ 04</t>
  </si>
  <si>
    <t>Thửa 621, tờ 11</t>
  </si>
  <si>
    <t>Thửa 624, tờ 11</t>
  </si>
  <si>
    <t>Thửa 140, tờ 04</t>
  </si>
  <si>
    <t>Nguyễn Thị Thủy Tiên</t>
  </si>
  <si>
    <t>Thửa 271, tờ 6003-2021</t>
  </si>
  <si>
    <t>Phan Thị Cẩm Vân</t>
  </si>
  <si>
    <t>Thửa 393, tờ 06</t>
  </si>
  <si>
    <t xml:space="preserve">Đinh Văn Vinh </t>
  </si>
  <si>
    <t>Thửa 344, tờ 11</t>
  </si>
  <si>
    <t xml:space="preserve">Đinh Tiên Phong </t>
  </si>
  <si>
    <t>Thửa 345, tờ 11</t>
  </si>
  <si>
    <t>Đinh Thị Kim Thanh</t>
  </si>
  <si>
    <t>Thửa 346, tờ 11</t>
  </si>
  <si>
    <t xml:space="preserve">Huỳnh Thị Kim Phượng </t>
  </si>
  <si>
    <t>Huỳnh Thị Thúy</t>
  </si>
  <si>
    <t>Thửa 94, tờ 4</t>
  </si>
  <si>
    <t>Thửa 503, tờ 8</t>
  </si>
  <si>
    <t>Dương Tấn Hồng</t>
  </si>
  <si>
    <t>Thửa 398, tờ 6</t>
  </si>
  <si>
    <t>Nguyễn Vương Khang</t>
  </si>
  <si>
    <t>Thửa 139, tờ 4</t>
  </si>
  <si>
    <t>Nguyễn Văn Lưu</t>
  </si>
  <si>
    <t>Thửa 10, tờ 8</t>
  </si>
  <si>
    <t>Thửa 442, tờ 8</t>
  </si>
  <si>
    <t>Nguyễn Tuấn Thành</t>
  </si>
  <si>
    <t>Thửa 441, tờ 5</t>
  </si>
  <si>
    <t>Lê Xuân Trường</t>
  </si>
  <si>
    <t>Thửa 14, tờ 18</t>
  </si>
  <si>
    <t>Thửa 468, tờ 11</t>
  </si>
  <si>
    <t>Thửa 469, tờ 11</t>
  </si>
  <si>
    <t>Lê Thị Tâm</t>
  </si>
  <si>
    <t>Thửa 89, tờ 11</t>
  </si>
  <si>
    <t>Nguyễn Hữu Thiệp</t>
  </si>
  <si>
    <t>Thửa 331, tờ 11</t>
  </si>
  <si>
    <t>Vũ Thị Hạnh</t>
  </si>
  <si>
    <t>Vương Quốc Hoài</t>
  </si>
  <si>
    <t>Thửa 180, tờ 4</t>
  </si>
  <si>
    <t xml:space="preserve">Lê Văn Hoàn </t>
  </si>
  <si>
    <t>Thửa 290, tờ 4</t>
  </si>
  <si>
    <t>Thửa 130, tờ 4</t>
  </si>
  <si>
    <t>Đỗ Thanh Hùng</t>
  </si>
  <si>
    <t>Thửa 69, tờ 9</t>
  </si>
  <si>
    <t>Mai Thị Ngọc Huệ</t>
  </si>
  <si>
    <t>Thửa 442, tờ 5</t>
  </si>
  <si>
    <t>Đinh Tiên Quốc</t>
  </si>
  <si>
    <t>Thửa 627, tờ 11</t>
  </si>
  <si>
    <t>Thửa 631, tờ 11</t>
  </si>
  <si>
    <t xml:space="preserve">Đinh Thị Bạch Tuyết </t>
  </si>
  <si>
    <t>Thửa 360, tờ 11</t>
  </si>
  <si>
    <t xml:space="preserve">Đinh Thị Kim Thanh </t>
  </si>
  <si>
    <t>Thửa 628, tờ 11</t>
  </si>
  <si>
    <t>Đinh Thị Mỹ Hạnh</t>
  </si>
  <si>
    <t>Thửa 629, tờ 11</t>
  </si>
  <si>
    <t xml:space="preserve">Đinh Thị Kim Lan </t>
  </si>
  <si>
    <t>Thửa 632, tờ 11</t>
  </si>
  <si>
    <t>Thửa 235, tờ 11</t>
  </si>
  <si>
    <t>Võ Thị Ánh  Tuyết</t>
  </si>
  <si>
    <t xml:space="preserve">Nguyễn Thị Lệ </t>
  </si>
  <si>
    <t>Thửa 450, tờ 8</t>
  </si>
  <si>
    <t>Thửa 33, tờ 10</t>
  </si>
  <si>
    <t>Vũ Thị Luyến</t>
  </si>
  <si>
    <t>Thửa 230, tờ 1</t>
  </si>
  <si>
    <t>Vũ Xuân Nhân</t>
  </si>
  <si>
    <t>Thửa 29, tờ 1</t>
  </si>
  <si>
    <t xml:space="preserve">Nguyễn Văn Tạo </t>
  </si>
  <si>
    <t>Thửa 158, tờ 2</t>
  </si>
  <si>
    <t>Thửa 425, tờ 4</t>
  </si>
  <si>
    <t>Hoàng Thị Vững</t>
  </si>
  <si>
    <t>Thửa 79, tờ 11</t>
  </si>
  <si>
    <t>Mai Ngọc Đạt</t>
  </si>
  <si>
    <t>Thửa 322, tờ 11</t>
  </si>
  <si>
    <t>Lê Xuân Lâm</t>
  </si>
  <si>
    <t>Thửa 91, tờ 11</t>
  </si>
  <si>
    <t>Trần Thăng Nam</t>
  </si>
  <si>
    <t>Thửa 23, tờ 14</t>
  </si>
  <si>
    <t>Thửa 80, tờ 6</t>
  </si>
  <si>
    <t>Thửa 92, tờ 6</t>
  </si>
  <si>
    <t xml:space="preserve">Hoàng Minh Thuần </t>
  </si>
  <si>
    <t>Thửa 154, tờ 11</t>
  </si>
  <si>
    <t xml:space="preserve">Nguyễn Thị Cừ </t>
  </si>
  <si>
    <t>Thửa 269, tờ 6</t>
  </si>
  <si>
    <t>Đinh Minh Đức</t>
  </si>
  <si>
    <t xml:space="preserve">Thửa 512, tờ 8 </t>
  </si>
  <si>
    <t xml:space="preserve">Bùi Duy Tư </t>
  </si>
  <si>
    <t>Thửa 13, tờ 14</t>
  </si>
  <si>
    <t>Đỗ Kim Ngân</t>
  </si>
  <si>
    <t>Thửa 22, tờ 8</t>
  </si>
  <si>
    <t>Trần Tân</t>
  </si>
  <si>
    <t>Thửa 143, tờ 4</t>
  </si>
  <si>
    <t>Chu Thị Ngọc Hiếu</t>
  </si>
  <si>
    <t>Thửa 636, tờ 11</t>
  </si>
  <si>
    <t>Nguyễn Minh Tâm</t>
  </si>
  <si>
    <t>Thửa 635, tờ 11</t>
  </si>
  <si>
    <t>Cao Văn Khoa</t>
  </si>
  <si>
    <t>Thửa 444, tờ 04</t>
  </si>
  <si>
    <t>Phan Văn Cường</t>
  </si>
  <si>
    <t>Thửa 121, tờ 14</t>
  </si>
  <si>
    <t>Hồ Minh Luân</t>
  </si>
  <si>
    <t>Thửa 120, tờ 14</t>
  </si>
  <si>
    <t>Chu Mạnh Tuấn</t>
  </si>
  <si>
    <t>Thửa 518, tờ 11</t>
  </si>
  <si>
    <t>Thửa 421, tờ 04</t>
  </si>
  <si>
    <t>Thửa 417, tờ 04</t>
  </si>
  <si>
    <t>Thửa 418, tờ 04</t>
  </si>
  <si>
    <t>Thửa 423, tờ 04</t>
  </si>
  <si>
    <t>Nguyễn Trí Cầu</t>
  </si>
  <si>
    <t>Thửa 248, tờ 8072-2021</t>
  </si>
  <si>
    <t>Phạm Thị Minh</t>
  </si>
  <si>
    <t>Thửa 49, tờ 10</t>
  </si>
  <si>
    <t xml:space="preserve">Nguyễn Thị Dánh </t>
  </si>
  <si>
    <t>Thửa 81, tờ 8</t>
  </si>
  <si>
    <t>Dương Thắng Cảnh</t>
  </si>
  <si>
    <t>Thửa 147, tờ 6</t>
  </si>
  <si>
    <t>Bùi Duy Tư</t>
  </si>
  <si>
    <t>Thửa 21, tờ 8</t>
  </si>
  <si>
    <t xml:space="preserve">Hồ Đức Vỹ </t>
  </si>
  <si>
    <t>Thửa 26, tờ 11</t>
  </si>
  <si>
    <t xml:space="preserve">Trương Thị Vân </t>
  </si>
  <si>
    <t>Thửa 633, tờ 11</t>
  </si>
  <si>
    <t>Thửa 352, tờ 1</t>
  </si>
  <si>
    <t>Thửa 348, tờ 1</t>
  </si>
  <si>
    <t>Thửa 350, tờ 1</t>
  </si>
  <si>
    <t>Thửa 349, tờ 1</t>
  </si>
  <si>
    <t>Thửa 347, tờ 1</t>
  </si>
  <si>
    <t>Thửa 346, tờ 1</t>
  </si>
  <si>
    <t>Thửa 358, tờ 1</t>
  </si>
  <si>
    <t>Thửa 361, tờ 1</t>
  </si>
  <si>
    <t xml:space="preserve">Thửa 362, tờ 1 </t>
  </si>
  <si>
    <t>Hoàng Van Nam</t>
  </si>
  <si>
    <t>Thửa 359, tờ 1</t>
  </si>
  <si>
    <t>Hồ Văn Chương</t>
  </si>
  <si>
    <t>Thửa 357, tờ 1</t>
  </si>
  <si>
    <t>Thửa 356, tờ 1</t>
  </si>
  <si>
    <t xml:space="preserve">Phan Văn Mạnh </t>
  </si>
  <si>
    <t>Thửa 4, tờ 8</t>
  </si>
  <si>
    <t xml:space="preserve">Phan Thị Hương </t>
  </si>
  <si>
    <t>Thửa 121, tờ 7</t>
  </si>
  <si>
    <t>Trần Văn Cò</t>
  </si>
  <si>
    <t>Thửa 150, tờ 8</t>
  </si>
  <si>
    <t xml:space="preserve">Nguyễn Văn Thủy </t>
  </si>
  <si>
    <t>Thửa 104, tờ 7</t>
  </si>
  <si>
    <t>Trần Hữu Phương</t>
  </si>
  <si>
    <t>Thửa 650, tờ 11</t>
  </si>
  <si>
    <t>Thửa 651, tờ 11</t>
  </si>
  <si>
    <t>Thửa 652, tờ 11</t>
  </si>
  <si>
    <t xml:space="preserve">Nguyễn Ngọc Trịnh </t>
  </si>
  <si>
    <t>Thửa 441, tờ 05</t>
  </si>
  <si>
    <t>Thửa 29, tờ 01</t>
  </si>
  <si>
    <t>Thửa 146, tờ 06</t>
  </si>
  <si>
    <t>Điểu Quýt</t>
  </si>
  <si>
    <t>Thửa 174, tờ 06</t>
  </si>
  <si>
    <t>Thửa 512, tờ 08</t>
  </si>
  <si>
    <t>Võ Thị Tính</t>
  </si>
  <si>
    <t>Thửa 308, tờ 01</t>
  </si>
  <si>
    <t>Mai Văn Quyền</t>
  </si>
  <si>
    <t>Thửa 309, tờ 01</t>
  </si>
  <si>
    <t>Nguyễn Thị Vy</t>
  </si>
  <si>
    <t>Thửa 149, tờ 01</t>
  </si>
  <si>
    <t>Trần Minh Sơn</t>
  </si>
  <si>
    <t>Thửa 241, tờ 1</t>
  </si>
  <si>
    <t>Trần Minh Trung</t>
  </si>
  <si>
    <t>Thửa 240, tờ 1</t>
  </si>
  <si>
    <t>Thửa 433, tờ 02</t>
  </si>
  <si>
    <t>Điểu Bô</t>
  </si>
  <si>
    <t>Thửa 171, tờ 11</t>
  </si>
  <si>
    <t>Hoàng Văn Lễ</t>
  </si>
  <si>
    <t>Thửa 219, tờ 02</t>
  </si>
  <si>
    <t>Thửa 219, tờ 01</t>
  </si>
  <si>
    <t>Thửa 222, tờ 04</t>
  </si>
  <si>
    <t>Trần Đức Bằng</t>
  </si>
  <si>
    <t>Thửa 16, tờ 04</t>
  </si>
  <si>
    <t>Tăng Kim Nhi</t>
  </si>
  <si>
    <t>Thửa 453, tờ 06</t>
  </si>
  <si>
    <t>Thửa 143, tờ 04</t>
  </si>
  <si>
    <t>VI</t>
  </si>
  <si>
    <t>Phạm Thị Hương</t>
  </si>
  <si>
    <t>Thửa 24, tờ 44</t>
  </si>
  <si>
    <t>Nguyễn Thị Minh Thùy</t>
  </si>
  <si>
    <t>Thửa 74, tờ 31</t>
  </si>
  <si>
    <t>Nguyễn Chí Vương</t>
  </si>
  <si>
    <t>Thửa 56, tờ 37</t>
  </si>
  <si>
    <t>Nguyễn Văn Tám</t>
  </si>
  <si>
    <t>Thửa 168, tờ 25</t>
  </si>
  <si>
    <t>Trần Xuân Tình</t>
  </si>
  <si>
    <t>Thửa 158, tờ 31</t>
  </si>
  <si>
    <t>Thửa 17, tờ 24</t>
  </si>
  <si>
    <t>Bùi Thị Xuân</t>
  </si>
  <si>
    <t>Thửa 375, tờ 31</t>
  </si>
  <si>
    <t>Điểu Tuấn</t>
  </si>
  <si>
    <t>Thửa 377, tờ 02</t>
  </si>
  <si>
    <t>Thửa 37, tờ 52</t>
  </si>
  <si>
    <t>Nguyễn Thị Như Hoa</t>
  </si>
  <si>
    <t>Thửa 40, tờ 24</t>
  </si>
  <si>
    <t>Nguyễn Thị Thu Dân</t>
  </si>
  <si>
    <t>Thửa 372, tờ 31</t>
  </si>
  <si>
    <t>Giang Thị Ngọc Tâm</t>
  </si>
  <si>
    <t>Thửa 246, tờ 25</t>
  </si>
  <si>
    <t>Thửa 41, tờ 24</t>
  </si>
  <si>
    <t>Điểu Lem</t>
  </si>
  <si>
    <t>Thửa 48, tờ 39</t>
  </si>
  <si>
    <t>Ngô Huỳnh Nga</t>
  </si>
  <si>
    <t>Thửa 09, tờ 50</t>
  </si>
  <si>
    <t>Ngô Phương Nữ</t>
  </si>
  <si>
    <t>Thửa 31, tờ 53</t>
  </si>
  <si>
    <t>Trần Thị Huyền</t>
  </si>
  <si>
    <t>Thửa 567, tờ 53</t>
  </si>
  <si>
    <t>Lê Thị Phiệt</t>
  </si>
  <si>
    <t>Thửa 78, tờ 40</t>
  </si>
  <si>
    <t>Ngô Sỹ Thành</t>
  </si>
  <si>
    <t>Thửa 199, tờ 30</t>
  </si>
  <si>
    <t>Vũ Thị Sy</t>
  </si>
  <si>
    <t>Thửa 163, tờ 18</t>
  </si>
  <si>
    <t>Lê Kim Hùng</t>
  </si>
  <si>
    <t>Thửa 332, tờ 31</t>
  </si>
  <si>
    <t>Điểu Dỉnh</t>
  </si>
  <si>
    <t>Thửa 416, tờ 50</t>
  </si>
  <si>
    <t>Nguyễn Công Trứ</t>
  </si>
  <si>
    <t>Thửa 390, tờ 11</t>
  </si>
  <si>
    <t>Lê Thị Thu Hồng</t>
  </si>
  <si>
    <t>Thửa 191, tờ 31</t>
  </si>
  <si>
    <t>Lâm Thị Hồng</t>
  </si>
  <si>
    <t>Nguyễn Anh Minh</t>
  </si>
  <si>
    <t>Thửa 61, tờ 48</t>
  </si>
  <si>
    <t>Thửa 251, tờ 25</t>
  </si>
  <si>
    <t>Trần Văn Quân</t>
  </si>
  <si>
    <t>Thửa 199, tờ 25</t>
  </si>
  <si>
    <t>Nguyễn Xuân Sang</t>
  </si>
  <si>
    <t>Thửa 393, tờ 31</t>
  </si>
  <si>
    <t>Thửa 387, tờ 31</t>
  </si>
  <si>
    <t>Nguyễn Minh Chánh</t>
  </si>
  <si>
    <t>Thửa 663, tờ 10</t>
  </si>
  <si>
    <t>Nguyễn Chí Thành</t>
  </si>
  <si>
    <t>Thửa 60, tờ 32</t>
  </si>
  <si>
    <t>Phạm Thị Đông</t>
  </si>
  <si>
    <t>Thửa 219, tờ 25</t>
  </si>
  <si>
    <t>Hồ Quốc Cường</t>
  </si>
  <si>
    <t>Thửa 339, tờ 06</t>
  </si>
  <si>
    <t>Đoàn Thị Dở</t>
  </si>
  <si>
    <t>Thửa 914, tờ 10</t>
  </si>
  <si>
    <t>Kiều Xuân Niệm</t>
  </si>
  <si>
    <t>Thửa 362, tờ 27</t>
  </si>
  <si>
    <t>Thửa 364, tờ 27</t>
  </si>
  <si>
    <t>Lê Thi Nuôi</t>
  </si>
  <si>
    <t>Thửa 235, tờ 30</t>
  </si>
  <si>
    <t>Đoàn Văn Lộc</t>
  </si>
  <si>
    <t>Thửa 21, tờ 25</t>
  </si>
  <si>
    <t>Nguyễn Văn Tỵ</t>
  </si>
  <si>
    <t>Thửa 51, tờ 37</t>
  </si>
  <si>
    <t>Thửa 05, tờ 37</t>
  </si>
  <si>
    <t>Trần Thi Dậu</t>
  </si>
  <si>
    <t>Thửa 41, tờ 39</t>
  </si>
  <si>
    <t>Thửa 44, tờ 52</t>
  </si>
  <si>
    <t>Phạm Thị Thu Thủy</t>
  </si>
  <si>
    <t>Thửa 102, tờ 31</t>
  </si>
  <si>
    <t>Thửa 224, tờ 30</t>
  </si>
  <si>
    <t>Đoàn Văn Nguyên</t>
  </si>
  <si>
    <t>Thửa 31, tờ 52</t>
  </si>
  <si>
    <t>Đinh Văn Hiển</t>
  </si>
  <si>
    <t>Thửa 25, tờ 37</t>
  </si>
  <si>
    <t>Bùi Văn Lộc</t>
  </si>
  <si>
    <t>Thửa 50, tờ 37</t>
  </si>
  <si>
    <t>Bùi Văn Hiệu</t>
  </si>
  <si>
    <t>Thửa 156, tờ 18</t>
  </si>
  <si>
    <t>Trần Văn Muộn</t>
  </si>
  <si>
    <t>Thửa 76, tờ 11</t>
  </si>
  <si>
    <t>Đoàn Thị Hận</t>
  </si>
  <si>
    <t>Thửa 768, tờ 10</t>
  </si>
  <si>
    <t>Nguyễn Thị Lệ Hồng</t>
  </si>
  <si>
    <t>Thửa 275, tờ 11</t>
  </si>
  <si>
    <t>Thửa 03, tờ 24</t>
  </si>
  <si>
    <t>Nguyễn Văn Lễ</t>
  </si>
  <si>
    <t>Thửa 02, tờ 52</t>
  </si>
  <si>
    <t>Thửa 03, tờ 52</t>
  </si>
  <si>
    <t>Thửa 155, tờ 11</t>
  </si>
  <si>
    <t>Nguyễn Thị Kim Vui</t>
  </si>
  <si>
    <t>Thửa 318, tờ 07</t>
  </si>
  <si>
    <t>Nguyễn Thị Thanh Tuyền</t>
  </si>
  <si>
    <t>Thửa 16, tờ 33</t>
  </si>
  <si>
    <t>Thửa 110, tờ 11</t>
  </si>
  <si>
    <t>Lê Đình An</t>
  </si>
  <si>
    <t>Thửa 48, tờ 52</t>
  </si>
  <si>
    <t>Điểu Hỏi</t>
  </si>
  <si>
    <t>Thửa 38, tờ 52</t>
  </si>
  <si>
    <t>Nguyễn Văn Kiễm</t>
  </si>
  <si>
    <t>Thửa 04, tờ 24</t>
  </si>
  <si>
    <t>Thửa 05, tờ 24</t>
  </si>
  <si>
    <t>Nguyễn Văn Long</t>
  </si>
  <si>
    <t>Thửa 04, tờ 52</t>
  </si>
  <si>
    <t>Thửa 05, tờ 52</t>
  </si>
  <si>
    <t>Nguyễn Thị Xinh</t>
  </si>
  <si>
    <t>Điểu Bảo</t>
  </si>
  <si>
    <t>Thửa 283, tờ 53</t>
  </si>
  <si>
    <t>Nguyễn Văn Kiện
ĐSD Điểu Nga</t>
  </si>
  <si>
    <t>Thửa 574, tờ 53</t>
  </si>
  <si>
    <t>Thửa 07, tờ 23</t>
  </si>
  <si>
    <t>Nguyễn Thị Ngọc Hương</t>
  </si>
  <si>
    <t>Thửa 14, tờ 44</t>
  </si>
  <si>
    <t>Ngô Thị Thanh Lâm</t>
  </si>
  <si>
    <t>Thửa 156, tờ 46</t>
  </si>
  <si>
    <t>Mai Tấn Đạt</t>
  </si>
  <si>
    <t>Thửa 154, tờ 23</t>
  </si>
  <si>
    <t>Thửa 314, tờ 02</t>
  </si>
  <si>
    <t>Hoàng Nghĩa Phúc</t>
  </si>
  <si>
    <t>Thửa 254, tờ 18</t>
  </si>
  <si>
    <t>Thửa 214, tờ 11</t>
  </si>
  <si>
    <t>Bùi Thị Thanh Hương</t>
  </si>
  <si>
    <t>Ngô Chí Minh</t>
  </si>
  <si>
    <t>Thửa 236, tờ 25</t>
  </si>
  <si>
    <t>Điểu Nhạn</t>
  </si>
  <si>
    <t>Thửa 548, tờ 50</t>
  </si>
  <si>
    <t>Thửa 546, tờ 50</t>
  </si>
  <si>
    <t>Nguyễn Văn Thường</t>
  </si>
  <si>
    <t>Thửa 206, tờ 11</t>
  </si>
  <si>
    <t>Ngô Mạnh Hùng</t>
  </si>
  <si>
    <t>Thửa 307, tờ 06</t>
  </si>
  <si>
    <t>Thị Tý</t>
  </si>
  <si>
    <t>Thửa 281, tờ 50</t>
  </si>
  <si>
    <t>Thị Lang</t>
  </si>
  <si>
    <t>Thửa 290, tờ 53</t>
  </si>
  <si>
    <t>Bùi Công Thuận</t>
  </si>
  <si>
    <t>Thửa 571, tờ 53</t>
  </si>
  <si>
    <t>Đặng Thành Nguyên</t>
  </si>
  <si>
    <t>Nguyễn Văn Giới</t>
  </si>
  <si>
    <t>Thửa 26, tờ 49</t>
  </si>
  <si>
    <t>Hoàng Văn Trị</t>
  </si>
  <si>
    <t>Thửa 51, tờ 39</t>
  </si>
  <si>
    <t>Lê Hồng</t>
  </si>
  <si>
    <t>Thửa 82, tờ 11</t>
  </si>
  <si>
    <t>Thửa 56, tờ 17</t>
  </si>
  <si>
    <t>Lê Thị Cẩm Tú</t>
  </si>
  <si>
    <t>Thửa 49, tờ 39</t>
  </si>
  <si>
    <t>Huỳnh Anh Sơn</t>
  </si>
  <si>
    <t>Thửa 23, tờ 44</t>
  </si>
  <si>
    <t>Trần Thị Ngọc Phượng</t>
  </si>
  <si>
    <t>Thửa 394, tờ 11</t>
  </si>
  <si>
    <t>Hà Xuân Hùng</t>
  </si>
  <si>
    <t>Thửa 245, tờ 30</t>
  </si>
  <si>
    <t>Nguyễn Chí Tâm</t>
  </si>
  <si>
    <t>Thửa 235, tờ 25</t>
  </si>
  <si>
    <t>Lại Quang Đạo</t>
  </si>
  <si>
    <t>Thửa 61, tờ 06</t>
  </si>
  <si>
    <t>Thửa 69, tờ 06</t>
  </si>
  <si>
    <t>Nguyễn Thị Tuất</t>
  </si>
  <si>
    <t>Thửa 188, tờ 31</t>
  </si>
  <si>
    <t>Hoàng Văn Tính</t>
  </si>
  <si>
    <t>Thửa 48, tờ 37</t>
  </si>
  <si>
    <t>Nguyễn Văn Dạnh</t>
  </si>
  <si>
    <t>Thửa 110, tờ 45</t>
  </si>
  <si>
    <t>Thửa 119, tờ 46</t>
  </si>
  <si>
    <t>Thửa 85, tờ 46</t>
  </si>
  <si>
    <t>Phan Văn Quỳnh</t>
  </si>
  <si>
    <t>Thửa 35, tờ 49</t>
  </si>
  <si>
    <t>Thửa 50, tờ 49</t>
  </si>
  <si>
    <t>Điểu Lâm Cẩm Tú</t>
  </si>
  <si>
    <t>Thửa 71, tờ 18</t>
  </si>
  <si>
    <t>Vũ Mạnh Cường</t>
  </si>
  <si>
    <t>Nguyễn Đình Sỹ</t>
  </si>
  <si>
    <t>Thửa 61, tờ 45</t>
  </si>
  <si>
    <t>Võ Thanh Bình</t>
  </si>
  <si>
    <t>Thửa 416, tờ 11</t>
  </si>
  <si>
    <t>Cao Minh Công</t>
  </si>
  <si>
    <t>Thửa 589, tờ 53</t>
  </si>
  <si>
    <t>Nguyễn Thị Tuyết</t>
  </si>
  <si>
    <t>Thửa 414, tờ 11</t>
  </si>
  <si>
    <t>Nguyễn Trung Trực</t>
  </si>
  <si>
    <t>Thửa 253, tờ 11</t>
  </si>
  <si>
    <t>Trần Thị Mười</t>
  </si>
  <si>
    <t>Thửa 34, tờ 44</t>
  </si>
  <si>
    <t>Thị Bén</t>
  </si>
  <si>
    <t>Thửa 163, tờ 50</t>
  </si>
  <si>
    <t>Nguyễn Tấn Tài</t>
  </si>
  <si>
    <t>Thửa 08, tờ 54</t>
  </si>
  <si>
    <t>Nguyễn Thị Lệ</t>
  </si>
  <si>
    <t>Thửa 399, tờ 11</t>
  </si>
  <si>
    <t>Phạm Văn Tý</t>
  </si>
  <si>
    <t>Thửa 81, tờ 31</t>
  </si>
  <si>
    <t>Hồ Xuân Thành</t>
  </si>
  <si>
    <t>Thửa 189, tờ 30</t>
  </si>
  <si>
    <t>Lê Thị Hòa</t>
  </si>
  <si>
    <t>Thửa 238, tờ 25</t>
  </si>
  <si>
    <t>Nguyễn Ngọc Bắc</t>
  </si>
  <si>
    <t>Thửa 202, tờ 25</t>
  </si>
  <si>
    <t>Bùi Thị Nở</t>
  </si>
  <si>
    <t>Thửa 61, tờ 32</t>
  </si>
  <si>
    <t>Lý Tiến Dũng</t>
  </si>
  <si>
    <t>Thửa 199, tờ 18</t>
  </si>
  <si>
    <t>Lê Tân</t>
  </si>
  <si>
    <t>Thửa 152, tờ 11</t>
  </si>
  <si>
    <t>Nguyễn Văn Trạnh</t>
  </si>
  <si>
    <t>Thửa 86, tờ 46</t>
  </si>
  <si>
    <t>Thửa 91, tờ 46</t>
  </si>
  <si>
    <t>Thửa 102, tờ 46</t>
  </si>
  <si>
    <t>Nguyễn Thanh Việt</t>
  </si>
  <si>
    <t>Thửa 285, tờ 53</t>
  </si>
  <si>
    <t>Thửa 32, tờ 52</t>
  </si>
  <si>
    <t>Nguyễn Thị Tiến</t>
  </si>
  <si>
    <t>Thửa 192, tờ 30</t>
  </si>
  <si>
    <t>Cao Văn Thanh</t>
  </si>
  <si>
    <t>Thửa 153, tờ 27</t>
  </si>
  <si>
    <t>Cao Thiện Bình</t>
  </si>
  <si>
    <t>Thửa 112, tờ 45</t>
  </si>
  <si>
    <t>Võ Văn Tùng</t>
  </si>
  <si>
    <t>Thửa 395, tờ 02</t>
  </si>
  <si>
    <t>Lê Thị Vy</t>
  </si>
  <si>
    <t>Thửa 465, tờ 50</t>
  </si>
  <si>
    <t>Thửa 509, tờ 50</t>
  </si>
  <si>
    <t>Thị Dịp</t>
  </si>
  <si>
    <t>Thửa 573, tờ 50</t>
  </si>
  <si>
    <t>Hồ Minh Thuận</t>
  </si>
  <si>
    <t>Thửa 26, tờ 44</t>
  </si>
  <si>
    <t>Hồ Minh Thuận,
Hồ Minh Sót</t>
  </si>
  <si>
    <t>Thửa 31, tờ 44</t>
  </si>
  <si>
    <t>Đặng Chí Kim
(Lê Thị Út)</t>
  </si>
  <si>
    <t>Thửa 22, tờ 25</t>
  </si>
  <si>
    <t>Trần Xuân Lượng</t>
  </si>
  <si>
    <t>Thửa 52, tờ 17</t>
  </si>
  <si>
    <t>Thửa 19, tờ 17</t>
  </si>
  <si>
    <t>Nguyễn Đức Tú</t>
  </si>
  <si>
    <t>Lê Văn Cu</t>
  </si>
  <si>
    <t>Thửa 55, tờ 51</t>
  </si>
  <si>
    <t>Thủa 56, tờ 51</t>
  </si>
  <si>
    <t>Đã chuyển 1.500m²</t>
  </si>
  <si>
    <t>Phùng Thanh Tùng</t>
  </si>
  <si>
    <t>Thửa 66, tờ 31</t>
  </si>
  <si>
    <t>Vũ Thị Uyên</t>
  </si>
  <si>
    <t>Thửa 12, tờ 42</t>
  </si>
  <si>
    <t>Nguyễn Văn Đáo</t>
  </si>
  <si>
    <t>Thửa 54, tờ 51</t>
  </si>
  <si>
    <t>Điểu Dé</t>
  </si>
  <si>
    <t>Thửa 441, tờ 02</t>
  </si>
  <si>
    <t>Nguyễn Văn Lén</t>
  </si>
  <si>
    <t>Thửa 07, tờ 54</t>
  </si>
  <si>
    <t>Nguyễn Đình Vĩnh Phúc</t>
  </si>
  <si>
    <t>Thửa 347, tờ 06</t>
  </si>
  <si>
    <t>Hoàng Văn Cáng</t>
  </si>
  <si>
    <t>Thửa 73, tờ 47</t>
  </si>
  <si>
    <t>Dương Văn Bá</t>
  </si>
  <si>
    <t>Thửa 225, tờ 25</t>
  </si>
  <si>
    <t>Phạm Thị Cẩm Nhàn</t>
  </si>
  <si>
    <t>Thửa 142, tờ 25</t>
  </si>
  <si>
    <t>Lương Thế Quang</t>
  </si>
  <si>
    <t>Thửa 156, tờ 30</t>
  </si>
  <si>
    <t>Bùi Thị Thuyết</t>
  </si>
  <si>
    <t>Thửa 338, tờ 11</t>
  </si>
  <si>
    <t>Nguyễn Văn Nghệ</t>
  </si>
  <si>
    <t>Thửa 47, tờ 51</t>
  </si>
  <si>
    <t>Trịnh Thị Thu Hồng</t>
  </si>
  <si>
    <t>Thửa 200, tờ 11</t>
  </si>
  <si>
    <t>Bùi Thị Dung</t>
  </si>
  <si>
    <t>Thửa 47, tờ 44</t>
  </si>
  <si>
    <t>Thửa 48, tờ 44</t>
  </si>
  <si>
    <t>Thửa 49, tờ 44</t>
  </si>
  <si>
    <t>Thửa 50, tờ 44</t>
  </si>
  <si>
    <t>Thửa 51, tờ 44</t>
  </si>
  <si>
    <t>Thửa 52, tờ 4</t>
  </si>
  <si>
    <t>Thửa 53, tờ 44</t>
  </si>
  <si>
    <t>Thửa 54, tờ 44</t>
  </si>
  <si>
    <t>Thửa 55, tờ 44</t>
  </si>
  <si>
    <t>Nguyễn Thị Hạnh</t>
  </si>
  <si>
    <t>Thửa 58, tờ 11</t>
  </si>
  <si>
    <t>Thửa 57, tờ 11</t>
  </si>
  <si>
    <t>Nguyễn Thị Oanh</t>
  </si>
  <si>
    <t>Thửa 85, tờ 11</t>
  </si>
  <si>
    <t>Thửa 279, tờ 30</t>
  </si>
  <si>
    <t>Thửa 56, tờ 51</t>
  </si>
  <si>
    <t>Lê Huy Trung</t>
  </si>
  <si>
    <t>Thửa 78, tờ 54</t>
  </si>
  <si>
    <t>Thửa 947, tờ 10</t>
  </si>
  <si>
    <t>Thửa 272, tờ 17</t>
  </si>
  <si>
    <t>Phan Thị Đào</t>
  </si>
  <si>
    <t>Thửa 58, tờ 39</t>
  </si>
  <si>
    <t>Nguyễn Thị Sa</t>
  </si>
  <si>
    <t>Thửa 04, tờ 49</t>
  </si>
  <si>
    <t>Thửa 08, tờ 49</t>
  </si>
  <si>
    <t>Thửa 913, tờ 10</t>
  </si>
  <si>
    <t>Nguyễn Văn Trước</t>
  </si>
  <si>
    <t>Thửa 484, tờ 50</t>
  </si>
  <si>
    <t>Thửa 28, tờ 49</t>
  </si>
  <si>
    <t>Châu Văn Vệ</t>
  </si>
  <si>
    <t>Thửa 57, tờ 49</t>
  </si>
  <si>
    <t>Nguyễn Văn Đến</t>
  </si>
  <si>
    <t>Thửa 114, tờ 46</t>
  </si>
  <si>
    <t>Nguyễn Ngọc Nam</t>
  </si>
  <si>
    <t>Thửa 14, tờ 32</t>
  </si>
  <si>
    <t>Nguyễn Thị Kim Ánh</t>
  </si>
  <si>
    <t>Thửa 316, tờ 06</t>
  </si>
  <si>
    <t>Thị Mai</t>
  </si>
  <si>
    <t>Thửa 585, tờ 53</t>
  </si>
  <si>
    <t>Trần Thị Liễn</t>
  </si>
  <si>
    <t>Thửa 652, tờ 17</t>
  </si>
  <si>
    <t>Điểu Lỳ</t>
  </si>
  <si>
    <t>Thửa 525, tờ 53</t>
  </si>
  <si>
    <t>Nguyễn Văn Sỹ</t>
  </si>
  <si>
    <t>Thửa 90, tờ 46</t>
  </si>
  <si>
    <t>Nguyễn Văn Ảnh</t>
  </si>
  <si>
    <t>Nguyên Văn Nồm</t>
  </si>
  <si>
    <t>Thị Thảo</t>
  </si>
  <si>
    <t>Thửa 235, tờ 06</t>
  </si>
  <si>
    <t>Nguyễn Quốc Thụy</t>
  </si>
  <si>
    <t>Thửa 408, tờ 11</t>
  </si>
  <si>
    <t>Nguyễn Tài Hiệp</t>
  </si>
  <si>
    <t>Thửa 561, tờ 53</t>
  </si>
  <si>
    <t>Nguyễn Văn Đặng</t>
  </si>
  <si>
    <t>Thửa 55, tờ 17</t>
  </si>
  <si>
    <t>Thửa 915, tờ 10</t>
  </si>
  <si>
    <t>Trần Thị Kiều</t>
  </si>
  <si>
    <t>Thửa 597, tờ 53</t>
  </si>
  <si>
    <t>Nguyễn Thị Mí</t>
  </si>
  <si>
    <t>Ngô Chí Vinh</t>
  </si>
  <si>
    <t>Thửa 296, tờ 30</t>
  </si>
  <si>
    <t>Phùng Hữu Giáp</t>
  </si>
  <si>
    <t>Thửa 405, tờ 11</t>
  </si>
  <si>
    <t>Phùng Hữu Nguyên</t>
  </si>
  <si>
    <t>Thửa 406, tờ 11</t>
  </si>
  <si>
    <t>Phùng Thị Bích Hồng</t>
  </si>
  <si>
    <t>Thửa 617, tờ 53</t>
  </si>
  <si>
    <t>Phạm Văn Hưởng</t>
  </si>
  <si>
    <t>Thửa 16, tờ 52</t>
  </si>
  <si>
    <t>Thửa 653, tờ 17</t>
  </si>
  <si>
    <t>Nguyễn Thị Bế</t>
  </si>
  <si>
    <t>Thửa 984, tờ 10</t>
  </si>
  <si>
    <t>Thửa 181, tờ 30</t>
  </si>
  <si>
    <t>Thửa 79, tờ 47</t>
  </si>
  <si>
    <t>Thửa 02, tờ 50</t>
  </si>
  <si>
    <t>Phạm Lương Tứ</t>
  </si>
  <si>
    <t>Thửa 281, tờ 53</t>
  </si>
  <si>
    <t>Vũ Công Tài</t>
  </si>
  <si>
    <t>Thửa 53, tờ 52</t>
  </si>
  <si>
    <t>Lê Xuân Ênh</t>
  </si>
  <si>
    <t>Thửa 27, tờ 32</t>
  </si>
  <si>
    <t>Đặng Văn Thắng</t>
  </si>
  <si>
    <t>Thửa 64, tờ 48</t>
  </si>
  <si>
    <t>Huỳnh Hoàng Minh</t>
  </si>
  <si>
    <t>Thửa 58, tờ 37</t>
  </si>
  <si>
    <t>Thửa 59, tờ 37</t>
  </si>
  <si>
    <t>Thửa 60, tờ 37</t>
  </si>
  <si>
    <t>Thửa 61, tờ 37</t>
  </si>
  <si>
    <t>Hà Thị Ngọc Phương</t>
  </si>
  <si>
    <t>Thửa 248, tờ 11</t>
  </si>
  <si>
    <t>Lại Khắc Công</t>
  </si>
  <si>
    <t>Thửa 01, tờ 18</t>
  </si>
  <si>
    <t>Huỳnh Văn Hận</t>
  </si>
  <si>
    <t>Thửa 523, tờ 50</t>
  </si>
  <si>
    <t>Thửa 32, tờ 05</t>
  </si>
  <si>
    <t>Dương Công Minh</t>
  </si>
  <si>
    <t>Thửa 75, tờ 49</t>
  </si>
  <si>
    <t>Thửa 77, tờ 49</t>
  </si>
  <si>
    <t>Phan Văn Huỳnh</t>
  </si>
  <si>
    <t>Thửa 40, tờ 49</t>
  </si>
  <si>
    <t>Từ Thị Phương Nhung</t>
  </si>
  <si>
    <t>Thửa 329, tờ 27</t>
  </si>
  <si>
    <t>Thửa 328, tờ 27</t>
  </si>
  <si>
    <t>Phạm Thanh Ngoan</t>
  </si>
  <si>
    <t>Thửa 601, tờ 53</t>
  </si>
  <si>
    <t>Hồ Thị Hồng</t>
  </si>
  <si>
    <t>Thửa 3, tờ 50</t>
  </si>
  <si>
    <t>Thửa 616, tờ 53</t>
  </si>
  <si>
    <t>Thửa 604, tờ 53</t>
  </si>
  <si>
    <t>Hà Đăng Mạnh</t>
  </si>
  <si>
    <t>Thửa 602, tờ 53</t>
  </si>
  <si>
    <t>Trần Hữu Tài</t>
  </si>
  <si>
    <t>Thửa 176, tờ 11</t>
  </si>
  <si>
    <t>Trần Thị Thìn</t>
  </si>
  <si>
    <t>Thửa 03, tờ 50</t>
  </si>
  <si>
    <t>Thửa 99, tờ 17</t>
  </si>
  <si>
    <t>Thửa 275, tờ 53</t>
  </si>
  <si>
    <t>Thửa 90, tờ 49</t>
  </si>
  <si>
    <t>Tăng Quốc Triệu</t>
  </si>
  <si>
    <t>Thửa 30, tờ 29</t>
  </si>
  <si>
    <t>Thửa 31, tờ 29</t>
  </si>
  <si>
    <t>Thửa 32, tờ 29</t>
  </si>
  <si>
    <t>Thửa 34, tờ 29</t>
  </si>
  <si>
    <t>Thửa 35, tờ 29</t>
  </si>
  <si>
    <t>Thửa 36, tờ 29</t>
  </si>
  <si>
    <t>Thửa 37, tờ 29</t>
  </si>
  <si>
    <t>Thửa 38, tờ 29</t>
  </si>
  <si>
    <t>Thửa 40, tờ 29</t>
  </si>
  <si>
    <t>Thửa 41, tờ 29</t>
  </si>
  <si>
    <t>Thửa 42, tờ 29</t>
  </si>
  <si>
    <t>Thửa 43, tờ 29</t>
  </si>
  <si>
    <t>Thửa 45, tờ 29</t>
  </si>
  <si>
    <t>Thửa 47, tờ 29</t>
  </si>
  <si>
    <t>Thửa 52, tờ 29</t>
  </si>
  <si>
    <t>Thửa 53, tờ 29</t>
  </si>
  <si>
    <t>Thửa 55, tờ 29</t>
  </si>
  <si>
    <t>Thửa 56, tờ 29</t>
  </si>
  <si>
    <t>Thửa 58, tờ 29</t>
  </si>
  <si>
    <t>Thửa 59, tờ 29</t>
  </si>
  <si>
    <t>Thửa 60, tờ 29</t>
  </si>
  <si>
    <t>Thửa 61, tờ 29</t>
  </si>
  <si>
    <t>Thửa 62, tờ 29</t>
  </si>
  <si>
    <t>Thửa 63, tờ 29</t>
  </si>
  <si>
    <t>Tăng Thị Huyền Trang</t>
  </si>
  <si>
    <t>Thửa 64, tờ 29</t>
  </si>
  <si>
    <t>Thửa 66, tờ 29</t>
  </si>
  <si>
    <t>Thửa 67, tờ 29</t>
  </si>
  <si>
    <t>Thửa 68, tờ 29</t>
  </si>
  <si>
    <t>Thửa 69, tờ 29</t>
  </si>
  <si>
    <t>Thửa 70, tờ 29</t>
  </si>
  <si>
    <t>Thửa 71, tờ 29</t>
  </si>
  <si>
    <t>Thửa 72, tờ 29</t>
  </si>
  <si>
    <t>Thửa 73, tờ 29</t>
  </si>
  <si>
    <t>Thửa 74, tờ 29</t>
  </si>
  <si>
    <t>Thửa 75, tờ 29</t>
  </si>
  <si>
    <t>Thửa 76, tờ 29</t>
  </si>
  <si>
    <t>Thửa 77, tờ 29</t>
  </si>
  <si>
    <t>Thửa 78, tờ 29</t>
  </si>
  <si>
    <t>Thửa 79, tờ 29</t>
  </si>
  <si>
    <t>Thửa 80, tờ 29</t>
  </si>
  <si>
    <t>Thửa 81, tờ 29</t>
  </si>
  <si>
    <t>Thửa 82, tờ 29</t>
  </si>
  <si>
    <t>Thửa 83, tờ 29</t>
  </si>
  <si>
    <t>Thửa 84, tờ 29</t>
  </si>
  <si>
    <t>Thửa 85, tờ 29</t>
  </si>
  <si>
    <t>Thửa 86, tờ 29</t>
  </si>
  <si>
    <t>Thửa 87, tờ 29</t>
  </si>
  <si>
    <t>Thửa 88, tờ 29</t>
  </si>
  <si>
    <t>Thửa 89, tờ 29</t>
  </si>
  <si>
    <t>Thửa 90, tờ 29</t>
  </si>
  <si>
    <t>Thửa 91, tờ 29</t>
  </si>
  <si>
    <t>Thửa 93, tờ 29</t>
  </si>
  <si>
    <t>Thửa 94, tờ 29</t>
  </si>
  <si>
    <t>Thửa 96, tờ 29</t>
  </si>
  <si>
    <t>Thửa 97, tờ 29</t>
  </si>
  <si>
    <t>Thửa 98, tờ 29</t>
  </si>
  <si>
    <t>Thửa 99, tờ 29</t>
  </si>
  <si>
    <t>Thửa 101, tờ 29</t>
  </si>
  <si>
    <t>Thửa 102, tờ 29</t>
  </si>
  <si>
    <t>Thửa 103, tờ 29</t>
  </si>
  <si>
    <t>Thửa 104, tờ 29</t>
  </si>
  <si>
    <t>Thửa 106, tờ 29</t>
  </si>
  <si>
    <t>Thửa 107, tờ 29</t>
  </si>
  <si>
    <t>Thửa 108, tờ 29</t>
  </si>
  <si>
    <t>Thửa 109, tờ 29</t>
  </si>
  <si>
    <t>Thửa 111, tờ 29</t>
  </si>
  <si>
    <t>Thửa 112, tờ 29</t>
  </si>
  <si>
    <t>Phan Thị Thu Hằng</t>
  </si>
  <si>
    <t>Thửa 20, tờ 55</t>
  </si>
  <si>
    <t>Lê Đức Tính</t>
  </si>
  <si>
    <t>Thửa 50, tờ 55</t>
  </si>
  <si>
    <t>Nguyễn Thanh Hoàng</t>
  </si>
  <si>
    <t>Thửa 531, tờ 53</t>
  </si>
  <si>
    <t>Lâm Thành Lễ</t>
  </si>
  <si>
    <t>Lê Đình An</t>
  </si>
  <si>
    <t>Thửa 52, tờ 52</t>
  </si>
  <si>
    <t>Thửa 5, tờ 52</t>
  </si>
  <si>
    <t>Thửa 4, tờ 52</t>
  </si>
  <si>
    <t>Nguyễn Thị Bích Vân</t>
  </si>
  <si>
    <t>Thửa 194, tờ 25</t>
  </si>
  <si>
    <t>Phạm Thị Lộc</t>
  </si>
  <si>
    <t>Thửa 382, tờ 11</t>
  </si>
  <si>
    <t>Nguyễn Trung Tiến</t>
  </si>
  <si>
    <t>Thửa 384, tờ 31</t>
  </si>
  <si>
    <t>Cao Đình Thảo</t>
  </si>
  <si>
    <t>Thửa 18, tờ 17</t>
  </si>
  <si>
    <t>Nguyễn Nữ Dạ Thảo</t>
  </si>
  <si>
    <t>Thửa 201, tờ 11</t>
  </si>
  <si>
    <t>Thị Hợi</t>
  </si>
  <si>
    <t>Thửa 22, tờ 13</t>
  </si>
  <si>
    <t>Lương Viết Hùng</t>
  </si>
  <si>
    <t>Thửa 35, tờ 13</t>
  </si>
  <si>
    <t>Trương Công Định</t>
  </si>
  <si>
    <t>Thửa 123, tờ 46</t>
  </si>
  <si>
    <t>Biện Quốc Linh</t>
  </si>
  <si>
    <t>Thửa 59, tờ 49</t>
  </si>
  <si>
    <t>Thửa 74, tờ 52</t>
  </si>
  <si>
    <t>VII</t>
  </si>
  <si>
    <t>Lưu Thị Luyến</t>
  </si>
  <si>
    <t>Thửa 315, tờ 00</t>
  </si>
  <si>
    <t>Thửa 308, tờ 00</t>
  </si>
  <si>
    <t>Thàm Thanh Liêm</t>
  </si>
  <si>
    <t>Thửa 303, tờ 00</t>
  </si>
  <si>
    <t>Trần Xuân Vui</t>
  </si>
  <si>
    <t>Thửa 399, tờ 00</t>
  </si>
  <si>
    <t>Thửa 304, tờ 00</t>
  </si>
  <si>
    <t>Nguyễn Thị Kiên</t>
  </si>
  <si>
    <t>Thửa 317, tờ 00 (36-2019)</t>
  </si>
  <si>
    <t>Thửa 401, tờ 00</t>
  </si>
  <si>
    <t>Vũ Đình Nguyên</t>
  </si>
  <si>
    <t>Thửa 433, tờ 37-2017</t>
  </si>
  <si>
    <t>Cao Thị Hạnh</t>
  </si>
  <si>
    <t>Thửa 431, tờ 37-2017</t>
  </si>
  <si>
    <t>Lê Thị Bạch Tuyết</t>
  </si>
  <si>
    <t>Thửa 242, tờ 00</t>
  </si>
  <si>
    <t>Nguyễn Thị Rõ</t>
  </si>
  <si>
    <t>Thửa 410, tờ 53-2015</t>
  </si>
  <si>
    <t>Thửa 264, tờ 00</t>
  </si>
  <si>
    <t>Thửa 411, tờ 53-2015</t>
  </si>
  <si>
    <t>Thửa 412, tờ 53-2015</t>
  </si>
  <si>
    <t>Thửa 413, tờ 53-2015</t>
  </si>
  <si>
    <t>Thửa 414, tờ 53-2015</t>
  </si>
  <si>
    <t>Thửa 415, tờ 53-2015</t>
  </si>
  <si>
    <t>Thửa 416, tờ 53-2015</t>
  </si>
  <si>
    <t>Đặng Văn Mỹ</t>
  </si>
  <si>
    <t>Thửa 281, tờ 00</t>
  </si>
  <si>
    <t>Trương Quốc Phong</t>
  </si>
  <si>
    <t>Thửa 218, tờ 00</t>
  </si>
  <si>
    <t>Thửa 238, tờ 25-2018</t>
  </si>
  <si>
    <t>Thửa 40, tờ 00</t>
  </si>
  <si>
    <t>Cao Viết Xuân</t>
  </si>
  <si>
    <t>Thửa 275, tờ 00</t>
  </si>
  <si>
    <t>Bùi Thị Hồng</t>
  </si>
  <si>
    <t>Lê Minh Hưng</t>
  </si>
  <si>
    <t>Thửa 381, tờ 00</t>
  </si>
  <si>
    <t>Trần Văn Điều</t>
  </si>
  <si>
    <t>Thửa 153, tờ 00</t>
  </si>
  <si>
    <t>Trương Thị Thanh Bình</t>
  </si>
  <si>
    <t>Thửa 354, tờ 1836-2019</t>
  </si>
  <si>
    <t>Thửa 401, tờ 86-2018</t>
  </si>
  <si>
    <t>Thửa 48, tờ 00</t>
  </si>
  <si>
    <t>Lê Văn Nhuận</t>
  </si>
  <si>
    <t>Thửa 288, tờ 00</t>
  </si>
  <si>
    <t>Bùi Văn Nết</t>
  </si>
  <si>
    <t>Thửa 366, tờ 272-2020</t>
  </si>
  <si>
    <t>Nguyễn Thị Thịnh</t>
  </si>
  <si>
    <t>Thửa 114, tờ 00</t>
  </si>
  <si>
    <t>Nguyễn Thị Kim Tiền</t>
  </si>
  <si>
    <t>Thửa 311, tờ 00</t>
  </si>
  <si>
    <t>Trần Hữu Minh Tâm</t>
  </si>
  <si>
    <t>Thửa 383, tờ 00</t>
  </si>
  <si>
    <t>Bùi Văn Bình</t>
  </si>
  <si>
    <t>Thửa 203, tờ 00</t>
  </si>
  <si>
    <t>Lê Văn Kiềm</t>
  </si>
  <si>
    <t>Thửa 19, tờ 00</t>
  </si>
  <si>
    <t>Võ Thị Thùy Vân</t>
  </si>
  <si>
    <t>Thửa 84, tờ 00</t>
  </si>
  <si>
    <t>Thửa 477, tờ 831-2018</t>
  </si>
  <si>
    <t>Thửa 476, tờ 831-2018</t>
  </si>
  <si>
    <t>Nguyễn Phúc Hậu</t>
  </si>
  <si>
    <t>Thửa 447, tờ 69-2020</t>
  </si>
  <si>
    <t>Thửa 47, tờ 00</t>
  </si>
  <si>
    <t>Hồ Văn Cương</t>
  </si>
  <si>
    <t>Thửa 260, tờ 00</t>
  </si>
  <si>
    <t>Lê Thị Luyến</t>
  </si>
  <si>
    <t>Thửa 315, tờ 36-2017</t>
  </si>
  <si>
    <t>Phan Văn Toàn 
(Bùi Văn Bình)</t>
  </si>
  <si>
    <t>Thửa 529, tờ 1192-2019</t>
  </si>
  <si>
    <t>Thửa 307, tờ 00</t>
  </si>
  <si>
    <t>Trương Đình Phong</t>
  </si>
  <si>
    <t>Thửa 320, tờ 04-2016</t>
  </si>
  <si>
    <t>Trương Thị Ba</t>
  </si>
  <si>
    <t>Thửa 255, tờ 00</t>
  </si>
  <si>
    <t>Hồ Văn Đực</t>
  </si>
  <si>
    <t>Thửa 125, tờ 00</t>
  </si>
  <si>
    <t>Nguyễn Văn Ca</t>
  </si>
  <si>
    <t>Thửa 20, tờ 00</t>
  </si>
  <si>
    <t>Trương Thị Ngọc</t>
  </si>
  <si>
    <t>Thửa 332, tờ 642-2020</t>
  </si>
  <si>
    <t>Võ Văn Bé Bảy</t>
  </si>
  <si>
    <t>Thửa 269, tờ 00</t>
  </si>
  <si>
    <t>Thửa 261, tờ 65-2018</t>
  </si>
  <si>
    <t>Thửa 54, tờ 00</t>
  </si>
  <si>
    <t>Nguyễn Văn Sự</t>
  </si>
  <si>
    <t>Thửa 322, tờ 04-2016</t>
  </si>
  <si>
    <t>Phạm Thị Truyện</t>
  </si>
  <si>
    <t>Thửa 155, tờ 00</t>
  </si>
  <si>
    <t>Nguyễn Thị Tuyến</t>
  </si>
  <si>
    <t>Thửa 349, tờ 59-2016</t>
  </si>
  <si>
    <t>Nguyễn Văn Hoàng</t>
  </si>
  <si>
    <t>Thửa 482, tờ 107-2016</t>
  </si>
  <si>
    <t>Thửa 160, tờ 00</t>
  </si>
  <si>
    <t>Nguyễn Tấn Khánh</t>
  </si>
  <si>
    <t>Thửa 244, tờ 00</t>
  </si>
  <si>
    <t>Lê Thị Ngọc Hà</t>
  </si>
  <si>
    <t>Thửa 388, tờ 32-2020</t>
  </si>
  <si>
    <t>Nguyễn Văn Toàn</t>
  </si>
  <si>
    <t>Thửa 156, tờ 00</t>
  </si>
  <si>
    <t>Thửa 35, tờ 00</t>
  </si>
  <si>
    <t>Mai Thị Hà</t>
  </si>
  <si>
    <t>Thửa 154, tờ 00</t>
  </si>
  <si>
    <t>Dương Thị Dương</t>
  </si>
  <si>
    <t>Thửa 258, tờ 00</t>
  </si>
  <si>
    <t>Thửa 319, tờ 00</t>
  </si>
  <si>
    <t>Lê Văn Tuyền</t>
  </si>
  <si>
    <t>Thửa 783, tờ 3723-2020</t>
  </si>
  <si>
    <t>Trương Phước Tài</t>
  </si>
  <si>
    <t>Thửa 305, tờ 00</t>
  </si>
  <si>
    <t>Thửa 807, tờ 4642-2020</t>
  </si>
  <si>
    <t>Thửa 808, tờ 4643-2020</t>
  </si>
  <si>
    <t>Thửa 809, tờ 4644-2020</t>
  </si>
  <si>
    <t>Phạm Văn Thông</t>
  </si>
  <si>
    <t>Thửa 283, tờ 00</t>
  </si>
  <si>
    <t>Nguyễn Thị Thích</t>
  </si>
  <si>
    <t>Thửa 552, tờ 3155-2020</t>
  </si>
  <si>
    <t>Phạm Thanh Sơn</t>
  </si>
  <si>
    <t>Thửa 368, tờ 00</t>
  </si>
  <si>
    <t>Phạm Văn Sết</t>
  </si>
  <si>
    <t>Thửa 42, tờ 00</t>
  </si>
  <si>
    <t>Thửa 43, tờ 00</t>
  </si>
  <si>
    <t>Phạm Văn Sơn</t>
  </si>
  <si>
    <t>Thửa 422, tờ 71-2016</t>
  </si>
  <si>
    <t>Hồ Văn Châu</t>
  </si>
  <si>
    <t>Thửa 408, tờ 57-2016</t>
  </si>
  <si>
    <t>Phạm Công Tuấn</t>
  </si>
  <si>
    <t>Thửa 1072, tờ 00</t>
  </si>
  <si>
    <t>Lê Thị Diệu Hiền</t>
  </si>
  <si>
    <t>Thửa 380, tờ 00</t>
  </si>
  <si>
    <t>Trần Ngọc Nguyên</t>
  </si>
  <si>
    <t>Thửa 43, tờ 27-2016</t>
  </si>
  <si>
    <t>Thửa 15, tờ 22-2018</t>
  </si>
  <si>
    <t>Phạm Thị Trúc Chi</t>
  </si>
  <si>
    <t>Thửa 300, tờ 00</t>
  </si>
  <si>
    <t>Vũ Minh Dương</t>
  </si>
  <si>
    <t>Thửa 482, tờ 513-2020</t>
  </si>
  <si>
    <t>Võ Hữu Anh</t>
  </si>
  <si>
    <t>Thửa 845, tờ 4916-2020</t>
  </si>
  <si>
    <t>Nguyễn Anh Tuấn</t>
  </si>
  <si>
    <t>Thửa 182, tờ 46-2016</t>
  </si>
  <si>
    <t>Thửa 151, tờ 1388-2019</t>
  </si>
  <si>
    <t>Thửa 1078, tờ 2925-2021</t>
  </si>
  <si>
    <t>Thửa 1079, tờ 2926-2021</t>
  </si>
  <si>
    <t>Thửa 1080, tờ 2927-2021</t>
  </si>
  <si>
    <t>Thửa 1081, tờ 2928-2021</t>
  </si>
  <si>
    <t>Thửa 1082, tờ 2929-2021</t>
  </si>
  <si>
    <t>Đăng Thanh Nhung</t>
  </si>
  <si>
    <t>Thửa 335, tờ 98-2019</t>
  </si>
  <si>
    <t>Thửa 409, tờ 717-2019</t>
  </si>
  <si>
    <t>Thửa 410, tờ 717-2019</t>
  </si>
  <si>
    <t>Thửa 411, tờ 717-2019</t>
  </si>
  <si>
    <t>Thửa 412, tờ 717-2019</t>
  </si>
  <si>
    <t>Thửa 413, tờ 717-2019</t>
  </si>
  <si>
    <t>Thửa 414, tờ 717-2019</t>
  </si>
  <si>
    <t>Thửa 415, tờ 717-2019</t>
  </si>
  <si>
    <t>Thửa 416, tờ 717-2019</t>
  </si>
  <si>
    <t>Thửa 417, tờ 717-2019</t>
  </si>
  <si>
    <t>Thửa 418, tờ 717-2019</t>
  </si>
  <si>
    <t>Thửa 419, tờ 717-2019</t>
  </si>
  <si>
    <t>Thửa 420, tờ 717-2019</t>
  </si>
  <si>
    <t>Thửa 421, tờ 717-2019</t>
  </si>
  <si>
    <t>Nguyễn Hồng Phúc</t>
  </si>
  <si>
    <t>Thửa 493, tờ 10-2019</t>
  </si>
  <si>
    <t>Trần Văn Dư</t>
  </si>
  <si>
    <t>Thửa 60, tờ 00</t>
  </si>
  <si>
    <t>Bùi Ngọc Hải</t>
  </si>
  <si>
    <t>Thửa 483, tờ 580-2020</t>
  </si>
  <si>
    <t>Cao Tiến Thắng</t>
  </si>
  <si>
    <t>Thửa 836, tờ 5027-2020</t>
  </si>
  <si>
    <t>Thửa 963, tờ 930-2021</t>
  </si>
  <si>
    <t>Thửa 219, tờ 00</t>
  </si>
  <si>
    <t>Hồ Kiến Quốc</t>
  </si>
  <si>
    <t>Thửa 842, tờ 4913-2020</t>
  </si>
  <si>
    <t>Thửa 844, tờ 4915-2020</t>
  </si>
  <si>
    <t>Nguyễn Thị Ngọc Hà</t>
  </si>
  <si>
    <t>Thửa 828, tờ 932-2020</t>
  </si>
  <si>
    <t>Nguyễn Tấn Hiệp</t>
  </si>
  <si>
    <t>Thửa 553, tờ 3164-2020</t>
  </si>
  <si>
    <t>Phan Văn Chường</t>
  </si>
  <si>
    <t>Thửa 170, tờ 00</t>
  </si>
  <si>
    <t>Lê Văn Chúc</t>
  </si>
  <si>
    <t>Thửa 163, tờ 00</t>
  </si>
  <si>
    <t>Nguyễn Văn Mịnh</t>
  </si>
  <si>
    <t>Thửa 167, tờ 00</t>
  </si>
  <si>
    <t>Lê Thành Thuận</t>
  </si>
  <si>
    <t>Thửa 165, tờ 00</t>
  </si>
  <si>
    <t>Thửa 1177, tờ 6228-2021</t>
  </si>
  <si>
    <t>Cao Đức Mạnh
ĐSD Đặng Quốc Vũ</t>
  </si>
  <si>
    <t>Thửa 970, tờ 1174-2021</t>
  </si>
  <si>
    <t>Thửa 573, tờ 3610-2020</t>
  </si>
  <si>
    <t>Đỗ Ngọc Lưu</t>
  </si>
  <si>
    <t>Thửa 1170, tờ 5440-2021</t>
  </si>
  <si>
    <t>Nguyễn Thị Nga</t>
  </si>
  <si>
    <t>Thửa 1102, tờ 3409-2021</t>
  </si>
  <si>
    <t>Hồ Văn Hợp</t>
  </si>
  <si>
    <t>Thửa 574, tờ3 611-2020</t>
  </si>
  <si>
    <t>Trần Cao Hiền</t>
  </si>
  <si>
    <t>Thửa 443, tờ 28-2016</t>
  </si>
  <si>
    <t>Hồ Thị Sơn</t>
  </si>
  <si>
    <t>Thửa 559, tờ 3783-2021</t>
  </si>
  <si>
    <t>Trần Văn Dũng</t>
  </si>
  <si>
    <t>Thửa 171, tờ 00</t>
  </si>
  <si>
    <t>Thửa 841, tờ TĐ 4912-2020</t>
  </si>
  <si>
    <t>Nguyễn Thị Ánh Nga</t>
  </si>
  <si>
    <t>Thửa 840, tờ TĐ 4911-2020</t>
  </si>
  <si>
    <t>Thửa 1163, tờ TĐ 4620-2021</t>
  </si>
  <si>
    <t>Thửa 1162, tờ TĐ 4619-2021</t>
  </si>
  <si>
    <t>Phạm Văn Hưng</t>
  </si>
  <si>
    <t>Thửa 1024, tờ TĐ 1923-2021</t>
  </si>
  <si>
    <t>Thửa 941, tờ TĐ 839-2021</t>
  </si>
  <si>
    <t>Nguyễn Văn Sơn</t>
  </si>
  <si>
    <t>Lê Khắc Dương</t>
  </si>
  <si>
    <t>Thửa 1166, tờ TĐ 4897-2021</t>
  </si>
  <si>
    <t>Trương Danh Tuyên</t>
  </si>
  <si>
    <t>Thửa 485, tờ TĐ 582-2020</t>
  </si>
  <si>
    <t>Thửa 1104, tờ TĐ 3665-2021</t>
  </si>
  <si>
    <t>Mai Anh Tuấn</t>
  </si>
  <si>
    <t>Thửa 798, tờ TĐ 4285-2020</t>
  </si>
  <si>
    <t>Phạm Thị Lệ Thủy</t>
  </si>
  <si>
    <t>VIII</t>
  </si>
  <si>
    <t>Trần Thị Châu</t>
  </si>
  <si>
    <t>Thửa 04, tờ 47</t>
  </si>
  <si>
    <t>Phan Thị Bích Thanh</t>
  </si>
  <si>
    <t>Thửa 152, tờ 46</t>
  </si>
  <si>
    <t>Thửa 309, tờ 33</t>
  </si>
  <si>
    <t>Võ Thị Lệ</t>
  </si>
  <si>
    <t>Thửa 88, tờ 37</t>
  </si>
  <si>
    <t>Trịnh Ngọc Hoa</t>
  </si>
  <si>
    <t>Thửa 267, tờ 23</t>
  </si>
  <si>
    <t>Nguyễn Thị Sơn</t>
  </si>
  <si>
    <t>Thửa 257, tờ 33</t>
  </si>
  <si>
    <t>Nguyễn Thành Danh</t>
  </si>
  <si>
    <t>Thửa 179, tờ 52</t>
  </si>
  <si>
    <t>Nguyễn Thị Chung</t>
  </si>
  <si>
    <t>Thửa 37, tờ 46</t>
  </si>
  <si>
    <t>Dương Hồng Nguyên</t>
  </si>
  <si>
    <t>Thửa 324, tờ 10</t>
  </si>
  <si>
    <t>Nguyễn Thị Thùy Trang</t>
  </si>
  <si>
    <t>Thửa 205, tờ 07</t>
  </si>
  <si>
    <t>Thửa 29, tờ 22</t>
  </si>
  <si>
    <t>Nguyễn Phong Cảnh</t>
  </si>
  <si>
    <t>Thửa 103, tờ 01</t>
  </si>
  <si>
    <t>Hoàng Công Chính</t>
  </si>
  <si>
    <t>Thửa 10, tờ 18</t>
  </si>
  <si>
    <t>Điểu Dơi</t>
  </si>
  <si>
    <t>Thửa 321, tờ 11</t>
  </si>
  <si>
    <t>Vũ Thị Tăng</t>
  </si>
  <si>
    <t>Thửa 85, tờ 08</t>
  </si>
  <si>
    <t>Trần Thị Hồng Loan</t>
  </si>
  <si>
    <t>Thửa 208, tờ 51</t>
  </si>
  <si>
    <t>Lê Vĩnh Đức</t>
  </si>
  <si>
    <t>Thửa 299, tờ 08</t>
  </si>
  <si>
    <t>Nguyễn Văn Lót</t>
  </si>
  <si>
    <t>Thửa 182, tờ 22</t>
  </si>
  <si>
    <t>Trần Ký</t>
  </si>
  <si>
    <t>Thửa 81, tờ 45</t>
  </si>
  <si>
    <t>Hoàng Thanh Phú</t>
  </si>
  <si>
    <t>Thửa 98, tờ 46</t>
  </si>
  <si>
    <t>Chu Văn Chiến</t>
  </si>
  <si>
    <t>Thửa 153, tờ 18</t>
  </si>
  <si>
    <t>Mai Khắc Hiếu</t>
  </si>
  <si>
    <t>Thửa 34, tờ 45</t>
  </si>
  <si>
    <t>Chu Văn Hữu</t>
  </si>
  <si>
    <t>Thửa 308, tờ 33</t>
  </si>
  <si>
    <t>Nguyễn Đình Lưỡng</t>
  </si>
  <si>
    <t>Thửa 90, tờ 07</t>
  </si>
  <si>
    <t>Nguyễn Hữu Cường</t>
  </si>
  <si>
    <t>Thửa 33, tờ 38</t>
  </si>
  <si>
    <t>Lê Thị Xiếc</t>
  </si>
  <si>
    <t>Thửa 61, tờ 33</t>
  </si>
  <si>
    <t>Nguyễn Tấn Hưng</t>
  </si>
  <si>
    <t>Thửa 258, tờ 05</t>
  </si>
  <si>
    <t>Đặng Trung Phương</t>
  </si>
  <si>
    <t>Thửa 122, tờ 01</t>
  </si>
  <si>
    <t>Lê Văn Tâm</t>
  </si>
  <si>
    <t>Thửa 121, tờ 01</t>
  </si>
  <si>
    <t>Ngô Trọng Tướng</t>
  </si>
  <si>
    <t>Thị Hương</t>
  </si>
  <si>
    <t>Thửa 247, tờ 10</t>
  </si>
  <si>
    <t>Nguyễn Văn Thạch</t>
  </si>
  <si>
    <t>Thửa 167, tờ 18</t>
  </si>
  <si>
    <t>Hoàng Thị Nông</t>
  </si>
  <si>
    <t>Thửa 209, tờ 09</t>
  </si>
  <si>
    <t>Nguyễn Hùng Mai</t>
  </si>
  <si>
    <t>Thửa 260, tờ 08</t>
  </si>
  <si>
    <t>Hứa Quang Minh</t>
  </si>
  <si>
    <t>Thửa 204, tờ 09</t>
  </si>
  <si>
    <t>Trần Thị Mai</t>
  </si>
  <si>
    <t>Thửa 194, tờ 09</t>
  </si>
  <si>
    <t>Mai Xuân Đại</t>
  </si>
  <si>
    <t>Thửa 02, tờ 17</t>
  </si>
  <si>
    <t>Lê Thị Mộng Thu</t>
  </si>
  <si>
    <t>Thửa 264, tờ 08</t>
  </si>
  <si>
    <t>Thửa 113, tờ 08</t>
  </si>
  <si>
    <t>Thửa 104, tờ 08</t>
  </si>
  <si>
    <t>Điểu Phương</t>
  </si>
  <si>
    <t>Thửa 36, tờ 05</t>
  </si>
  <si>
    <t>Trần Thanh Dũng</t>
  </si>
  <si>
    <t>Thửa 104, tờ 40</t>
  </si>
  <si>
    <t>Điểu Giao</t>
  </si>
  <si>
    <t>Thửa 215, tờ 23</t>
  </si>
  <si>
    <t>Trần Thị Tuyết</t>
  </si>
  <si>
    <t>Thửa 31, tờ 17</t>
  </si>
  <si>
    <t>Nguyễn Khoa Thái</t>
  </si>
  <si>
    <t>Thửa 06, tờ 01</t>
  </si>
  <si>
    <t>Nguyễn Tiến Sự</t>
  </si>
  <si>
    <t>Đỗ Phước Hợp</t>
  </si>
  <si>
    <t>Thửa 265, tờ 08</t>
  </si>
  <si>
    <t>Lê Thị Đồng</t>
  </si>
  <si>
    <t>Lý Mong Kha</t>
  </si>
  <si>
    <t>Thửa 94, tờ 23</t>
  </si>
  <si>
    <t>Nguyễn Thị Thanh Hiếu
ĐSD Lê Thị Tuyết Nhi</t>
  </si>
  <si>
    <t>Thửa 181, tờ 18</t>
  </si>
  <si>
    <t>Trần Thị Nghề</t>
  </si>
  <si>
    <t>Thửa 184, tờ 18</t>
  </si>
  <si>
    <t>Nguyễn Văn Tùng</t>
  </si>
  <si>
    <t>Thửa 23, tờ 33</t>
  </si>
  <si>
    <t>Nghiêm Thị Thanh</t>
  </si>
  <si>
    <t>Thửa 105, tờ 37</t>
  </si>
  <si>
    <t>Võ Thanh Thảo</t>
  </si>
  <si>
    <t>Thửa 310, tờ 33</t>
  </si>
  <si>
    <t>Hà Hoàng Chiến</t>
  </si>
  <si>
    <t>Thửa 304, tờ 37</t>
  </si>
  <si>
    <t>Điểu Tèo</t>
  </si>
  <si>
    <t>Thửa 426, tờ 05</t>
  </si>
  <si>
    <t>Trịnh Phước Long</t>
  </si>
  <si>
    <t>Thửa 30, tờ 28</t>
  </si>
  <si>
    <t>Thửa 18, tờ 21</t>
  </si>
  <si>
    <t>Lê Thị Siếc</t>
  </si>
  <si>
    <t>Thửa 287, tờ 33</t>
  </si>
  <si>
    <t>Thửa 52, tờ 37</t>
  </si>
  <si>
    <t>Lê Thị Ngọc Lan</t>
  </si>
  <si>
    <t>Thửa 306, tờ 33</t>
  </si>
  <si>
    <t>Đỗ Văn Cần</t>
  </si>
  <si>
    <t>Thửa 102, tờ 27</t>
  </si>
  <si>
    <t>Đoàn Văn Hùng</t>
  </si>
  <si>
    <t>Thửa 420, tờ 05</t>
  </si>
  <si>
    <t>Nguyễn Việt Tuấn</t>
  </si>
  <si>
    <t>Thửa 96, tờ 03</t>
  </si>
  <si>
    <t>Thửa 39, tờ 16</t>
  </si>
  <si>
    <t>Nguyễn Thị Xuân Lài</t>
  </si>
  <si>
    <t>Thửa 145, tờ 37</t>
  </si>
  <si>
    <t>Võ Văn Thủy</t>
  </si>
  <si>
    <t>Thửa 19, tờ 10</t>
  </si>
  <si>
    <t>Lê Thị Kim Anh</t>
  </si>
  <si>
    <t>Thửa 284, tờ 37</t>
  </si>
  <si>
    <t>Lê Thị Hồng Anh</t>
  </si>
  <si>
    <t>Thửa 283, tờ 37</t>
  </si>
  <si>
    <t>Trịnh Xuân Vy</t>
  </si>
  <si>
    <t>Thửa 20, tờ 51</t>
  </si>
  <si>
    <t>Thửa 28, tờ 51</t>
  </si>
  <si>
    <t>Nguyễn Thị Sữu</t>
  </si>
  <si>
    <t>Thửa 149, tờ 07</t>
  </si>
  <si>
    <t>Phạm Văn Thùy</t>
  </si>
  <si>
    <t>Thửa 33, tờ 2</t>
  </si>
  <si>
    <t>Thửa 62, tờ 52</t>
  </si>
  <si>
    <t>Điểu Hoàng</t>
  </si>
  <si>
    <t>Thửa 415, tờ 09</t>
  </si>
  <si>
    <t>Nguyễn Đức Cường</t>
  </si>
  <si>
    <t>Thửa 226, tờ 07</t>
  </si>
  <si>
    <t>Đoàn Văn Hoàng</t>
  </si>
  <si>
    <t>Thửa 362, tờ 05</t>
  </si>
  <si>
    <t>Nguyễn Xuân Côn</t>
  </si>
  <si>
    <t>Thửa 286, tờ 33</t>
  </si>
  <si>
    <t>Lương Văn Dũng</t>
  </si>
  <si>
    <t>Thửa 190, tờ 52</t>
  </si>
  <si>
    <t>Thửa 455, tờ 5</t>
  </si>
  <si>
    <t>Vũ Văn Minh</t>
  </si>
  <si>
    <t>Thửa 94, tờ 52</t>
  </si>
  <si>
    <t>Đặng Văn Phượng</t>
  </si>
  <si>
    <t>Thửa 23, tờ 5</t>
  </si>
  <si>
    <t>Đoàn Minh Dương</t>
  </si>
  <si>
    <t>Thửa 218, tờ 7</t>
  </si>
  <si>
    <t>Nguyễn Văn Quý</t>
  </si>
  <si>
    <t>Nguyễn Thị Son</t>
  </si>
  <si>
    <t>Thửa 122, tờ 1</t>
  </si>
  <si>
    <t>Thửa 115, tờ 39</t>
  </si>
  <si>
    <t>Thửa 29, tờ 39</t>
  </si>
  <si>
    <t>Nguyễn Trọng Đức</t>
  </si>
  <si>
    <t>Thửa 349, tờ 03</t>
  </si>
  <si>
    <t>Thửa 347, tờ 03</t>
  </si>
  <si>
    <t>Thửa 348, tờ 03</t>
  </si>
  <si>
    <t>Trịnh Xuân Tiến</t>
  </si>
  <si>
    <t>Thửa 368, tờ 03</t>
  </si>
  <si>
    <t>Thị Út</t>
  </si>
  <si>
    <t>Thửa 69, tờ 03</t>
  </si>
  <si>
    <t>Thị Gương</t>
  </si>
  <si>
    <t>Thửa 71, tờ 03</t>
  </si>
  <si>
    <t>Thửa 118, tờ 40</t>
  </si>
  <si>
    <t>Thửa 117, tờ 40</t>
  </si>
  <si>
    <t>Thửa 116, tờ 40</t>
  </si>
  <si>
    <t>Lương Văn Tuấn</t>
  </si>
  <si>
    <t>Thửa 127, tờ 40</t>
  </si>
  <si>
    <t>Thửa 126, tờ 40</t>
  </si>
  <si>
    <t>Thửa 125, tờ 40</t>
  </si>
  <si>
    <t>Thửa 98, tờ 58</t>
  </si>
  <si>
    <t>Thửa 25, tờ 40</t>
  </si>
  <si>
    <t>Phạm Văn Mã</t>
  </si>
  <si>
    <t>Thửa 36, tờ 39</t>
  </si>
  <si>
    <t>Trần Thị Nghê</t>
  </si>
  <si>
    <t>Thửa 180, tờ 08</t>
  </si>
  <si>
    <t>Thửa 121, tờ 22</t>
  </si>
  <si>
    <t>Nguyễn Mộng Truyền</t>
  </si>
  <si>
    <t>Thửa 28, tờ 39</t>
  </si>
  <si>
    <t>Thị Bưa</t>
  </si>
  <si>
    <t>Thửa 196, tờ 03</t>
  </si>
  <si>
    <t>Đã chuyển 2.500m²</t>
  </si>
  <si>
    <t>Nguyễn Thị Thanh Nga</t>
  </si>
  <si>
    <t>Thửa 159, tờ 07</t>
  </si>
  <si>
    <t>Nguyễn Đại Dương</t>
  </si>
  <si>
    <t>Thửa 304, tờ 08</t>
  </si>
  <si>
    <t>Trần Thị Hoài Linh</t>
  </si>
  <si>
    <t>Thửa 33, tờ 45</t>
  </si>
  <si>
    <t>Nguyễn Tiến Đạt</t>
  </si>
  <si>
    <t>Thửa 67, tờ 03</t>
  </si>
  <si>
    <t>Thửa 184, tờ 52</t>
  </si>
  <si>
    <t>Lê Thị Chỉ</t>
  </si>
  <si>
    <t>Thửa 273, tờ 03</t>
  </si>
  <si>
    <t>Nguyễn Minh Thanh</t>
  </si>
  <si>
    <t>Thửa 105, tờ 03</t>
  </si>
  <si>
    <t>Thị Sai</t>
  </si>
  <si>
    <t>Thửa 208, tờ 09</t>
  </si>
  <si>
    <t>Phạm Dũng</t>
  </si>
  <si>
    <t>Thửa 233, tờ 07</t>
  </si>
  <si>
    <t>Võ Tưởng</t>
  </si>
  <si>
    <t>Thửa 92, tờ 23</t>
  </si>
  <si>
    <t>Nguyễn Thị Thu Cúc</t>
  </si>
  <si>
    <t>Thửa 246, tờ 32</t>
  </si>
  <si>
    <t>Nguyễn Văn Nhỏ</t>
  </si>
  <si>
    <t>Thửa 247, tờ 32</t>
  </si>
  <si>
    <t>Nguyễn Thị Diệu</t>
  </si>
  <si>
    <t>Thửa 02, tờ 32</t>
  </si>
  <si>
    <t>Hướng Thị Dọn</t>
  </si>
  <si>
    <t>Thửa 63, tờ 51</t>
  </si>
  <si>
    <t>Thị Pến</t>
  </si>
  <si>
    <t>Thửa 80, tờ 03</t>
  </si>
  <si>
    <t>Nguyễn Đình Ký</t>
  </si>
  <si>
    <t>Thửa 240, tờ 5</t>
  </si>
  <si>
    <t>Cao Thị Băng</t>
  </si>
  <si>
    <t>Thửa 20, tờ 46</t>
  </si>
  <si>
    <t>Trần Văn Cúc</t>
  </si>
  <si>
    <t>Thửa 227, tờ 07</t>
  </si>
  <si>
    <t>Hướng Thị Dợn</t>
  </si>
  <si>
    <t>Trần Văn Hớn</t>
  </si>
  <si>
    <t>Thửa 134, tờ 04</t>
  </si>
  <si>
    <t>Thửa 114, tờ 15</t>
  </si>
  <si>
    <t>Trần Văn Đông</t>
  </si>
  <si>
    <t>Thửa 34, tờ 16</t>
  </si>
  <si>
    <t>Đào Đức Hà</t>
  </si>
  <si>
    <t>Thửa 25, tờ 08</t>
  </si>
  <si>
    <t>Trương Văn Phước</t>
  </si>
  <si>
    <t>Thửa 495, tờ 05</t>
  </si>
  <si>
    <t>Thửa 496, tờ 05</t>
  </si>
  <si>
    <t>Thửa 638, tờ 05</t>
  </si>
  <si>
    <t>Đoàn Minh Út</t>
  </si>
  <si>
    <t>Thửa 105, tờ 39</t>
  </si>
  <si>
    <t>Hà Thị Tùng</t>
  </si>
  <si>
    <t>Thửa 101, tờ 39</t>
  </si>
  <si>
    <t>Thửa 357, tờ 5</t>
  </si>
  <si>
    <t>Trần Thị Kim Trang</t>
  </si>
  <si>
    <t>Thửa 228, tờ 7</t>
  </si>
  <si>
    <t>Thửa 19, tờ 5</t>
  </si>
  <si>
    <t>Trần Văn Túc</t>
  </si>
  <si>
    <t>Thửa 134, tờ 45</t>
  </si>
  <si>
    <t>Thửa 131, tờ 23</t>
  </si>
  <si>
    <t>Thửa 615, tờ 5</t>
  </si>
  <si>
    <t>Thửa 74, tờ 5</t>
  </si>
  <si>
    <t>Nguyễn Thị Ngọc Anh</t>
  </si>
  <si>
    <t>Thửa 21, tờ 51</t>
  </si>
  <si>
    <t>Lê Thị Giàu</t>
  </si>
  <si>
    <t>Thửa 106, tờ 15</t>
  </si>
  <si>
    <t>Thửa 107, tờ 15</t>
  </si>
  <si>
    <t>Thửa 108, tờ 15</t>
  </si>
  <si>
    <t>Thửa 109, tờ 15</t>
  </si>
  <si>
    <t>Hoàng Trung Hà</t>
  </si>
  <si>
    <t>Thửa 23, tờ 46</t>
  </si>
  <si>
    <t>Lê Xuân Kiểu</t>
  </si>
  <si>
    <t>Thửa 108, tờ 30</t>
  </si>
  <si>
    <t>Nguyễn Đức Hưng</t>
  </si>
  <si>
    <t>Thửa 114, tờ 6</t>
  </si>
  <si>
    <t>Thửa 227, tờ 7</t>
  </si>
  <si>
    <t>Phan Khắc Mạnh</t>
  </si>
  <si>
    <t>Thửa 140, tờ 37</t>
  </si>
  <si>
    <t>Trần Đình Thi</t>
  </si>
  <si>
    <t>Thửa 46, tờ 37</t>
  </si>
  <si>
    <t>Nguyễn Văn Trong</t>
  </si>
  <si>
    <t>Phạm Kim Hùng</t>
  </si>
  <si>
    <t>Thửa 70, tờ 20</t>
  </si>
  <si>
    <t>Vũ Đặng Phú An</t>
  </si>
  <si>
    <t>Thửa 68, tờ 20</t>
  </si>
  <si>
    <t>Thửa 83, tờ 05</t>
  </si>
  <si>
    <t>Điểu Pâm</t>
  </si>
  <si>
    <t>Thửa 06, tờ 04</t>
  </si>
  <si>
    <t>Lê Thị Lan</t>
  </si>
  <si>
    <t>Thửa 106, tờ 40</t>
  </si>
  <si>
    <t>Ngô Văn Độ</t>
  </si>
  <si>
    <t>Thửa 623, tờ 05</t>
  </si>
  <si>
    <t>Nguyễn Thị Kim Xuân</t>
  </si>
  <si>
    <t>Thửa 106, tờ 52</t>
  </si>
  <si>
    <t>Thửa 542, tờ 5</t>
  </si>
  <si>
    <t>Thửa 541, tờ 5</t>
  </si>
  <si>
    <t>Thửa 538, tờ 5</t>
  </si>
  <si>
    <t>Thửa 537, tờ 5</t>
  </si>
  <si>
    <t>Thửa 536, tờ 5</t>
  </si>
  <si>
    <t>Thửa 535, tờ 5</t>
  </si>
  <si>
    <t>Thửa 534, tờ 5</t>
  </si>
  <si>
    <t>Thửa 533, tờ 5</t>
  </si>
  <si>
    <t>Thửa 532, tờ 5</t>
  </si>
  <si>
    <t>Thửa 531, tờ 5</t>
  </si>
  <si>
    <t>Thửa 530, tờ 5</t>
  </si>
  <si>
    <t>Thửa 529, tờ 5</t>
  </si>
  <si>
    <t>Thửa 526, tờ 5</t>
  </si>
  <si>
    <t>Thửa 524, tờ 5</t>
  </si>
  <si>
    <t>Thửa 523, tờ 5</t>
  </si>
  <si>
    <t>Thửa 522, tờ 5</t>
  </si>
  <si>
    <t>Trần Hữu Phúc</t>
  </si>
  <si>
    <t>Thửa 468, tờ 05</t>
  </si>
  <si>
    <t>Thửa 601, tờ 05</t>
  </si>
  <si>
    <t>Thửa 598, tờ 05</t>
  </si>
  <si>
    <t>Nguyễn Đức Văn</t>
  </si>
  <si>
    <t>Thửa 343, tờ 11</t>
  </si>
  <si>
    <t>Thửa 342, tờ 11</t>
  </si>
  <si>
    <t>Phạm Thanh Niên</t>
  </si>
  <si>
    <t>Thửa 341, tờ 11</t>
  </si>
  <si>
    <t>Võ Minh Tâm</t>
  </si>
  <si>
    <t>Thửa 340, tờ 11</t>
  </si>
  <si>
    <t>Lê Thị Tơ</t>
  </si>
  <si>
    <t>Thửa 98, tờ 40</t>
  </si>
  <si>
    <t>Lý Kim Long</t>
  </si>
  <si>
    <t>Thửa 159, tờ 45</t>
  </si>
  <si>
    <t>Phạm Văn Tâm</t>
  </si>
  <si>
    <t>Thửa 155, tờ 45</t>
  </si>
  <si>
    <t>Thửa 91, tờ 45</t>
  </si>
  <si>
    <t>Trịnh Hồng Hải</t>
  </si>
  <si>
    <t>Thửa 92, tờ 51</t>
  </si>
  <si>
    <t>Thửa 623, tờ 5</t>
  </si>
  <si>
    <t>Thửa 113, tờ 15</t>
  </si>
  <si>
    <t>Thửa 112, tờ 15</t>
  </si>
  <si>
    <t>Thửa 111, tờ 15</t>
  </si>
  <si>
    <t>Thửa 161, tờ 45</t>
  </si>
  <si>
    <t>Thửa 194, tờ 9</t>
  </si>
  <si>
    <t>Trần Quốc Uy</t>
  </si>
  <si>
    <t>Thửa 56, tờ 20</t>
  </si>
  <si>
    <t>Thửa 57, tờ 20</t>
  </si>
  <si>
    <t>Thửa 58, tờ 20</t>
  </si>
  <si>
    <t>Thửa 55, tờ 20</t>
  </si>
  <si>
    <t>Nguyễn Văn Trí</t>
  </si>
  <si>
    <t>Thửa 13, tờ 50</t>
  </si>
  <si>
    <t>Tăng Thái</t>
  </si>
  <si>
    <t>Thửa 291, tờ 9</t>
  </si>
  <si>
    <t>Huỳnh Văn Lợi</t>
  </si>
  <si>
    <t>Thửa 05, tờ 42</t>
  </si>
  <si>
    <t>Thửa 147, tờ 03</t>
  </si>
  <si>
    <t>Nguyễn Châu Xa</t>
  </si>
  <si>
    <t>Thị Nhướm</t>
  </si>
  <si>
    <t>Thửa 178, tờ 3</t>
  </si>
  <si>
    <t>Nguyễn Thị Kim Phượng</t>
  </si>
  <si>
    <t>Thửa 619, tờ 5</t>
  </si>
  <si>
    <t>Thửa 618, tờ 5</t>
  </si>
  <si>
    <t>Nguyễn Thanh Xuân</t>
  </si>
  <si>
    <t>Thửa 420, tờ 09</t>
  </si>
  <si>
    <t>Nguyễn Thị Nước</t>
  </si>
  <si>
    <t>Thửa 419, tờ 09</t>
  </si>
  <si>
    <t>Trần Thị Hồng Liên</t>
  </si>
  <si>
    <t>Nguyễn Hữu Dũng</t>
  </si>
  <si>
    <t>Thửa 02, tờ 23</t>
  </si>
  <si>
    <t>Lê Hoàng Vũ</t>
  </si>
  <si>
    <t>Thửa 348, tờ 08</t>
  </si>
  <si>
    <t>Thửa 349, tờ 08</t>
  </si>
  <si>
    <t>Thửa 350, tờ 08</t>
  </si>
  <si>
    <t>Thửa 351, tờ 08</t>
  </si>
  <si>
    <t>Thửa 352, tờ 08</t>
  </si>
  <si>
    <t>Thửa 353, tờ 08</t>
  </si>
  <si>
    <t>Thửa 354, tờ 08</t>
  </si>
  <si>
    <t>Thửa 355, tờ 08</t>
  </si>
  <si>
    <t>Thửa 356, tờ 08</t>
  </si>
  <si>
    <t>Thửa 357, tờ 08</t>
  </si>
  <si>
    <t>Thửa 358, tờ 08</t>
  </si>
  <si>
    <t>Thửa 359, tờ 08</t>
  </si>
  <si>
    <t>Thửa 360, tờ 08</t>
  </si>
  <si>
    <t>Thửa 361, tờ 08</t>
  </si>
  <si>
    <t>Thửa 362, tờ 08</t>
  </si>
  <si>
    <t>Thửa 363, tờ 08</t>
  </si>
  <si>
    <t>Thửa 364, tờ 08</t>
  </si>
  <si>
    <t>Thửa 365, tờ 08</t>
  </si>
  <si>
    <t>Thửa 366, tờ 08</t>
  </si>
  <si>
    <t>Thửa 367, tờ 08</t>
  </si>
  <si>
    <t>Thửa 381, tờ 08</t>
  </si>
  <si>
    <t>Thửa 382, tờ 08</t>
  </si>
  <si>
    <t>Thửa 398, tờ 08</t>
  </si>
  <si>
    <t>Lê Văn Quốc</t>
  </si>
  <si>
    <t>Thửa 44, tờ 16</t>
  </si>
  <si>
    <t>Phan Minh Huy</t>
  </si>
  <si>
    <t>Thửa 368, tờ 08</t>
  </si>
  <si>
    <t>Thửa 369, tờ 08</t>
  </si>
  <si>
    <t>Thửa 370, tờ 08</t>
  </si>
  <si>
    <t>Thửa 371, tờ 08</t>
  </si>
  <si>
    <t>Thửa 372, tờ 08</t>
  </si>
  <si>
    <t>Thửa 373, tờ 08</t>
  </si>
  <si>
    <t>Thửa 374, tờ 08</t>
  </si>
  <si>
    <t>Thửa 375, tờ 08</t>
  </si>
  <si>
    <t>Thửa 376, tờ 08</t>
  </si>
  <si>
    <t>Thửa 377, tờ 08</t>
  </si>
  <si>
    <t>Thửa 378, tờ 08</t>
  </si>
  <si>
    <t>Thửa 379, tờ 08</t>
  </si>
  <si>
    <t>Thửa 383, tờ 08</t>
  </si>
  <si>
    <t>Thửa 384, tờ 08</t>
  </si>
  <si>
    <t>Thửa 385, tờ 08</t>
  </si>
  <si>
    <t>Thửa 386, tờ 08</t>
  </si>
  <si>
    <t>Thửa 387, tờ 08</t>
  </si>
  <si>
    <t>Thửa 388, tờ 08</t>
  </si>
  <si>
    <t>Thửa 389, tờ 08</t>
  </si>
  <si>
    <t>Thửa 390, tờ 08</t>
  </si>
  <si>
    <t>Thửa 391, tờ 08</t>
  </si>
  <si>
    <t>Thửa 392, tờ 08</t>
  </si>
  <si>
    <t>Thửa 393, tờ 08</t>
  </si>
  <si>
    <t>Thửa 394, tờ 08</t>
  </si>
  <si>
    <t>Thửa 395, tờ 08</t>
  </si>
  <si>
    <t>Thửa 396, tờ 08</t>
  </si>
  <si>
    <t>Thửa 397, tờ 08</t>
  </si>
  <si>
    <t>Đinh Thị Tư</t>
  </si>
  <si>
    <t>Thửa 46, tờ 15</t>
  </si>
  <si>
    <t>Lê Hữu Vinh</t>
  </si>
  <si>
    <t>Thửa 39, tờ 21</t>
  </si>
  <si>
    <t>Thị Nhung</t>
  </si>
  <si>
    <t>Thửa 03, tờ 25</t>
  </si>
  <si>
    <t>Đinh Thị Mành</t>
  </si>
  <si>
    <t>Thửa 557, tờ 05</t>
  </si>
  <si>
    <t>Thửa 558, tờ 05</t>
  </si>
  <si>
    <t>Thửa 559, tờ 05</t>
  </si>
  <si>
    <t>Thửa 560, tờ 05</t>
  </si>
  <si>
    <t>Thửa 561, tờ 05</t>
  </si>
  <si>
    <t>Thửa 562, tờ 05</t>
  </si>
  <si>
    <t>Thửa 563, tờ 05</t>
  </si>
  <si>
    <t>Thửa 564, tờ 05</t>
  </si>
  <si>
    <t>Thửa 565, tờ 05</t>
  </si>
  <si>
    <t>Thửa 566, tờ 05</t>
  </si>
  <si>
    <t>Thửa 567, tờ 05</t>
  </si>
  <si>
    <t>Thửa 568, tờ 05</t>
  </si>
  <si>
    <t>Thửa 569, tờ 05</t>
  </si>
  <si>
    <t>Thửa 570, tờ 05</t>
  </si>
  <si>
    <t>Thửa 571, tờ 05</t>
  </si>
  <si>
    <t>Thửa 572, tờ 05</t>
  </si>
  <si>
    <t>Thửa 573, tờ 05</t>
  </si>
  <si>
    <t>Thửa 574, tờ 05</t>
  </si>
  <si>
    <t>Thửa 575, tờ 05</t>
  </si>
  <si>
    <t>Thửa 577, tờ 05</t>
  </si>
  <si>
    <t>Thửa 578, tờ 05</t>
  </si>
  <si>
    <t>Thửa 579, tờ 05</t>
  </si>
  <si>
    <t>Thửa 580, tờ 05</t>
  </si>
  <si>
    <t>Thửa 581, tờ 05</t>
  </si>
  <si>
    <t>Thửa 582, tờ 05</t>
  </si>
  <si>
    <t>Thửa 583, tờ 05</t>
  </si>
  <si>
    <t>Thửa 584, tờ 05</t>
  </si>
  <si>
    <t>Thửa 585, tờ 05</t>
  </si>
  <si>
    <t>Thửa 586, tờ 05</t>
  </si>
  <si>
    <t>Thửa 588, tờ 05</t>
  </si>
  <si>
    <t>Thửa 589, tờ 05</t>
  </si>
  <si>
    <t>Quaách Văn Tiến</t>
  </si>
  <si>
    <t>Thửa 107, tờ 40</t>
  </si>
  <si>
    <t>Thửa 108, tờ 40</t>
  </si>
  <si>
    <t>Thị Pranh</t>
  </si>
  <si>
    <t>Thửa 17, tờ 25</t>
  </si>
  <si>
    <t>Hoàng Anh Tuấn</t>
  </si>
  <si>
    <t>Thửa 17, tờ 46</t>
  </si>
  <si>
    <t>Trần Anh Khôi</t>
  </si>
  <si>
    <t>Thửa 38, tờ 39</t>
  </si>
  <si>
    <t>Thửa 57, tờ 19</t>
  </si>
  <si>
    <t>Thửa 142, tờ 46</t>
  </si>
  <si>
    <t>Điểu Chưa</t>
  </si>
  <si>
    <t>Thửa 83, tờ 03</t>
  </si>
  <si>
    <t>Điểu Đê</t>
  </si>
  <si>
    <t>Thửa 49, tờ 03</t>
  </si>
  <si>
    <t>Thửa 618, tờ 05</t>
  </si>
  <si>
    <t>Thửa 619, tờ 05</t>
  </si>
  <si>
    <t>Thửa 22, tờ 39</t>
  </si>
  <si>
    <t>Thửa 80, tờ 3</t>
  </si>
  <si>
    <t>Ngô Văn Thành</t>
  </si>
  <si>
    <t>Thửa 155, tờ 12</t>
  </si>
  <si>
    <t>Điểu Trư</t>
  </si>
  <si>
    <t>Thửa 15, tờ 25</t>
  </si>
  <si>
    <t>Thửa 85, tờ 45</t>
  </si>
  <si>
    <t>Thửa 93, tờ 52</t>
  </si>
  <si>
    <t>Lê Đăng Kỳ</t>
  </si>
  <si>
    <t>Thửa 26, tờ 40</t>
  </si>
  <si>
    <t>Thửa 16, tờ 50</t>
  </si>
  <si>
    <t>Thửa 122, tờ 15</t>
  </si>
  <si>
    <t>Thửa 134, tờ 16</t>
  </si>
  <si>
    <t>Chu Văn Hùng</t>
  </si>
  <si>
    <t>Thửa 15, tờ 28</t>
  </si>
  <si>
    <t>Phạm Ngọc Mẫn</t>
  </si>
  <si>
    <t>Thửa 235, tờ 33</t>
  </si>
  <si>
    <t>Nguyễn Thị Thanh Trà</t>
  </si>
  <si>
    <t>Nguyễn Thị Hà Tiên</t>
  </si>
  <si>
    <t>Thửa 75, tờ 14</t>
  </si>
  <si>
    <t>Thửa 76, tờ 14</t>
  </si>
  <si>
    <t>Thị Bênh</t>
  </si>
  <si>
    <t>Thửa 56, tờ 03</t>
  </si>
  <si>
    <t>Nguyễn Thanh Bình</t>
  </si>
  <si>
    <t>Thửa 100, tờ 39</t>
  </si>
  <si>
    <t>Điểu Pôn</t>
  </si>
  <si>
    <t>Thửa 15, tờ 04</t>
  </si>
  <si>
    <t>Thị Gen</t>
  </si>
  <si>
    <t>Thửa 367, tờ 03</t>
  </si>
  <si>
    <t>Trần Thị Sự</t>
  </si>
  <si>
    <t>IX</t>
  </si>
  <si>
    <t>Lê Văn Lập</t>
  </si>
  <si>
    <t>Thửa 652, tờ 69</t>
  </si>
  <si>
    <t>Ngô Văn Phụng</t>
  </si>
  <si>
    <t>Thửa 1757, tờ 23</t>
  </si>
  <si>
    <t>Lê Thị Hồng Hoa</t>
  </si>
  <si>
    <t>Thửa 670, tờ 17</t>
  </si>
  <si>
    <t>Mạc Thị Hồng Vân</t>
  </si>
  <si>
    <t>Thửa 1095, tờ 24</t>
  </si>
  <si>
    <t>Thửa 1342, tờ 33</t>
  </si>
  <si>
    <t>Trần Thị Quỳnh Như</t>
  </si>
  <si>
    <t>Thửa 86, tờ 32</t>
  </si>
  <si>
    <t>Nguyễn Minh Duy</t>
  </si>
  <si>
    <t>Thửa 1591, tờ 24</t>
  </si>
  <si>
    <t>Nguyễn Tấn Hào</t>
  </si>
  <si>
    <t>Thửa 152, tờ 32</t>
  </si>
  <si>
    <t>Thửa 835, tờ 34</t>
  </si>
  <si>
    <t>Đỗ Thị Thu Hiền</t>
  </si>
  <si>
    <t>Thửa 957, tờ 15</t>
  </si>
  <si>
    <t>Thửa 922, tờ 34</t>
  </si>
  <si>
    <t>San Kim Ánh</t>
  </si>
  <si>
    <t>Thửa 852, tờ 33</t>
  </si>
  <si>
    <t>Lê Công Sơn</t>
  </si>
  <si>
    <t>Thửa 179, tờ 12</t>
  </si>
  <si>
    <t>Thửa 773, tờ 34</t>
  </si>
  <si>
    <t>Phạm Thanh Nhân</t>
  </si>
  <si>
    <t>Thửa 110, tờ 61</t>
  </si>
  <si>
    <t>Lê Hoàng Minh</t>
  </si>
  <si>
    <t>Thửa 346, tờ 62</t>
  </si>
  <si>
    <t>Nguyễn Văn Chiến</t>
  </si>
  <si>
    <t>Thửa 559, tờ 62</t>
  </si>
  <si>
    <t>Thửa 1776, tờ 23</t>
  </si>
  <si>
    <t>Võ Đức Nghĩa</t>
  </si>
  <si>
    <t>Thửa 1789, tờ 23</t>
  </si>
  <si>
    <t>Phạm Phú Vinh</t>
  </si>
  <si>
    <t>Thửa 1041, tờ 15</t>
  </si>
  <si>
    <t>Ngô Văn Út</t>
  </si>
  <si>
    <t>Thửa 26, tờ 32</t>
  </si>
  <si>
    <t>Thửa 150, tờ 32</t>
  </si>
  <si>
    <t>Thửa 752, tờ 69</t>
  </si>
  <si>
    <t>Phạm Thị Thùy Quy</t>
  </si>
  <si>
    <t>Thửa 1416, tờ 24</t>
  </si>
  <si>
    <t>Nguyễn Thế Anh</t>
  </si>
  <si>
    <t>Thửa 1481, tờ 24</t>
  </si>
  <si>
    <t>Nguyễn Phú Hiếu</t>
  </si>
  <si>
    <t>Thửa 1507, tờ 33</t>
  </si>
  <si>
    <t>Thửa 590, tờ 69</t>
  </si>
  <si>
    <t>Lê Hữu Hạnh</t>
  </si>
  <si>
    <t>Thửa 52, tờ 70</t>
  </si>
  <si>
    <t>Trần Thị Minh</t>
  </si>
  <si>
    <t>Thửa 147, tờ 12</t>
  </si>
  <si>
    <t>Thửa 149, tờ 12</t>
  </si>
  <si>
    <t>Hoàng Văn Linh</t>
  </si>
  <si>
    <t>Thửa 739, tờ 59</t>
  </si>
  <si>
    <t>Vũ Văn Tần</t>
  </si>
  <si>
    <t>Thửa 520, tờ 34</t>
  </si>
  <si>
    <t>Ngô Văn Nguyên</t>
  </si>
  <si>
    <t>Thửa 942, tờ 44</t>
  </si>
  <si>
    <t>Nguyễn Thị Thu Trang</t>
  </si>
  <si>
    <t>Thửa 935, tờ 32</t>
  </si>
  <si>
    <t>Thửa 567, tờ 51</t>
  </si>
  <si>
    <t>Nguyễn Văn Châu</t>
  </si>
  <si>
    <t>Thửa 115, tờ 50</t>
  </si>
  <si>
    <t>Lê Thái Bình</t>
  </si>
  <si>
    <t>Thửa 147, tờ 33</t>
  </si>
  <si>
    <t>Nguyễn Thị Xuân Thùy</t>
  </si>
  <si>
    <t>Thửa 02, tờ 15</t>
  </si>
  <si>
    <t>Nguyễn Quốc Bình</t>
  </si>
  <si>
    <t>Thửa 680, tờ 17</t>
  </si>
  <si>
    <t>Hoàng Thị Lâm</t>
  </si>
  <si>
    <t>Thửa 1485, tờ 24</t>
  </si>
  <si>
    <t>Nguyễn Quang Nghiêm</t>
  </si>
  <si>
    <t>Thửa 1336, tờ 44</t>
  </si>
  <si>
    <t>Lã Thị Kiều Loan</t>
  </si>
  <si>
    <t>Thửa 856, tờ 33</t>
  </si>
  <si>
    <t>Trịnh Qúy Hải</t>
  </si>
  <si>
    <t>Thửa 1143, tờ 33</t>
  </si>
  <si>
    <t>Hoàng Văn Toàn</t>
  </si>
  <si>
    <t>Thửa 542, tờ 60</t>
  </si>
  <si>
    <t>Hồ Văn Thống</t>
  </si>
  <si>
    <t>Thửa 433, tờ 60</t>
  </si>
  <si>
    <t>Huỳnh Hữu Thành</t>
  </si>
  <si>
    <t>Thửa 702, tờ 61</t>
  </si>
  <si>
    <t>Pham Quang Vình</t>
  </si>
  <si>
    <t>Nguyễn Thành Vinh</t>
  </si>
  <si>
    <t>Thửa 439, tờ 60</t>
  </si>
  <si>
    <t>Nguyễn Ngọc Nhung</t>
  </si>
  <si>
    <t>Thửa 758, tờ 69</t>
  </si>
  <si>
    <t>Nguyễn Tấn Giàu</t>
  </si>
  <si>
    <t>Thửa 677, tờ 43</t>
  </si>
  <si>
    <t>Nguyễn Thị Sáu</t>
  </si>
  <si>
    <t>Thửa 27, tờ 4</t>
  </si>
  <si>
    <t>Nguyễn Văn Trò</t>
  </si>
  <si>
    <t>Thửa 89, tờ 5</t>
  </si>
  <si>
    <t>Phan Văn Năm</t>
  </si>
  <si>
    <t>Thửa 220, tờ 5</t>
  </si>
  <si>
    <t>Nguyễn Thị Tám</t>
  </si>
  <si>
    <t>Thửa 78, tờ 5</t>
  </si>
  <si>
    <t>Nguyễn Văn Ân</t>
  </si>
  <si>
    <t>Thửa 584, tờ 5</t>
  </si>
  <si>
    <t>Nguyễn Thị Phụng</t>
  </si>
  <si>
    <t>Thửa 346, tờ 5</t>
  </si>
  <si>
    <t>Phan Thị Pương Ánh</t>
  </si>
  <si>
    <t>Thửa 30C, tờ 5</t>
  </si>
  <si>
    <t>Lương Văn Ra</t>
  </si>
  <si>
    <t>Thửa 87, tờ 5</t>
  </si>
  <si>
    <t>Đinh Xuân Thiện</t>
  </si>
  <si>
    <t>Thửa 117, tờ 6</t>
  </si>
  <si>
    <t>Phạm Văn Phúc</t>
  </si>
  <si>
    <t>Thửa 82, tờ 6</t>
  </si>
  <si>
    <t>Nguyễn Thị Như Bích</t>
  </si>
  <si>
    <t>Thửa 20, tờ 6</t>
  </si>
  <si>
    <t>Lưu Thị Thương</t>
  </si>
  <si>
    <t>Thửa 194, tờ 6</t>
  </si>
  <si>
    <t>Vũ Thái Tư</t>
  </si>
  <si>
    <t>Thửa 198, tờ 6</t>
  </si>
  <si>
    <t>Đặng Minh Cảnh</t>
  </si>
  <si>
    <t>Thửa 205, tờ 6</t>
  </si>
  <si>
    <t>Nguyễn Thị Định</t>
  </si>
  <si>
    <t>Thửa 223, tờ 6</t>
  </si>
  <si>
    <t>Nguyễn Thị Trương</t>
  </si>
  <si>
    <t>Thửa 222, tờ 6</t>
  </si>
  <si>
    <t>Lê Viết Tuấn</t>
  </si>
  <si>
    <t>Thửa 175, tờ 12</t>
  </si>
  <si>
    <t>Lê Viết Tựa</t>
  </si>
  <si>
    <t>Thửa 143, tờ 12</t>
  </si>
  <si>
    <t>Thị Xít</t>
  </si>
  <si>
    <t>Thửa 226, tờ 12</t>
  </si>
  <si>
    <t>Thửa 169, tờ 12</t>
  </si>
  <si>
    <t>Thửa 168, tờ 12</t>
  </si>
  <si>
    <t>Thửa 116, tờ 13</t>
  </si>
  <si>
    <t>Thửa 136, tờ 13</t>
  </si>
  <si>
    <t>Lê Sỹ Mùi</t>
  </si>
  <si>
    <t>Thửa 135, tờ 13</t>
  </si>
  <si>
    <t>Ngô Văn Minh</t>
  </si>
  <si>
    <t>Thửa 148, tờ 13</t>
  </si>
  <si>
    <t>Thửa 149, tờ 13</t>
  </si>
  <si>
    <t>Lê Thị Bình</t>
  </si>
  <si>
    <t>Thửa 56, tờ 13</t>
  </si>
  <si>
    <t>Lê Sỹ Trường</t>
  </si>
  <si>
    <t>Thửa 5, tờ 13</t>
  </si>
  <si>
    <t>Lê Duy Giới</t>
  </si>
  <si>
    <t>Thửa 167, tờ 13</t>
  </si>
  <si>
    <t>Thửa 166, tờ 13</t>
  </si>
  <si>
    <t>Thửa 165, tờ 13</t>
  </si>
  <si>
    <t>Đỗ Thị Phượng</t>
  </si>
  <si>
    <t>Thửa 54, tờ 14</t>
  </si>
  <si>
    <t>Lê Văn Hằng</t>
  </si>
  <si>
    <t>Thửa 56, tờ 14</t>
  </si>
  <si>
    <t>Nguyễn Văn Hạnh</t>
  </si>
  <si>
    <t>Nguyễn Duy Hoàng</t>
  </si>
  <si>
    <t>Thửa 281, tờ 14</t>
  </si>
  <si>
    <t>Phạm Văn Hòe</t>
  </si>
  <si>
    <t>Thửa 53, tờ 14</t>
  </si>
  <si>
    <t>Lại Thành Sơn</t>
  </si>
  <si>
    <t>Thửa 52, tờ 14</t>
  </si>
  <si>
    <t>Thửa 1172, tờ 14</t>
  </si>
  <si>
    <t>Thửa 1171, tờ 14</t>
  </si>
  <si>
    <t>Thửa 1170, tờ 14</t>
  </si>
  <si>
    <t>Thửa 1169, tờ 14</t>
  </si>
  <si>
    <t>Hoàng Thị Thu Lan</t>
  </si>
  <si>
    <t>Thửa 97, tờ 15</t>
  </si>
  <si>
    <t>Nguyễn Mạnh Thắng</t>
  </si>
  <si>
    <t>Thửa 905, tờ 15</t>
  </si>
  <si>
    <t>Vòng Chánh Kiếu</t>
  </si>
  <si>
    <t>Thửa 897, tờ 15</t>
  </si>
  <si>
    <t>Huỳnh Thanh Tuấn</t>
  </si>
  <si>
    <t>Thửa 704, tờ 15</t>
  </si>
  <si>
    <t>Nguyễn Văn Tươi</t>
  </si>
  <si>
    <t>Thửa 703, tờ 15</t>
  </si>
  <si>
    <t>Nguyễn Đình Thiêm</t>
  </si>
  <si>
    <t>Thửa 863, tờ 15</t>
  </si>
  <si>
    <t>Trần Thị Kim Luông</t>
  </si>
  <si>
    <t>Thửa 946, tờ 15</t>
  </si>
  <si>
    <t>Nguyễn Trọng Bắc</t>
  </si>
  <si>
    <t>Thửa 636, tờ 17</t>
  </si>
  <si>
    <t>Nguyễn Trọng Thái</t>
  </si>
  <si>
    <t>Thửa 637, tờ 17</t>
  </si>
  <si>
    <t>Phạm Thị Câu</t>
  </si>
  <si>
    <t>Thửa 699, tờ 17</t>
  </si>
  <si>
    <t>Nguyễn Hữu Nghĩa</t>
  </si>
  <si>
    <t>Thửa 750, tờ 17</t>
  </si>
  <si>
    <t>Lê Thị Thanh Trúc</t>
  </si>
  <si>
    <t>Thửa 806, tờ 17</t>
  </si>
  <si>
    <t>Huỳnh Kim Thảo</t>
  </si>
  <si>
    <t>Thửa 177, tờ 17</t>
  </si>
  <si>
    <t>Bùi Long Tín</t>
  </si>
  <si>
    <t>Thửa 294, tờ 17</t>
  </si>
  <si>
    <t>Thửa 288, tờ 17</t>
  </si>
  <si>
    <t>Nguyễn Duy Hà</t>
  </si>
  <si>
    <t>Thửa 768, tờ 17</t>
  </si>
  <si>
    <t>Nguyễn Bích Hà Vy</t>
  </si>
  <si>
    <t>Thửa 720, tờ1 7</t>
  </si>
  <si>
    <t>Trịnh Xuân Phú</t>
  </si>
  <si>
    <t>Lê Thị Ngoặt</t>
  </si>
  <si>
    <t>Thửa 506, tờ 21</t>
  </si>
  <si>
    <t>Đinh Trọng Thái</t>
  </si>
  <si>
    <t>Thửa 305, tờ 22</t>
  </si>
  <si>
    <t>Lưu Văn Thành</t>
  </si>
  <si>
    <t>Thửa 164, tờ 22</t>
  </si>
  <si>
    <t>Bùi Khắc Hiệp</t>
  </si>
  <si>
    <t>Thửa 1447, tờ 23</t>
  </si>
  <si>
    <t>Trần Quốc Dũng</t>
  </si>
  <si>
    <t>Thửa 1758, tờ 23</t>
  </si>
  <si>
    <t>Nguyễn Ngọc Mộng Vân</t>
  </si>
  <si>
    <t>Thửa 1742, tờ 23</t>
  </si>
  <si>
    <t>Nguyễn Thanh Sơn</t>
  </si>
  <si>
    <t>Thửa 1750, tờ 23</t>
  </si>
  <si>
    <t>Ngô Duy Mừng</t>
  </si>
  <si>
    <t>Thửa 1452, tờ 23</t>
  </si>
  <si>
    <t>Trần Minh Chiến</t>
  </si>
  <si>
    <t>Thửa 1746, tờ 23</t>
  </si>
  <si>
    <t>Nguyễn Văn Dân</t>
  </si>
  <si>
    <t>Thửa 1598, tờ 23</t>
  </si>
  <si>
    <t>Nguyễn Thị Quế</t>
  </si>
  <si>
    <t>Thửa 534, tờ 23</t>
  </si>
  <si>
    <t>Nguyễn Bá Tuấn Anh</t>
  </si>
  <si>
    <t>Thửa 533, tờ 23</t>
  </si>
  <si>
    <t>Nguyễn Văn Chính</t>
  </si>
  <si>
    <t>Thửa 1597, tờ 23</t>
  </si>
  <si>
    <t>Thửa 1736, tờ 23</t>
  </si>
  <si>
    <t>Bùi Minh Thủy</t>
  </si>
  <si>
    <t>Thửa 1613, tờ 23</t>
  </si>
  <si>
    <t>Bùi Long Thiên</t>
  </si>
  <si>
    <t>Thửa 502, tờ 23</t>
  </si>
  <si>
    <t>Nguyễn Thị Hoài</t>
  </si>
  <si>
    <t>Thửa 1778, tờ 23</t>
  </si>
  <si>
    <t>Lâm Văn Phát</t>
  </si>
  <si>
    <t>Thửa 1773, tờ 23</t>
  </si>
  <si>
    <t>Đặng Văn Diện</t>
  </si>
  <si>
    <t>Thửa 12A2, tờ 23</t>
  </si>
  <si>
    <t>Thửa 1538, tờ 23</t>
  </si>
  <si>
    <t>Nguyễn Công Uẩn</t>
  </si>
  <si>
    <t>Thửa 1471, tờ 23</t>
  </si>
  <si>
    <t>Phạm Giang Quân</t>
  </si>
  <si>
    <t>Thửa 1635, tờ 23</t>
  </si>
  <si>
    <t>Phạm Thanh Bình</t>
  </si>
  <si>
    <t>Thửa 1483, tờ 24</t>
  </si>
  <si>
    <t>Nguyễn Văn Bầu</t>
  </si>
  <si>
    <t>Trương Ngọc Hà, Trần Văn Xuân, Hoàng Văn Sàu</t>
  </si>
  <si>
    <t>Thửa 1455, tờ 24</t>
  </si>
  <si>
    <t>Trương Ngọc Hà,
Đoàn Thị Mỹ Hằng</t>
  </si>
  <si>
    <t>Thửa 1452, tờ 24</t>
  </si>
  <si>
    <t>Tô Duy Kiềm</t>
  </si>
  <si>
    <t>Thửa 1489, tờ 24</t>
  </si>
  <si>
    <t>Trần Ngọc Quang</t>
  </si>
  <si>
    <t>Thửa 1507, tờ 24</t>
  </si>
  <si>
    <t>Nguyễn Thị Mỹ Dung</t>
  </si>
  <si>
    <t>Thửa 910, tờ 24</t>
  </si>
  <si>
    <t>Thửa 1535, tờ 24</t>
  </si>
  <si>
    <t>Trương Vũ Thanh</t>
  </si>
  <si>
    <t>Thửa 1495, tờ 24</t>
  </si>
  <si>
    <t>Phùng Thị Thanh Thảo</t>
  </si>
  <si>
    <t>Thửa 1213, tờ 24</t>
  </si>
  <si>
    <t>Đinh Trọng Mậu
ĐSD Hồ Quang Tuấn</t>
  </si>
  <si>
    <t>Thửa 1484, tờ 24</t>
  </si>
  <si>
    <t>Phạm Khắc Xuyên</t>
  </si>
  <si>
    <t>Thửa 974, tờ 24</t>
  </si>
  <si>
    <t>Đào Thị Giang</t>
  </si>
  <si>
    <t>Thửa 7A, tờ 24</t>
  </si>
  <si>
    <t>Nguyễn Kim Loan</t>
  </si>
  <si>
    <t>Thửa 1490, tờ 24</t>
  </si>
  <si>
    <t>Phạm Kim Cương</t>
  </si>
  <si>
    <t>Thửa 1436, tờ 24</t>
  </si>
  <si>
    <t>Tôn Thất Tùng</t>
  </si>
  <si>
    <t>Thửa 1326, tờ 24</t>
  </si>
  <si>
    <t>Thân Văn Hồng</t>
  </si>
  <si>
    <t>Thửa 1317, tờ 24</t>
  </si>
  <si>
    <t>Trương Thị Lộc</t>
  </si>
  <si>
    <t>Thửa 1306, tờ 24</t>
  </si>
  <si>
    <t>Thửa 1514, tờ 24</t>
  </si>
  <si>
    <t>Hoàng Văn Đức</t>
  </si>
  <si>
    <t>Phạm Thị Huệ</t>
  </si>
  <si>
    <t>Thửa 73, tờ 24</t>
  </si>
  <si>
    <t>Nguyễn Hồng Hạnh</t>
  </si>
  <si>
    <t>Thửa 1562, tờ 24</t>
  </si>
  <si>
    <t>Trần Như Ngọc</t>
  </si>
  <si>
    <t>Thửa 1038, tờ 24</t>
  </si>
  <si>
    <t>Nguyễn Khánh Mỹ Linh</t>
  </si>
  <si>
    <t>Thửa 1397, tờ 24</t>
  </si>
  <si>
    <t>Lâm Thị Ánh</t>
  </si>
  <si>
    <t>Thửa 1603, tờ 24</t>
  </si>
  <si>
    <t>Hoàng Văn Thi</t>
  </si>
  <si>
    <t>Thửa 808, tờ 24</t>
  </si>
  <si>
    <t>Nguyễn Thanh Tân</t>
  </si>
  <si>
    <t>Thửa 1561, tờ 24</t>
  </si>
  <si>
    <t>Lê Xuân Thuật</t>
  </si>
  <si>
    <t>Thửa 67, tờ 30</t>
  </si>
  <si>
    <t>Đinh Văn Tiến</t>
  </si>
  <si>
    <t>Trần Đại Lực</t>
  </si>
  <si>
    <t>Thửa 63, tờ 30</t>
  </si>
  <si>
    <t>Trương Đắc Tuyên</t>
  </si>
  <si>
    <t>Thửa 1396, tờ 32</t>
  </si>
  <si>
    <t>Nguyễn Trọng Thanh</t>
  </si>
  <si>
    <t>Thửa 573, tờ 32</t>
  </si>
  <si>
    <t>Lê Văn Bình</t>
  </si>
  <si>
    <t>Thửa 564, tờ 32</t>
  </si>
  <si>
    <t>Nguyễn Anh Xuân</t>
  </si>
  <si>
    <t>Thửa 50, tờ 32</t>
  </si>
  <si>
    <t>Thửa 1397, tờ 32</t>
  </si>
  <si>
    <t>Lê Văn Thủy</t>
  </si>
  <si>
    <t>Thửa 1218, tờ 32</t>
  </si>
  <si>
    <t>Lê Quang Hòa</t>
  </si>
  <si>
    <t>Thửa 1275, tờ 32</t>
  </si>
  <si>
    <t>Thửa 48, tờ 32</t>
  </si>
  <si>
    <t>Đặng Anh Tuấn</t>
  </si>
  <si>
    <t>Thửa 931, tờ 32</t>
  </si>
  <si>
    <t>Thửa 1226, tờ 32</t>
  </si>
  <si>
    <t>Nguyễn Thị Tánh</t>
  </si>
  <si>
    <t>Thửa 1225, tờ 32</t>
  </si>
  <si>
    <t>Thửa 636, tờ 32</t>
  </si>
  <si>
    <t>Hồ Văn Thắng</t>
  </si>
  <si>
    <t>Thửa 551, tờ 32</t>
  </si>
  <si>
    <t>Đoàn Thị Bích Hồng</t>
  </si>
  <si>
    <t>Thửa 1211, tờ 32</t>
  </si>
  <si>
    <t>Nguyễn Thị Kim Hòa</t>
  </si>
  <si>
    <t>Thửa 932, tờ 32</t>
  </si>
  <si>
    <t>Dương Bảo Trung</t>
  </si>
  <si>
    <t>Thửa 1269, tờ 32</t>
  </si>
  <si>
    <t>Trương Văn Sinh</t>
  </si>
  <si>
    <t>Thửa 1082, tờ 33</t>
  </si>
  <si>
    <t>Thửa 934, tờ 33</t>
  </si>
  <si>
    <t>Lâm Văn Dũng</t>
  </si>
  <si>
    <t>Thửa 682, tờ 33</t>
  </si>
  <si>
    <t>Nguyễn Thị Bớt</t>
  </si>
  <si>
    <t>Thửa 255, tờ 33</t>
  </si>
  <si>
    <t>Thửa 1386, tờ 33</t>
  </si>
  <si>
    <t>Mai Đức Quang</t>
  </si>
  <si>
    <t>Thửa 1429, tờ 33</t>
  </si>
  <si>
    <t>Đỗ Trọng Đương</t>
  </si>
  <si>
    <t>Thửa 1433, tờ 33</t>
  </si>
  <si>
    <t>Thửa 1253, tờ 33</t>
  </si>
  <si>
    <t>Hoàng Văn Then</t>
  </si>
  <si>
    <t>Thửa 1335, tờ 33</t>
  </si>
  <si>
    <t>Ngô Vĩnh Siêu</t>
  </si>
  <si>
    <t>Thửa 903, tờ 33</t>
  </si>
  <si>
    <t>Nguyễn Thị Giang</t>
  </si>
  <si>
    <t>Thửa 1419, tờ 33</t>
  </si>
  <si>
    <t>Phạm Bá Thanh</t>
  </si>
  <si>
    <t>Thửa 1462, tờ 33</t>
  </si>
  <si>
    <t>Lê Văn Sử</t>
  </si>
  <si>
    <t>Thửa 1299, tờ 33</t>
  </si>
  <si>
    <t>Nguyễn Thị Dương</t>
  </si>
  <si>
    <t>Nguyễn Thị Khay</t>
  </si>
  <si>
    <t>Thửa 1518, tờ 33</t>
  </si>
  <si>
    <t>Hoàng Thị Hồng</t>
  </si>
  <si>
    <t>Thửa 1519, tờ 33</t>
  </si>
  <si>
    <t>Đỗ Trung Thành</t>
  </si>
  <si>
    <t>Thửa 256, tờ 34</t>
  </si>
  <si>
    <t>Ngô Văn Đại</t>
  </si>
  <si>
    <t>Thửa 841, tờ 34</t>
  </si>
  <si>
    <t>Lương Thị Châu</t>
  </si>
  <si>
    <t>Thửa 571, tờ 34</t>
  </si>
  <si>
    <t>Thửa 573, tờ 34</t>
  </si>
  <si>
    <t>Võ Thị Sáu</t>
  </si>
  <si>
    <t>Thửa 311, tờ 34</t>
  </si>
  <si>
    <t>Đặng Văn Hóa</t>
  </si>
  <si>
    <t>Thửa 519, tờ 34</t>
  </si>
  <si>
    <t>Lê Huy Mến</t>
  </si>
  <si>
    <t>Thửa 754, tờ 34</t>
  </si>
  <si>
    <t>Trang Thị Trinh</t>
  </si>
  <si>
    <t>Thửa 305, tờ 34</t>
  </si>
  <si>
    <t>Lê Văn Lương</t>
  </si>
  <si>
    <t>Thửa 1237, tờ 34</t>
  </si>
  <si>
    <t>Nguyễn Thị Thắm</t>
  </si>
  <si>
    <t>Thửa 778, tờ 34</t>
  </si>
  <si>
    <t>Lê Thị Diệu Thư</t>
  </si>
  <si>
    <t>Thửa 267, tờ 34</t>
  </si>
  <si>
    <t>Bùi Kim Thoa</t>
  </si>
  <si>
    <t>Thửa 770, tờ 34</t>
  </si>
  <si>
    <t>Nguyễn Thị Nhung</t>
  </si>
  <si>
    <t>Thửa 769, tờ 34</t>
  </si>
  <si>
    <t>Hồ Văn Lĩnh</t>
  </si>
  <si>
    <t>Thửa 177, tờ 39</t>
  </si>
  <si>
    <t>Phạm Khắc Sự</t>
  </si>
  <si>
    <t>Thửa 143, tờ 40</t>
  </si>
  <si>
    <t>Trần Văn Hùng</t>
  </si>
  <si>
    <t>Thửa 659, tờ 41</t>
  </si>
  <si>
    <t>Nguyễn Văn Hiếu</t>
  </si>
  <si>
    <t>Thửa 567, tờ 41</t>
  </si>
  <si>
    <t>Nguyễn Tri Phương</t>
  </si>
  <si>
    <t>Thửa 754, tờ 41</t>
  </si>
  <si>
    <t>Thửa 346, tờ 42</t>
  </si>
  <si>
    <t>Hồ Bắc</t>
  </si>
  <si>
    <t>Thửa 312, tờ 42</t>
  </si>
  <si>
    <t>Trần Văn Khuyến</t>
  </si>
  <si>
    <t>Thửa 336, tờ 42</t>
  </si>
  <si>
    <t>Vũ Thị Tiên</t>
  </si>
  <si>
    <t>Thửa 285, tờ 42</t>
  </si>
  <si>
    <t>Huỳnh Văn Tâm</t>
  </si>
  <si>
    <t>Thửa 589, tờ 43</t>
  </si>
  <si>
    <t>Thửa 524, tờ 43</t>
  </si>
  <si>
    <t>Nguyễn Thị Kim Nhung</t>
  </si>
  <si>
    <t>Thửa 537, tờ 43</t>
  </si>
  <si>
    <t>Trần Thị Thu Hương</t>
  </si>
  <si>
    <t>Thửa 591, tờ 43</t>
  </si>
  <si>
    <t>Hồ Thị Phương Thanh</t>
  </si>
  <si>
    <t>Thửa 760, tờ 44</t>
  </si>
  <si>
    <t>Đỗ Văn Kiên</t>
  </si>
  <si>
    <t>Thửa 663, tờ 44</t>
  </si>
  <si>
    <t>Nguyễn Văn Quế</t>
  </si>
  <si>
    <t>Thửa 559, tờ 44</t>
  </si>
  <si>
    <t>Thửa 941, tờ 44</t>
  </si>
  <si>
    <t>Nguyễn Văn Hải</t>
  </si>
  <si>
    <t>Thửa 519, tờ 44</t>
  </si>
  <si>
    <t>Đặng Công Trung</t>
  </si>
  <si>
    <t>Thửa 766, tờ 44</t>
  </si>
  <si>
    <t>Đặng Công Tri</t>
  </si>
  <si>
    <t>Thửa 768, tờ 44</t>
  </si>
  <si>
    <t>Đặng Thị Thanh Kim Huệ</t>
  </si>
  <si>
    <t>Thửa 767, tờ 44</t>
  </si>
  <si>
    <t>Trần Thị Mai Hiền</t>
  </si>
  <si>
    <t>Thửa 761, tờ 44</t>
  </si>
  <si>
    <t>Đặng Công Trưởng</t>
  </si>
  <si>
    <t>Thửa 763, tờ 44</t>
  </si>
  <si>
    <t>Đặng Thị Thanh Kim Ánh</t>
  </si>
  <si>
    <t>Thửa 762, tờ 44</t>
  </si>
  <si>
    <t>Đặng Công Trai</t>
  </si>
  <si>
    <t>Thửa 764, tờ 44</t>
  </si>
  <si>
    <t>Đặng Thị Thanh Kim Thủy</t>
  </si>
  <si>
    <t>Thửa 765, tờ 44</t>
  </si>
  <si>
    <t>Hồ Mạnh Tuấn</t>
  </si>
  <si>
    <t>Thửa 815, tờ 44</t>
  </si>
  <si>
    <t>Huỳnh Thị Xuân Liễu</t>
  </si>
  <si>
    <t>Thửa 319, tờ 44</t>
  </si>
  <si>
    <t>Nguyễn Thị Phấn</t>
  </si>
  <si>
    <t>Thửa 620, tờ 44</t>
  </si>
  <si>
    <t>Lê Quang Hưng</t>
  </si>
  <si>
    <t>Thửa 678, tờ 44</t>
  </si>
  <si>
    <t>Thửa 759, tờ 44</t>
  </si>
  <si>
    <t>Thửa 1291, tờ 44</t>
  </si>
  <si>
    <t>Nguyễn Tấn Quý</t>
  </si>
  <si>
    <t>Thửa 1001, tờ 44</t>
  </si>
  <si>
    <t>Lê Ngọc Ninh</t>
  </si>
  <si>
    <t>Thửa 1009, tờ 44</t>
  </si>
  <si>
    <t>Kiều Công Kiên</t>
  </si>
  <si>
    <t>Thửa 949, tờ 44</t>
  </si>
  <si>
    <t>Đăng Minh Như</t>
  </si>
  <si>
    <t>Thửa 74, tờ 44</t>
  </si>
  <si>
    <t>Trần Lê Trung</t>
  </si>
  <si>
    <t>Thửa 130, tờ 44</t>
  </si>
  <si>
    <t>Lý Ngọc Sơn</t>
  </si>
  <si>
    <t>Thửa 901, tờ 44</t>
  </si>
  <si>
    <t>Thửa 707, tờ 44</t>
  </si>
  <si>
    <t>Trần Đức Huynh</t>
  </si>
  <si>
    <t>Thửa 1104, tờ 44</t>
  </si>
  <si>
    <t>Thửa 859, tờ 44</t>
  </si>
  <si>
    <t>Phạm Viết Tài</t>
  </si>
  <si>
    <t>Thửa 963, tờ 44</t>
  </si>
  <si>
    <t>Huỳnh Thị Minh Phụng,
Vũ Thị Vy Linh</t>
  </si>
  <si>
    <t>Thửa 958, tờ 44</t>
  </si>
  <si>
    <t xml:space="preserve">Lê Văn Phi </t>
  </si>
  <si>
    <t>Thửa 961, tờ 44</t>
  </si>
  <si>
    <t>Phạm Quang Vinh</t>
  </si>
  <si>
    <t>Thửa 964, tờ 44</t>
  </si>
  <si>
    <t>Thửa 856, tờ 44</t>
  </si>
  <si>
    <t>Nguyễn Văn Bé</t>
  </si>
  <si>
    <t>Thửa 993, tờ 44</t>
  </si>
  <si>
    <t>Lê Huy Bảy</t>
  </si>
  <si>
    <t>Thửa 1099, tờ 44</t>
  </si>
  <si>
    <t>Trần Đức Thảo</t>
  </si>
  <si>
    <t>Nguyễn Văn Công</t>
  </si>
  <si>
    <t>Thửa 981, tờ 44</t>
  </si>
  <si>
    <t>Nguyễn Văn Quảng,
Nguyễn Thị Hương,
Dương Đình Tình</t>
  </si>
  <si>
    <t>Thửa 824, tờ 44</t>
  </si>
  <si>
    <t>Cao Văn Quang,
Đặng Trường Sơn</t>
  </si>
  <si>
    <t>Thửa 826, tờ 44</t>
  </si>
  <si>
    <t>Nguyễn Văn Đỉnh,
Đặng Thị Ngọc Danh</t>
  </si>
  <si>
    <t>Thửa 784, tờ 44</t>
  </si>
  <si>
    <t>Nguyễn Hoàn Hải,
Dương Minh Tốt,
Danh Thanh Giàu</t>
  </si>
  <si>
    <t>Thửa 818, tờ 44</t>
  </si>
  <si>
    <t>Lê Quang Vinh</t>
  </si>
  <si>
    <t>Thửa 792, tờ 44</t>
  </si>
  <si>
    <t>Phạm Thị Huyền,
Nguyễn Thị Mai</t>
  </si>
  <si>
    <t>Thửa 806, tờ 44</t>
  </si>
  <si>
    <t>Đoàn Thị Hoa,
Trương Văn Tuấn</t>
  </si>
  <si>
    <t>Thửa 813, tờ 44</t>
  </si>
  <si>
    <t xml:space="preserve">Nguyễn Văn Minh </t>
  </si>
  <si>
    <t>Thửa 822, tờ 44</t>
  </si>
  <si>
    <t>Hoàng Thị Bình</t>
  </si>
  <si>
    <t>Thửa 823, tờ 44</t>
  </si>
  <si>
    <t>Trần Hòa Bình</t>
  </si>
  <si>
    <t>Thửa 819, tờ 44</t>
  </si>
  <si>
    <t>Lê Hữu Hiếu,
Võ Thị Thanh Thảo,
Nguyễn Thị Thu Hằng,
Trần Thị Thanh Thủy</t>
  </si>
  <si>
    <t>Thửa 811, tờ 44</t>
  </si>
  <si>
    <t>Lê Thị Tú,
Phạm Thị Cương</t>
  </si>
  <si>
    <t>Thửa 816, tờ 44</t>
  </si>
  <si>
    <t>Nguyễn Hoàng Hải,
Lê Hùng Dương</t>
  </si>
  <si>
    <t>Thửa 793, tờ 44</t>
  </si>
  <si>
    <t>Nguyễn Hoàng Hải,
Nguyễn Văn Mai</t>
  </si>
  <si>
    <t>Thửa 820, tờ 44</t>
  </si>
  <si>
    <t>Quách Vỹ Đức</t>
  </si>
  <si>
    <t>Thửa 808, tờ 44</t>
  </si>
  <si>
    <t>Trần Nguyễn Hoàng</t>
  </si>
  <si>
    <t>Thửa 825, tờ 44</t>
  </si>
  <si>
    <t>Trương Văn Việt,
Đinh Công Minh</t>
  </si>
  <si>
    <t>Thửa 821, tờ 44</t>
  </si>
  <si>
    <t>Lê Quang Ninh,
Lê Hoàng Thái</t>
  </si>
  <si>
    <t>Thửa 786, tờ 44</t>
  </si>
  <si>
    <t>Phạm Ngọc Cảnh</t>
  </si>
  <si>
    <t>Thửa 814, tờ 44</t>
  </si>
  <si>
    <t>Trần Thị Thanh Thủy</t>
  </si>
  <si>
    <t>Thửa 810, tờ 44</t>
  </si>
  <si>
    <t>Trần Thị Thanh Thủy,
Lê Minh Toàn</t>
  </si>
  <si>
    <t>Thửa 809, tờ 44</t>
  </si>
  <si>
    <t>Thửa 719, tờ 44</t>
  </si>
  <si>
    <t>Thửa 860, tờ 44</t>
  </si>
  <si>
    <t>Trịnh Thị Liên</t>
  </si>
  <si>
    <t>Thửa 160, tờ 50</t>
  </si>
  <si>
    <t>Nguyễn Thị Thu</t>
  </si>
  <si>
    <t>Thửa 156, tờ 50</t>
  </si>
  <si>
    <t>Thửa 155, tờ 50</t>
  </si>
  <si>
    <t>Thửa 157, tờ 50</t>
  </si>
  <si>
    <t>Thửa 164, tờ 50</t>
  </si>
  <si>
    <t>Lý Công Bằng</t>
  </si>
  <si>
    <t>Thửa 79, tờ 50</t>
  </si>
  <si>
    <t>Trương Như Tiến</t>
  </si>
  <si>
    <t>Thửa 730, tờ 51</t>
  </si>
  <si>
    <t>Thị Bé</t>
  </si>
  <si>
    <t>Thửa 716, tờ 51</t>
  </si>
  <si>
    <t>Dương Ngọc Sửu</t>
  </si>
  <si>
    <t>Thửa 254, tờ 51</t>
  </si>
  <si>
    <t>Huỳnh Thị Kim Yến</t>
  </si>
  <si>
    <t>Thửa 726, tờ 51</t>
  </si>
  <si>
    <t>Thửa 116, tờ 51</t>
  </si>
  <si>
    <t>Thị Ngảnh</t>
  </si>
  <si>
    <t>Thửa 776, tờ 51</t>
  </si>
  <si>
    <t>Lê Thị Lọc</t>
  </si>
  <si>
    <t>Thửa 680, tờ 59</t>
  </si>
  <si>
    <t>Trương Thị Lan</t>
  </si>
  <si>
    <t>Thửa 697, tờ 59</t>
  </si>
  <si>
    <t>Thửa 359, tờ 59</t>
  </si>
  <si>
    <t>Diệp Minh Trường</t>
  </si>
  <si>
    <t>Thửa 448, tờ 59</t>
  </si>
  <si>
    <t>Thửa 743, tờ 59</t>
  </si>
  <si>
    <t>Thửa 500, tờ 59</t>
  </si>
  <si>
    <t>Lữ Thị Ánh Ngọc</t>
  </si>
  <si>
    <t>Thửa 748, tờ 59</t>
  </si>
  <si>
    <t>Lê Thị Thu Sương</t>
  </si>
  <si>
    <t>Thửa 749, tờ 59</t>
  </si>
  <si>
    <t>Thửa 750, tờ 59</t>
  </si>
  <si>
    <t>Võ Thị Được</t>
  </si>
  <si>
    <t>Thửa 754, tờ 60</t>
  </si>
  <si>
    <t>Ngô Minh Quang</t>
  </si>
  <si>
    <t>Thửa 374, tờ 60</t>
  </si>
  <si>
    <t>Trần Hảo</t>
  </si>
  <si>
    <t>Thửa 436, tờ 60</t>
  </si>
  <si>
    <t>Trần Sơn Lâm</t>
  </si>
  <si>
    <t>Thửa 453, tờ 60</t>
  </si>
  <si>
    <t>Ngô Minh Hồng</t>
  </si>
  <si>
    <t>Thửa 538, tờ 60</t>
  </si>
  <si>
    <t>Bùi Thị Thà</t>
  </si>
  <si>
    <t>Thửa 261, tờ 60</t>
  </si>
  <si>
    <t>Lê Xuân Toàn</t>
  </si>
  <si>
    <t>Thửa 541, tờ 60</t>
  </si>
  <si>
    <t>Trịnh Thị Yến</t>
  </si>
  <si>
    <t>Thửa 183, tờ 60</t>
  </si>
  <si>
    <t>Lê Thị Châm</t>
  </si>
  <si>
    <t>Thửa 206, tờ 60</t>
  </si>
  <si>
    <t>Nguyễn Thị Mùi</t>
  </si>
  <si>
    <t>Thửa 280, tờ 60</t>
  </si>
  <si>
    <t>Nguyễn Bá Thành</t>
  </si>
  <si>
    <t>Thửa 348, tờ 61</t>
  </si>
  <si>
    <t>Hoàng Thị Thanh</t>
  </si>
  <si>
    <t>Thửa 604, tờ 61</t>
  </si>
  <si>
    <t>Bùi Văn Tình</t>
  </si>
  <si>
    <t>Thửa 448, tờ 61</t>
  </si>
  <si>
    <t>Thửa 701, tờ 61</t>
  </si>
  <si>
    <t>Nguyễn Tài Phương Nam</t>
  </si>
  <si>
    <t>Thửa 700, tờ 61</t>
  </si>
  <si>
    <t>Tống Thị Nội</t>
  </si>
  <si>
    <t>Thửa 510, tờ 61</t>
  </si>
  <si>
    <t>Nguyễn Thị Kim Liên</t>
  </si>
  <si>
    <t>Thửa 408, tờ 61</t>
  </si>
  <si>
    <t>Thửa 527, tờ 61</t>
  </si>
  <si>
    <t>Bùi Văn Thu</t>
  </si>
  <si>
    <t>Thửa 729, tờ 61</t>
  </si>
  <si>
    <t>Nguyễn Thành Long</t>
  </si>
  <si>
    <t>Thửa 20, tờ 61</t>
  </si>
  <si>
    <t>Thửa 711, tờ 61</t>
  </si>
  <si>
    <t>Nguyễn Thị Đảo</t>
  </si>
  <si>
    <t>Thửa 319, tờ 62</t>
  </si>
  <si>
    <t>Thửa 526, tờ 62</t>
  </si>
  <si>
    <t>Nguyễn Duy Minh</t>
  </si>
  <si>
    <t>Thửa 696, tờ 61</t>
  </si>
  <si>
    <t>Chu Văn Lương</t>
  </si>
  <si>
    <t>Thửa 767, tờ 61</t>
  </si>
  <si>
    <t>Thửa 695, tờ 61</t>
  </si>
  <si>
    <t>Dương Hồng Phong</t>
  </si>
  <si>
    <t>Thửa 523, tờ 61</t>
  </si>
  <si>
    <t>Lê Thị Thu Nguyệt,
Tạ Thu Hiền</t>
  </si>
  <si>
    <t>Thửa 591, tờ 61</t>
  </si>
  <si>
    <t>Ngô Văn Việt</t>
  </si>
  <si>
    <t>Thửa 210, tờ 61</t>
  </si>
  <si>
    <t>Thửa 619, tờ 62</t>
  </si>
  <si>
    <t>Lê Thị Thu Nguyệt</t>
  </si>
  <si>
    <t>Thửa 519, tờ 62</t>
  </si>
  <si>
    <t>Đoàn Văn Châu</t>
  </si>
  <si>
    <t>Thửa 354, tờ 62</t>
  </si>
  <si>
    <t>Thửa 621, tờ 62</t>
  </si>
  <si>
    <t>Thửa 622, tờ 62</t>
  </si>
  <si>
    <t>Phạm Thị Độ</t>
  </si>
  <si>
    <t>Thửa 306, tờ 62</t>
  </si>
  <si>
    <t>Phạm Minh Tuấn</t>
  </si>
  <si>
    <t>Thửa 605, tờ 62</t>
  </si>
  <si>
    <t>Lê Mai Bình</t>
  </si>
  <si>
    <t>Thửa 555, tờ 62</t>
  </si>
  <si>
    <t>Nguyễn Thi Hạnh</t>
  </si>
  <si>
    <t>Thửa 329, tờ 62</t>
  </si>
  <si>
    <t>Chu Thị Thủy</t>
  </si>
  <si>
    <t>Thửa 142, tờ 67</t>
  </si>
  <si>
    <t>Đoàn Kim Thoa</t>
  </si>
  <si>
    <t>Thửa 828, tờ 67</t>
  </si>
  <si>
    <t>Thửa 826, tờ 67</t>
  </si>
  <si>
    <t>Đoàn Thanh Trung</t>
  </si>
  <si>
    <t>Thửa 827, tờ 67</t>
  </si>
  <si>
    <t>Thửa 825, tờ 67</t>
  </si>
  <si>
    <t>Hồ Quang Huy</t>
  </si>
  <si>
    <t>Thửa 293, tờ 67</t>
  </si>
  <si>
    <t>Trần Công Vinh</t>
  </si>
  <si>
    <t>Thửa 160, tờ 67</t>
  </si>
  <si>
    <t>Thửa 30, tờ 67</t>
  </si>
  <si>
    <t>Thửa 275, tờ 68</t>
  </si>
  <si>
    <t>Hồ Hữu Dương</t>
  </si>
  <si>
    <t>Thửa 4B, tờ 68</t>
  </si>
  <si>
    <t>Đỗ Văn Đua</t>
  </si>
  <si>
    <t>Thửa 579, tờ 68</t>
  </si>
  <si>
    <t>Nguyễn Văn Dư</t>
  </si>
  <si>
    <t>Thửa 580, tờ 68</t>
  </si>
  <si>
    <t>Mai Thị Hiền</t>
  </si>
  <si>
    <t>Thửa 526, tờ 68</t>
  </si>
  <si>
    <t>Lại Văn An</t>
  </si>
  <si>
    <t>Thửa 180, tờ 68</t>
  </si>
  <si>
    <t>Nguyễn Bá Huy</t>
  </si>
  <si>
    <t>Thửa 780, tờ 68</t>
  </si>
  <si>
    <t>Nguyễn Thị Quyên</t>
  </si>
  <si>
    <t>Thửa 305, tờ 68</t>
  </si>
  <si>
    <t>Đoàn Văn Trường</t>
  </si>
  <si>
    <t>Thửa 224, tờ 68</t>
  </si>
  <si>
    <t>Ngô Thị Liên</t>
  </si>
  <si>
    <t>Thửa 626, tờ 68</t>
  </si>
  <si>
    <t>Thửa 627, tờ 68</t>
  </si>
  <si>
    <t>Thửa 628, tờ 68</t>
  </si>
  <si>
    <t>Thửa 629, tờ 68</t>
  </si>
  <si>
    <t>Nguyễn Thi Hiền</t>
  </si>
  <si>
    <t>Thửa 668, tờ 69</t>
  </si>
  <si>
    <t>Thửa 597, tờ 69</t>
  </si>
  <si>
    <t>Phạm Huy Hoàng</t>
  </si>
  <si>
    <t>Thửa 757, tờ 69</t>
  </si>
  <si>
    <t>Nguyễn Ngọc Chiến</t>
  </si>
  <si>
    <t>Thửa 107, tờ 69</t>
  </si>
  <si>
    <t>Thửa 771, tờ 69</t>
  </si>
  <si>
    <t>Thửa 750, tờ 69</t>
  </si>
  <si>
    <t>Nguyễn Lâm Hải</t>
  </si>
  <si>
    <t>Thửa 58, tờ 69</t>
  </si>
  <si>
    <t>Thửa 460, tờ 69</t>
  </si>
  <si>
    <t>Chu Văn Hai</t>
  </si>
  <si>
    <t>Trương Văn Bình</t>
  </si>
  <si>
    <t>Thửa 69, tờ 69</t>
  </si>
  <si>
    <t>Trần Văn Phương</t>
  </si>
  <si>
    <t>Thửa 735, tờ 69</t>
  </si>
  <si>
    <t>Đào Xuân Mậu</t>
  </si>
  <si>
    <t>Thửa 149, tờ 69</t>
  </si>
  <si>
    <t>Ngô Duy Đợi</t>
  </si>
  <si>
    <t>Thửa 29, tờ 69</t>
  </si>
  <si>
    <t>Lê Văn Định</t>
  </si>
  <si>
    <t>Thửa 37, tờ 70</t>
  </si>
  <si>
    <t>Lại Thị Thu Hà</t>
  </si>
  <si>
    <t>Thửa 83, tờ 70</t>
  </si>
  <si>
    <t>Thửa 10, tờ 70</t>
  </si>
  <si>
    <t>Lê Thị Hiên</t>
  </si>
  <si>
    <t>Thửa 22, tờ 70</t>
  </si>
  <si>
    <t>Nguyễn Thị Mơ</t>
  </si>
  <si>
    <t>Thửa 1243, tờ 24</t>
  </si>
  <si>
    <t>Thửa 1003, tờ 34</t>
  </si>
  <si>
    <t>Thửa 1004, tờ 34</t>
  </si>
  <si>
    <t>Nguyễn Thị Huệ</t>
  </si>
  <si>
    <t>Thửa 842, tờ 34</t>
  </si>
  <si>
    <t>Nguyễn Thế Long</t>
  </si>
  <si>
    <t>Thửa 775, tờ 51</t>
  </si>
  <si>
    <t>Dương Tuấn Dương</t>
  </si>
  <si>
    <t>Thửa 773, tờ 69</t>
  </si>
  <si>
    <t>Lê Thanh Long</t>
  </si>
  <si>
    <t>Thửa 93B, tờ 32</t>
  </si>
  <si>
    <t>Lê Ngọc Ẩn</t>
  </si>
  <si>
    <t>Thửa 94, tờ 61</t>
  </si>
  <si>
    <t>Thửa 814, tờ 51</t>
  </si>
  <si>
    <t>Thửa 161, tờ 52</t>
  </si>
  <si>
    <t>Thửa 162, tờ 52</t>
  </si>
  <si>
    <t>Nguyễn Lợi</t>
  </si>
  <si>
    <t>Thửa 10, tờ 33</t>
  </si>
  <si>
    <t>Thửa 559, tờ 52</t>
  </si>
  <si>
    <t>Lê Thị Kim Liên</t>
  </si>
  <si>
    <t>Thửa 275, tờ 34</t>
  </si>
  <si>
    <t>Nguyễn Văn Thìn</t>
  </si>
  <si>
    <t>Thửa 943, tờ 61</t>
  </si>
  <si>
    <t>Hồ Văn Luận</t>
  </si>
  <si>
    <t>Thửa 1245, tờ 23</t>
  </si>
  <si>
    <t>Hồ Thị Thảo</t>
  </si>
  <si>
    <t>Thửa 790, tờ 41</t>
  </si>
  <si>
    <t>Thửa 791, tờ 41</t>
  </si>
  <si>
    <t>Thửa 792, tờ 41</t>
  </si>
  <si>
    <t>Hồ Thị Thanh</t>
  </si>
  <si>
    <t>Thửa 810, tờ 61</t>
  </si>
  <si>
    <t>Thửa 855, tờ 61</t>
  </si>
  <si>
    <t>Thửa 851, tờ 61</t>
  </si>
  <si>
    <t>Thửa 850, tờ 61</t>
  </si>
  <si>
    <t>Thửa 848, tờ 61</t>
  </si>
  <si>
    <t>Thửa 849, tờ 61</t>
  </si>
  <si>
    <t>Thửa 847, tờ 61</t>
  </si>
  <si>
    <t>Thửa 852, tờ 61</t>
  </si>
  <si>
    <t>Thửa 853, tờ 61</t>
  </si>
  <si>
    <t>Nguyễn Trọng Trường</t>
  </si>
  <si>
    <t>Thửa 811, tờ 17</t>
  </si>
  <si>
    <t>Nguyễn Trọng Phong</t>
  </si>
  <si>
    <t>Thửa 812, tờ 17</t>
  </si>
  <si>
    <t>Thửa 778, tờ 42</t>
  </si>
  <si>
    <t>Nguyễn Thái Bình</t>
  </si>
  <si>
    <t>Đinh Thị Kim Ảnh</t>
  </si>
  <si>
    <t>Thửa 42, tờ 15</t>
  </si>
  <si>
    <t>Hà Văn Khá</t>
  </si>
  <si>
    <t>Thửa 972, tờ 61</t>
  </si>
  <si>
    <t>Thửa 973, tờ 61</t>
  </si>
  <si>
    <t>Đào Thị Liên</t>
  </si>
  <si>
    <t>Thửa 852, tờ 15</t>
  </si>
  <si>
    <t>Thửa 170, tờ 12</t>
  </si>
  <si>
    <t>Thửa 167, tờ 12</t>
  </si>
  <si>
    <t>Thửa 169, tờ12</t>
  </si>
  <si>
    <t>Nguyễn Văn Em</t>
  </si>
  <si>
    <t>Thửa 166, tờ 12</t>
  </si>
  <si>
    <t>Thửa 172, tờ 12</t>
  </si>
  <si>
    <t>Thửa 171, tờ 12</t>
  </si>
  <si>
    <t>Phạm Thị Phụng</t>
  </si>
  <si>
    <t>Thửa 900, tờ 61</t>
  </si>
  <si>
    <t>Thửa 901, tờ 61</t>
  </si>
  <si>
    <t>Thửa 902, tờ 61</t>
  </si>
  <si>
    <t>Thửa 903, tờ 61</t>
  </si>
  <si>
    <t>Thửa 904, tờ 61</t>
  </si>
  <si>
    <t>Thửa 905, tờ 61</t>
  </si>
  <si>
    <t>Thửa 906, tờ 61</t>
  </si>
  <si>
    <t>Thửa 907, tờ 61</t>
  </si>
  <si>
    <t>Trần Thị Duyên</t>
  </si>
  <si>
    <t>Thửa 771, tờ 61</t>
  </si>
  <si>
    <t>Trần Văn Khải</t>
  </si>
  <si>
    <t>Thửa 951, tờ 61</t>
  </si>
  <si>
    <t>Thửa 960, tờ 61</t>
  </si>
  <si>
    <t>Lê Thị Bảy</t>
  </si>
  <si>
    <t>Thửa 950, tờ 61</t>
  </si>
  <si>
    <t>Thửa 949, tờ 61</t>
  </si>
  <si>
    <t>Đoàn Thị Mường</t>
  </si>
  <si>
    <t>Thửa 963, tờ 61</t>
  </si>
  <si>
    <t>Thửa 964, tờ 61</t>
  </si>
  <si>
    <t>Thửa 967, tờ 61</t>
  </si>
  <si>
    <t>Vũ Văn Hiếu</t>
  </si>
  <si>
    <t>Thửa 376, tờ 17</t>
  </si>
  <si>
    <t>Nguyễn Thành Trung</t>
  </si>
  <si>
    <t>Thửa 935, tờ 34</t>
  </si>
  <si>
    <t>Nguyễn Thị Thúy Hòa</t>
  </si>
  <si>
    <t>Thửa 490, tờ 41</t>
  </si>
  <si>
    <t>Đào Thanh Việt</t>
  </si>
  <si>
    <t>Thửa 433, tờ 68</t>
  </si>
  <si>
    <t>Lê Thị Kim Ánh</t>
  </si>
  <si>
    <t>Thửa 1221, tờ 24</t>
  </si>
  <si>
    <t>Vũ Thị Kim Hoa</t>
  </si>
  <si>
    <t>Thửa 68B, tờ 23</t>
  </si>
  <si>
    <t>Lê Thị Phương Nhung
(Phan Thanh Xuân)</t>
  </si>
  <si>
    <t>Thửa 946, tờ 14</t>
  </si>
  <si>
    <t>Nguyễn Thiện Quang</t>
  </si>
  <si>
    <t>Thửa 545, tờ 62</t>
  </si>
  <si>
    <t>Kiều Tùng Minh</t>
  </si>
  <si>
    <t>Thửa 187, tờ 06</t>
  </si>
  <si>
    <t>Thái Thị Quan</t>
  </si>
  <si>
    <t>Thửa 1492, tờ 24</t>
  </si>
  <si>
    <t>Phạm Mạnh Cường</t>
  </si>
  <si>
    <t>Thửa 777, tờ 69</t>
  </si>
  <si>
    <t>Nguyễn Thị Nhã Yến</t>
  </si>
  <si>
    <t>Thửa 583, tờ 43</t>
  </si>
  <si>
    <t>Nguyễn Thị Kim Lộc</t>
  </si>
  <si>
    <t>Thửa 05, tờ 32</t>
  </si>
  <si>
    <t>Thửa 1083, tờ 33</t>
  </si>
  <si>
    <t>Nguyễn Hùng Hoàng</t>
  </si>
  <si>
    <t>Thửa 82, tờ 5</t>
  </si>
  <si>
    <t>Thửa 359, tờ 5</t>
  </si>
  <si>
    <t>Hồ Văn Hùng</t>
  </si>
  <si>
    <t>Thửa 188, tờ 6</t>
  </si>
  <si>
    <t>Dương Văn Chốc</t>
  </si>
  <si>
    <t>Thửa 51, tờ 6</t>
  </si>
  <si>
    <t>Thửa 225, tờ 12</t>
  </si>
  <si>
    <t>Lê Hạnh</t>
  </si>
  <si>
    <t>Thửa 173, tờ 12</t>
  </si>
  <si>
    <t>Lưu Thị Phương</t>
  </si>
  <si>
    <t>Thửa 180, tờ 12</t>
  </si>
  <si>
    <t>Hồ Vĩnh Tụ</t>
  </si>
  <si>
    <t>Thửa 123, tờ 12</t>
  </si>
  <si>
    <t>Lê Thị Phố</t>
  </si>
  <si>
    <t>Thửa 141, tờ 13</t>
  </si>
  <si>
    <t>Thửa 237, tờ 13</t>
  </si>
  <si>
    <t>Thửa 140, tờ 13</t>
  </si>
  <si>
    <t>Lê Đình Học</t>
  </si>
  <si>
    <t>Thửa 143, tờ 13</t>
  </si>
  <si>
    <t>Nguyễn Văn Túy</t>
  </si>
  <si>
    <t>Thửa 1112, tờ 14</t>
  </si>
  <si>
    <t>Thửa 1113, tờ 14</t>
  </si>
  <si>
    <t>Thửa 1115, tờ 14</t>
  </si>
  <si>
    <t>Thửa 1116, tờ 14</t>
  </si>
  <si>
    <t>Thửa 1117, tờ 14</t>
  </si>
  <si>
    <t>Thửa 1118, tờ 14</t>
  </si>
  <si>
    <t>Thửa 1119, tờ 14</t>
  </si>
  <si>
    <t>Thửa 1114, tờ 14</t>
  </si>
  <si>
    <t>Thửa 1111, tờ 14</t>
  </si>
  <si>
    <t>Nguyễn Thanh Hải</t>
  </si>
  <si>
    <t>Thửa 79, tờ 15</t>
  </si>
  <si>
    <t>Nguyễn Gia Hải</t>
  </si>
  <si>
    <t>Thửa 1043, tờ 14</t>
  </si>
  <si>
    <t>Thửa 1078, tờ 14</t>
  </si>
  <si>
    <t>Thửa 57, tờ 14</t>
  </si>
  <si>
    <t>Thửa 10, tờ 14</t>
  </si>
  <si>
    <t>Thửa 953, tờ 14</t>
  </si>
  <si>
    <t>Nguyễn Thị Chiến</t>
  </si>
  <si>
    <t>Thửa 807, tờ 15</t>
  </si>
  <si>
    <t>Thửa 915, tờ 15</t>
  </si>
  <si>
    <t>Phạm Thị Dựng</t>
  </si>
  <si>
    <t>Thửa 938, tờ 15</t>
  </si>
  <si>
    <t>Thửa 1016, tờ 15</t>
  </si>
  <si>
    <t>Lê Thị Mỹ Kiên</t>
  </si>
  <si>
    <t>Thửa 1036, tờ 15</t>
  </si>
  <si>
    <t>Nguyễn Văn Thảo</t>
  </si>
  <si>
    <t>Thửa 711, tờ 15</t>
  </si>
  <si>
    <t>Hoàng Trọng Nhân</t>
  </si>
  <si>
    <t>Đỗ Quang Trung</t>
  </si>
  <si>
    <t>Thửa 779, tờ 17</t>
  </si>
  <si>
    <t>Nguyễn Thị Hoan</t>
  </si>
  <si>
    <t>Thửa 780, tờ 17</t>
  </si>
  <si>
    <t>Thửa 638, tờ 17</t>
  </si>
  <si>
    <t>Thửa 615, tờ 17</t>
  </si>
  <si>
    <t>Đỗ Tuấn Anh</t>
  </si>
  <si>
    <t>Thửa 803, tờ 17</t>
  </si>
  <si>
    <t>Thửa 400, tờ 22</t>
  </si>
  <si>
    <t>Thửa 1583, tờ 23</t>
  </si>
  <si>
    <t>Lê Huy Hải</t>
  </si>
  <si>
    <t>Thửa 487, tờ 23</t>
  </si>
  <si>
    <t>Thửa 1213, tờ 23</t>
  </si>
  <si>
    <t>Thửa 1756, tờ 23</t>
  </si>
  <si>
    <t xml:space="preserve">  PNK</t>
  </si>
  <si>
    <t>Thửa 1614, tờ 23</t>
  </si>
  <si>
    <t xml:space="preserve"> PNK</t>
  </si>
  <si>
    <t>Tô Duy Bình,
Lê Thành Công,
Đặng Hiếu Thảo</t>
  </si>
  <si>
    <t>Thửa 1247, tờ 23</t>
  </si>
  <si>
    <t>Huỳnh Thị Cẩm Nhung</t>
  </si>
  <si>
    <t>Thửa 1587, tờ 23</t>
  </si>
  <si>
    <t>Thửa 1589, tờ 23</t>
  </si>
  <si>
    <t>Thửa 1588, tờ 23</t>
  </si>
  <si>
    <t>Châu Hữu Xuân</t>
  </si>
  <si>
    <t>Thửa 522, tờ 23</t>
  </si>
  <si>
    <t>Thửa 43, tờ 23</t>
  </si>
  <si>
    <t>Thửa 581, tờ 23</t>
  </si>
  <si>
    <t>Nguyễn Hữu Hiếu</t>
  </si>
  <si>
    <t>Thửa 1793, tờ 23</t>
  </si>
  <si>
    <t>Phạm Thị Bé</t>
  </si>
  <si>
    <t>Thửa 1687, tờ 23</t>
  </si>
  <si>
    <t>Nguyễn Thanh Sương</t>
  </si>
  <si>
    <t xml:space="preserve">Đỗ Văn Bình </t>
  </si>
  <si>
    <t>Thửa 1325, tờ 24</t>
  </si>
  <si>
    <t>Thửa 1523, tờ 24</t>
  </si>
  <si>
    <t>Ngụy Thị Thu</t>
  </si>
  <si>
    <t>Thửa 34, tờ 24</t>
  </si>
  <si>
    <t>Thửa 1087, tờ 24</t>
  </si>
  <si>
    <t>Phạm Thị Chính</t>
  </si>
  <si>
    <t>Thửa 100, tờ 24</t>
  </si>
  <si>
    <t>Nhữ Thị Khuyên</t>
  </si>
  <si>
    <t>Thửa 175, tờ 24</t>
  </si>
  <si>
    <t>Nguyễn Thành Dũng</t>
  </si>
  <si>
    <t>Thửa 1637, tờ 24</t>
  </si>
  <si>
    <t>Trương Thị Hoa</t>
  </si>
  <si>
    <t>Thửa 978, tờ 24</t>
  </si>
  <si>
    <t>Đinh Trọng Mậu,
Hồ Quang Tuấn,
Hồ Thị Xuyến</t>
  </si>
  <si>
    <t>Nguyễn Văn Ba</t>
  </si>
  <si>
    <t>Thửa 975, tờ 24</t>
  </si>
  <si>
    <t>Nguyễn Thi Mơ</t>
  </si>
  <si>
    <t>Mai Thị Hằng</t>
  </si>
  <si>
    <t>Thửa 638, tờ 24</t>
  </si>
  <si>
    <t>Hoàng Văn Phi</t>
  </si>
  <si>
    <t>Thửa 58, tờ 24</t>
  </si>
  <si>
    <t>Hoàng Thị Quý</t>
  </si>
  <si>
    <t>Thửa 1256, tờ 24</t>
  </si>
  <si>
    <t>Trần Đại Thắng</t>
  </si>
  <si>
    <t>Thửa 1287, tờ 32</t>
  </si>
  <si>
    <t>Nguyễn Thị Châu</t>
  </si>
  <si>
    <t>Thửa 1124, tờ 32</t>
  </si>
  <si>
    <t>Nguyến Thị Hiếu</t>
  </si>
  <si>
    <t>Thửa 531, tờ 32</t>
  </si>
  <si>
    <t>Hoàng Thị Điền</t>
  </si>
  <si>
    <t>Thửa 1311, tờ 33</t>
  </si>
  <si>
    <t>Trần Ngọc Tân</t>
  </si>
  <si>
    <t>Thửa 1464, tờ 33</t>
  </si>
  <si>
    <t>Nguyễn Quốc Mạnh</t>
  </si>
  <si>
    <t>Thửa 1031, tờ 33</t>
  </si>
  <si>
    <t>Nguyễn Thị Thanh Thủy</t>
  </si>
  <si>
    <t>Thửa 1302, tờ 33</t>
  </si>
  <si>
    <t>Lương Thanh Tùng</t>
  </si>
  <si>
    <t>Thửa 570, tờ 34</t>
  </si>
  <si>
    <t>Lương Anh Thư</t>
  </si>
  <si>
    <t>Thửa 569, tờ 34</t>
  </si>
  <si>
    <t>Lương Anh Tuấn</t>
  </si>
  <si>
    <t>Thửa 572, tờ 34</t>
  </si>
  <si>
    <t xml:space="preserve">Đặng Văn Bách </t>
  </si>
  <si>
    <t>Thửa 299, tờ 34</t>
  </si>
  <si>
    <t>Đặng Văn Hưng</t>
  </si>
  <si>
    <t>Thửa 608, tờ 34</t>
  </si>
  <si>
    <t>Nguyễn Quang Huy</t>
  </si>
  <si>
    <t>Thửa 761, tờ 34</t>
  </si>
  <si>
    <t>Thửa 843, tờ 34</t>
  </si>
  <si>
    <t>Trương Việt Hà</t>
  </si>
  <si>
    <t>Thửa 703, tờ 34</t>
  </si>
  <si>
    <t>Thửa 967, tờ 34</t>
  </si>
  <si>
    <t>Thửa 635, tờ 34</t>
  </si>
  <si>
    <t>Mai Văn Ngoan</t>
  </si>
  <si>
    <t>Thửa 524, tờ 34</t>
  </si>
  <si>
    <t>Nguyễn Văn Huân</t>
  </si>
  <si>
    <t>Thửa 1047, tờ 34</t>
  </si>
  <si>
    <t>Nguyễn Hữu Hoàn</t>
  </si>
  <si>
    <t>Thửa 1048, tờ 34</t>
  </si>
  <si>
    <t>Nguyễn Văn Điều</t>
  </si>
  <si>
    <t>Thửa 165, tờ 39</t>
  </si>
  <si>
    <t>Nguyễn Thị Điệp</t>
  </si>
  <si>
    <t>Thửa 42, tờ 39</t>
  </si>
  <si>
    <t>Võ Thị Phục Hạnh</t>
  </si>
  <si>
    <t>Thửa 664, tờ 41</t>
  </si>
  <si>
    <t>Nguyễn Thế Dũng</t>
  </si>
  <si>
    <t>Thửa 671, tờ 41</t>
  </si>
  <si>
    <t>Trương Văn Dũng</t>
  </si>
  <si>
    <t>Thửa 672, tờ 41</t>
  </si>
  <si>
    <t>Nguyễn Văn Chiêm</t>
  </si>
  <si>
    <t>Thửa 35, tờ 41</t>
  </si>
  <si>
    <t>Trần Thanh Việt</t>
  </si>
  <si>
    <t>Thửa 667, tờ 41</t>
  </si>
  <si>
    <t>Trần Thị Thu Nga</t>
  </si>
  <si>
    <t>Thửa 799, tờ 41</t>
  </si>
  <si>
    <t>Lê Văn Hải</t>
  </si>
  <si>
    <t>Thửa 435, tờ 41</t>
  </si>
  <si>
    <t>Thửa 436, tờ 41</t>
  </si>
  <si>
    <t>Thửa 434, tờ 41</t>
  </si>
  <si>
    <t>Phan Đình Hải</t>
  </si>
  <si>
    <t>Thửa 433, tờ 41</t>
  </si>
  <si>
    <t>Nguyễn Thị Ngọc Luyến</t>
  </si>
  <si>
    <t>Thửa 627, tờ 41</t>
  </si>
  <si>
    <t>Dương Văn Nghĩa</t>
  </si>
  <si>
    <t>Thửa 302, tờ 42</t>
  </si>
  <si>
    <t>Nguyễn Văn Phim</t>
  </si>
  <si>
    <t>Thửa 27, tờ 42</t>
  </si>
  <si>
    <t>Nguyễn Đình Lưu</t>
  </si>
  <si>
    <t>Thửa 193, tờ 42</t>
  </si>
  <si>
    <t>Nguyễn Thị Yến</t>
  </si>
  <si>
    <t>Thửa 266, tờ 42</t>
  </si>
  <si>
    <t>Thửa 80, tờ 42</t>
  </si>
  <si>
    <t>Đỗ Thị Diện</t>
  </si>
  <si>
    <t>Thửa 532, tờ 44</t>
  </si>
  <si>
    <t>Thửa 709, tờ 44</t>
  </si>
  <si>
    <t>Biện Thị Thu Thùy</t>
  </si>
  <si>
    <t>Thửa 857, tờ 44</t>
  </si>
  <si>
    <t>Lê Phúc Sửu</t>
  </si>
  <si>
    <t>Thửa 1347, tờ 44</t>
  </si>
  <si>
    <t>Ngô Minh Khôi</t>
  </si>
  <si>
    <t>Thửa 305, tờ 44</t>
  </si>
  <si>
    <t>Nguyễn Thị Út</t>
  </si>
  <si>
    <t>Thửa 139, tờ 50</t>
  </si>
  <si>
    <t>Ngô Thị Tới</t>
  </si>
  <si>
    <t>Thửa 66, tờ 50</t>
  </si>
  <si>
    <t>Nguyễn Đình Năng</t>
  </si>
  <si>
    <t>Thửa 147, tờ 50</t>
  </si>
  <si>
    <t>Lê Thanh Hà</t>
  </si>
  <si>
    <t>Lê Thị Lan Phương</t>
  </si>
  <si>
    <t>Thửa 770, tờ 51</t>
  </si>
  <si>
    <t>Vương Xuân Vui</t>
  </si>
  <si>
    <t>Thửa 565, tờ 51</t>
  </si>
  <si>
    <t>Phan Quý Phụng</t>
  </si>
  <si>
    <t>Thửa 788, tờ 51</t>
  </si>
  <si>
    <t>Thửa 173, tờ 51</t>
  </si>
  <si>
    <t>Lê Văn Lỳ</t>
  </si>
  <si>
    <t>Thửa 704, tờ 51</t>
  </si>
  <si>
    <t>Nguyễn Văn Hoan</t>
  </si>
  <si>
    <t>Thửa 120, tờ 59</t>
  </si>
  <si>
    <t>Lê Viết Đản</t>
  </si>
  <si>
    <t>Thửa 307, tờ 60</t>
  </si>
  <si>
    <t>Ngô Thống Nhất</t>
  </si>
  <si>
    <t>Thửa 38, tờ 60</t>
  </si>
  <si>
    <t>Thửa 248, tờ 60</t>
  </si>
  <si>
    <t>Thửa 249, tờ 60</t>
  </si>
  <si>
    <t>Lê Quang Đại</t>
  </si>
  <si>
    <t>Thửa 64, tờ 60</t>
  </si>
  <si>
    <t>Lê Thị Hải Hà</t>
  </si>
  <si>
    <t>Thửa 450, tờ 60</t>
  </si>
  <si>
    <t>Thửa 449, tờ 61</t>
  </si>
  <si>
    <t>Nguyễn Trí Quang</t>
  </si>
  <si>
    <t>Thửa 525, tờ 61</t>
  </si>
  <si>
    <t>Thửa 524, tờ 61</t>
  </si>
  <si>
    <t xml:space="preserve">Phạm Thanh Nhân </t>
  </si>
  <si>
    <t>Hoàng Thị Hồng Phong</t>
  </si>
  <si>
    <t>Thửa 961, tờ 61</t>
  </si>
  <si>
    <t>Thửa 962, tờ 61</t>
  </si>
  <si>
    <t>Thửa 966, tờ 61</t>
  </si>
  <si>
    <t>Thửa 965, tờ 61</t>
  </si>
  <si>
    <t>Trần Lệ Hiền</t>
  </si>
  <si>
    <t>Đỗ Văn Duy</t>
  </si>
  <si>
    <t>Huỳnh Hửu Thành</t>
  </si>
  <si>
    <t>Lê Thị Mỹ Hồng</t>
  </si>
  <si>
    <t>Thửa 457, tờ 61</t>
  </si>
  <si>
    <t>Nguyễn Thanh Tuyền</t>
  </si>
  <si>
    <t>Thửa 447, tờ 61</t>
  </si>
  <si>
    <t>Trần Văn Ngoan</t>
  </si>
  <si>
    <t>Thửa 492, tờ 61</t>
  </si>
  <si>
    <t>Thửa 969, tờ 61</t>
  </si>
  <si>
    <t>Nguyễn Thanh Ngân</t>
  </si>
  <si>
    <t>Thửa 589, tờ 61</t>
  </si>
  <si>
    <t>Thửa 624, tờ 61</t>
  </si>
  <si>
    <t>Nguyễn Văn Điệp</t>
  </si>
  <si>
    <t>Thửa 155, tờ 61</t>
  </si>
  <si>
    <t>Nguyễn Công Đỉnh</t>
  </si>
  <si>
    <t>Thửa 371, tờ 61</t>
  </si>
  <si>
    <t>Trần Trọng Lượng</t>
  </si>
  <si>
    <t>Thửa 362, tờ 61</t>
  </si>
  <si>
    <t>Thửa 528, tờ 61</t>
  </si>
  <si>
    <t>Thửa 530, tờ 61</t>
  </si>
  <si>
    <t>Thửa 714, tờ 61</t>
  </si>
  <si>
    <t>Hồ Văn Hải</t>
  </si>
  <si>
    <t>Thửa 713, tờ 61</t>
  </si>
  <si>
    <t>Thửa 17, tờ 61</t>
  </si>
  <si>
    <t>Thửa 169, tờ 61</t>
  </si>
  <si>
    <t>Thửa 974, tờ 61</t>
  </si>
  <si>
    <t>Trần Văn Tuyến</t>
  </si>
  <si>
    <t>Thửa 968, tờ 61</t>
  </si>
  <si>
    <t>Tạ Ngọc Phú Quý</t>
  </si>
  <si>
    <t>Thửa 624, tờ 62</t>
  </si>
  <si>
    <t>Thửa 628, tờ 62</t>
  </si>
  <si>
    <t>Lê Hữu Toàn</t>
  </si>
  <si>
    <t>Thửa 629, tờ 62</t>
  </si>
  <si>
    <t>Thửa 630, tờ 62</t>
  </si>
  <si>
    <t>Bùi Thị Tuyết Mai</t>
  </si>
  <si>
    <t>Thửa 532, tờ 62</t>
  </si>
  <si>
    <t>Lê Thị Hoạt</t>
  </si>
  <si>
    <t>Thửa 331, tờ 62</t>
  </si>
  <si>
    <t>Phạm Minh Tân</t>
  </si>
  <si>
    <t>Thửa 603, tờ 62</t>
  </si>
  <si>
    <t>Mạc Thị Chinh</t>
  </si>
  <si>
    <t>Thửa 502, tờ 62</t>
  </si>
  <si>
    <t>Thửa 320, tờ 62</t>
  </si>
  <si>
    <t>Lê Thị Thuận</t>
  </si>
  <si>
    <t>Thửa 470, tờ 68</t>
  </si>
  <si>
    <t>Hoàng Thị Ngọc</t>
  </si>
  <si>
    <t>Thửa 533, tờ 68</t>
  </si>
  <si>
    <t>Thửa 534, tờ 68</t>
  </si>
  <si>
    <t>Nguyễn Thị Phương Sáu</t>
  </si>
  <si>
    <t>Thửa 625, tờ 68</t>
  </si>
  <si>
    <t>Ngô Văn Nhân</t>
  </si>
  <si>
    <t>Thửa 278, tờ 68</t>
  </si>
  <si>
    <t>Hoàng Thủy Nguyên</t>
  </si>
  <si>
    <t>Thửa 150, tờ 68</t>
  </si>
  <si>
    <t>Lê Văn Bạo</t>
  </si>
  <si>
    <t>Thửa 514, tờ 68</t>
  </si>
  <si>
    <t>Tăng Thị Tuyết</t>
  </si>
  <si>
    <t>Thửa 173, tờ 68</t>
  </si>
  <si>
    <t>Hoàng Tuấn Nhã</t>
  </si>
  <si>
    <t>Thửa 703, tờ 68</t>
  </si>
  <si>
    <t>Hoàng Đức Hiền</t>
  </si>
  <si>
    <t>Thửa 38, tờ 68</t>
  </si>
  <si>
    <t>Thửa 887, tờ 68</t>
  </si>
  <si>
    <t>Thửa 772, tờ 69</t>
  </si>
  <si>
    <t>Trần Văn Dần</t>
  </si>
  <si>
    <t>Thửa 733, tờ 69</t>
  </si>
  <si>
    <t>Nguyễn Tiến Kỳ</t>
  </si>
  <si>
    <t>Thửa 729, tờ 69</t>
  </si>
  <si>
    <t>Thửa 746, tờ 69</t>
  </si>
  <si>
    <t>Trần Thị Thu Hiền</t>
  </si>
  <si>
    <t>Thửa 669, tờ 69</t>
  </si>
  <si>
    <t>Thửa 774, tờ 69</t>
  </si>
  <si>
    <t>Trần Ngọc Minh</t>
  </si>
  <si>
    <t>Thửa 731, tờ 69</t>
  </si>
  <si>
    <t>Lê Văn Lượm</t>
  </si>
  <si>
    <t>Thửa 63, tờ 70</t>
  </si>
  <si>
    <t>Cao Ích Thăng</t>
  </si>
  <si>
    <t>Thửa 50, tờ 70</t>
  </si>
  <si>
    <t>Lê Văn Lâm</t>
  </si>
  <si>
    <t>Thửa 7, tờ 70</t>
  </si>
  <si>
    <t>Vũ Xuân Sơn</t>
  </si>
  <si>
    <t>Thửa 805, tờ 17</t>
  </si>
  <si>
    <t>Trịnh Quốc Thắng</t>
  </si>
  <si>
    <t>Thửa 98, tờ 06</t>
  </si>
  <si>
    <t>Trần Văn Tình</t>
  </si>
  <si>
    <t>Thửa 85, tờ 05</t>
  </si>
  <si>
    <t>Nguyễn Kim Thúy</t>
  </si>
  <si>
    <t>Thửa 358, tờ 05</t>
  </si>
  <si>
    <t>Thửa 357, tờ 05</t>
  </si>
  <si>
    <t>Thửa 359, tờ 05</t>
  </si>
  <si>
    <t>Hồ Thị Lệ Quyên</t>
  </si>
  <si>
    <t>Thửa 639, tờ 62</t>
  </si>
  <si>
    <t>Hoàng Thu Trang</t>
  </si>
  <si>
    <t>Thửa 519, tờ 61</t>
  </si>
  <si>
    <t>Thửa 520, tờ 61</t>
  </si>
  <si>
    <t>Hồ Thị Hải</t>
  </si>
  <si>
    <t>Thửa 514, tờ 62</t>
  </si>
  <si>
    <t>Trần Thị Đở</t>
  </si>
  <si>
    <t>Thửa 291, tờ 17</t>
  </si>
  <si>
    <t>Lê Đình Lượng</t>
  </si>
  <si>
    <t>Thửa 855, tờ 44</t>
  </si>
  <si>
    <t>Nguyễn Văn Tấn</t>
  </si>
  <si>
    <t>Thửa 190, tờ 06</t>
  </si>
  <si>
    <t>Mai Thị Hoan</t>
  </si>
  <si>
    <t>Thửa 523, tờ 34</t>
  </si>
  <si>
    <t>Thửa 73, tờ 59</t>
  </si>
  <si>
    <t>Thửa 65, tờ 59</t>
  </si>
  <si>
    <t>Nguyễn Trọng Tâm 
(Trần Văn Hùng)</t>
  </si>
  <si>
    <t>Thửa 1300, tờ 33</t>
  </si>
  <si>
    <t>Võ Văn Út</t>
  </si>
  <si>
    <t>Thửa 1567, tờ 33</t>
  </si>
  <si>
    <t>Võ Văn Thịnh</t>
  </si>
  <si>
    <t>Thửa 152, tờ 5</t>
  </si>
  <si>
    <t>Võ Thị Lệ Quyên</t>
  </si>
  <si>
    <t>Thửa 50, tờ 12</t>
  </si>
  <si>
    <t>Thửa 21, tờ 12</t>
  </si>
  <si>
    <t>Trịnh Văn Lý</t>
  </si>
  <si>
    <t>Thửa 204, tờ 13</t>
  </si>
  <si>
    <t>Thửa 1241, tờ 14</t>
  </si>
  <si>
    <t>Trần Văn Trường</t>
  </si>
  <si>
    <t>Thửa 920, tờ 15</t>
  </si>
  <si>
    <t>Trần Văn Khường</t>
  </si>
  <si>
    <t>Thửa 1135, tờ 15</t>
  </si>
  <si>
    <t>Trần Sĩ Dũng</t>
  </si>
  <si>
    <t>Thửa 764, tờ 17</t>
  </si>
  <si>
    <t>Thửa 765, tờ 17</t>
  </si>
  <si>
    <t>Phan Nguyễn Thụy Minh
Nguyệt</t>
  </si>
  <si>
    <t>Thửa 176, tờ 17</t>
  </si>
  <si>
    <t>Phạm Văn Phương</t>
  </si>
  <si>
    <t>Thửa 263, tờ 17</t>
  </si>
  <si>
    <t>Thửa 605, tờ 17</t>
  </si>
  <si>
    <t>Phạm Văn Lợi</t>
  </si>
  <si>
    <t>Thửa 182, tờ 24</t>
  </si>
  <si>
    <t>Phạm Thị Khương</t>
  </si>
  <si>
    <t>Thửa 1273, tờ 24</t>
  </si>
  <si>
    <t>Thửa 1157, tờ 32</t>
  </si>
  <si>
    <t>Phạm Ngọc Đức</t>
  </si>
  <si>
    <t>Thửa 917, tờ 32</t>
  </si>
  <si>
    <t>Phạm Kim Khá</t>
  </si>
  <si>
    <t>Thửa 1004, tờ 32</t>
  </si>
  <si>
    <t>Thửa 149, tờ 32</t>
  </si>
  <si>
    <t>Thửa 915, tờ 32</t>
  </si>
  <si>
    <t>Nguyễn Xuân Khang</t>
  </si>
  <si>
    <t>Thửa 111, tờ 33</t>
  </si>
  <si>
    <t>Nguyễn Trọng Tâm</t>
  </si>
  <si>
    <t>Nguyễn Văn Tình</t>
  </si>
  <si>
    <t>Phạm Thị Trúc Mai</t>
  </si>
  <si>
    <t>Thửa 996, tờ 34</t>
  </si>
  <si>
    <t>Nguyễn Văn Ngụy</t>
  </si>
  <si>
    <t>Thửa 779, tờ 34</t>
  </si>
  <si>
    <t>Nguyễn Văn Nghĩa</t>
  </si>
  <si>
    <t>Thửa 516, tờ 34</t>
  </si>
  <si>
    <t>Thửa 1001, tờ 34</t>
  </si>
  <si>
    <t>Nguyễn Văn Mười</t>
  </si>
  <si>
    <t>Nguyễn Văn Học</t>
  </si>
  <si>
    <t>Thửa 1000, tờ 34</t>
  </si>
  <si>
    <t>Nguyễn Trung Thông</t>
  </si>
  <si>
    <t>Thửa 169, tờ 39</t>
  </si>
  <si>
    <t>Thửa 135, tờ 40</t>
  </si>
  <si>
    <t>Nguyễn Thị Lụa</t>
  </si>
  <si>
    <t>Thửa 197, tờ 40</t>
  </si>
  <si>
    <t>Thửa 222, tờ 40</t>
  </si>
  <si>
    <t>Trần Văn Tới</t>
  </si>
  <si>
    <t>Thửa 396, tờ 42</t>
  </si>
  <si>
    <t>Thửa 402, tờ 42</t>
  </si>
  <si>
    <t>Chu Thị Thường</t>
  </si>
  <si>
    <t>Thửa 2, tờ 44</t>
  </si>
  <si>
    <t>Lưu Đình Thành</t>
  </si>
  <si>
    <t>Thửa 429, tờ 59</t>
  </si>
  <si>
    <t>Lưu Đình Công</t>
  </si>
  <si>
    <t>Thửa 748, tờ 60</t>
  </si>
  <si>
    <t>Lương Thị Hền</t>
  </si>
  <si>
    <t>Lê Văn Thiêm</t>
  </si>
  <si>
    <t>Thửa 159, tờ 60</t>
  </si>
  <si>
    <t>Lê Trọng Huy</t>
  </si>
  <si>
    <t>Thửa 403, tờ 60</t>
  </si>
  <si>
    <t>Thửa 565, tờ 60</t>
  </si>
  <si>
    <t>Lê Thị Vân</t>
  </si>
  <si>
    <t>Thửa 502, tờ 61</t>
  </si>
  <si>
    <t>Thửa 30, tờ 61</t>
  </si>
  <si>
    <t>Trần Thị Dung</t>
  </si>
  <si>
    <t>Thửa 477, tờ 61</t>
  </si>
  <si>
    <t>Lê Huy Tiến</t>
  </si>
  <si>
    <t>Thửa 380, tờ 62</t>
  </si>
  <si>
    <t>Hồ Thị Hoa</t>
  </si>
  <si>
    <t>Thửa 190, tờ 68</t>
  </si>
  <si>
    <t>Huỳnh Mẫu Sáu</t>
  </si>
  <si>
    <t>Thửa 631, tờ 68</t>
  </si>
  <si>
    <t>Bùi Văn Nam</t>
  </si>
  <si>
    <t>Thửa 691, tờ 69</t>
  </si>
  <si>
    <t>Nguyễn Thị Lệ Yến</t>
  </si>
  <si>
    <t>Thửa 970, tờ 61</t>
  </si>
  <si>
    <t>Lê Bá Hiệp</t>
  </si>
  <si>
    <t>Thửa 298, tờ 60</t>
  </si>
  <si>
    <t>Thửa 11, tờ 61</t>
  </si>
  <si>
    <t>Trần Văn Chung</t>
  </si>
  <si>
    <t>Thửa 03, tờ 61</t>
  </si>
  <si>
    <t>Thửa 1366, tờ 32</t>
  </si>
  <si>
    <t>Thửa 770, tờ 61</t>
  </si>
  <si>
    <t>Thửa 1751, tờ 23</t>
  </si>
  <si>
    <t>Lê Xuân Linh</t>
  </si>
  <si>
    <t>Thửa 655, tờ 69</t>
  </si>
  <si>
    <t>Thửa 710, tờ 61</t>
  </si>
  <si>
    <t>Thửa 699, tờ 61</t>
  </si>
  <si>
    <t>Mai Văn Tới</t>
  </si>
  <si>
    <t>Thửa 704, tờ 61</t>
  </si>
  <si>
    <t>Hồ Hữu Dự</t>
  </si>
  <si>
    <t>Thửa 703, tờ 61</t>
  </si>
  <si>
    <t>Nguyễn Thanh Phước</t>
  </si>
  <si>
    <t>Thửa 781, tờ 34</t>
  </si>
  <si>
    <t>Thửa 188, tờ 06</t>
  </si>
  <si>
    <t>Trần Văn Hải Bằng</t>
  </si>
  <si>
    <t>Thửa 1825, tờ 23</t>
  </si>
  <si>
    <t>Trần Văn Ánh</t>
  </si>
  <si>
    <t>Thửa 849, tờ 17</t>
  </si>
  <si>
    <t>Nguyễn Tấn Hùng
ĐSD Phan Văn Tấn</t>
  </si>
  <si>
    <t>Thửa 1707, tờ 22</t>
  </si>
  <si>
    <t>Lưu Đình Dũng</t>
  </si>
  <si>
    <t>Thửa 54, tờ 39</t>
  </si>
  <si>
    <t>Thửa 55, tờ 39</t>
  </si>
  <si>
    <t>Thửa 838, tờ 51</t>
  </si>
  <si>
    <t>Dương Văn Tuấn</t>
  </si>
  <si>
    <t>Vũ Trọng Dũng</t>
  </si>
  <si>
    <t>Thửa 1788, tờ 23</t>
  </si>
  <si>
    <t>Hồ Trúc</t>
  </si>
  <si>
    <t>Thửa 285, tờ 59</t>
  </si>
  <si>
    <t>Lê Thị Như Quỳnh</t>
  </si>
  <si>
    <t>Thửa 854, tờ 44</t>
  </si>
  <si>
    <t>Nguyễn Đình Hùng</t>
  </si>
  <si>
    <t>Thửa 137, tờ 30</t>
  </si>
  <si>
    <t>Lưu Đình Đức Anh</t>
  </si>
  <si>
    <t>Thửa 229, tờ 12</t>
  </si>
  <si>
    <t>Thửa 815, tờ 51</t>
  </si>
  <si>
    <t>Vương Yến Quỳnh</t>
  </si>
  <si>
    <t>Thửa 576, tờ 51</t>
  </si>
  <si>
    <t>Thửa 683, tờ 44</t>
  </si>
  <si>
    <t>Thửa 596, tờ 51</t>
  </si>
  <si>
    <t>Phạm Văn Tân</t>
  </si>
  <si>
    <t>Liêu Kim Mai</t>
  </si>
  <si>
    <t>Thửa 188, tờ 33</t>
  </si>
  <si>
    <t>Lê Văn Trọng</t>
  </si>
  <si>
    <t>Thửa 13B, tờ 12</t>
  </si>
  <si>
    <t>Điểu Sẳn</t>
  </si>
  <si>
    <t>Thửa 12, tờ 12</t>
  </si>
  <si>
    <t>Thửa 13, tờ 12</t>
  </si>
  <si>
    <t>Thửa 309, tờ 14</t>
  </si>
  <si>
    <t>Nguyễn Thị Thu Thủy</t>
  </si>
  <si>
    <t>Thửa 308, tờ 14</t>
  </si>
  <si>
    <t>Thửa 307, tờ 14</t>
  </si>
  <si>
    <t>Trần Bảo Lộc</t>
  </si>
  <si>
    <t>Thửa 549, tờ 17</t>
  </si>
  <si>
    <t>Huỳnh Văn Hóa</t>
  </si>
  <si>
    <t>Thửa 850, tờ 17</t>
  </si>
  <si>
    <t>Thửa 848, tờ 17</t>
  </si>
  <si>
    <t>Trịnh Ngọc Hải</t>
  </si>
  <si>
    <t>Thửa 48, tờ 21</t>
  </si>
  <si>
    <t>Nguyễn Đình Thắng</t>
  </si>
  <si>
    <t>Thửa 1676, tờ 24</t>
  </si>
  <si>
    <t>Thửa 1675, tờ 24</t>
  </si>
  <si>
    <t>Phạm Thị Hân</t>
  </si>
  <si>
    <t>Thửa 1437, tờ 32</t>
  </si>
  <si>
    <t>Nguyễn Văn Quang</t>
  </si>
  <si>
    <t>Thửa 1465, tờ 32</t>
  </si>
  <si>
    <t>Nguyễn Văn Ý</t>
  </si>
  <si>
    <t>Bao Công Khai</t>
  </si>
  <si>
    <t>Thửa 206, tờ 32</t>
  </si>
  <si>
    <t>Đỗ Trọng Cảnh</t>
  </si>
  <si>
    <t>Thửa 620, tờ 33</t>
  </si>
  <si>
    <t>Đã chuyển 150m²</t>
  </si>
  <si>
    <t>Thửa 101, tờ 33</t>
  </si>
  <si>
    <t>Đỗ Trọng Nam</t>
  </si>
  <si>
    <t>Thửa 771, tờ 34</t>
  </si>
  <si>
    <t>Nguyễn Hùng Dũng</t>
  </si>
  <si>
    <t>Đặng Văn Bách</t>
  </si>
  <si>
    <t>Nguyễn Thị Xuyên</t>
  </si>
  <si>
    <t>Thửa 147, tờ 41</t>
  </si>
  <si>
    <t>Đào Thị Cẩm Vân</t>
  </si>
  <si>
    <t>Thửa 820, tờ 41</t>
  </si>
  <si>
    <t>Thửa 821, tờ 41</t>
  </si>
  <si>
    <t>Trần Thị Ngân</t>
  </si>
  <si>
    <t>Thửa 312, tờ 44</t>
  </si>
  <si>
    <t>Thửa 119, tờ 44</t>
  </si>
  <si>
    <t>Lê Minh Khôi</t>
  </si>
  <si>
    <t>Thửa 304, tờ 44</t>
  </si>
  <si>
    <t>Thửa 1363, tờ 44</t>
  </si>
  <si>
    <t>Huỳnh Tấn Phú</t>
  </si>
  <si>
    <t>Thửa 702, tờ 44</t>
  </si>
  <si>
    <t>Đỗ Văn Thành</t>
  </si>
  <si>
    <t>Thửa 421, tờ 59</t>
  </si>
  <si>
    <t>Thửa 57, tờ 59</t>
  </si>
  <si>
    <t>Đậu Cao Thành</t>
  </si>
  <si>
    <t>Thửa 479, tờ 60</t>
  </si>
  <si>
    <t>Ngô Thị Thêm</t>
  </si>
  <si>
    <t>Thửa 204, tờ 60</t>
  </si>
  <si>
    <t>Thửa 203, tờ 60</t>
  </si>
  <si>
    <t>Tăng Thị Lệ</t>
  </si>
  <si>
    <t>Thửa 642, tờ 60</t>
  </si>
  <si>
    <t>Lê Thị Ngọc Dung</t>
  </si>
  <si>
    <t>Thửa 231, tờ 60</t>
  </si>
  <si>
    <t>Trương Thị Min</t>
  </si>
  <si>
    <t>Thửa 23, tờ 61</t>
  </si>
  <si>
    <t>Thửa 698, tờ 61</t>
  </si>
  <si>
    <t>Nguyễn Hoàng An</t>
  </si>
  <si>
    <t>Thửa 537, tờ 62</t>
  </si>
  <si>
    <t>Thửa 536, tờ 62</t>
  </si>
  <si>
    <t>Thửa 553, tờ 62</t>
  </si>
  <si>
    <t>Nguyễn Thị Mỹ Phượng</t>
  </si>
  <si>
    <t>Thửa 538, tờ 62</t>
  </si>
  <si>
    <t>Phạm Văn Đức</t>
  </si>
  <si>
    <t>Thửa 299, tờ 62</t>
  </si>
  <si>
    <t>Trần Thị Kiều Oanh</t>
  </si>
  <si>
    <t>Thửa 127, tờ 68</t>
  </si>
  <si>
    <t>Thửa 84, tờ 68</t>
  </si>
  <si>
    <t>Thửa 85, tờ 68</t>
  </si>
  <si>
    <t>Thửa 113, tờ 68</t>
  </si>
  <si>
    <t>Hoàng Thị Thanh Đào</t>
  </si>
  <si>
    <t>Thửa 630, tờ 68</t>
  </si>
  <si>
    <t>Nguyễn Thị Dung</t>
  </si>
  <si>
    <t>Thửa 894, tờ 68</t>
  </si>
  <si>
    <t>Thửa 895, tờ 68</t>
  </si>
  <si>
    <t>Thửa 896, tờ 68</t>
  </si>
  <si>
    <t>Thửa 897, tờ 68</t>
  </si>
  <si>
    <t>Ngô Thanh Xuân</t>
  </si>
  <si>
    <t>Thửa 155, tờ 69</t>
  </si>
  <si>
    <t>Phùng Thị Hiệp</t>
  </si>
  <si>
    <t>Thửa 79, tờ 70</t>
  </si>
  <si>
    <t>Bùi Thị Yến Phương</t>
  </si>
  <si>
    <t>Thửa 347, tờ 5</t>
  </si>
  <si>
    <t>Hoàng Thị Hồng Phương</t>
  </si>
  <si>
    <t>Thửa 1125, tờ 15</t>
  </si>
  <si>
    <t>Hồ Đình Phùng</t>
  </si>
  <si>
    <t>Thửa 1770, tờ 23</t>
  </si>
  <si>
    <t>Đã chuyển 60m²</t>
  </si>
  <si>
    <t>Tô Duy Bình</t>
  </si>
  <si>
    <t>Đỗ Văn Bình</t>
  </si>
  <si>
    <t>Thửa 1692, tờ 24</t>
  </si>
  <si>
    <t>Thửa 1693, tờ 24</t>
  </si>
  <si>
    <t>Nguyễn Thị Sợt</t>
  </si>
  <si>
    <t>Thửa 1559, tờ 24</t>
  </si>
  <si>
    <t>Hồ Thị Cẩm Vân</t>
  </si>
  <si>
    <t>Thửa 936, tờ 32</t>
  </si>
  <si>
    <t>Phạm Thị Thy</t>
  </si>
  <si>
    <t>Thửa 370, tờ 32</t>
  </si>
  <si>
    <t>Thửa 511, tờ 32</t>
  </si>
  <si>
    <t>Nguyễn Văn Út</t>
  </si>
  <si>
    <t>Thửa 1288, tờ 32</t>
  </si>
  <si>
    <t>Nguyễn Xuân Tiên</t>
  </si>
  <si>
    <t>Thửa 144, tờ 33</t>
  </si>
  <si>
    <t>Nguyễn Quốc Hùng</t>
  </si>
  <si>
    <t>Thửa 1032, tờ 33</t>
  </si>
  <si>
    <t>Nguyễn Quốc Thắng</t>
  </si>
  <si>
    <t>Thửa 1033, tờ 33</t>
  </si>
  <si>
    <t>Thửa 1303, tờ 33</t>
  </si>
  <si>
    <t>Thửa 1138, tờ 34</t>
  </si>
  <si>
    <t>Đã chuyển 450m²</t>
  </si>
  <si>
    <t>Đoàn Văn Cửu</t>
  </si>
  <si>
    <t>Thửa 909, tờ 34</t>
  </si>
  <si>
    <t>Đinh Hải Toan</t>
  </si>
  <si>
    <t>Thửa 685, tờ 40</t>
  </si>
  <si>
    <t>Nguyễn Văn Nút</t>
  </si>
  <si>
    <t>Thửa 339, tờ 42</t>
  </si>
  <si>
    <t>Nguyễn Thị Kim Hương</t>
  </si>
  <si>
    <t>Thửa 689, tờ 43</t>
  </si>
  <si>
    <t>Phạm Quốc Thanh</t>
  </si>
  <si>
    <t>Thửa 683, tờ 43</t>
  </si>
  <si>
    <t>Phạm Thị Cẩm Hồng</t>
  </si>
  <si>
    <t>Thửa 687, tờ 43</t>
  </si>
  <si>
    <t>Thửa 684, tờ 43</t>
  </si>
  <si>
    <t>Nguyễn Thị Cẩm Chi</t>
  </si>
  <si>
    <t>Thửa 688, tờ 43</t>
  </si>
  <si>
    <t>Nguyễn Thị Cẩm Hiếu</t>
  </si>
  <si>
    <t>Thửa 686, tờ 43</t>
  </si>
  <si>
    <t>Thửa 1914, tờ 44</t>
  </si>
  <si>
    <t>Nguyễn Thị Như Yến</t>
  </si>
  <si>
    <t>Thửa 667, tờ 44</t>
  </si>
  <si>
    <t>Điểu Cường</t>
  </si>
  <si>
    <t>Thửa 542, tờ 44</t>
  </si>
  <si>
    <t>Điểu Thành</t>
  </si>
  <si>
    <t>Thửa 429, tờ 44</t>
  </si>
  <si>
    <t>Đã chuyển 250m²</t>
  </si>
  <si>
    <t>Thửa 137, tờ 50</t>
  </si>
  <si>
    <t>Hồ Văn Tiến</t>
  </si>
  <si>
    <t>Thửa 74, tờ 59</t>
  </si>
  <si>
    <t>Hồ Cuộc</t>
  </si>
  <si>
    <t>Thửa 82, tờ 59</t>
  </si>
  <si>
    <t>Nguyễn Thị Minh Hiền</t>
  </si>
  <si>
    <t>Thửa 617, tờ 59</t>
  </si>
  <si>
    <t>Nguyễn Thị Thẩm</t>
  </si>
  <si>
    <t>Thửa 615, tờ 59</t>
  </si>
  <si>
    <t>Lê Thị Màu</t>
  </si>
  <si>
    <t>Thửa 650, tờ 61</t>
  </si>
  <si>
    <t>Hồ Văn Hài</t>
  </si>
  <si>
    <t>Thửa 712, tờ 61</t>
  </si>
  <si>
    <t>Đã chuyển 50m²</t>
  </si>
  <si>
    <t>Thửa 738, tờ 62</t>
  </si>
  <si>
    <t>Thửa 353, tờ 68</t>
  </si>
  <si>
    <t>Đinh Thị Thắm</t>
  </si>
  <si>
    <t>Thửa 357, tờ 68</t>
  </si>
  <si>
    <t>Thửa 171, tờ 68</t>
  </si>
  <si>
    <t>Phùng Văn Chính</t>
  </si>
  <si>
    <t>Thửa 119, tờ 30</t>
  </si>
  <si>
    <t>Dương Văn Uy</t>
  </si>
  <si>
    <t>Thửa 711, tờ 51</t>
  </si>
  <si>
    <t>Huỳnh Văn Trớn</t>
  </si>
  <si>
    <t>Thửa 255, tờ 17</t>
  </si>
  <si>
    <t>Lê Hồng Khá</t>
  </si>
  <si>
    <t>Thửa 1046, tờ 14</t>
  </si>
  <si>
    <t>Thửa 155, tờ 51</t>
  </si>
  <si>
    <t>Hoàng Thị Huyên</t>
  </si>
  <si>
    <t>Thửa 10, tờ 61</t>
  </si>
  <si>
    <t>Thửa 1573, tờ 24</t>
  </si>
  <si>
    <t>Thửa 77, tờ 24</t>
  </si>
  <si>
    <t xml:space="preserve">Đỗ Thị Trang </t>
  </si>
  <si>
    <t>Thửa 912, tờ 15</t>
  </si>
  <si>
    <t>Thửa 257, tờ 34</t>
  </si>
  <si>
    <t>Đã chuyển 850m²</t>
  </si>
  <si>
    <t>Võ Văn Vệ</t>
  </si>
  <si>
    <t>Thửa 840, tờ 62</t>
  </si>
  <si>
    <t>Thửa 850, tờ 62</t>
  </si>
  <si>
    <t>Thửa 853, tờ 62</t>
  </si>
  <si>
    <t>Thửa 854, tờ 62</t>
  </si>
  <si>
    <t>Thửa 855, tờ 62</t>
  </si>
  <si>
    <t>Thửa 856, tờ 62</t>
  </si>
  <si>
    <t>Lê Thị Duyên</t>
  </si>
  <si>
    <t>Thửa 508, tờ 61</t>
  </si>
  <si>
    <t>Thửa 444, tờ 60</t>
  </si>
  <si>
    <t>Phạm Thị Hưng</t>
  </si>
  <si>
    <t>Thửa 900, tờ 15</t>
  </si>
  <si>
    <t>Thửa 875, tờ 15</t>
  </si>
  <si>
    <t>Điểu Kim</t>
  </si>
  <si>
    <t>Thửa 499, tờ 51</t>
  </si>
  <si>
    <t>Phạm Viết Đản</t>
  </si>
  <si>
    <t>Thửa 11, tờ 60</t>
  </si>
  <si>
    <t>Thửa 136, tờ 60</t>
  </si>
  <si>
    <t>Nguyễn Thái Dương</t>
  </si>
  <si>
    <t>Võ Thị Thanh Phúc</t>
  </si>
  <si>
    <t>Thửa 131, tờ 4</t>
  </si>
  <si>
    <t>Võ Văn Luận</t>
  </si>
  <si>
    <t>Nguyễn Văn Năm</t>
  </si>
  <si>
    <t>Đinh Bá Thành</t>
  </si>
  <si>
    <t>Thửa 118, tờ 6</t>
  </si>
  <si>
    <t>Thửa 1040, tờ 15</t>
  </si>
  <si>
    <t>Đã chuyển 122m²</t>
  </si>
  <si>
    <t>Trịnh Ngọc Hoằng</t>
  </si>
  <si>
    <t>Thửa 44, tờ 21</t>
  </si>
  <si>
    <t>ĐRM</t>
  </si>
  <si>
    <t>Thửa 45, tờ 21</t>
  </si>
  <si>
    <t>Lê Duy Cảnh</t>
  </si>
  <si>
    <t>Thửa 475, tờ 22</t>
  </si>
  <si>
    <t>Thửa 1780, tờ 23</t>
  </si>
  <si>
    <t>Thửa 1779, tờ 23</t>
  </si>
  <si>
    <t>Thửa 1781, tờ 23</t>
  </si>
  <si>
    <t>Nguyễn Văn Ngộ</t>
  </si>
  <si>
    <t>Thửa 756, tờ 23</t>
  </si>
  <si>
    <t>Trần Văn Thuần</t>
  </si>
  <si>
    <t>Thửa 1346, tờ 32</t>
  </si>
  <si>
    <t>Nguyễn Thành An</t>
  </si>
  <si>
    <t>Thửa 988, tờ 34</t>
  </si>
  <si>
    <t>Thửa 987, tờ 34</t>
  </si>
  <si>
    <t>Đã chuyển 95m²</t>
  </si>
  <si>
    <t>Thửa 407, tờ 42</t>
  </si>
  <si>
    <t>Thửa 1789, tờ 44</t>
  </si>
  <si>
    <t>Nguyễn Ngọc Bích</t>
  </si>
  <si>
    <t>Thửa 136, tờ 50</t>
  </si>
  <si>
    <t>Nguyễn Thị Trúc Ly</t>
  </si>
  <si>
    <t>Thửa 165, tờ 50</t>
  </si>
  <si>
    <t>Thị Xem</t>
  </si>
  <si>
    <t>Thửa 715, tờ 51</t>
  </si>
  <si>
    <t>Nguyễn Đình Hải</t>
  </si>
  <si>
    <t>Thửa 625, tờ 59</t>
  </si>
  <si>
    <t>Thửa 198, tờ 60</t>
  </si>
  <si>
    <t>Thửa 807, tờ 60</t>
  </si>
  <si>
    <t>Nguyễn Sinh Dũng</t>
  </si>
  <si>
    <t>Thửa 299, tờ 60</t>
  </si>
  <si>
    <t>Nguyễn Thị Yên</t>
  </si>
  <si>
    <t>Thửa 77B, tờ 60</t>
  </si>
  <si>
    <t>Lê Ngọc Liên</t>
  </si>
  <si>
    <t>Thửa 461, tờ 61</t>
  </si>
  <si>
    <t>Trần Quang Minh</t>
  </si>
  <si>
    <t>Thửa 543, tờ 62</t>
  </si>
  <si>
    <t>Trịnh Thị Toán</t>
  </si>
  <si>
    <t>Thửa 617, tờ 62</t>
  </si>
  <si>
    <t>Đã chuyển 240m²</t>
  </si>
  <si>
    <t>Võ Văn Hùng</t>
  </si>
  <si>
    <t>Thửa 214, tờ 68</t>
  </si>
  <si>
    <t>Nguyễn Trường Phúc</t>
  </si>
  <si>
    <t>Thửa 288, tờ 60</t>
  </si>
  <si>
    <t>Thửa 512, tờ 61</t>
  </si>
  <si>
    <t>Nguyễn Thị Phương Thùy</t>
  </si>
  <si>
    <t>Thửa 161, tờ 50</t>
  </si>
  <si>
    <t>Nguyễn Thanh Quân</t>
  </si>
  <si>
    <t>Thửa 971, tờ 61</t>
  </si>
  <si>
    <t>Trần Quốc Thuận</t>
  </si>
  <si>
    <t>Võ Đức Thanh</t>
  </si>
  <si>
    <t>Thửa 42, tờ 06</t>
  </si>
  <si>
    <t>Thửa 71, tờ 59</t>
  </si>
  <si>
    <t>Lê Hữu Phước</t>
  </si>
  <si>
    <t>Thửa 1165, tờ 15</t>
  </si>
  <si>
    <t>Nguyễn Thị Hương</t>
  </si>
  <si>
    <t>Thửa 1169, tờ 15</t>
  </si>
  <si>
    <t>Thửa 54, tờ 21</t>
  </si>
  <si>
    <t>Huỳnh Minh Đại</t>
  </si>
  <si>
    <t>Thửa 1271, tờ 24</t>
  </si>
  <si>
    <t>Huỳnh Thanh Phong</t>
  </si>
  <si>
    <t>Thửa 1779, tờ 24</t>
  </si>
  <si>
    <t>Thửa 1780, tờ 24</t>
  </si>
  <si>
    <t>Nguyễn Thị Thu Lan</t>
  </si>
  <si>
    <t>Thửa 1121, tờ 32</t>
  </si>
  <si>
    <t>Hoàng Xuân Phú</t>
  </si>
  <si>
    <t>Thửa 551, tờ 33</t>
  </si>
  <si>
    <t>San Kim Anh</t>
  </si>
  <si>
    <t>Thửa 95, tờ 33</t>
  </si>
  <si>
    <t>Thửa 306, tờ 34</t>
  </si>
  <si>
    <t>Lê Văn Tú</t>
  </si>
  <si>
    <t>Thửa 999, tờ 34</t>
  </si>
  <si>
    <t>Hồ Văn Quỳnh</t>
  </si>
  <si>
    <t>Thửa 14, tờ 40</t>
  </si>
  <si>
    <t>Thửa 142, tờ 40</t>
  </si>
  <si>
    <t>Nguyễn Tôn Quyết</t>
  </si>
  <si>
    <t>Thửa 851, tờ 41</t>
  </si>
  <si>
    <t>Ngô Văn Dương</t>
  </si>
  <si>
    <t>Thửa 791, tờ 51</t>
  </si>
  <si>
    <t>Bồ Thị Thanh Thảo</t>
  </si>
  <si>
    <t>Thửa 591, tờ 51</t>
  </si>
  <si>
    <t>Ngô Thị Nhung</t>
  </si>
  <si>
    <t>Thửa 378, tờ 59</t>
  </si>
  <si>
    <t>Thửa 478, tờ 60</t>
  </si>
  <si>
    <t>Nguyễn Văn Điển</t>
  </si>
  <si>
    <t>Thửa 205, tờ 60</t>
  </si>
  <si>
    <t>Nguyễn Thị Thà</t>
  </si>
  <si>
    <t>Thửa 263, tờ 60</t>
  </si>
  <si>
    <t>Lê Hoài Phương</t>
  </si>
  <si>
    <t>Thửa 230, tờ 60</t>
  </si>
  <si>
    <t>Trịnh Hùng Ân</t>
  </si>
  <si>
    <t>Thửa 665, tờ 61</t>
  </si>
  <si>
    <t>Bùi Văn Toàn</t>
  </si>
  <si>
    <t>Thửa 615, tờ 62</t>
  </si>
  <si>
    <t>Hồ Thanh Thao</t>
  </si>
  <si>
    <t>Thửa 271, tờ 62</t>
  </si>
  <si>
    <t>Thửa 623, tờ 68</t>
  </si>
  <si>
    <t>Lê Thanh Phong</t>
  </si>
  <si>
    <t>Thửa 383, tờ 17</t>
  </si>
  <si>
    <t>Thửa 1193, tờ 15</t>
  </si>
  <si>
    <t>Trịnh Thị Deo</t>
  </si>
  <si>
    <t>Thửa 1195, tờ 15</t>
  </si>
  <si>
    <t>Bùi Văn Tiếp</t>
  </si>
  <si>
    <t>Thửa 76, tờ 24</t>
  </si>
  <si>
    <t>Thửa 1075, tờ 61</t>
  </si>
  <si>
    <t>Thửa 122, tờ 30</t>
  </si>
  <si>
    <t>Phạm Đình Dũng</t>
  </si>
  <si>
    <t>Thửa 141, tờ 24</t>
  </si>
  <si>
    <t>Trần Huỳnh Như</t>
  </si>
  <si>
    <t>Thửa 408, tờ 22</t>
  </si>
  <si>
    <t>Thửa 358, tờ 5</t>
  </si>
  <si>
    <t>Phạm Xuân Hợi</t>
  </si>
  <si>
    <t>Thửa 1690, tờ 23</t>
  </si>
  <si>
    <t>Lê Văn Thông</t>
  </si>
  <si>
    <t>Thửa 972, tờ 24</t>
  </si>
  <si>
    <t>Nguyễn Văn Lâm
(Nguyễn Ngọc Của)</t>
  </si>
  <si>
    <t>Thửa 230, tờ 30</t>
  </si>
  <si>
    <t>Thửa 231, tờ 30</t>
  </si>
  <si>
    <t>Thửa 233, tờ 30</t>
  </si>
  <si>
    <t>Thửa 234, tờ 30</t>
  </si>
  <si>
    <t>Thửa 1598, tờ 33</t>
  </si>
  <si>
    <t>Thửa 1436, t ờ33</t>
  </si>
  <si>
    <t>Lê Thị Tuyết Thoa</t>
  </si>
  <si>
    <t>Thửa 1479, tờ 33</t>
  </si>
  <si>
    <t>Lê Thị Mười</t>
  </si>
  <si>
    <t>Thửa 149, tờ 40</t>
  </si>
  <si>
    <t>Nguyễn Văn Nguyên</t>
  </si>
  <si>
    <t>Thửa 185, tờ 41</t>
  </si>
  <si>
    <t>Võ Hoàng Minh Tâm</t>
  </si>
  <si>
    <t>Thửa 721, tờ 44</t>
  </si>
  <si>
    <t>Nguyễn Thị Vân</t>
  </si>
  <si>
    <t>Thửa 1654, tờ 44</t>
  </si>
  <si>
    <t>Thửa 1655, tờ 44</t>
  </si>
  <si>
    <t>Thửa 727, tờ 44</t>
  </si>
  <si>
    <t>Trương Đắc Cảnh</t>
  </si>
  <si>
    <t>Thửa 1550, tờ 44</t>
  </si>
  <si>
    <t>Thửa 297, tờ 67</t>
  </si>
  <si>
    <t>Thửa 298, tờ 67</t>
  </si>
  <si>
    <t>Đào Văn Hà</t>
  </si>
  <si>
    <t>Thửa 790, tờ 69</t>
  </si>
  <si>
    <t>Tạ Văn Ưng</t>
  </si>
  <si>
    <t>Thửa 21, tờ 69</t>
  </si>
  <si>
    <t>Trần Như Xuân</t>
  </si>
  <si>
    <t>Thửa 1039, tờ 24</t>
  </si>
  <si>
    <t>Thửa 1705, tờ 24</t>
  </si>
  <si>
    <t>Ngô Minh Đức</t>
  </si>
  <si>
    <t>Thửa 613, tờ 17</t>
  </si>
  <si>
    <t>Thửa 1407, tờ 24</t>
  </si>
  <si>
    <t>Thửa 1031, tờ 34</t>
  </si>
  <si>
    <t>Thửa 1030, tờ 34</t>
  </si>
  <si>
    <t>Hoàng Đình Miên</t>
  </si>
  <si>
    <t>Thửa 683, tờ 69</t>
  </si>
  <si>
    <t>Hồ Thanh Phong</t>
  </si>
  <si>
    <t>Thửa 66, tờ 60</t>
  </si>
  <si>
    <t>Nguyễn Thế Sơn</t>
  </si>
  <si>
    <t>Thửa 304, tờ 68</t>
  </si>
  <si>
    <t>Nguyễn Văn Mai</t>
  </si>
  <si>
    <t>Thửa 1178, tờ 34</t>
  </si>
  <si>
    <t>Phạm Văn Tin</t>
  </si>
  <si>
    <t>Phạm Hồng</t>
  </si>
  <si>
    <t>Mai Xuân Tuân</t>
  </si>
  <si>
    <t>Thửa 76, tờ 21</t>
  </si>
  <si>
    <t>Trương Đức Thanh</t>
  </si>
  <si>
    <t>Nguyễn Quốc Thắng</t>
  </si>
  <si>
    <t>Thửa 1771, tờ23</t>
  </si>
  <si>
    <t>Bùi Văn Châu</t>
  </si>
  <si>
    <t>Thửa 800, tờ 60</t>
  </si>
  <si>
    <t>Ngô Xuân Thanh</t>
  </si>
  <si>
    <t>Thửa 713, tờ 68</t>
  </si>
  <si>
    <t>Thửa 714, tờ 68</t>
  </si>
  <si>
    <t>Thửa 1139, tờ 14</t>
  </si>
  <si>
    <t>Phạm Văn Chung</t>
  </si>
  <si>
    <t>Thửa 260, tờ 17</t>
  </si>
  <si>
    <t>Đoàn Hồng Đào</t>
  </si>
  <si>
    <t>Thửa 481, tờ 22</t>
  </si>
  <si>
    <t>Thửa 1771, tờ 23</t>
  </si>
  <si>
    <t>Thửa 1854, tờ 23</t>
  </si>
  <si>
    <t>Đặng Thị Huệ</t>
  </si>
  <si>
    <t>Nguyễn Xuân Hoàng</t>
  </si>
  <si>
    <t>Thửa 1713, tờ 24</t>
  </si>
  <si>
    <t>Trần Đức Thanh</t>
  </si>
  <si>
    <t>Thửa 256, tờ 30</t>
  </si>
  <si>
    <t>Nguyễn Văn Nhiền</t>
  </si>
  <si>
    <t>Thửa 969, tờ 32</t>
  </si>
  <si>
    <t>Tống Thị Tốt</t>
  </si>
  <si>
    <t>Thửa 280, tờ 32</t>
  </si>
  <si>
    <t>Thửa 567, tờ 32</t>
  </si>
  <si>
    <t>Lê Thị Tuyết Hoa</t>
  </si>
  <si>
    <t>Nguyễn Thanh Long</t>
  </si>
  <si>
    <t>Thửa 964, tờ 34</t>
  </si>
  <si>
    <t>Thửa 777, tờ 34</t>
  </si>
  <si>
    <t>Thửa 845, tờ 34</t>
  </si>
  <si>
    <t xml:space="preserve">Đặng Văn Hóa </t>
  </si>
  <si>
    <t>Nguyễn Thị Ánh Hồng</t>
  </si>
  <si>
    <t>Thửa 947, tờ 44</t>
  </si>
  <si>
    <t>Thửa 129, tờ 44</t>
  </si>
  <si>
    <t>Nguyễn Hữu Thập</t>
  </si>
  <si>
    <t>Thửa 684, tờ 44</t>
  </si>
  <si>
    <t>Thửa 685, tờ 44</t>
  </si>
  <si>
    <t>Hồ Văn Dư</t>
  </si>
  <si>
    <t>Thửa 692, tờ 51</t>
  </si>
  <si>
    <t>Lê Khắc Tiệp</t>
  </si>
  <si>
    <t>Thửa 938, tờ 51</t>
  </si>
  <si>
    <t>Nguyễn Văn Tân</t>
  </si>
  <si>
    <t>Thửa 167, tờ 51</t>
  </si>
  <si>
    <t>Thửa 168, tờ 51</t>
  </si>
  <si>
    <t>Nguyễn Văn Trọn</t>
  </si>
  <si>
    <t>Thửa 616, tờ 59</t>
  </si>
  <si>
    <t>Bùi Văn Châu</t>
  </si>
  <si>
    <t>Lê Thị Thu Hà</t>
  </si>
  <si>
    <t>Thửa 812, tờ 60</t>
  </si>
  <si>
    <t>Thửa 1293, tờ 61</t>
  </si>
  <si>
    <t>Thửa 1240, tờ 61</t>
  </si>
  <si>
    <t>Bùi Thị Thanh Tâm</t>
  </si>
  <si>
    <t>Thửa 531, tờ 62</t>
  </si>
  <si>
    <t>Đỗ Văn Đạo</t>
  </si>
  <si>
    <t>Thửa 735, tờ 62</t>
  </si>
  <si>
    <t>Lê Thị Phúc</t>
  </si>
  <si>
    <t>Thửa 737, tờ 62</t>
  </si>
  <si>
    <t>Trần Thị Linh</t>
  </si>
  <si>
    <t>Thửa 107, tờ 62</t>
  </si>
  <si>
    <t>Khương Huy Tư</t>
  </si>
  <si>
    <t>Thửa 899, tờ 68</t>
  </si>
  <si>
    <t>Thửa 898, tờ 68</t>
  </si>
  <si>
    <t>Lê Minh Dũng</t>
  </si>
  <si>
    <t>Thửa 941, tờ 68</t>
  </si>
  <si>
    <t>Nguyễn Văn Dương</t>
  </si>
  <si>
    <t>Thửa 850, tờ 69</t>
  </si>
  <si>
    <t>Nguyễn Trọng Chữ</t>
  </si>
  <si>
    <t>Thửa 51, tờ 70</t>
  </si>
  <si>
    <t>Cao Xuân Sơn</t>
  </si>
  <si>
    <t>Thửa 75, tờ 70</t>
  </si>
  <si>
    <t>Phạm Văn Xuân</t>
  </si>
  <si>
    <t>Thửa 1040, tờ 24</t>
  </si>
  <si>
    <t>Nguyễn Văn Phiên</t>
  </si>
  <si>
    <t>Thửa 703, tờ 44</t>
  </si>
  <si>
    <t>Thửa 704, tờ 44</t>
  </si>
  <si>
    <t>Thửa 705, tờ 44</t>
  </si>
  <si>
    <t>Nguyễn Thị Phi Oanh</t>
  </si>
  <si>
    <t>Thửa 99, tờ 67</t>
  </si>
  <si>
    <t>Thửa 259, tờ 17</t>
  </si>
  <si>
    <t>Phạm Thị Thanh Thúy</t>
  </si>
  <si>
    <t>Thửa 1117, tờ 44</t>
  </si>
  <si>
    <t>Bùi Thị Tuyến</t>
  </si>
  <si>
    <t>Thửa 289, tờ 34</t>
  </si>
  <si>
    <t>Thửa 577, tờ 34</t>
  </si>
  <si>
    <t>Thửa 851, tờ 34</t>
  </si>
  <si>
    <t>Thửa 1501, tờ 32</t>
  </si>
  <si>
    <t>Lê Thanh Lý</t>
  </si>
  <si>
    <t>Thửa 657, tờ 69</t>
  </si>
  <si>
    <t>Thửa 843, tờ 69</t>
  </si>
  <si>
    <t>Bế Viết Linh</t>
  </si>
  <si>
    <t>Thửa 842, tờ 69</t>
  </si>
  <si>
    <t>Thửa 680, tờ 69</t>
  </si>
  <si>
    <t>Thửa 682, tờ 69</t>
  </si>
  <si>
    <t>Thửa 658, tờ 69</t>
  </si>
  <si>
    <t>Thửa 844, tờ 69</t>
  </si>
  <si>
    <t>Lê Thanh Liền</t>
  </si>
  <si>
    <t>Thửa 656, tờ 69</t>
  </si>
  <si>
    <t>Thửa 1822, tờ 44</t>
  </si>
  <si>
    <t>Bùi Thị Hiển</t>
  </si>
  <si>
    <t>Thửa 679, tờ 62</t>
  </si>
  <si>
    <t>Thửa 680, tờ 62</t>
  </si>
  <si>
    <t>Thửa 681, tờ 62</t>
  </si>
  <si>
    <t>Thửa 682, tờ 62</t>
  </si>
  <si>
    <t>Thửa 683, tờ 62</t>
  </si>
  <si>
    <t>Thửa 684, tờ 62</t>
  </si>
  <si>
    <t>Thửa 685, tờ 62</t>
  </si>
  <si>
    <t>Thửa 686, tờ 62</t>
  </si>
  <si>
    <t>Hồ sỹ Cống</t>
  </si>
  <si>
    <t>Thửa 1983, tờ 44</t>
  </si>
  <si>
    <t>Nguyễn Chín Đoan</t>
  </si>
  <si>
    <t>Thửa 621, tờ 34</t>
  </si>
  <si>
    <t>Nguyễn Đỗ Thanh Danh</t>
  </si>
  <si>
    <t>Thửa 1713, tờ 44</t>
  </si>
  <si>
    <t>Thửa 1714, tờ 44</t>
  </si>
  <si>
    <t>Thửa 1715, tờ 44</t>
  </si>
  <si>
    <t>Thửa 1716, tờ 44</t>
  </si>
  <si>
    <t>Thửa 1717, tờ 44</t>
  </si>
  <si>
    <t>Thửa 1718, tờ 44</t>
  </si>
  <si>
    <t>Thửa 1719, tờ 44</t>
  </si>
  <si>
    <t>Thửa 1720, tờ 44</t>
  </si>
  <si>
    <t>Nguyễn Thị Kim Hoàng</t>
  </si>
  <si>
    <t>Thửa 1639, tờ 44</t>
  </si>
  <si>
    <t>Thửa 141, tờ 62</t>
  </si>
  <si>
    <t>Trương Hà Long</t>
  </si>
  <si>
    <t>Thửa 823, tờ 62</t>
  </si>
  <si>
    <t>Thửa 822, tờ 62</t>
  </si>
  <si>
    <t>Thửa 821, tờ 62</t>
  </si>
  <si>
    <t>Thửa 820, tờ 62</t>
  </si>
  <si>
    <t>Thửa 819, tờ 62</t>
  </si>
  <si>
    <t>Thửa 818, tờ 62</t>
  </si>
  <si>
    <t>Thửa 817, tờ 62</t>
  </si>
  <si>
    <t>Vũ Ngọc Thọ</t>
  </si>
  <si>
    <t>Thửa 567, tờ 62</t>
  </si>
  <si>
    <t>Thửa 1157, tờ 61</t>
  </si>
  <si>
    <t>Cao Xuân Nghệ</t>
  </si>
  <si>
    <t>Thửa 941, tờ 62</t>
  </si>
  <si>
    <t xml:space="preserve">Hồ Sỹ Cống </t>
  </si>
  <si>
    <t>Thửa 2008, tờ 44</t>
  </si>
  <si>
    <t>Thửa 695, tờ 62</t>
  </si>
  <si>
    <t>Thửa 697, tờ 62</t>
  </si>
  <si>
    <t>Thửa 698, tờ 62</t>
  </si>
  <si>
    <t>Thửa 700, tờ 62</t>
  </si>
  <si>
    <t>Thửa 701, tờ 62</t>
  </si>
  <si>
    <t>Thửa 702, tờ 62</t>
  </si>
  <si>
    <t>Thửa 703, tờ 62</t>
  </si>
  <si>
    <t>Thửa 696, tờ 62</t>
  </si>
  <si>
    <t>Thửa 694, tờ 62</t>
  </si>
  <si>
    <t>Thửa 693, tờ 62</t>
  </si>
  <si>
    <t>Thửa 692, tờ 62</t>
  </si>
  <si>
    <t>Thửa 691, tờ 62</t>
  </si>
  <si>
    <t>Thửa 690, tờ 62</t>
  </si>
  <si>
    <t>Thửa 689, tờ 62</t>
  </si>
  <si>
    <t>Thửa 688, tờ 62</t>
  </si>
  <si>
    <t>Thửa 687, tờ 62</t>
  </si>
  <si>
    <t>Hồ Sỹ Cống</t>
  </si>
  <si>
    <t>Thửa 257, tờ 44</t>
  </si>
  <si>
    <t>Phạm Thị Ngọc Hà</t>
  </si>
  <si>
    <t>Thửa 812, tờ 33</t>
  </si>
  <si>
    <t>Mạc Văn Phương</t>
  </si>
  <si>
    <t>Thửa 1307, tờ 44</t>
  </si>
  <si>
    <t>Hồ Trọng Dương</t>
  </si>
  <si>
    <t>Thửa 1312, tờ 44</t>
  </si>
  <si>
    <t>Ngô Văn Phường</t>
  </si>
  <si>
    <t>Thửa 1309, tờ 44</t>
  </si>
  <si>
    <t>Mạc Thị Vân</t>
  </si>
  <si>
    <t>Thửa 1310, tờ 44</t>
  </si>
  <si>
    <t>Thửa 1313, tờ 44</t>
  </si>
  <si>
    <t>Phạm Hoài Thương</t>
  </si>
  <si>
    <t>Thửa 1308, tờ 44</t>
  </si>
  <si>
    <t>Lưu Đức Lợi</t>
  </si>
  <si>
    <t>Thửa 1306, tờ 44</t>
  </si>
  <si>
    <t>Thửa 1305, tờ 44</t>
  </si>
  <si>
    <t>Thửa 1314, tờ 44</t>
  </si>
  <si>
    <t>Thửa 1311, tờ 44</t>
  </si>
  <si>
    <t>Bùi Thị Vàng</t>
  </si>
  <si>
    <t>Thửa 257, tờ 06</t>
  </si>
  <si>
    <t>Lê Xuân Dương</t>
  </si>
  <si>
    <t>Thửa 311, tờ 67</t>
  </si>
  <si>
    <t>Trương Văn Quyền</t>
  </si>
  <si>
    <t>Thửa 1078, tờ 44</t>
  </si>
  <si>
    <t>Thửa 258, tờ 06</t>
  </si>
  <si>
    <t>Khổng Đặng Nam</t>
  </si>
  <si>
    <t>Thửa 1083, tờ 44</t>
  </si>
  <si>
    <t>Trần Sỹ Dũng</t>
  </si>
  <si>
    <t>Thửa 255, tờ 34</t>
  </si>
  <si>
    <t>Đinh Thị Hường</t>
  </si>
  <si>
    <t>Nguyễn Văn Bình</t>
  </si>
  <si>
    <t>Thửa 1092, tờ 44</t>
  </si>
  <si>
    <t>Hoàng Văn Then</t>
  </si>
  <si>
    <t>Thửa 1086, tờ 44</t>
  </si>
  <si>
    <t>Hoàng Thị Liễu</t>
  </si>
  <si>
    <t>Thửa 1087, tờ 44</t>
  </si>
  <si>
    <t>Nguyễn Thái Long</t>
  </si>
  <si>
    <t>Thửa 729, tờ 44</t>
  </si>
  <si>
    <t>Nguyễn Chinh</t>
  </si>
  <si>
    <t>Thửa 725, tờ 44</t>
  </si>
  <si>
    <t>Lèo Quang Minh</t>
  </si>
  <si>
    <t>Thửa 726, tờ 44</t>
  </si>
  <si>
    <t>Lê Quang Cương</t>
  </si>
  <si>
    <t>Thửa 720, tờ 44</t>
  </si>
  <si>
    <t>Hà Văn Ánh</t>
  </si>
  <si>
    <t>Thửa 1190, tờ 15</t>
  </si>
  <si>
    <t>Thửa 312, tờ 67</t>
  </si>
  <si>
    <t>Võ Thị Mười</t>
  </si>
  <si>
    <t>Thửa 1451, tờ 32</t>
  </si>
  <si>
    <t>Đỗ Thị Đào</t>
  </si>
  <si>
    <t>Thửa 148, tờ 22</t>
  </si>
  <si>
    <t>Trần Thị Ngoan</t>
  </si>
  <si>
    <t>Thửa 200, tờ 60</t>
  </si>
  <si>
    <t>Thửa 646, tờ 60</t>
  </si>
  <si>
    <t>Thửa 581, tờ 44</t>
  </si>
  <si>
    <t>Nguyễn Văn Hưng</t>
  </si>
  <si>
    <t>Thửa 1110, tờ 44</t>
  </si>
  <si>
    <t>Thửa 1111, tờ 44</t>
  </si>
  <si>
    <t>Thửa 1112, tờ 44</t>
  </si>
  <si>
    <t>Thửa 1114, tờ 44</t>
  </si>
  <si>
    <t>Huỳnh Long</t>
  </si>
  <si>
    <t>Thửa 239, tờ 6</t>
  </si>
  <si>
    <t>Phạm Văn Thành</t>
  </si>
  <si>
    <t>Thửa 240, tờ 6</t>
  </si>
  <si>
    <t>Thửa 1710, tờ 24</t>
  </si>
  <si>
    <t>Nguyễn Thị Hồng Vân</t>
  </si>
  <si>
    <t>Thửa 39, tờ 32</t>
  </si>
  <si>
    <t>Huỳnh Ngọc Sáu</t>
  </si>
  <si>
    <t>Thửa 1201, tờ 32</t>
  </si>
  <si>
    <t>Phan Văn Tâm</t>
  </si>
  <si>
    <t>Thửa 281, tờ 32</t>
  </si>
  <si>
    <t>Thửa 283, tờ 32</t>
  </si>
  <si>
    <t>Huỳnh Tấn Bình</t>
  </si>
  <si>
    <t>Thửa 210, tờ 40</t>
  </si>
  <si>
    <t>Nguyễn Thị Thương</t>
  </si>
  <si>
    <t>Thửa 2001, tờ 44</t>
  </si>
  <si>
    <t>Thửa 2002, tờ 44</t>
  </si>
  <si>
    <t>Thửa 2003, tờ 44</t>
  </si>
  <si>
    <t>Đinh Xuân Khuê</t>
  </si>
  <si>
    <t>Lê Minh Tới</t>
  </si>
  <si>
    <t>Thửa 713, tờ 51</t>
  </si>
  <si>
    <t>Thửa 131, tờ 59</t>
  </si>
  <si>
    <t>Thửa 72, tờ 59</t>
  </si>
  <si>
    <t>Hoàng Văn Loan</t>
  </si>
  <si>
    <t>Thửa 36, tờ 59</t>
  </si>
  <si>
    <t>Thửa 783, tờ 59</t>
  </si>
  <si>
    <t>Đoàn Văn Phúc</t>
  </si>
  <si>
    <t>Thửa 723, tờ 44</t>
  </si>
  <si>
    <t>Lê Sỹ Châu</t>
  </si>
  <si>
    <t>Thửa 1170, tờ 15</t>
  </si>
  <si>
    <t>Nguyễn Minh Hải</t>
  </si>
  <si>
    <t>Thửa 462, tờ 62</t>
  </si>
  <si>
    <t>Trịnh Hoài Phong</t>
  </si>
  <si>
    <t>Phạm Minh Tránh</t>
  </si>
  <si>
    <t>Thửa 507, tờ 44</t>
  </si>
  <si>
    <t>Thửa 784, tờ 59</t>
  </si>
  <si>
    <t>Hồ Vĩnh Bi</t>
  </si>
  <si>
    <t>Thửa 35, tờ 59</t>
  </si>
  <si>
    <t>Nguyễn Đình Việt</t>
  </si>
  <si>
    <t>Thửa 420, tờ 60</t>
  </si>
  <si>
    <t>Đinh Xuân Tình</t>
  </si>
  <si>
    <t>Thửa 185, tờ 60</t>
  </si>
  <si>
    <t>Thửa 462, tờ 61</t>
  </si>
  <si>
    <t xml:space="preserve">Lê Ngọc Định </t>
  </si>
  <si>
    <t>Thửa 920, tờ 61</t>
  </si>
  <si>
    <t>Phan Thị Út</t>
  </si>
  <si>
    <t>Thửa 1254, tờ 61</t>
  </si>
  <si>
    <t>Thửa 1253, tờ 61</t>
  </si>
  <si>
    <t>Nguyễn Ngọc Lâm</t>
  </si>
  <si>
    <t>Thửa 1252, tờ 61</t>
  </si>
  <si>
    <t>Nguyễn Thanh Triều</t>
  </si>
  <si>
    <t>Thửa 1251, tờ 61</t>
  </si>
  <si>
    <t>Thửa 594, tờ 62</t>
  </si>
  <si>
    <t>Thửa 595, tờ 62</t>
  </si>
  <si>
    <t>Thửa 02, tờ 61</t>
  </si>
  <si>
    <t>Thửa 926, tờ 34</t>
  </si>
  <si>
    <t>Thửa 927, tờ 34</t>
  </si>
  <si>
    <t>Thửa 929, tờ 34</t>
  </si>
  <si>
    <t>Thửa 925, tờ 34</t>
  </si>
  <si>
    <t>Thửa 923, tờ 34</t>
  </si>
  <si>
    <t>X</t>
  </si>
  <si>
    <t>Hà Thị Ngọc Thúy</t>
  </si>
  <si>
    <t>Thửa 60, tờ 43</t>
  </si>
  <si>
    <t>Bùi Ngọc Thiêm</t>
  </si>
  <si>
    <t>Thửa 127, tờ 44</t>
  </si>
  <si>
    <t>Nguyễn Thị An</t>
  </si>
  <si>
    <t>Thửa 364, tờ 44</t>
  </si>
  <si>
    <t>Phạm Đức Thành</t>
  </si>
  <si>
    <t>Thửa 365, tờ 44</t>
  </si>
  <si>
    <t>Lê Đình Định</t>
  </si>
  <si>
    <t>Thửa 02, tờ 43</t>
  </si>
  <si>
    <t>Vũ Văn Hòa</t>
  </si>
  <si>
    <t>Thửa 89, tờ 44</t>
  </si>
  <si>
    <t>Thửa 96, tờ 44</t>
  </si>
  <si>
    <t>Thửa 192, tờ 25</t>
  </si>
  <si>
    <t>Thửa 82, tờ 60</t>
  </si>
  <si>
    <t>Thửa 121, tờ 19</t>
  </si>
  <si>
    <t>Thửa 110, tờ 44</t>
  </si>
  <si>
    <t>Phạm Đức Cường</t>
  </si>
  <si>
    <t>Thửa 406, tờ 44</t>
  </si>
  <si>
    <t>Lê Văn Thắng</t>
  </si>
  <si>
    <t>Thửa 126, tờ 42</t>
  </si>
  <si>
    <t>Cao Thị Ái</t>
  </si>
  <si>
    <t>Thửa 09, tờ 27</t>
  </si>
  <si>
    <t>Phạm Đức Tân</t>
  </si>
  <si>
    <t>Thửa 407, tờ 44</t>
  </si>
  <si>
    <t>Bùi Thị Phiên</t>
  </si>
  <si>
    <t>Thửa 20, tờ 26</t>
  </si>
  <si>
    <t>Phạm Thị Phương Lan</t>
  </si>
  <si>
    <t>Thửa 404, tờ 44</t>
  </si>
  <si>
    <t>Nguyễn Như Thảo</t>
  </si>
  <si>
    <t>Lê Thị Mỹ Tiên</t>
  </si>
  <si>
    <t>Thửa 109, tờ 42</t>
  </si>
  <si>
    <t>Lê Trung Tân</t>
  </si>
  <si>
    <t>Thửa 110, tờ 42</t>
  </si>
  <si>
    <t>Thửa 90, tờ 42</t>
  </si>
  <si>
    <t>Hoàng Văn Hào</t>
  </si>
  <si>
    <t>Thửa 77, tờ 02</t>
  </si>
  <si>
    <t>Thửa 87, tờ 23</t>
  </si>
  <si>
    <t>Trịnh Thị Dương</t>
  </si>
  <si>
    <t>Thửa 106, tờ 44</t>
  </si>
  <si>
    <t>Bùi Thị Thoa</t>
  </si>
  <si>
    <t>Thửa 403, tờ 44</t>
  </si>
  <si>
    <t>Hà Thị Ngọc Thùy</t>
  </si>
  <si>
    <t>Nguyễn Xuân Tịnh</t>
  </si>
  <si>
    <t>Thửa 30, tờ 3</t>
  </si>
  <si>
    <t>Lê Việt Hùng</t>
  </si>
  <si>
    <t>Lê Thị Hồ</t>
  </si>
  <si>
    <t>Thửa 14, tờ 25</t>
  </si>
  <si>
    <t>Nguyễn Thị Thời</t>
  </si>
  <si>
    <t>Thửa 125, tờ 7</t>
  </si>
  <si>
    <t>Nguyễn Văn Ngọc</t>
  </si>
  <si>
    <t>Thửa 3, tờ 22</t>
  </si>
  <si>
    <t>Lê Quốc Bình</t>
  </si>
  <si>
    <t>Bùi Văn Minh</t>
  </si>
  <si>
    <t>Lê Thị Trang Đài</t>
  </si>
  <si>
    <t>Thửa 20, tờ 48</t>
  </si>
  <si>
    <t>Phạm Thị Ngoạt</t>
  </si>
  <si>
    <t>Thửa 41, tờ 43</t>
  </si>
  <si>
    <t>Thửa 77, tờ 2</t>
  </si>
  <si>
    <t>Phạm Minh Đức</t>
  </si>
  <si>
    <t>Thửa 136, tờ 38</t>
  </si>
  <si>
    <t>Phạm Thị Bích Thảo</t>
  </si>
  <si>
    <t>Thửa 107, tờ 38</t>
  </si>
  <si>
    <t>Thửa 6, tờ 45</t>
  </si>
  <si>
    <t>Lê Định</t>
  </si>
  <si>
    <t>Thửa 173, tờ 2</t>
  </si>
  <si>
    <t>Phạm Hữu Tính</t>
  </si>
  <si>
    <t>Thửa 22, tờ 3</t>
  </si>
  <si>
    <t>Nguyễn Thị Hường</t>
  </si>
  <si>
    <t>Thửa 66, tờ 3</t>
  </si>
  <si>
    <t>Trịnh Văn Cường</t>
  </si>
  <si>
    <t>Thửa 179, tờ 2</t>
  </si>
  <si>
    <t>Thửa 35, tờ 18</t>
  </si>
  <si>
    <t>Thửa 15, tờ 3</t>
  </si>
  <si>
    <t>Thửa 51, tờ 3</t>
  </si>
  <si>
    <t>Nguyễn Thị Lan Mai</t>
  </si>
  <si>
    <t>Thửa 62, tờ 2</t>
  </si>
  <si>
    <t>Nguyễn Thị Kiều</t>
  </si>
  <si>
    <t>Thửa 80, tờ 2</t>
  </si>
  <si>
    <t>Nguyễn Thị Hướng</t>
  </si>
  <si>
    <t>Thửa 58, tờ 3</t>
  </si>
  <si>
    <t>Trần Thị Dục</t>
  </si>
  <si>
    <t>Thửa 71, tờ 2</t>
  </si>
  <si>
    <t>Dương Minh Tự</t>
  </si>
  <si>
    <t>Thửa 52, tờ 2</t>
  </si>
  <si>
    <t>Thửa 146, tờ 2</t>
  </si>
  <si>
    <t>Nguyễn Thành Công</t>
  </si>
  <si>
    <t>Thửa 71, tờ 42</t>
  </si>
  <si>
    <t>Lê Viết Thống</t>
  </si>
  <si>
    <t>Thửa 51, tờ 16</t>
  </si>
  <si>
    <t>Lê Viết Ninh</t>
  </si>
  <si>
    <t>Thửa 40, tờ 16</t>
  </si>
  <si>
    <t>Đặng Thị Hiền</t>
  </si>
  <si>
    <t>Thửa 175, tờ 18</t>
  </si>
  <si>
    <t>Lê Phúc Tuất</t>
  </si>
  <si>
    <t>Huỳnh Thị Hường</t>
  </si>
  <si>
    <t>Thửa 63, tờ 7</t>
  </si>
  <si>
    <t>Thửa 57, tờ 7</t>
  </si>
  <si>
    <t>Nguyễn Thị Thúy Oanh</t>
  </si>
  <si>
    <t>Thửa 19, tờ 37</t>
  </si>
  <si>
    <t>Lê Xuân Bắc</t>
  </si>
  <si>
    <t>Thửa 227, tờ 19</t>
  </si>
  <si>
    <t>Ngô Quốc Khánh</t>
  </si>
  <si>
    <t>Thửa 149, tờ 44</t>
  </si>
  <si>
    <t>Nguyễn Văn Bộ</t>
  </si>
  <si>
    <t>Thửa 130, tờ 3</t>
  </si>
  <si>
    <t>Võ Văn Trung</t>
  </si>
  <si>
    <t>Thửa 69, tờ 4</t>
  </si>
  <si>
    <t>Thửa 157, tờ 3</t>
  </si>
  <si>
    <t>Nguyễn Trần Quốc Khánh</t>
  </si>
  <si>
    <t>Thửa 20, tờ 3</t>
  </si>
  <si>
    <t>Lại Thị Thu Hằng</t>
  </si>
  <si>
    <t>Thửa 68, tờ 16</t>
  </si>
  <si>
    <t>Lê Văn Kiên</t>
  </si>
  <si>
    <t>Thửa 111, tờ 42</t>
  </si>
  <si>
    <t>Đoàn Văn Thảo</t>
  </si>
  <si>
    <t>Thửa 71, tờ 16</t>
  </si>
  <si>
    <t>Nghiêm Văn Phóng</t>
  </si>
  <si>
    <t>Thửa 29, tờ 21</t>
  </si>
  <si>
    <t>Thửa 174, tờ 10</t>
  </si>
  <si>
    <t>Phạm Thị Thêm</t>
  </si>
  <si>
    <t>Thửa 35, tờ 2</t>
  </si>
  <si>
    <t>Nguyễn Thị Bình</t>
  </si>
  <si>
    <t>Thửa 2, tờ 43</t>
  </si>
  <si>
    <t>Quách Thị Trang</t>
  </si>
  <si>
    <t>Thửa 76, tờ 3</t>
  </si>
  <si>
    <t>Bùi Thị Đào</t>
  </si>
  <si>
    <t>Thửa 101, tờ 38</t>
  </si>
  <si>
    <t>Trần Thị Kiều Hạnh</t>
  </si>
  <si>
    <t>Thửa 37, tờ 45</t>
  </si>
  <si>
    <t>Nguyễn Thụy Vân Anh</t>
  </si>
  <si>
    <t>Thửa 52, tờ 43</t>
  </si>
  <si>
    <t>Ngô Văn Sĩ</t>
  </si>
  <si>
    <t>Thửa 7, tờ 2</t>
  </si>
  <si>
    <t>Nguyễn Văn Huyên</t>
  </si>
  <si>
    <t>Thửa 414, tờ 44</t>
  </si>
  <si>
    <t>Thửa 415, tờ 44</t>
  </si>
  <si>
    <t>Thửa 416, tờ 44</t>
  </si>
  <si>
    <t>Đỗ Minh Qúy</t>
  </si>
  <si>
    <t>Thửa 133, tờ 2</t>
  </si>
  <si>
    <t>Lê Thanh Cảnh</t>
  </si>
  <si>
    <t>Thửa 23, tờ 2</t>
  </si>
  <si>
    <t>Thửa 3, tờ 2</t>
  </si>
  <si>
    <t>Phạm Văn Ba</t>
  </si>
  <si>
    <t>Thửa 114, tờ 3</t>
  </si>
  <si>
    <t>Thửa 178, tờ 2</t>
  </si>
  <si>
    <t>Lê Tấn Khoa</t>
  </si>
  <si>
    <t>Thửa 59, tờ 3</t>
  </si>
  <si>
    <t>Thửa 31, tờ 43</t>
  </si>
  <si>
    <t>Phùng Thị Loan</t>
  </si>
  <si>
    <t>Thửa 35, tờ 26</t>
  </si>
  <si>
    <t>Thửa 26, tờ 26</t>
  </si>
  <si>
    <t>Võ Thanh Lâm</t>
  </si>
  <si>
    <t>Thửa 137, tờ 3</t>
  </si>
  <si>
    <t>Võ Thị Xuân</t>
  </si>
  <si>
    <t>Thửa 47, tờ 37</t>
  </si>
  <si>
    <t>Trần Thị Nhất</t>
  </si>
  <si>
    <t>Thửa 85, tờ 6</t>
  </si>
  <si>
    <t>Thửa 47, tờ 16</t>
  </si>
  <si>
    <t>Đặng Văn Sơn</t>
  </si>
  <si>
    <t>Thửa 139, tờ 2</t>
  </si>
  <si>
    <t>Trương Thị Vân</t>
  </si>
  <si>
    <t>Thửa 16, tờ 21</t>
  </si>
  <si>
    <t>Lê Thuận Sự</t>
  </si>
  <si>
    <t>Thửa 42, tờ 16</t>
  </si>
  <si>
    <t>Thửa 83, tờ 2</t>
  </si>
  <si>
    <t>Đặng Thị Đào</t>
  </si>
  <si>
    <t>Nguyễn Viết Trí</t>
  </si>
  <si>
    <t>Thửa 130, tờ 38</t>
  </si>
  <si>
    <t>Phan Huy Cường</t>
  </si>
  <si>
    <t>Thửa 32, tờ 26</t>
  </si>
  <si>
    <t>Thửa 64, tờ 06</t>
  </si>
  <si>
    <t>Thửa 48, tờ 16</t>
  </si>
  <si>
    <t>Phan Thị Lan</t>
  </si>
  <si>
    <t>Thửa 40, tờ 06</t>
  </si>
  <si>
    <t>Phạm Viết Báu</t>
  </si>
  <si>
    <t>Thửa 20, tờ 02</t>
  </si>
  <si>
    <t>Vương Thị Lanh</t>
  </si>
  <si>
    <t>Thửa 77, tờ 06</t>
  </si>
  <si>
    <t>Thửa 79, tờ 06</t>
  </si>
  <si>
    <t>Phạm Thị Trúc Ly</t>
  </si>
  <si>
    <t>Lê Văn Đắc</t>
  </si>
  <si>
    <t>Thửa 85, tờ 44</t>
  </si>
  <si>
    <t>Đinh Thị Thu Thủy</t>
  </si>
  <si>
    <t>Thửa 36, tờ 47</t>
  </si>
  <si>
    <t>Đỗ Thị Ngọc Anh</t>
  </si>
  <si>
    <t>Thửa 126, tờ 18</t>
  </si>
  <si>
    <t>Nguyễn Văn Trần</t>
  </si>
  <si>
    <t>Thửa 156, tờ 03</t>
  </si>
  <si>
    <t>Trương Thị Mai Huế</t>
  </si>
  <si>
    <t>Thửa 27, tờ 03</t>
  </si>
  <si>
    <t>Thửa 48, tờ 42</t>
  </si>
  <si>
    <t>Phạm Văn Trinh</t>
  </si>
  <si>
    <t>Trần Công Nghị</t>
  </si>
  <si>
    <t>Thửa 201, tờ 44</t>
  </si>
  <si>
    <t>Thửa 136, tờ 02</t>
  </si>
  <si>
    <t>Thửa 146, tờ 02</t>
  </si>
  <si>
    <t>Đặng Văn Lân</t>
  </si>
  <si>
    <t>Thửa 121, tờ 10</t>
  </si>
  <si>
    <t>Bùi Đức Tài</t>
  </si>
  <si>
    <t>Thửa 153, tờ 38</t>
  </si>
  <si>
    <t>Nguyễn Văn Thanh Phương</t>
  </si>
  <si>
    <t>Thửa 15, tờ 43</t>
  </si>
  <si>
    <t>Huỳnh Thị Nguyệt</t>
  </si>
  <si>
    <t>Thửa 08, tờ 43</t>
  </si>
  <si>
    <t>Nguyễn Hữu Trường</t>
  </si>
  <si>
    <t>Lê Huy Bằng</t>
  </si>
  <si>
    <t>Thửa 12, tờ 02</t>
  </si>
  <si>
    <t>Thửa 116, tờ 43</t>
  </si>
  <si>
    <t>Đoàn Thị Hồng</t>
  </si>
  <si>
    <t>Thửa 94, tờ 6</t>
  </si>
  <si>
    <t>Nguyễn Thành Nhỏ</t>
  </si>
  <si>
    <t>Thửa 96, tờ 6</t>
  </si>
  <si>
    <t>Thửa 02, tờ 42</t>
  </si>
  <si>
    <t>Phùng Thị Duyên</t>
  </si>
  <si>
    <t>Thửa 14, tờ 48</t>
  </si>
  <si>
    <t>Nguyễn Phước Nhu</t>
  </si>
  <si>
    <t>Thửa 113, tờ 42</t>
  </si>
  <si>
    <t>Thửa 42, tờ 47</t>
  </si>
  <si>
    <t>Thửa 45, tờ 47</t>
  </si>
  <si>
    <t>Thửa 39, tờ 47</t>
  </si>
  <si>
    <t>Hoàng Thị Lan</t>
  </si>
  <si>
    <t>Thửa 89, tờ 03</t>
  </si>
  <si>
    <t>Thửa 171, tờ 02</t>
  </si>
  <si>
    <t>Ngô Tiến Đông</t>
  </si>
  <si>
    <t>Thửa 77, tờ 03</t>
  </si>
  <si>
    <t>Thửa 13, tờ 48</t>
  </si>
  <si>
    <t>Thửa 17, tờ 48</t>
  </si>
  <si>
    <t>Nguyễn Tuấn Anh</t>
  </si>
  <si>
    <t>Thửa 70, tờ 03</t>
  </si>
  <si>
    <t>Trần Thị Huế</t>
  </si>
  <si>
    <t>Thửa 165, tờ 18</t>
  </si>
  <si>
    <t>Lê Xuân Quang</t>
  </si>
  <si>
    <t>Thửa 124, tờ 2</t>
  </si>
  <si>
    <t>Lý Sỹ Hùng</t>
  </si>
  <si>
    <t>Thửa 61, tờ 16</t>
  </si>
  <si>
    <t>Thửa 208, tờ 48</t>
  </si>
  <si>
    <t>Thửa 167, tờ 48</t>
  </si>
  <si>
    <t>Thửa 164, tờ 48</t>
  </si>
  <si>
    <t>Thửa 161, tờ 48</t>
  </si>
  <si>
    <t>Thửa 172, tờ 48</t>
  </si>
  <si>
    <t>Thửa 176, tờ 48</t>
  </si>
  <si>
    <t>Thửa 174, tờ 48</t>
  </si>
  <si>
    <t>Thửa 166, tờ 48</t>
  </si>
  <si>
    <t>Thửa 81, tờ 23</t>
  </si>
  <si>
    <t>Thửa 209, tờ 19</t>
  </si>
  <si>
    <t>Hồ Thị Xuân Hương</t>
  </si>
  <si>
    <t>Thửa 109, tờ 18</t>
  </si>
  <si>
    <t>Phạm Công Tỵ</t>
  </si>
  <si>
    <t>Thửa 18, tờ 38</t>
  </si>
  <si>
    <t>Nguyễn Như Hữu</t>
  </si>
  <si>
    <t>Thửa 61, tờ 2</t>
  </si>
  <si>
    <t>Trần Hải Quân</t>
  </si>
  <si>
    <t>Thửa 102, tờ 25</t>
  </si>
  <si>
    <t>Lê Văn Xuân</t>
  </si>
  <si>
    <t>Mai Xuân Hải</t>
  </si>
  <si>
    <t>Trần Thế Long</t>
  </si>
  <si>
    <t>Thửa 54, tờ 26</t>
  </si>
  <si>
    <t>Thửa 401, tờ 44</t>
  </si>
  <si>
    <t>Thửa 21, tờ 43</t>
  </si>
  <si>
    <t>Thửa 177, tờ 48</t>
  </si>
  <si>
    <t>Thửa 171, tờ 48</t>
  </si>
  <si>
    <t>Thửa 168, tờ 48</t>
  </si>
  <si>
    <t>Thửa 162, tờ 48</t>
  </si>
  <si>
    <t>Thửa 163, tờ 48</t>
  </si>
  <si>
    <t>Thửa 165, tờ 48</t>
  </si>
  <si>
    <t>Thửa 173, tờ 48</t>
  </si>
  <si>
    <t>Thửa 156, tờ 38</t>
  </si>
  <si>
    <t>Thửa 155, tờ 38</t>
  </si>
  <si>
    <t>Trần Thi</t>
  </si>
  <si>
    <t>Thửa 89, tờ 3</t>
  </si>
  <si>
    <t>Ngô Văn Tâm</t>
  </si>
  <si>
    <t>Thửa 62, tờ 18</t>
  </si>
  <si>
    <t>Dư Văn Đậu</t>
  </si>
  <si>
    <t>Thửa 44, tờ 37</t>
  </si>
  <si>
    <t>Lê Thị Thu Hoài</t>
  </si>
  <si>
    <t>Thửa 75, tờ 3</t>
  </si>
  <si>
    <t>Nguyễn Thị Đông</t>
  </si>
  <si>
    <t>Thửa 91, tờ 6</t>
  </si>
  <si>
    <t>Hoàng Thị Mai</t>
  </si>
  <si>
    <t>Thửa 49, tờ 3</t>
  </si>
  <si>
    <t>Thửa 155, tờ 48</t>
  </si>
  <si>
    <t>Thửa 178, tờ 48</t>
  </si>
  <si>
    <t>Thửa 158, tờ 48</t>
  </si>
  <si>
    <t>Thửa 157, tờ 48</t>
  </si>
  <si>
    <t>Thửa 170, tờ 48</t>
  </si>
  <si>
    <t>Thửa 175, tờ 48</t>
  </si>
  <si>
    <t>Thửa 156, tờ 48</t>
  </si>
  <si>
    <t>Thửa 159, tờ 48</t>
  </si>
  <si>
    <t>Thửa 169, tờ 48</t>
  </si>
  <si>
    <t>Thửa 160, tờ 48</t>
  </si>
  <si>
    <t>Phạm Hoàng My</t>
  </si>
  <si>
    <t>Thửa 661, tờ 12</t>
  </si>
  <si>
    <t>Thửa 660, tờ 12</t>
  </si>
  <si>
    <t>Lê Xuân Sang</t>
  </si>
  <si>
    <t>Thửa 662, tờ 12</t>
  </si>
  <si>
    <t>Dương Văn Quý</t>
  </si>
  <si>
    <t>Thửa 236, tờ 2</t>
  </si>
  <si>
    <t>Dương Cẩm Phong</t>
  </si>
  <si>
    <t>Thửa 237, tờ 2</t>
  </si>
  <si>
    <t>Bùi Thị Mỹ</t>
  </si>
  <si>
    <t>Thửa 238, tờ 2</t>
  </si>
  <si>
    <t>Phạm Duy</t>
  </si>
  <si>
    <t>Thửa 239, tờ 2</t>
  </si>
  <si>
    <t>Thửa 240, tờ 2</t>
  </si>
  <si>
    <t>Hoàng Như Quỳnh</t>
  </si>
  <si>
    <t>Thửa 116, tờ 07</t>
  </si>
  <si>
    <t>Đặng Văn Thiện</t>
  </si>
  <si>
    <t>Thửa 91, tờ 37</t>
  </si>
  <si>
    <t>Phạm Ngọc Tú</t>
  </si>
  <si>
    <t>Thửa 132, tờ 10</t>
  </si>
  <si>
    <t>Thửa 241, tờ 02</t>
  </si>
  <si>
    <t>Long Quốc Đạt</t>
  </si>
  <si>
    <t>Thửa 65, tờ 47</t>
  </si>
  <si>
    <t>Mai Văn Tiệp</t>
  </si>
  <si>
    <t>Thửa 143, tờ 02</t>
  </si>
  <si>
    <t>Vũ Anh Định</t>
  </si>
  <si>
    <t>Thửa 19, tờ 02</t>
  </si>
  <si>
    <t>Bùi Việt Nam</t>
  </si>
  <si>
    <t>Thửa 16, tờ 02</t>
  </si>
  <si>
    <t>Nguyễn Việt Thắng</t>
  </si>
  <si>
    <t>Thửa 211, tờ 02</t>
  </si>
  <si>
    <t>Vũ Thị Hường</t>
  </si>
  <si>
    <t>Mai Thị Thúy</t>
  </si>
  <si>
    <t>Thửa 82, tờ 47</t>
  </si>
  <si>
    <t>Thửa 83, tờ 47</t>
  </si>
  <si>
    <t>Phạm Thị Hoài</t>
  </si>
  <si>
    <t>Thửa 123, tờ 18</t>
  </si>
  <si>
    <t>Trần Văn Thụy</t>
  </si>
  <si>
    <t>Thửa 154, tờ 38</t>
  </si>
  <si>
    <t>Trương Lâm Sơn</t>
  </si>
  <si>
    <t>Thửa 82, tờ 23</t>
  </si>
  <si>
    <t>Trịnh Văn Đậm</t>
  </si>
  <si>
    <t>Thửa 170, tờ 38</t>
  </si>
  <si>
    <t>Thửa 185, tờ 03</t>
  </si>
  <si>
    <t>Thửa 186, tờ 03</t>
  </si>
  <si>
    <t>Quách Học Tâm</t>
  </si>
  <si>
    <t>Thửa 176, tờ 03</t>
  </si>
  <si>
    <t>Thửa 175, tờ 03</t>
  </si>
  <si>
    <t>Vũ Tuấn Anh</t>
  </si>
  <si>
    <t>Thửa 205, tờ 48</t>
  </si>
  <si>
    <t>Nguyễn Thị Nhiền</t>
  </si>
  <si>
    <t>Thửa 22, tờ 40</t>
  </si>
  <si>
    <t>Thửa 170, tờ3 8</t>
  </si>
  <si>
    <t>Nguyễn Thị Tùng Dung</t>
  </si>
  <si>
    <t>Thửa 121, tờ 32</t>
  </si>
  <si>
    <t>Dương Hồng Ngọc</t>
  </si>
  <si>
    <t>Thửa 78, tờ 37</t>
  </si>
  <si>
    <t>Bùi Xuân Vũ</t>
  </si>
  <si>
    <t>Thửa 30, tờ 2</t>
  </si>
  <si>
    <t>Đào Thị Vinh Thu</t>
  </si>
  <si>
    <t>Thửa 153, tờ 3</t>
  </si>
  <si>
    <t>Điểu Lai</t>
  </si>
  <si>
    <t>Thửa 57, tờ 48</t>
  </si>
  <si>
    <t>Huỳnh Thanh Công</t>
  </si>
  <si>
    <t>Thửa 182, tờ 48</t>
  </si>
  <si>
    <t>Trịnh Văn Thạch</t>
  </si>
  <si>
    <t>Thửa 109, tờ 02</t>
  </si>
  <si>
    <t>Trịnh Xuân Thao</t>
  </si>
  <si>
    <t>Thửa 106, tờ 02</t>
  </si>
  <si>
    <t>Trần Đình Đông</t>
  </si>
  <si>
    <t>Thửa 10, tờ 26</t>
  </si>
  <si>
    <t>Bùi Thế Thao</t>
  </si>
  <si>
    <t>Thửa 157, tờ 02</t>
  </si>
  <si>
    <t>Trương Thị Cúc</t>
  </si>
  <si>
    <t>Thửa 66, tờ 2</t>
  </si>
  <si>
    <t>Nguyễn Văn Định</t>
  </si>
  <si>
    <t>Thửa 107, tờ 10</t>
  </si>
  <si>
    <t>Thửa 08, tờ 02</t>
  </si>
  <si>
    <t>Thửa 233, tờ 48</t>
  </si>
  <si>
    <t>Nguyễn Xuân Bài</t>
  </si>
  <si>
    <t>Thửa 89, tờ 06</t>
  </si>
  <si>
    <t>Thửa 81, tờ 06</t>
  </si>
  <si>
    <t>Thửa 84, tờ 06</t>
  </si>
  <si>
    <t>Nhan Thị Lệ Dung</t>
  </si>
  <si>
    <t>Thửa 04, tờ 25</t>
  </si>
  <si>
    <t>Đoàn Thị Hải Yến</t>
  </si>
  <si>
    <t>Thửa 381, tờ 44</t>
  </si>
  <si>
    <t>Nguyễn Thanh Nam</t>
  </si>
  <si>
    <t>Thửa 206, tờ 48</t>
  </si>
  <si>
    <t>Phan Thu Thảo</t>
  </si>
  <si>
    <t>Thửa 211, tờ 48</t>
  </si>
  <si>
    <t>Lê Đức Hiền</t>
  </si>
  <si>
    <t>Thửa 83, tờ 02</t>
  </si>
  <si>
    <t>Thửa 88, tờ 02</t>
  </si>
  <si>
    <t>Vương Thế Hùng</t>
  </si>
  <si>
    <t>Thửa 15, tờ 06</t>
  </si>
  <si>
    <t>Nguyễn Đình Thứ</t>
  </si>
  <si>
    <t>Thửa 90, tờ 03</t>
  </si>
  <si>
    <t>Thửa 50, tờ 02</t>
  </si>
  <si>
    <t>Thửa 35, tờ 02</t>
  </si>
  <si>
    <t>Trịnh Duy Thanh</t>
  </si>
  <si>
    <t>Thửa 33, tờ 03</t>
  </si>
  <si>
    <t>Thửa 44, tờ 06</t>
  </si>
  <si>
    <t>Nguyễn Văn Viện</t>
  </si>
  <si>
    <t>Thửa 13, tờ 21</t>
  </si>
  <si>
    <t>Hoàng Văn Đông</t>
  </si>
  <si>
    <t>Thửa 101, tờ 02</t>
  </si>
  <si>
    <t>Nguyễn Văn Nho</t>
  </si>
  <si>
    <t>Thửa 287, tờ 32</t>
  </si>
  <si>
    <t>Phan Văn Đoài</t>
  </si>
  <si>
    <t>Thửa 29, tờ 47</t>
  </si>
  <si>
    <t>Thửa 25, tờ 47</t>
  </si>
  <si>
    <t>Trần Duy Long</t>
  </si>
  <si>
    <t>Thửa 33, tờ 47</t>
  </si>
  <si>
    <t>Trịnh Đinh Minh</t>
  </si>
  <si>
    <t>Thửa 260, tờ 32</t>
  </si>
  <si>
    <t>Đỗ Thị Kiều</t>
  </si>
  <si>
    <t>Thửa 24, tờ 10</t>
  </si>
  <si>
    <t>Trần Thị Luyên</t>
  </si>
  <si>
    <t>Thửa 261, tờ 32</t>
  </si>
  <si>
    <t>Thửa 136, tờ 2</t>
  </si>
  <si>
    <t>Hoàng Thị Hải Yến</t>
  </si>
  <si>
    <t>Thửa 20, tờ 21</t>
  </si>
  <si>
    <t>Điểu Mót</t>
  </si>
  <si>
    <t>Thửa 8, tờ 2</t>
  </si>
  <si>
    <t>Lê Thị Phương Thảo</t>
  </si>
  <si>
    <t>Thửa 11, tờ 48</t>
  </si>
  <si>
    <t>Thửa 24, tờ 48</t>
  </si>
  <si>
    <t>Bùi Thể Thao</t>
  </si>
  <si>
    <t>Thửa 157, tờ 2</t>
  </si>
  <si>
    <t>Bùi Thị Tuyết Nhung</t>
  </si>
  <si>
    <t>Huỳnh Thành Công</t>
  </si>
  <si>
    <t>Thửa 187, tờ 48</t>
  </si>
  <si>
    <t>Thửa 18, tờ 25</t>
  </si>
  <si>
    <t>Phạm Thị Hà</t>
  </si>
  <si>
    <t>Thửa 29, tờ 40</t>
  </si>
  <si>
    <t>Trương Huỳnh Bảo</t>
  </si>
  <si>
    <t>Điểu Chúc</t>
  </si>
  <si>
    <t>Thửa 291, tờ 39</t>
  </si>
  <si>
    <t>Đoàn Duy Mẫn</t>
  </si>
  <si>
    <t>Thửa 96, tờ 09</t>
  </si>
  <si>
    <t>XI</t>
  </si>
  <si>
    <t>Bùi Đức Cảnh</t>
  </si>
  <si>
    <t>Thửa 760, tờ 02</t>
  </si>
  <si>
    <t>Thửa 569, tờ 06</t>
  </si>
  <si>
    <t>Đinh Văn Tính</t>
  </si>
  <si>
    <t>Nguyễn Hữu Hải</t>
  </si>
  <si>
    <t>Thửa 97, tờ 14</t>
  </si>
  <si>
    <t>Trần Bá Nam</t>
  </si>
  <si>
    <t>Thửa 59, tờ 14</t>
  </si>
  <si>
    <t>Thửa 354, tờ 13</t>
  </si>
  <si>
    <t>Trần Văn Duyệt</t>
  </si>
  <si>
    <t>Thửa 25, tờ 34</t>
  </si>
  <si>
    <t>Thiệu Quang Tuyến</t>
  </si>
  <si>
    <t>Thửa 110, tờ 4</t>
  </si>
  <si>
    <t>Lương Văn Đến</t>
  </si>
  <si>
    <t>Thửa 58, tờ 22</t>
  </si>
  <si>
    <t>Lê Hữu Quân</t>
  </si>
  <si>
    <t>Thửa 197, tờ 2</t>
  </si>
  <si>
    <t>Lê Ngọc Giàu</t>
  </si>
  <si>
    <t>Thửa 721, tờ 2</t>
  </si>
  <si>
    <t>Phạm Thị Thủy</t>
  </si>
  <si>
    <t>Thửa 106, tờ 12</t>
  </si>
  <si>
    <t>Phạm Văn Dân</t>
  </si>
  <si>
    <t>Thửa 62, tờ 22</t>
  </si>
  <si>
    <t>Lê Thị Thanh Thủy</t>
  </si>
  <si>
    <t>Thửa 187, tờ 15</t>
  </si>
  <si>
    <t>Thửa 88, tờ 7</t>
  </si>
  <si>
    <t>Thửa 201, tờ 18</t>
  </si>
  <si>
    <t>Lưu Thị Tươi</t>
  </si>
  <si>
    <t>Thửa 24, tờ 19</t>
  </si>
  <si>
    <t>Lê Văn Tẫn</t>
  </si>
  <si>
    <t>Thửa 38, tờ 9</t>
  </si>
  <si>
    <t>Lê Thị Mận</t>
  </si>
  <si>
    <t>Thửa 84, tờ 6</t>
  </si>
  <si>
    <t>Phạm Bảo Nhi</t>
  </si>
  <si>
    <t>Thửa 60, tờ 23</t>
  </si>
  <si>
    <t>Huỳnh Minh Trí</t>
  </si>
  <si>
    <t>Thửa 63, tờ 22</t>
  </si>
  <si>
    <t>Nguyễn Thanh Tùng</t>
  </si>
  <si>
    <t>Thửa 245, tờ 4</t>
  </si>
  <si>
    <t>Nguyễn Chí Sinh</t>
  </si>
  <si>
    <t>Thửa 61, tờ 22</t>
  </si>
  <si>
    <t>Phạm Văn Nhưỡng</t>
  </si>
  <si>
    <t>Thửa 168, tờ 23</t>
  </si>
  <si>
    <t>Nguyễn Thị Ngọc Lan</t>
  </si>
  <si>
    <t>Nguyễn Trường Sinh</t>
  </si>
  <si>
    <t>Thửa 76, tờ 22</t>
  </si>
  <si>
    <t>Phạm Thị Nguyện</t>
  </si>
  <si>
    <t>Thửa 205, tờ 18</t>
  </si>
  <si>
    <t>Trương Văn Ngán</t>
  </si>
  <si>
    <t>Thửa 64, tờ 22</t>
  </si>
  <si>
    <t>Võ Văn Bình</t>
  </si>
  <si>
    <t>Thửa 65, tờ 22</t>
  </si>
  <si>
    <t>Đặng Xuân Long</t>
  </si>
  <si>
    <t>Thửa 774, tờ 2</t>
  </si>
  <si>
    <t>Thửa 35, tờ 9</t>
  </si>
  <si>
    <t>Thửa 56, tờ 22</t>
  </si>
  <si>
    <t>Phạm Thanh Nguyên</t>
  </si>
  <si>
    <t>Thửa 60, tờ 22</t>
  </si>
  <si>
    <t>Vũ Thị Bưởi</t>
  </si>
  <si>
    <t>Thửa 47, tờ 7</t>
  </si>
  <si>
    <t>Trần Văn Ngật</t>
  </si>
  <si>
    <t>Thửa 65, tờ 26</t>
  </si>
  <si>
    <t>Thửa 319, tờ 13</t>
  </si>
  <si>
    <t>Nguyễn Văn Giang</t>
  </si>
  <si>
    <t>Thửa 251, tờ 23</t>
  </si>
  <si>
    <t>Nguyễn Đức Khánh</t>
  </si>
  <si>
    <t>Thửa 612, tờ 6</t>
  </si>
  <si>
    <t>Thửa 228, tờ 23</t>
  </si>
  <si>
    <t>Hà Trọng Tiến</t>
  </si>
  <si>
    <t>Thửa 703, tờ 02</t>
  </si>
  <si>
    <t>Lê Ngọc Hà</t>
  </si>
  <si>
    <t>Thửa 803, tờ 02</t>
  </si>
  <si>
    <t>Vũ Tuấn</t>
  </si>
  <si>
    <t>Thửa 397, tờ 13</t>
  </si>
  <si>
    <t>Trần Thu Phương</t>
  </si>
  <si>
    <t>Thửa 129, tờ 15</t>
  </si>
  <si>
    <t>Nguyễn Văn Thuận</t>
  </si>
  <si>
    <t>Thửa 709, tờ 02</t>
  </si>
  <si>
    <t>Phan Thị Hoan</t>
  </si>
  <si>
    <t>Thửa 224, tờ 06</t>
  </si>
  <si>
    <t>Lê Đình Dương</t>
  </si>
  <si>
    <t>Thửa 227, tờ 09</t>
  </si>
  <si>
    <t>Thửa 398, tờ 13</t>
  </si>
  <si>
    <t>Thửa 54, tờ 09</t>
  </si>
  <si>
    <t>Thửa 64, tờ 20</t>
  </si>
  <si>
    <t>Phạm Văn Hoàng</t>
  </si>
  <si>
    <t>Thửa 255, tờ 23</t>
  </si>
  <si>
    <t>Phạm Văn Thật</t>
  </si>
  <si>
    <t>Vũ Văn Ba</t>
  </si>
  <si>
    <t>Thửa 4, tờ30 (Cũ)</t>
  </si>
  <si>
    <t>Nguyễn Thị Đoàn</t>
  </si>
  <si>
    <t>Thửa 51, tờ 23</t>
  </si>
  <si>
    <t>Thửa 358, tờ 2</t>
  </si>
  <si>
    <t>Thửa 1, tờ 9 (Cũ)</t>
  </si>
  <si>
    <t>Nguyễn Thị Ngọc Quyên</t>
  </si>
  <si>
    <t>Thửa 37, tờ 29 (Cũ)</t>
  </si>
  <si>
    <t>Ngô Duy Nghiệp</t>
  </si>
  <si>
    <t>Thửa 51, tờ 9 (Cũ)</t>
  </si>
  <si>
    <t>Lương Thị Hải</t>
  </si>
  <si>
    <t>Thửa 64, tờ 12</t>
  </si>
  <si>
    <t>Đoàn Văn Việt</t>
  </si>
  <si>
    <t>Thửa 30, tờ 22 (Cũ)</t>
  </si>
  <si>
    <t>Thửa 9, tờ 34 (Cũ)</t>
  </si>
  <si>
    <t>Thửa 112, tờ 6 (Cũ)</t>
  </si>
  <si>
    <t>Thửa 245, tờ 7 (Cũ)</t>
  </si>
  <si>
    <t>Vũ Thị Bẩy</t>
  </si>
  <si>
    <t>Thửa 32, tờ 34 (Cũ)</t>
  </si>
  <si>
    <t>Võ Tiến Tùng</t>
  </si>
  <si>
    <t>Thửa 19, tờ 23 (Cũ)</t>
  </si>
  <si>
    <t>Phan Văn Nhi</t>
  </si>
  <si>
    <t>Thửa 54, tờ 9 (Cũ)</t>
  </si>
  <si>
    <t>Thửa 29, tờ 22 (Cũ)</t>
  </si>
  <si>
    <t>Trịnh Thị Gái</t>
  </si>
  <si>
    <t>Thửa 90, tờ 19</t>
  </si>
  <si>
    <t>Lương Ngọc Hơn</t>
  </si>
  <si>
    <t>Ngô Văn Linh</t>
  </si>
  <si>
    <t>Thửa 19, tờ 9 (Cũ)</t>
  </si>
  <si>
    <t>Hà Thị Kim Oanh</t>
  </si>
  <si>
    <t>Thửa 63, tờ 23</t>
  </si>
  <si>
    <t>Đỗ Thị Thu</t>
  </si>
  <si>
    <t>Thửa 797, tờ 2</t>
  </si>
  <si>
    <t>Nguyễn Thanh Hưng</t>
  </si>
  <si>
    <t>Thửa 851, tờ 2</t>
  </si>
  <si>
    <t>Nguyễn Hoàng Phượng</t>
  </si>
  <si>
    <t>Thửa 850, tờ 2</t>
  </si>
  <si>
    <t>Lê Hòa Khang</t>
  </si>
  <si>
    <t>Thửa 200, tờ 4</t>
  </si>
  <si>
    <t>Nguyễn Ngọc Thảnh</t>
  </si>
  <si>
    <t>Thửa 3, tờ 26 (Cũ)</t>
  </si>
  <si>
    <t>Phạm Văn Thắng</t>
  </si>
  <si>
    <t>Thửa 330, tờ 11</t>
  </si>
  <si>
    <t>Trịnh Thị Trông</t>
  </si>
  <si>
    <t>Thửa 407, tờ 3</t>
  </si>
  <si>
    <t>Thửa 401, tờ 3</t>
  </si>
  <si>
    <t>Thửa 385, tờ 13</t>
  </si>
  <si>
    <t>Thửa 615, tờ 2</t>
  </si>
  <si>
    <t>Trịnh Thị Nguyệt</t>
  </si>
  <si>
    <t>Thửa 235, tờ 6 (Cũ)</t>
  </si>
  <si>
    <t>Phạm Nguyễn Hậu</t>
  </si>
  <si>
    <t>Hoàng Đức Thắng</t>
  </si>
  <si>
    <t>Thửa 77, tờ 6 (Cũ)</t>
  </si>
  <si>
    <t>Lê Thọ Mạnh</t>
  </si>
  <si>
    <t>Thửa 9, tờ 29 (Cũ)</t>
  </si>
  <si>
    <t>Lê Tiến Hùng</t>
  </si>
  <si>
    <t>Thửa 13, tờ 18</t>
  </si>
  <si>
    <t>Trần Thị Mỹ Hạnh</t>
  </si>
  <si>
    <t>Thửa 218, tờ 12</t>
  </si>
  <si>
    <t>Trần Thị The</t>
  </si>
  <si>
    <t>Bùi Văn Tứ</t>
  </si>
  <si>
    <t>Võ Thanh Tuyền</t>
  </si>
  <si>
    <t>Thửa 453, tờ 2</t>
  </si>
  <si>
    <t>Thửa 245, tờ 23</t>
  </si>
  <si>
    <t>Nguyễn Thị Ngọc Tiềng</t>
  </si>
  <si>
    <t>Thửa 250, tờ 9</t>
  </si>
  <si>
    <t>Trinh Văn Tám</t>
  </si>
  <si>
    <t>Thửa 101, tờ 6 (Cũ)</t>
  </si>
  <si>
    <t>Điểu Tý</t>
  </si>
  <si>
    <t>Thửa 13, tờ 23 Cũ</t>
  </si>
  <si>
    <t>Đỗ Thị Năm</t>
  </si>
  <si>
    <t>Tô Văn Dậu</t>
  </si>
  <si>
    <t>Thửa 185, tờ 12</t>
  </si>
  <si>
    <t>Thửa 565, tờ 2</t>
  </si>
  <si>
    <t>Thửa 776, tờ 2</t>
  </si>
  <si>
    <t>Điểu Long</t>
  </si>
  <si>
    <t>Điểu Sra</t>
  </si>
  <si>
    <t>Thửa 10, tờ 23 Cũ</t>
  </si>
  <si>
    <t>Nguyễn Duy Hòa</t>
  </si>
  <si>
    <t>Thửa 33, tờ 18</t>
  </si>
  <si>
    <t>Thửa 800, tờ 2</t>
  </si>
  <si>
    <t>Lương Thị Hồng Vân</t>
  </si>
  <si>
    <t>Thửa 926, tờ 2</t>
  </si>
  <si>
    <t>Trần Đức Sơn</t>
  </si>
  <si>
    <t>Thửa 928, tờ 2</t>
  </si>
  <si>
    <t>Võ Thanh Hải</t>
  </si>
  <si>
    <t>Thửa 921, tờ 2</t>
  </si>
  <si>
    <t>Nguyễn Văn Tho</t>
  </si>
  <si>
    <t>Thửa 846, tờ 2</t>
  </si>
  <si>
    <t>Nguyễn Văn Mạo</t>
  </si>
  <si>
    <t>Thửa 143, tờ 7 Cũ</t>
  </si>
  <si>
    <t>Nguyễn Văn Chí</t>
  </si>
  <si>
    <t>Thửa 162, tờ 15</t>
  </si>
  <si>
    <t>Đặng Thị Lành</t>
  </si>
  <si>
    <t>Thửa 72, tờ 2</t>
  </si>
  <si>
    <t>Trần Mạnh Hà</t>
  </si>
  <si>
    <t>Thửa 396, tờ 7 Cũ</t>
  </si>
  <si>
    <t>Nguyễn Đình Minh</t>
  </si>
  <si>
    <t>Thửa 1, tờ 1</t>
  </si>
  <si>
    <t>Phạm Văn Nghĩa</t>
  </si>
  <si>
    <t>Vũ Thị Thanh Loan</t>
  </si>
  <si>
    <t>Thửa 152, tờ 13</t>
  </si>
  <si>
    <t>Điểu Hòa</t>
  </si>
  <si>
    <t>Thửa 365, tờ 03 (7 cũ)</t>
  </si>
  <si>
    <t>Thửa 41, tờ 23</t>
  </si>
  <si>
    <t>Vũ Đức Huyên</t>
  </si>
  <si>
    <t>Thửa 38, tờ 12</t>
  </si>
  <si>
    <t>Thửa 207, tờ 4</t>
  </si>
  <si>
    <t>Thị Dũng</t>
  </si>
  <si>
    <t>Nguyễn Hoàn Hải</t>
  </si>
  <si>
    <t>Thửa 938, tờ 2</t>
  </si>
  <si>
    <t>Nguyễn Thị Ngọc Thuận</t>
  </si>
  <si>
    <t>Thửa 252, tờ 9</t>
  </si>
  <si>
    <t>Thửa 15, tờ 21</t>
  </si>
  <si>
    <t>Nguyễn Văn Vinh</t>
  </si>
  <si>
    <t>Thửa 414, tờ 3</t>
  </si>
  <si>
    <t>Võ Minh Phương</t>
  </si>
  <si>
    <t>Thửa 809, tờ 2</t>
  </si>
  <si>
    <t>Thửa 801, tờ 2</t>
  </si>
  <si>
    <t>Thửa 805, tờ 2</t>
  </si>
  <si>
    <t>Phạm Văn Chương</t>
  </si>
  <si>
    <t>Trần Thị Hồng</t>
  </si>
  <si>
    <t>Thửa 85, tờ 22</t>
  </si>
  <si>
    <t>Đinh Văn Chi</t>
  </si>
  <si>
    <t>Thửa 213, tờ 18</t>
  </si>
  <si>
    <t>Thửa 430, tờ 3</t>
  </si>
  <si>
    <t>Đỗ Văn Quang</t>
  </si>
  <si>
    <t>Thửa 105, tờ 4</t>
  </si>
  <si>
    <t>Nguyễn Xuân Dũng</t>
  </si>
  <si>
    <t>Thửa 149, tờ 3</t>
  </si>
  <si>
    <t>Hoàng Văn Tưởng</t>
  </si>
  <si>
    <t>Thửa 262, tờ 3 (7 cũ)</t>
  </si>
  <si>
    <t>Phạm Hồng Lệnh</t>
  </si>
  <si>
    <t>Thửa 120, tờ 11</t>
  </si>
  <si>
    <t>Lê Khả Liêm</t>
  </si>
  <si>
    <t>Thửa 325, tờ 3</t>
  </si>
  <si>
    <t>Lê Thị Xuyên</t>
  </si>
  <si>
    <t>Thửa 758, tờ 2</t>
  </si>
  <si>
    <t>Trịnh Văn Mang</t>
  </si>
  <si>
    <t>Thửa 259, tờ 23</t>
  </si>
  <si>
    <t>Lương Ngọc Giàu</t>
  </si>
  <si>
    <t>Thửa 258, tờ 23</t>
  </si>
  <si>
    <t>Cao Thị Thương</t>
  </si>
  <si>
    <t>Thửa 628, tờ 02</t>
  </si>
  <si>
    <t>Thửa 758, tờ 02</t>
  </si>
  <si>
    <t>Đỗ Xuân Khoan</t>
  </si>
  <si>
    <t>Thửa 177, tờ 12</t>
  </si>
  <si>
    <t>Trần Thị Dâng</t>
  </si>
  <si>
    <t>Thửa 46, tờ 34</t>
  </si>
  <si>
    <t>Lê Thị Tính</t>
  </si>
  <si>
    <t>Thửa 43, tờ 22</t>
  </si>
  <si>
    <t>Lâm Văn Ngà</t>
  </si>
  <si>
    <t>Thửa 204, tờ 12</t>
  </si>
  <si>
    <t>Đặng Thị Kim Oanh</t>
  </si>
  <si>
    <t>Thửa 395, tờ 13</t>
  </si>
  <si>
    <t>Vũ Văn Toàn</t>
  </si>
  <si>
    <t>Thửa 31, tờ 01</t>
  </si>
  <si>
    <t>Thửa 32, tờ 01</t>
  </si>
  <si>
    <t>Thửa 33, tờ 01</t>
  </si>
  <si>
    <t>Thửa 34, tờ 01</t>
  </si>
  <si>
    <t>Thửa 35, tờ 01</t>
  </si>
  <si>
    <t>Thửa 36, tờ 01</t>
  </si>
  <si>
    <t>Thửa 37, tờ 01</t>
  </si>
  <si>
    <t>Thửa 39, tờ 01</t>
  </si>
  <si>
    <t>Thửa 40, tờ 01</t>
  </si>
  <si>
    <t>Thửa 41, tờ 01</t>
  </si>
  <si>
    <t>Thửa 42, tờ 01</t>
  </si>
  <si>
    <t>Thửa 220, tờ 18</t>
  </si>
  <si>
    <t>Thửa 216, tờ 18</t>
  </si>
  <si>
    <t>Thửa 221, tờ 18</t>
  </si>
  <si>
    <t>Thửa 215, tờ 18</t>
  </si>
  <si>
    <t>Thửa 219, tờ 18</t>
  </si>
  <si>
    <t>Thửa 217, tờ 18</t>
  </si>
  <si>
    <t>Thửa 218, tờ 18</t>
  </si>
  <si>
    <t>Thửa 214, tờ 18</t>
  </si>
  <si>
    <t>Nguyễn Văn Đường
(Lê Thị Nguyền)</t>
  </si>
  <si>
    <t>Thửa 13, tờ 01</t>
  </si>
  <si>
    <t>Thửa 298, tờ 02</t>
  </si>
  <si>
    <t>Đặng Thị Kim Ngọc</t>
  </si>
  <si>
    <t>Thửa 98, tờ 22</t>
  </si>
  <si>
    <t>Trần Hồng Nhung</t>
  </si>
  <si>
    <t>Thửa 96, tờ 22</t>
  </si>
  <si>
    <t>Đào Văn Hiếu</t>
  </si>
  <si>
    <t>Thửa 90, tờ 22</t>
  </si>
  <si>
    <t>Phạm Tiến Sỹ</t>
  </si>
  <si>
    <t>Thửa 82, tờ 22</t>
  </si>
  <si>
    <t>Thửa 84, tờ 22</t>
  </si>
  <si>
    <t>Phạm Tiến Dũng</t>
  </si>
  <si>
    <t>Thửa 91, tờ 22</t>
  </si>
  <si>
    <t>Nguyễn Đăng Ninh</t>
  </si>
  <si>
    <t>Thửa 337, tờ 06</t>
  </si>
  <si>
    <t>Đỗ Văn Thạnh</t>
  </si>
  <si>
    <t>Thửa 15, tờ 23</t>
  </si>
  <si>
    <t>Nguyễn Quốc Nghĩa</t>
  </si>
  <si>
    <t>Thửa 1035, tờ 02</t>
  </si>
  <si>
    <t>Thửa 644, tờ 02</t>
  </si>
  <si>
    <t>Thửa 245, tờ 04</t>
  </si>
  <si>
    <t>Nguyễn Hải Đăng</t>
  </si>
  <si>
    <t>Thửa 278, tờ 3</t>
  </si>
  <si>
    <t>Nguyễn Đỗ Ngọc Minh</t>
  </si>
  <si>
    <t>Ngô Bá Quý</t>
  </si>
  <si>
    <t>Thửa 15, tờ 23 cũ</t>
  </si>
  <si>
    <t>Lưu Thị Thắm</t>
  </si>
  <si>
    <t>Thửa 82, tờ 2</t>
  </si>
  <si>
    <t>Lê Quang Viễn</t>
  </si>
  <si>
    <t>Thửa 63, tờ 13</t>
  </si>
  <si>
    <t>Phan Thị Hoạt</t>
  </si>
  <si>
    <t>Thửa 188, tờ 15</t>
  </si>
  <si>
    <t>Thửa 10, tờ 23</t>
  </si>
  <si>
    <t>Đoàn Thị Định</t>
  </si>
  <si>
    <t>Thửa 320, tờ 11</t>
  </si>
  <si>
    <t>Nguyễn Thị Thanh Tơ</t>
  </si>
  <si>
    <t>Thửa 74, tờ 22</t>
  </si>
  <si>
    <t>Thửa 682, tờ 2</t>
  </si>
  <si>
    <t>Phạm Thị Tằm</t>
  </si>
  <si>
    <t>Thửa 58, tờ 2</t>
  </si>
  <si>
    <t>Đỗ Thị Hòa</t>
  </si>
  <si>
    <t>Thửa 925, tờ 02</t>
  </si>
  <si>
    <t>Thửa 122, tờ 04</t>
  </si>
  <si>
    <t>Nguyễn Tân Ngọc</t>
  </si>
  <si>
    <t>Thửa 186, tờ 12</t>
  </si>
  <si>
    <t>Lê Sỹ Hải</t>
  </si>
  <si>
    <t>Thửa 27, tờ 13</t>
  </si>
  <si>
    <t>Nguyễn Đức Thưởng</t>
  </si>
  <si>
    <t>Thửa 224, tờ 11( 21 Cũ)</t>
  </si>
  <si>
    <t>Nguyễn Văn Khoa</t>
  </si>
  <si>
    <t>Thửa 55, tờ 3 (7 Cũ)</t>
  </si>
  <si>
    <t>Nguyễn Văn Phả</t>
  </si>
  <si>
    <t>Thửa 41, tờ 2 (6 Cũ)</t>
  </si>
  <si>
    <t>Thửa 48, tờ 2 (6 Cũ)</t>
  </si>
  <si>
    <t>Thửa 41, tờ 15 (26 Cũ)</t>
  </si>
  <si>
    <t>Nguyễn Võ Tòng</t>
  </si>
  <si>
    <t>Thửa 42, tờ 2</t>
  </si>
  <si>
    <t>Thửa 650, tờ 2</t>
  </si>
  <si>
    <t>Thửa 110, tờ 15</t>
  </si>
  <si>
    <t>Hoàng Công Khải</t>
  </si>
  <si>
    <t>Thửa 92, tờ 4</t>
  </si>
  <si>
    <t>Điểu Mai Pen</t>
  </si>
  <si>
    <t>Thửa 55, tờ 7</t>
  </si>
  <si>
    <t>Nguyễn Đức Toàn</t>
  </si>
  <si>
    <t>Thửa 87, tờ 2 (6 Cũ)</t>
  </si>
  <si>
    <t>Trần Thị Én</t>
  </si>
  <si>
    <t>Thửa 43, tờ 12</t>
  </si>
  <si>
    <t>Nguyễn Minh Hòa</t>
  </si>
  <si>
    <t>Thửa 38, tờ 4</t>
  </si>
  <si>
    <t>Đinh Văn Vương</t>
  </si>
  <si>
    <t>Thửa 2, tờ 23 (34 Cũ)</t>
  </si>
  <si>
    <t>Thửa 742, tờ 2</t>
  </si>
  <si>
    <t>Thửa 232, tờ 3</t>
  </si>
  <si>
    <t>Hoàng Thị Dâu</t>
  </si>
  <si>
    <t>Thửa 157, tờ 15</t>
  </si>
  <si>
    <t>Phạm Văn Lương</t>
  </si>
  <si>
    <t>Thửa 67, tờ 19 (30 Cũ)</t>
  </si>
  <si>
    <t>Đặng Thị Gái</t>
  </si>
  <si>
    <t>Thửa 176, tờ 4</t>
  </si>
  <si>
    <t>Trần Đình Chiến ĐSD 
Nguyễn Thị Mỹ Hồng</t>
  </si>
  <si>
    <t>Trần Quốc Toản</t>
  </si>
  <si>
    <t>Trần Quang Tấn</t>
  </si>
  <si>
    <t>Thửa 132, tờ 06</t>
  </si>
  <si>
    <t>Nguyễn Thị Xúy</t>
  </si>
  <si>
    <t>Thửa 43, tờ 23 (34 cũ)</t>
  </si>
  <si>
    <t>Đặng Thành Vinh</t>
  </si>
  <si>
    <t>Thửa 918, tờ 2</t>
  </si>
  <si>
    <t>Đỗ Văn Lanh</t>
  </si>
  <si>
    <t>Thửa 101, tờ 12 (22 cũ)</t>
  </si>
  <si>
    <t>Nguyễn Minh Châu</t>
  </si>
  <si>
    <t>Thửa 6, tờ 17</t>
  </si>
  <si>
    <t>Thửa 804, tờ 2</t>
  </si>
  <si>
    <t>Trịnh Văn Huân</t>
  </si>
  <si>
    <t>Thửa 32, tờ 20</t>
  </si>
  <si>
    <t>Nguyễn Văn Quí</t>
  </si>
  <si>
    <t>Thửa 199, tờ 4</t>
  </si>
  <si>
    <t>Lê Khắc Huấn</t>
  </si>
  <si>
    <t>Thửa 14, tờ 18 (29 cũ)</t>
  </si>
  <si>
    <t>Thửa 26, tờ 20</t>
  </si>
  <si>
    <t>Thửa 798, tờ 2</t>
  </si>
  <si>
    <t>Đặng Văn Lê</t>
  </si>
  <si>
    <t>Thửa 775, tờ 2</t>
  </si>
  <si>
    <t>Thửa 44, tờ 09</t>
  </si>
  <si>
    <t>Nguyễn Thị Thuần</t>
  </si>
  <si>
    <t>Thửa 78, tờ 09</t>
  </si>
  <si>
    <t>Nguyễn Trường Hải</t>
  </si>
  <si>
    <t>Thửa 101, tờ 15</t>
  </si>
  <si>
    <t>Thửa 149, tờ 03</t>
  </si>
  <si>
    <t>Đỗ Thị Hương</t>
  </si>
  <si>
    <t>Thửa 391, tờ 03</t>
  </si>
  <si>
    <t>Thửa 120, tờ 04</t>
  </si>
  <si>
    <t>Thửa 178, tờ 04</t>
  </si>
  <si>
    <t>Phạm Trọng Nghĩa</t>
  </si>
  <si>
    <t>Thửa 254, tờ 04</t>
  </si>
  <si>
    <t>Thửa 255, tờ 04</t>
  </si>
  <si>
    <t>Nguyễn Thị Hai</t>
  </si>
  <si>
    <t>Thửa 25, tờ 01</t>
  </si>
  <si>
    <t>Thửa 58, tờ 34</t>
  </si>
  <si>
    <t>Thửa 115, tờ 04</t>
  </si>
  <si>
    <t>Nguyễn Tiến Lợi</t>
  </si>
  <si>
    <t>Thửa 221, tờ 12</t>
  </si>
  <si>
    <t>Nguyễn Văn Là</t>
  </si>
  <si>
    <t>Nguyễn Văn Thực</t>
  </si>
  <si>
    <t>Thửa 322, tờ 03</t>
  </si>
  <si>
    <t>Nguyễn Thanh Tâm</t>
  </si>
  <si>
    <t>Thửa 406, tờ 03</t>
  </si>
  <si>
    <t>Nguyễn Dũng Thành</t>
  </si>
  <si>
    <t>Thửa 122, tờ 11</t>
  </si>
  <si>
    <t>Thị Mươi</t>
  </si>
  <si>
    <t>Thửa 110, tờ 21 (cũ)</t>
  </si>
  <si>
    <t>Thửa 208, tờ 21 (cũ)</t>
  </si>
  <si>
    <t>Đinh Văn Mạnh</t>
  </si>
  <si>
    <t>Thửa 148, tờ 09</t>
  </si>
  <si>
    <t>Cao Thị Thụy</t>
  </si>
  <si>
    <t>Thửa 625, tờ 02</t>
  </si>
  <si>
    <t>Nguyễn Văn Tư</t>
  </si>
  <si>
    <t>Thửa 315, tờ 06</t>
  </si>
  <si>
    <t>Lê Nguyễn Thùy Trang</t>
  </si>
  <si>
    <t>Thửa 810, tờ 02</t>
  </si>
  <si>
    <t>Thửa 926, tờ 02</t>
  </si>
  <si>
    <t>Nguyễn Thị Hiếu</t>
  </si>
  <si>
    <t>Thửa 924, tờ 02</t>
  </si>
  <si>
    <t>Đỗ Thị Hiền</t>
  </si>
  <si>
    <t>Thửa 247, tờ 23</t>
  </si>
  <si>
    <t>Thửa 28, tờ 12</t>
  </si>
  <si>
    <t>Thửa 594, tờ 2</t>
  </si>
  <si>
    <t>Lại Công Trường</t>
  </si>
  <si>
    <t>Thửa 563, tờ 2</t>
  </si>
  <si>
    <t>Thửa 89, tờ 2</t>
  </si>
  <si>
    <t>Chu Thị Sen</t>
  </si>
  <si>
    <t>Thửa 492, tờ 1</t>
  </si>
  <si>
    <t>Trần Trọng Kính</t>
  </si>
  <si>
    <t>Thửa 42, tờ 15 (26 Cũ)</t>
  </si>
  <si>
    <t>Thửa 25, tờ 15 (26 Cũ)</t>
  </si>
  <si>
    <t>Thửa 195, tờ 15</t>
  </si>
  <si>
    <t>Trần Đức Quý</t>
  </si>
  <si>
    <t>Thửa 153, tờ 15</t>
  </si>
  <si>
    <t>Hoàng Văn Dân</t>
  </si>
  <si>
    <t>Thửa 138, tờ 2</t>
  </si>
  <si>
    <t>Nguyễn Duy Viên</t>
  </si>
  <si>
    <t>Thửa 220, tờ 02 (06 cũ)</t>
  </si>
  <si>
    <t>Vũ Quốc Phóng</t>
  </si>
  <si>
    <t>Thửa 78, tờ 07 (16 cũ)</t>
  </si>
  <si>
    <t>Đỗ Thị Hoãn</t>
  </si>
  <si>
    <t>Thửa 252, tờ 13</t>
  </si>
  <si>
    <t>Vũ Ngân Hà</t>
  </si>
  <si>
    <t>Thửa 155, tờ 13</t>
  </si>
  <si>
    <t>Bùi Thị Nghị</t>
  </si>
  <si>
    <t>Nguyễn Văn Tưởng</t>
  </si>
  <si>
    <t>Thửa 4, tờ 35 cũ</t>
  </si>
  <si>
    <t>Đặng Ngọc Tuyết</t>
  </si>
  <si>
    <t>Thửa 773, tờ 2</t>
  </si>
  <si>
    <t>Trần Quốc Cường</t>
  </si>
  <si>
    <t>Hồng Thanh Sơn</t>
  </si>
  <si>
    <t>Thửa 30, tờ 23 (34 cũ)</t>
  </si>
  <si>
    <t>Chu Văn Trinh</t>
  </si>
  <si>
    <t>Thửa 8, tờ 15 (26 Cũ)</t>
  </si>
  <si>
    <t>Phạm Thị Lan</t>
  </si>
  <si>
    <t>Thửa 35, tờ 22</t>
  </si>
  <si>
    <t>Lê Văn Thong</t>
  </si>
  <si>
    <t>Thửa 98, tờ 2</t>
  </si>
  <si>
    <t>Cao Trọng Dung</t>
  </si>
  <si>
    <t>Thửa 2, tờ 326</t>
  </si>
  <si>
    <t>Nguyễn Văn Điệt</t>
  </si>
  <si>
    <t>Thửa 133, tờ 12</t>
  </si>
  <si>
    <t>Tạ Ngọc Sướng</t>
  </si>
  <si>
    <t>Thửa 143, tờ 15</t>
  </si>
  <si>
    <t>Lại Công Can</t>
  </si>
  <si>
    <t>Thửa 208, tờ 3</t>
  </si>
  <si>
    <t>Đoàn Quang Tĩnh</t>
  </si>
  <si>
    <t>Thửa 23, tờ 110</t>
  </si>
  <si>
    <t>Thửa 111, tờ 2</t>
  </si>
  <si>
    <t>Trần Thanh Ngọc</t>
  </si>
  <si>
    <t>Thửa 252, tờ 3</t>
  </si>
  <si>
    <t>Nguyễn Thị Tơ</t>
  </si>
  <si>
    <t>Thửa 431, tờ 3</t>
  </si>
  <si>
    <t>Thửa 251, tờ 4</t>
  </si>
  <si>
    <t>Nguyễn Thị Khánh</t>
  </si>
  <si>
    <t>Thửa 332, tờ 11</t>
  </si>
  <si>
    <t>Lê Văn Quang</t>
  </si>
  <si>
    <t>Thửa 616, tờ 2</t>
  </si>
  <si>
    <t>Thửa 586, tờ 2</t>
  </si>
  <si>
    <t>Vũ Đức Khuyến</t>
  </si>
  <si>
    <t>Thửa 206, tờ 12</t>
  </si>
  <si>
    <t>Lê Văn Oánh</t>
  </si>
  <si>
    <t>Thửa 222, tờ 23</t>
  </si>
  <si>
    <t>Thửa 142, tờ 15</t>
  </si>
  <si>
    <t>Phạm Ngọc Long</t>
  </si>
  <si>
    <t>Thửa 57, tờ 13</t>
  </si>
  <si>
    <t>Thửa 92, tờ 13</t>
  </si>
  <si>
    <t>Thửa 396, tờ 13</t>
  </si>
  <si>
    <t>Lê Thanh Định</t>
  </si>
  <si>
    <t>Thửa 350, tờ 2</t>
  </si>
  <si>
    <t>Nguyễn Văn Hướng</t>
  </si>
  <si>
    <t>Nguyễn Văn Quyền</t>
  </si>
  <si>
    <t>Thửa 160, tờ 13</t>
  </si>
  <si>
    <t>Thửa 154, tờ 9</t>
  </si>
  <si>
    <t>Thửa 924, tờ 2</t>
  </si>
  <si>
    <t>Trần Thị Mỹ Phương</t>
  </si>
  <si>
    <t>Thửa 1123, tờ 2</t>
  </si>
  <si>
    <t>Võ Thị Trái</t>
  </si>
  <si>
    <t>Thửa 99, tờ 15 (26 Cũ)</t>
  </si>
  <si>
    <t>Thị Ghét</t>
  </si>
  <si>
    <t>Thửa 229, tờ 9</t>
  </si>
  <si>
    <t>Phạm Văn Duyên</t>
  </si>
  <si>
    <t>Thửa 149, tờ 02 (06 cũ)</t>
  </si>
  <si>
    <t>Phạm Thị Thắm</t>
  </si>
  <si>
    <t>Thửa 2, tờ 3</t>
  </si>
  <si>
    <t>Hồ Thị Mơ</t>
  </si>
  <si>
    <t>Thửa 32, tờ 15</t>
  </si>
  <si>
    <t>Đỗ Đức Hùng</t>
  </si>
  <si>
    <t>Thửa 136, tờ 20</t>
  </si>
  <si>
    <t>Trịnh Thị Nhí</t>
  </si>
  <si>
    <t>Thửa 196, tờ 4</t>
  </si>
  <si>
    <t>Nguyễn Khắc Vân</t>
  </si>
  <si>
    <t>Thửa 253, tờ 4</t>
  </si>
  <si>
    <t>Thửa 252, tờ 4</t>
  </si>
  <si>
    <t>Thửa 55, tờ 03 (07 cũ)</t>
  </si>
  <si>
    <t>Thửa 330, tờ 03 (07 cũ)</t>
  </si>
  <si>
    <t>Thửa 328, tờ 03 (07 cũ)</t>
  </si>
  <si>
    <t>Nguyễn Văn Ruân</t>
  </si>
  <si>
    <t>Thửa 32, tờ 3</t>
  </si>
  <si>
    <t>Trần Văn Thìn</t>
  </si>
  <si>
    <t>Thửa 1179, tờ 2</t>
  </si>
  <si>
    <t>Đặng Văn Hùng</t>
  </si>
  <si>
    <t>Thửa 1180, tờ 2</t>
  </si>
  <si>
    <t>Đặng Thị Lanh</t>
  </si>
  <si>
    <t>Vũ Thị Vân</t>
  </si>
  <si>
    <t>Thửa 60, tờ 13</t>
  </si>
  <si>
    <t>Thửa 59, tờ 23</t>
  </si>
  <si>
    <t>Chu Thị Nghĩa</t>
  </si>
  <si>
    <t>Nguyễn Văn Hoa</t>
  </si>
  <si>
    <t>Thửa 16, tờ 23</t>
  </si>
  <si>
    <t>Trần Thị Liên</t>
  </si>
  <si>
    <t>Thửa 113, tờ 06</t>
  </si>
  <si>
    <t>Trần Tôn Sinh</t>
  </si>
  <si>
    <t>Thửa 384, tờ 03</t>
  </si>
  <si>
    <t>Nguyễn Đình Vinh</t>
  </si>
  <si>
    <t>Thửa 1181, tờ 02</t>
  </si>
  <si>
    <t>Thửa 918, tờ 02</t>
  </si>
  <si>
    <t>Trần Văn Tá</t>
  </si>
  <si>
    <t>Thửa 338, tờ 03</t>
  </si>
  <si>
    <t>Đã chuyển 5.550m²</t>
  </si>
  <si>
    <t>Thửa 55, tờ 34</t>
  </si>
  <si>
    <t>Thửa 248, tờ 04</t>
  </si>
  <si>
    <t>Nguyễn Văn Hiến</t>
  </si>
  <si>
    <t>Vũ Quốc Phượng</t>
  </si>
  <si>
    <t>Thửa 61, tờ 03</t>
  </si>
  <si>
    <t>Đỗ Văn Tuyên</t>
  </si>
  <si>
    <t>Thửa 919, tờ 02</t>
  </si>
  <si>
    <t>Lê Ngọc Sang</t>
  </si>
  <si>
    <t>Thửa 339, tờ 07</t>
  </si>
  <si>
    <t>Trương Thị Vảng</t>
  </si>
  <si>
    <t>Thửa 172, tờ 06</t>
  </si>
  <si>
    <t>Lê Hồng Thái</t>
  </si>
  <si>
    <t>Trịnh Văn Mạnh</t>
  </si>
  <si>
    <t>Thửa 481, tờ 3</t>
  </si>
  <si>
    <t>Thửa 322, tờ 3</t>
  </si>
  <si>
    <t>Thửa 176, tờ 20</t>
  </si>
  <si>
    <t>Đặng Văn Thục</t>
  </si>
  <si>
    <t>Thửa 179, tờ 15</t>
  </si>
  <si>
    <t>Thửa 467, tờ 3</t>
  </si>
  <si>
    <t>Thửa 85, tờ 09 cũ (04 mới)</t>
  </si>
  <si>
    <t>Nguyễn Bá Nga</t>
  </si>
  <si>
    <t>Thửa 84, tờ 4</t>
  </si>
  <si>
    <t>Thửa 482, tờ 3</t>
  </si>
  <si>
    <t>Ngô Văn Dũng</t>
  </si>
  <si>
    <t>Thửa 98, tờ 09 cũ (04 mới)</t>
  </si>
  <si>
    <t>Đinh Văn Bình</t>
  </si>
  <si>
    <t>Thửa 244, tờ 07 cũ (03 mới)</t>
  </si>
  <si>
    <t>Phan Văn Thử</t>
  </si>
  <si>
    <t>Thửa 28, tờ 07 cũ (03 mới)</t>
  </si>
  <si>
    <t>Thửa 220, tờ 07 cũ (03 mới)</t>
  </si>
  <si>
    <t>Thửa 349, tờ 06 cũ (02 mới)</t>
  </si>
  <si>
    <t>Thửa 483, tờ 3</t>
  </si>
  <si>
    <t>Thửa 246, tờ 4</t>
  </si>
  <si>
    <t>Đỗ Thị Hợp</t>
  </si>
  <si>
    <t>Thửa 73, tờ 20</t>
  </si>
  <si>
    <t>Thửa 72, tờ 31 cũ (20 mới)</t>
  </si>
  <si>
    <t>Thửa 484, tờ 3</t>
  </si>
  <si>
    <t>Đinh Văn Tư</t>
  </si>
  <si>
    <t>Thửa 311, tờ 11</t>
  </si>
  <si>
    <t>Cao Tuấn Nam</t>
  </si>
  <si>
    <t>Thửa 405, tờ 3</t>
  </si>
  <si>
    <t>Thửa 386, tờ 3</t>
  </si>
  <si>
    <t>Thửa 471, tờ 3</t>
  </si>
  <si>
    <t>Nguyễn Văn Mưu</t>
  </si>
  <si>
    <t>Thửa 318, tờ 07 cũ (03 mới)</t>
  </si>
  <si>
    <t>Phạm Thị Huyền</t>
  </si>
  <si>
    <t>Thửa 63, tờ 8</t>
  </si>
  <si>
    <t>Phạm Quang Hưng</t>
  </si>
  <si>
    <t>Phạm Song Hào</t>
  </si>
  <si>
    <t>Thửa 73, tờ 5</t>
  </si>
  <si>
    <t>Thửa 470, tờ 3</t>
  </si>
  <si>
    <t>Hoàng Trung Kiên</t>
  </si>
  <si>
    <t>Thửa 52, tờ 22</t>
  </si>
  <si>
    <t>Vũ Xuân Hòa</t>
  </si>
  <si>
    <t>Thửa 849, tờ 2</t>
  </si>
  <si>
    <t>Trịnh Văn Nhạc</t>
  </si>
  <si>
    <t>Thửa 49, tờ 34 cũ (23 mới)</t>
  </si>
  <si>
    <t>Thửa 469, tờ 3</t>
  </si>
  <si>
    <t>Thửa 31, tờ 34 cũ (23 mới)</t>
  </si>
  <si>
    <t>Hoàng Quốc Tịch</t>
  </si>
  <si>
    <t>Thửa 184, tờ 06 cũ (02 mới)</t>
  </si>
  <si>
    <t>Thửa 128, tờ 3</t>
  </si>
  <si>
    <t>Thửa 127, tờ 3</t>
  </si>
  <si>
    <t>Thửa 468, tờ 3</t>
  </si>
  <si>
    <t>Đỗ Thị Thu Thùy</t>
  </si>
  <si>
    <t>Thửa 844, tờ 2</t>
  </si>
  <si>
    <t>Nguyễn Minh Lý</t>
  </si>
  <si>
    <t>Thửa 156, tờ 21 cũ (11 mới)</t>
  </si>
  <si>
    <t>Thửa 249, tờ 12</t>
  </si>
  <si>
    <t>Lê Văn Chuông</t>
  </si>
  <si>
    <t>Thửa 13, tờ 07 cũ (03 mới)</t>
  </si>
  <si>
    <t>Thửa 466, tờ 3</t>
  </si>
  <si>
    <t>Trần Đại Nghĩa</t>
  </si>
  <si>
    <t>Thửa 237, tờ 23</t>
  </si>
  <si>
    <t>Trương Thị Phương</t>
  </si>
  <si>
    <t>Thửa 58, tờ 21</t>
  </si>
  <si>
    <t>Thửa 56, tờ 21</t>
  </si>
  <si>
    <t>Thửa 257, tờ 4</t>
  </si>
  <si>
    <t>Thửa 259, tờ 4</t>
  </si>
  <si>
    <t>Lê Khắc Duẩn</t>
  </si>
  <si>
    <t>Thửa 424, tờ 06</t>
  </si>
  <si>
    <t>Nguyễn Đức Tuấn</t>
  </si>
  <si>
    <t>Thửa 155, tờ 02 (06 cũ)</t>
  </si>
  <si>
    <t>Phạm Quốc Huy</t>
  </si>
  <si>
    <t>Thửa 272, tờ 12</t>
  </si>
  <si>
    <t>Thửa 273, tờ 12</t>
  </si>
  <si>
    <t>Thửa 274, tờ 12</t>
  </si>
  <si>
    <t>Thửa 275, tờ 12</t>
  </si>
  <si>
    <t>Thửa 276, tờ 12</t>
  </si>
  <si>
    <t>Thửa 277, tờ 12</t>
  </si>
  <si>
    <t>Thửa 278, tờ 12</t>
  </si>
  <si>
    <t>Thửa 279, tờ 12</t>
  </si>
  <si>
    <t>Thửa 280, tờ 12</t>
  </si>
  <si>
    <t>Thửa 281, tờ 12</t>
  </si>
  <si>
    <t>Thửa 282, tờ 12</t>
  </si>
  <si>
    <t>Thửa 283, tờ 12</t>
  </si>
  <si>
    <t>Thửa 101, tờ 22 (12 mới)</t>
  </si>
  <si>
    <t>Thửa 1398, tờ 2</t>
  </si>
  <si>
    <t>Nguyễn Kim Vương</t>
  </si>
  <si>
    <t>Thửa 133, tờ 15</t>
  </si>
  <si>
    <t>Phạm Nguyễn Thái</t>
  </si>
  <si>
    <t>Thửa 109, tờ 12</t>
  </si>
  <si>
    <t>Thửa 583, tờ 6</t>
  </si>
  <si>
    <t>Thửa 582, tờ 6</t>
  </si>
  <si>
    <t>Thửa 17, tờ 26 (15 mới)</t>
  </si>
  <si>
    <t>Nguyễn Thị Ngọc Tuyết</t>
  </si>
  <si>
    <t>Phạm Thị Hòa</t>
  </si>
  <si>
    <t>Thửa 1496, tờ 2</t>
  </si>
  <si>
    <t>Bùi Ngọc Duyên</t>
  </si>
  <si>
    <t>Thửa 46, tờ 01</t>
  </si>
  <si>
    <t>Đặng Văn Lịch</t>
  </si>
  <si>
    <t>Thửa 97, tờ 06</t>
  </si>
  <si>
    <t>Thửa 1493, tờ 02</t>
  </si>
  <si>
    <t>Vương Thị Đài</t>
  </si>
  <si>
    <t>Thửa 1494, tờ 02</t>
  </si>
  <si>
    <t>Thửa 140, tờ 14</t>
  </si>
  <si>
    <t>Trần Đức Thái</t>
  </si>
  <si>
    <t>Thửa 199, tờ 15</t>
  </si>
  <si>
    <t>Thửa 1114, tờ 02</t>
  </si>
  <si>
    <t>Thửa 1113, tờ 02</t>
  </si>
  <si>
    <t>Thửa 1112, tờ 02</t>
  </si>
  <si>
    <t>Thửa 928, tờ 02</t>
  </si>
  <si>
    <t>Thửa 929, tờ 02</t>
  </si>
  <si>
    <t>Thửa 164, tờ 18</t>
  </si>
  <si>
    <t>Lê Thị Ngà</t>
  </si>
  <si>
    <t>Thửa 923, tờ 02</t>
  </si>
  <si>
    <t>Thửa 72, tờ 02</t>
  </si>
  <si>
    <t>Thửa 749, tờ 02</t>
  </si>
  <si>
    <t xml:space="preserve"> </t>
  </si>
  <si>
    <t>Nguyễn Văn Tư</t>
  </si>
  <si>
    <t>Thửa 270, tờ 23</t>
  </si>
  <si>
    <t>Cao Văn Thành</t>
  </si>
  <si>
    <t>Thửa 381, tờ 22</t>
  </si>
  <si>
    <t>Trần Quang Cường</t>
  </si>
  <si>
    <t>Thửa 154, tờ 09</t>
  </si>
  <si>
    <t>Thửa 131, tờ 04</t>
  </si>
  <si>
    <t>Thị Nhị</t>
  </si>
  <si>
    <t>Thửa 1170, tờ 2</t>
  </si>
  <si>
    <t>Thửa 1162, tờ 2</t>
  </si>
  <si>
    <t>Thửa 1163, tờ 2</t>
  </si>
  <si>
    <t>Thửa 1164, tờ 2</t>
  </si>
  <si>
    <t>Thửa 1205, tờ 2</t>
  </si>
  <si>
    <t>Thửa 341, tờ 4</t>
  </si>
  <si>
    <t>Thửa 40, tờ 15</t>
  </si>
  <si>
    <t>Nguyễn Minh Phụng</t>
  </si>
  <si>
    <t>Thửa 392, tờ 3</t>
  </si>
  <si>
    <t>Thửa 203, tờ 15</t>
  </si>
  <si>
    <t>Thửa 204, tờ 15</t>
  </si>
  <si>
    <t>Thửa 202, tờ 15</t>
  </si>
  <si>
    <t>Trần Cảnh Trí</t>
  </si>
  <si>
    <t>Thửa 273, tờ 23</t>
  </si>
  <si>
    <t>Hoàng Văn Đóa</t>
  </si>
  <si>
    <t>Thửa 66, tờ 14 (25 cũ)</t>
  </si>
  <si>
    <t>Ngô Bá Quy</t>
  </si>
  <si>
    <t>Mai Thị An</t>
  </si>
  <si>
    <t>XII</t>
  </si>
  <si>
    <t>Trần Bá Khán</t>
  </si>
  <si>
    <t>Thửa 365, tờ 10</t>
  </si>
  <si>
    <t>Bùi Minh Quang</t>
  </si>
  <si>
    <t>Thửa 68, tờ 28</t>
  </si>
  <si>
    <t>Thửa 54, tờ 37</t>
  </si>
  <si>
    <t>Văn Thị Xuân 
Phương</t>
  </si>
  <si>
    <t>Thửa 462, tờ 36</t>
  </si>
  <si>
    <t>Thửa 39, tờ 25</t>
  </si>
  <si>
    <t>Lê Duy Lâm</t>
  </si>
  <si>
    <t>Thửa 202, tờ 33</t>
  </si>
  <si>
    <t>Trương Công Hòa</t>
  </si>
  <si>
    <t>Thửa 194, tờ 30</t>
  </si>
  <si>
    <t>Thửa 98, tờ 25</t>
  </si>
  <si>
    <t>Nguyễn Hồng Hiển</t>
  </si>
  <si>
    <t>Thửa 429, tờ 04</t>
  </si>
  <si>
    <t>Phạm Xuân Long</t>
  </si>
  <si>
    <t>Thửa 610, tờ 25</t>
  </si>
  <si>
    <t>Đỗ Đức Tĩnh</t>
  </si>
  <si>
    <t>Thửa 79, tờ 20</t>
  </si>
  <si>
    <t>Nguyễn Văn Sàm</t>
  </si>
  <si>
    <t>Thửa 137, tờ 33</t>
  </si>
  <si>
    <t>Nguyễn Thanh Tiệp</t>
  </si>
  <si>
    <t>Thửa 67, tờ 33</t>
  </si>
  <si>
    <t>Nguyễn Minh Trung</t>
  </si>
  <si>
    <t>Thửa 03, tờ 36</t>
  </si>
  <si>
    <t>Phạm Thành Qúy</t>
  </si>
  <si>
    <t>Thửa 201, tờ 33</t>
  </si>
  <si>
    <t>Phạm Thị Xuân</t>
  </si>
  <si>
    <t>Thửa 207, tờ 33</t>
  </si>
  <si>
    <t>Trần Phi Hùng</t>
  </si>
  <si>
    <t>Thửa 329, tờ 11</t>
  </si>
  <si>
    <t>Nguyễn Sỹ Khanh</t>
  </si>
  <si>
    <t>Thửa 24, tờ 37</t>
  </si>
  <si>
    <t>Hoàng Anh</t>
  </si>
  <si>
    <t>Thửa 291, tờ 42</t>
  </si>
  <si>
    <t>Lại Thị Hòa</t>
  </si>
  <si>
    <t>Thửa 521, tờ 04</t>
  </si>
  <si>
    <t>Nguyễn Hoàng Hảo</t>
  </si>
  <si>
    <t>Thửa 328, tờ 11</t>
  </si>
  <si>
    <t>Nguyễn Thành</t>
  </si>
  <si>
    <t>Thửa 01, tờ 36</t>
  </si>
  <si>
    <t>Nguyễn Đức Trung</t>
  </si>
  <si>
    <t>Thửa157, tờ42</t>
  </si>
  <si>
    <t>Cao Thị Thuyết</t>
  </si>
  <si>
    <t>Thửa 291, tờ 36</t>
  </si>
  <si>
    <t>Đặng Thanh Hải</t>
  </si>
  <si>
    <t>Thửa 129, tờ 10</t>
  </si>
  <si>
    <t>Thửa 143, tờ 10</t>
  </si>
  <si>
    <t>Nguyễn Phú Bình</t>
  </si>
  <si>
    <t>Thửa 174, tờ 19</t>
  </si>
  <si>
    <t>Phạm Thị Nghị</t>
  </si>
  <si>
    <t>Thửa 447, tờ 4</t>
  </si>
  <si>
    <t>Nguyễn Văn Tiếp</t>
  </si>
  <si>
    <t>Thửa 359, tờ 42</t>
  </si>
  <si>
    <t>Tạ Thị Lệ Hằng</t>
  </si>
  <si>
    <t>Thửa 324, tờ 28</t>
  </si>
  <si>
    <t>Cao Khắc Thời</t>
  </si>
  <si>
    <t>Thửa 38, tờ 08</t>
  </si>
  <si>
    <t>Tạ Mạnh Tiến</t>
  </si>
  <si>
    <t>Thửa 420, tờ 28</t>
  </si>
  <si>
    <t>Thửa 96, tờ 13</t>
  </si>
  <si>
    <t>Đào Bá Huấn</t>
  </si>
  <si>
    <t>Thửa 439, tờ 04</t>
  </si>
  <si>
    <t>Nguyễn Văn Sáng</t>
  </si>
  <si>
    <t>Thửa 366, tờ 42</t>
  </si>
  <si>
    <t>Đỗ Thị Oanh</t>
  </si>
  <si>
    <t>Thửa 683, tờ 25</t>
  </si>
  <si>
    <t>Trần Thị Dần</t>
  </si>
  <si>
    <t>Thửa 686, tờ 25</t>
  </si>
  <si>
    <t>Lý Quyền</t>
  </si>
  <si>
    <t>Thửa 80, tờ 34</t>
  </si>
  <si>
    <t>Vũ Đức Hồng</t>
  </si>
  <si>
    <t>Thửa 340, tờ 28</t>
  </si>
  <si>
    <t>Hồ Tấn Cảnh</t>
  </si>
  <si>
    <t>Thửa 85, tờ 24</t>
  </si>
  <si>
    <t>Nguyễn Thành Trí</t>
  </si>
  <si>
    <t>Thửa 143, tờ 36</t>
  </si>
  <si>
    <t>Thửa 220, tờ 04</t>
  </si>
  <si>
    <t>Mai Thị Thơ</t>
  </si>
  <si>
    <t>Thửa 397, tờ 04</t>
  </si>
  <si>
    <t>Đặng Hoàng Nhân</t>
  </si>
  <si>
    <t>Thửa 507, tờ 05</t>
  </si>
  <si>
    <t>Phạm Ngọc Phụng</t>
  </si>
  <si>
    <t>Thửa 441, tờ 28</t>
  </si>
  <si>
    <t>Trần Xuân Mạnh</t>
  </si>
  <si>
    <t>Thửa 109, tờ 33</t>
  </si>
  <si>
    <t>Nguyễn Cao Kỳ</t>
  </si>
  <si>
    <t>Thửa 457, tờ 04</t>
  </si>
  <si>
    <t>Lại Thị Dân</t>
  </si>
  <si>
    <t>Ngô Thị Nhiệm</t>
  </si>
  <si>
    <t>Thửa 198, tờ 25</t>
  </si>
  <si>
    <t>Trần Ngọc Việt</t>
  </si>
  <si>
    <t>Thửa 50, tờ 21</t>
  </si>
  <si>
    <t>Ứng Thị Ngân Hoàn</t>
  </si>
  <si>
    <t>Thửa 160, tờ 42</t>
  </si>
  <si>
    <t>Thửa 16, tờ 37</t>
  </si>
  <si>
    <t>Phạm Thị Bích</t>
  </si>
  <si>
    <t>Thửa 669, tờ 25</t>
  </si>
  <si>
    <t>Hoàng Minh Hải</t>
  </si>
  <si>
    <t>Thửa 475, tờ 36</t>
  </si>
  <si>
    <t>Thửa 126, tờ 33</t>
  </si>
  <si>
    <t>Lê Văn Đua</t>
  </si>
  <si>
    <t>Thửa 483, tờ 28</t>
  </si>
  <si>
    <t>Nguyễn Thị Thu Ba</t>
  </si>
  <si>
    <t>Thửa 77, tờ 11</t>
  </si>
  <si>
    <t>Thửa 179, tờ 19</t>
  </si>
  <si>
    <t>Nguyễn Thùy Hương</t>
  </si>
  <si>
    <t>Thửa 178, tờ 19</t>
  </si>
  <si>
    <t>Thửa 469, tờ 36</t>
  </si>
  <si>
    <t>Đinh Văn Tỉnh</t>
  </si>
  <si>
    <t>Thửa 687, tờ 25</t>
  </si>
  <si>
    <t>Trần Thị Út</t>
  </si>
  <si>
    <t>Thửa 09, tờ 22</t>
  </si>
  <si>
    <t>Nguyễn Thị Lai</t>
  </si>
  <si>
    <t>Thửa 187, tờ 04</t>
  </si>
  <si>
    <t>Nguyễn Hải Tần</t>
  </si>
  <si>
    <t>Thửa 45, tờ 08</t>
  </si>
  <si>
    <t>Mai Văn Thống</t>
  </si>
  <si>
    <t>Thửa 148, tờ 10</t>
  </si>
  <si>
    <t>Hoàng Thị Hưng</t>
  </si>
  <si>
    <t>Thửa 27, tờ 38</t>
  </si>
  <si>
    <t>Thửa 92, tờ 29</t>
  </si>
  <si>
    <t>Thửa 79, tờ 05</t>
  </si>
  <si>
    <t>Nguyễn Đình Dần</t>
  </si>
  <si>
    <t>Thửa 73, tờ 04</t>
  </si>
  <si>
    <t>Nguyễn Đức Lợi</t>
  </si>
  <si>
    <t>Thửa 133, tờ 05</t>
  </si>
  <si>
    <t>Lê Văn Thìn</t>
  </si>
  <si>
    <t>Hồ Thị Tuyết Mai</t>
  </si>
  <si>
    <t>Thửa 123, tờ 42</t>
  </si>
  <si>
    <t>Lê Văn Hiệu</t>
  </si>
  <si>
    <t>Thửa 65, tờ 13</t>
  </si>
  <si>
    <t>Trần Kim Tuyến</t>
  </si>
  <si>
    <t>Thửa 421, tờ 42</t>
  </si>
  <si>
    <t>Ngô Thế Hiệp</t>
  </si>
  <si>
    <t>Thửa 329, tờ 4</t>
  </si>
  <si>
    <t>Phan Minh Thắng</t>
  </si>
  <si>
    <t>Thửa 11, tờ 15</t>
  </si>
  <si>
    <t>Nguyễn Thành Quốc</t>
  </si>
  <si>
    <t>Thửa 232, tờ 36</t>
  </si>
  <si>
    <t>Đỗ Thị Kim Tuyến</t>
  </si>
  <si>
    <t>Thửa 408, tờ 28</t>
  </si>
  <si>
    <t>Trần Thành Công</t>
  </si>
  <si>
    <t>Thửa 332, tờ 4</t>
  </si>
  <si>
    <t>Trần Trí Nhân</t>
  </si>
  <si>
    <t>Thửa 118, tờ 32</t>
  </si>
  <si>
    <t>Dương Hoàng Nghĩa</t>
  </si>
  <si>
    <t>Thửa 145, tờ 11</t>
  </si>
  <si>
    <t>Thửa 518, tờ 4</t>
  </si>
  <si>
    <t>Phan Minh Đấu</t>
  </si>
  <si>
    <t>Thửa 27, tờ 10</t>
  </si>
  <si>
    <t>Nguyễn Thị Kim Hường</t>
  </si>
  <si>
    <t>Thửa 99, tờ 13</t>
  </si>
  <si>
    <t>Lê Thế Tâm</t>
  </si>
  <si>
    <t>Thửa 348, tờ 4</t>
  </si>
  <si>
    <t>Nguyễn Công Tất</t>
  </si>
  <si>
    <t>Thửa 329, tờ 32</t>
  </si>
  <si>
    <t>Nguyễn Văn Toán</t>
  </si>
  <si>
    <t>Thửa 372, tờ 11</t>
  </si>
  <si>
    <t>Vũ Trọng Tình</t>
  </si>
  <si>
    <t>Thửa 70, tờ 30</t>
  </si>
  <si>
    <t>Lê Văn Hồng</t>
  </si>
  <si>
    <t>Thửa 479, tờ 4</t>
  </si>
  <si>
    <t>Lưu Thị Cẩm Tú</t>
  </si>
  <si>
    <t>Thửa 386, tờ 42</t>
  </si>
  <si>
    <t>Nguyễn Thị Kim Hậu</t>
  </si>
  <si>
    <t>Thửa 353, tờ 42</t>
  </si>
  <si>
    <t>Trần Thị Bình</t>
  </si>
  <si>
    <t>Thửa 602, tờ 25</t>
  </si>
  <si>
    <t>Hoàng Thị Tuyển</t>
  </si>
  <si>
    <t>Thửa 384, tờ 42</t>
  </si>
  <si>
    <t>Thửa 472, tờ 28</t>
  </si>
  <si>
    <t>Thửa 496, tờ 28</t>
  </si>
  <si>
    <t>Vũ Minh Hiếu</t>
  </si>
  <si>
    <t>Thửa 52, tờ 28</t>
  </si>
  <si>
    <t>Huỳnh Thị Tuyết Mai</t>
  </si>
  <si>
    <t>Võ Ngọc Ánh</t>
  </si>
  <si>
    <t>Thửa 441, tờ 36</t>
  </si>
  <si>
    <t>Đỗ Hoàng Sơn</t>
  </si>
  <si>
    <t>Thửa 266, tờ 25</t>
  </si>
  <si>
    <t>Lê Thị Thủy</t>
  </si>
  <si>
    <t>Thửa 416, tờ 4</t>
  </si>
  <si>
    <t>Nguyễn Thị Hảo</t>
  </si>
  <si>
    <t>Thửa 85, tờ 40</t>
  </si>
  <si>
    <t>Trần Văn Lên</t>
  </si>
  <si>
    <t>Thửa 135, tờ 4</t>
  </si>
  <si>
    <t>Trịnh Công Thương</t>
  </si>
  <si>
    <t>Thửa 100, tờ 7</t>
  </si>
  <si>
    <t>Điểu Múp</t>
  </si>
  <si>
    <t>Thửa 131, tờ 19</t>
  </si>
  <si>
    <t>Thửa 50, tờ 33</t>
  </si>
  <si>
    <t>Lê Phước Thành</t>
  </si>
  <si>
    <t>Nguyễn Thị Linh</t>
  </si>
  <si>
    <t>Thửa 365, tờ 42</t>
  </si>
  <si>
    <t>Nguyễn Minh Khải</t>
  </si>
  <si>
    <t>Thửa 521, tờ 4</t>
  </si>
  <si>
    <t>Trần Công Ly</t>
  </si>
  <si>
    <t>Thửa 182, tờ 33</t>
  </si>
  <si>
    <t>Nguyễn Văn Láng</t>
  </si>
  <si>
    <t>Thửa 506, tờ 4</t>
  </si>
  <si>
    <t>Dương Văn Hai</t>
  </si>
  <si>
    <t>Thửa 52, tờ 21</t>
  </si>
  <si>
    <t>Vũ Văn Trường</t>
  </si>
  <si>
    <t>Thửa 239, tờ 4</t>
  </si>
  <si>
    <t>Nguyễn Văn Khuể</t>
  </si>
  <si>
    <t>Thửa 228, tờ 28</t>
  </si>
  <si>
    <t>Phương Công Cử</t>
  </si>
  <si>
    <t>Thửa 447, tờ 25</t>
  </si>
  <si>
    <t>Hà Thị Huế</t>
  </si>
  <si>
    <t>Thửa 4, tờ 19</t>
  </si>
  <si>
    <t>Thửa 126, tờ 30</t>
  </si>
  <si>
    <t>Nguyễn Văn Giáp</t>
  </si>
  <si>
    <t>Thửa 196, tờ 10</t>
  </si>
  <si>
    <t>Trần Thị Loan</t>
  </si>
  <si>
    <t>Thửa 119, tờ 36</t>
  </si>
  <si>
    <t>Thửa 120, tờ 36</t>
  </si>
  <si>
    <t>Nguyễn Trọng Hoa</t>
  </si>
  <si>
    <t>Thửa 353, tờ 4</t>
  </si>
  <si>
    <t>Nguyễn Thị Thanh Thúy</t>
  </si>
  <si>
    <t>Thửa 9, tờ 22</t>
  </si>
  <si>
    <t>Bùi Văn Nghị</t>
  </si>
  <si>
    <t>Thửa 225, tờ 42</t>
  </si>
  <si>
    <t>Nguyễn Thị Anh</t>
  </si>
  <si>
    <t>Thửa 451, tờ 28</t>
  </si>
  <si>
    <t>Nguyễn Văn Kiều</t>
  </si>
  <si>
    <t>Thửa 563, tờ 25</t>
  </si>
  <si>
    <t>Nguyễn Chí Công</t>
  </si>
  <si>
    <t>Thửa 135, tờ 30</t>
  </si>
  <si>
    <t>Lê Viết Hùng</t>
  </si>
  <si>
    <t>Thửa 315, tờ 25</t>
  </si>
  <si>
    <t>Nguyễn Thị Nhớ</t>
  </si>
  <si>
    <t>Thửa 29, tờ 35</t>
  </si>
  <si>
    <t>Nguyễn Văn On</t>
  </si>
  <si>
    <t>Thửa 422, tờ 28</t>
  </si>
  <si>
    <t>Thửa 459, tờ 28</t>
  </si>
  <si>
    <t>Thửa 54, tờ 38</t>
  </si>
  <si>
    <t>Nguyễn Thị Thùy Trang
ĐSD Nguyễn Thị Mỹ Diệu</t>
  </si>
  <si>
    <t>Trần Thanh Tuấn</t>
  </si>
  <si>
    <t>Thửa 05, tờ 15</t>
  </si>
  <si>
    <t>Đỗ Đức Tý</t>
  </si>
  <si>
    <t>Thửa 04, tờ 19</t>
  </si>
  <si>
    <t>Nguyễn Thị Xuân</t>
  </si>
  <si>
    <t>Thửa 485, tờ 36</t>
  </si>
  <si>
    <t>Thửa 463, tờ 04</t>
  </si>
  <si>
    <t>Nguyễn Thị Đào</t>
  </si>
  <si>
    <t>Thửa 208, tờ 33</t>
  </si>
  <si>
    <t>Thửa 547, tờ 42</t>
  </si>
  <si>
    <t>Thửa 548, tờ 42</t>
  </si>
  <si>
    <t>Thửa 549, tờ 42</t>
  </si>
  <si>
    <t>Thửa 550, tờ 42</t>
  </si>
  <si>
    <t>Thửa 551, tờ 42</t>
  </si>
  <si>
    <t>Hồng Quốc Thắng</t>
  </si>
  <si>
    <t>Nguyễn Xuân Hòa</t>
  </si>
  <si>
    <t>Thửa 705, tờ 25</t>
  </si>
  <si>
    <t>Thửa 73, tờ 36</t>
  </si>
  <si>
    <t>Mai Xuân Tứ</t>
  </si>
  <si>
    <t>Thửa 280, tờ 36</t>
  </si>
  <si>
    <t>Lê Xuân</t>
  </si>
  <si>
    <t>Thửa 98, tờ 15</t>
  </si>
  <si>
    <t>Lê Đức Hoan</t>
  </si>
  <si>
    <t>Thửa 187, tờ 33</t>
  </si>
  <si>
    <t>Thửa 316, tờ 28</t>
  </si>
  <si>
    <t>Nguyễn Ngọc Phương</t>
  </si>
  <si>
    <t>Nguyễn Văn Liêm</t>
  </si>
  <si>
    <t>Thửa 354, tờ 42</t>
  </si>
  <si>
    <t>Hà Đăng Yến</t>
  </si>
  <si>
    <t>Thửa 330, tờ 32</t>
  </si>
  <si>
    <t>Hồ Xuân Thắng</t>
  </si>
  <si>
    <t>Thửa 324, tờ 42</t>
  </si>
  <si>
    <t>Trần Văn Tuấn</t>
  </si>
  <si>
    <t>Thửa 436, tờ 28</t>
  </si>
  <si>
    <t>Thửa 41, tờ 31</t>
  </si>
  <si>
    <t>Thửa 72, tờ 13</t>
  </si>
  <si>
    <t>Nguyễn Vũ Trường</t>
  </si>
  <si>
    <t>Thửa 329, tờ 42</t>
  </si>
  <si>
    <t>Nguyễn Thị Xuân Dung</t>
  </si>
  <si>
    <t>Thửa 356, tờ 42</t>
  </si>
  <si>
    <t>Đỗ Thanh Hòa</t>
  </si>
  <si>
    <t>Thửa 189, tờ 42</t>
  </si>
  <si>
    <t>Dương Văn Công</t>
  </si>
  <si>
    <t>Thửa 210, tờ 25</t>
  </si>
  <si>
    <t>Cao Tiến Long</t>
  </si>
  <si>
    <t>Thửa 18, tờ 8</t>
  </si>
  <si>
    <t>Huỳnh Thị Nơi</t>
  </si>
  <si>
    <t>Thửa 11, tờ 22</t>
  </si>
  <si>
    <t>Trần Văn Tứ</t>
  </si>
  <si>
    <t>Thửa 227, tờ 28</t>
  </si>
  <si>
    <t>Phan Hoàng Hùng</t>
  </si>
  <si>
    <t>Thửa 101, tờ 7</t>
  </si>
  <si>
    <t>Đinh Văn Nhơn</t>
  </si>
  <si>
    <t>Thửa 427, tờ 4</t>
  </si>
  <si>
    <t>Trần Thị Hải</t>
  </si>
  <si>
    <t>Thửa 116, tờ 32</t>
  </si>
  <si>
    <t>Hà Văn Nguyên</t>
  </si>
  <si>
    <t>Thửa 357, tờ 4</t>
  </si>
  <si>
    <t>Nguyễn Văn Hết</t>
  </si>
  <si>
    <t>Thửa 328, tờ 28</t>
  </si>
  <si>
    <t>Ngô Quốc Thanh</t>
  </si>
  <si>
    <t>Thửa 96, tờ 36</t>
  </si>
  <si>
    <t>Thị Co</t>
  </si>
  <si>
    <t>Thửa 74, tờ 34</t>
  </si>
  <si>
    <t>Lê Sỹ Mười</t>
  </si>
  <si>
    <t>Thửa 274, tờ 28</t>
  </si>
  <si>
    <t>Nguyễn Văn Hiện</t>
  </si>
  <si>
    <t xml:space="preserve">Nguyễn Văn Chắc </t>
  </si>
  <si>
    <t>Thửa 505, tờ 4</t>
  </si>
  <si>
    <t>Nguyễn Tiến Sơn</t>
  </si>
  <si>
    <t>Thửa 97, tờ 10</t>
  </si>
  <si>
    <t>Nguyễn Trường Giang</t>
  </si>
  <si>
    <t>Thửa 241, tờ 36</t>
  </si>
  <si>
    <t>Phạm Đình Huệ</t>
  </si>
  <si>
    <t>Thửa 460, tờ 04</t>
  </si>
  <si>
    <t>Hoàng Thị Hoa</t>
  </si>
  <si>
    <t>Thửa 63, tờ 32</t>
  </si>
  <si>
    <t>Thửa 66, tờ 32</t>
  </si>
  <si>
    <t>Phạm Thị Triều</t>
  </si>
  <si>
    <t>Trần Xuân Hà</t>
  </si>
  <si>
    <t>Thửa 120, tờ 32</t>
  </si>
  <si>
    <t>Bùi Văn Chương</t>
  </si>
  <si>
    <t>Thửa 529, tờ 04</t>
  </si>
  <si>
    <t>Thửa 131, tờ 33</t>
  </si>
  <si>
    <t>Thửa 327, tờ 44</t>
  </si>
  <si>
    <t>Phan Minh Tuyền</t>
  </si>
  <si>
    <t>Nguyễn Đức Vĩnh</t>
  </si>
  <si>
    <t>Thửa 185, tờ 19</t>
  </si>
  <si>
    <t>Nguyễn Văn Tạo</t>
  </si>
  <si>
    <t>Thửa 590, tờ 25</t>
  </si>
  <si>
    <t>Thửa 460, tờ 4</t>
  </si>
  <si>
    <t>Lê Tiến Chúc</t>
  </si>
  <si>
    <t>Thửa 245, tờ 11</t>
  </si>
  <si>
    <t>Thửa 21, tờ 11</t>
  </si>
  <si>
    <t>Thửa 36, tờ 11</t>
  </si>
  <si>
    <t>Nguyễn Văn Hoàn</t>
  </si>
  <si>
    <t>Thửa 62, tờ 28</t>
  </si>
  <si>
    <t>Thửa 84, tờ 15</t>
  </si>
  <si>
    <t>Thửa 5, tờ 15</t>
  </si>
  <si>
    <t>Nguyễn Văn Thương</t>
  </si>
  <si>
    <t>Thửa 67, tờ 1</t>
  </si>
  <si>
    <t>Thửa 10, tờ 5</t>
  </si>
  <si>
    <t>Thửa 430, tờ 36</t>
  </si>
  <si>
    <t>Lê Thị Ngoan</t>
  </si>
  <si>
    <t>Thửa 186, tờ 30</t>
  </si>
  <si>
    <t>Bùi Tiến Bách</t>
  </si>
  <si>
    <t>Thửa 320, tờ 32</t>
  </si>
  <si>
    <t>Thửa 506, tờ 5</t>
  </si>
  <si>
    <t>Thửa 523, tờ 25</t>
  </si>
  <si>
    <t>Thửa 549, tờ 25</t>
  </si>
  <si>
    <t>Nguyễn Thị Đậm</t>
  </si>
  <si>
    <t>Thửa 139, tờ 33</t>
  </si>
  <si>
    <t>Tô Đình Quân</t>
  </si>
  <si>
    <t>Thửa 89, tờ 20</t>
  </si>
  <si>
    <t>Nguyễn Văn Ngãi</t>
  </si>
  <si>
    <t>Thửa 113, tờ 19</t>
  </si>
  <si>
    <t>Phạm Thị Hòe</t>
  </si>
  <si>
    <t>Thửa 217, tờ 24</t>
  </si>
  <si>
    <t>Thửa 332, tờ 32</t>
  </si>
  <si>
    <t>Nguyễn Quang Hà</t>
  </si>
  <si>
    <t>Thửa 381, tờ 25</t>
  </si>
  <si>
    <t>Nguyễn Đức Huân</t>
  </si>
  <si>
    <t>Thửa 263, tờ 24</t>
  </si>
  <si>
    <t>Nguyễn Văn Toan</t>
  </si>
  <si>
    <t>Thửa 143, tờ 33</t>
  </si>
  <si>
    <t>Trần Văn Mỹ</t>
  </si>
  <si>
    <t>Thửa 118, tờ 9</t>
  </si>
  <si>
    <t xml:space="preserve">Thửa 18, tờ 8 </t>
  </si>
  <si>
    <t>Phan Thị Kim Loan</t>
  </si>
  <si>
    <t>Thửa 94, tờ 34</t>
  </si>
  <si>
    <t>Nguyễn Xuân Tuân</t>
  </si>
  <si>
    <t>Thửa 17, tờ 32</t>
  </si>
  <si>
    <t>Thửa 42, tờ 35</t>
  </si>
  <si>
    <t>Thửa 190, tờ 15</t>
  </si>
  <si>
    <t>Lê Thị Lan Ngọc</t>
  </si>
  <si>
    <t>Thửa 24, tờ 32</t>
  </si>
  <si>
    <t>Điểu Nước</t>
  </si>
  <si>
    <t>Thửa 513, tờ 05</t>
  </si>
  <si>
    <t>Đã chuyển 1.950m²</t>
  </si>
  <si>
    <t>Đã chuyển 3.750m²</t>
  </si>
  <si>
    <t>Thửa 423, tờ 42</t>
  </si>
  <si>
    <t>Vũ Văn Hùng</t>
  </si>
  <si>
    <t>Thửa 26, tờ 31</t>
  </si>
  <si>
    <t>Ngô Thị Tâm</t>
  </si>
  <si>
    <t>Thửa 89, tờ 09</t>
  </si>
  <si>
    <t>Nguyễn Văn Hợp</t>
  </si>
  <si>
    <t>Thửa 194, tờ 10</t>
  </si>
  <si>
    <t>Thửa 443, tờ 36</t>
  </si>
  <si>
    <t>Lê Thanh Khẩn</t>
  </si>
  <si>
    <t>Thửa 502, tờ 42</t>
  </si>
  <si>
    <t>Hà Văn Tấn</t>
  </si>
  <si>
    <t>Thửa 360, tờ 32</t>
  </si>
  <si>
    <t>Hà Thị Hằng</t>
  </si>
  <si>
    <t>Thửa 311, tờ 32</t>
  </si>
  <si>
    <t>Hà Văn Huấn</t>
  </si>
  <si>
    <t>Thửa 333, tờ 32</t>
  </si>
  <si>
    <t>Thửa 334, tờ 32</t>
  </si>
  <si>
    <t>Thửa 260, tờ 24</t>
  </si>
  <si>
    <t>Nguyễn Thanh Du</t>
  </si>
  <si>
    <t>Thửa 265, tờ 24</t>
  </si>
  <si>
    <t>Thửa 264, tờ 24</t>
  </si>
  <si>
    <t>Lê Phú Trung</t>
  </si>
  <si>
    <t>Thửa 110, tờ 28</t>
  </si>
  <si>
    <t>Đỗ Văn Thắng</t>
  </si>
  <si>
    <t>Nguyễn Đức Duy</t>
  </si>
  <si>
    <t>Thửa 545, tờ 25</t>
  </si>
  <si>
    <t>Nguyễn Tiến Lừng</t>
  </si>
  <si>
    <t>Thửa 605, tờ 25</t>
  </si>
  <si>
    <t>Trần Văn Anh</t>
  </si>
  <si>
    <t>Thửa 480, tờ 32</t>
  </si>
  <si>
    <t>Mai Huy Khánh</t>
  </si>
  <si>
    <t>Thửa 253, tờ 10</t>
  </si>
  <si>
    <t>Vũ Thị Ngọc Bích</t>
  </si>
  <si>
    <t>Thửa 98, tờ 36</t>
  </si>
  <si>
    <t>Bùi Văn Sỹ</t>
  </si>
  <si>
    <t>Thửa 464, tờ 04</t>
  </si>
  <si>
    <t>Đỗ Đức Minh</t>
  </si>
  <si>
    <t>Thửa 511, tờ 28</t>
  </si>
  <si>
    <t>Thửa 453, tờ 04</t>
  </si>
  <si>
    <t>Lưu Văn Chánh</t>
  </si>
  <si>
    <t>Thửa 208, tờ 42</t>
  </si>
  <si>
    <t>Lưu Quang Vinh</t>
  </si>
  <si>
    <t>Nguyễn Văn Dần</t>
  </si>
  <si>
    <t>Thửa 72, tờ 28</t>
  </si>
  <si>
    <t>Phạm Văn Đúng</t>
  </si>
  <si>
    <t>Thửa 324, tờ 04</t>
  </si>
  <si>
    <t>Thửa 470, tờ 04</t>
  </si>
  <si>
    <t>Nguyễn Minh Hoàng</t>
  </si>
  <si>
    <t>Thửa 281, tờ 42</t>
  </si>
  <si>
    <t>Lâm Thị Thành</t>
  </si>
  <si>
    <t>Thửa 348, tờ 42</t>
  </si>
  <si>
    <t>Trần Thị Thúy Hằng</t>
  </si>
  <si>
    <t>Thửa 443, tờ 32</t>
  </si>
  <si>
    <t>Lê Thị Tuyết Mai</t>
  </si>
  <si>
    <t>Thửa 296, tờ 42</t>
  </si>
  <si>
    <t>Phạm Văn Nhàn</t>
  </si>
  <si>
    <t>Thửa 295, tờ 42</t>
  </si>
  <si>
    <t>Thửa 24, tờ 05</t>
  </si>
  <si>
    <t>Phạm Đại Vương</t>
  </si>
  <si>
    <t>Thửa 704, tờ 25</t>
  </si>
  <si>
    <t>Thửa 61, tờ 15</t>
  </si>
  <si>
    <t>Phạm Văn Chi</t>
  </si>
  <si>
    <t>Thửa 353, tờ 04</t>
  </si>
  <si>
    <t>Lê Bá Ngữ</t>
  </si>
  <si>
    <t>Thửa 317, tờ 32</t>
  </si>
  <si>
    <t>Lê Thị Thu Thủy</t>
  </si>
  <si>
    <t>Thửa 64, tờ 28</t>
  </si>
  <si>
    <t>Thửa 71, tờ 08</t>
  </si>
  <si>
    <t>Phạm Văn Đồng</t>
  </si>
  <si>
    <t>Thửa 72, tờ 08</t>
  </si>
  <si>
    <t>Thửa 73, tờ 08</t>
  </si>
  <si>
    <t>Thửa 221, tờ 33</t>
  </si>
  <si>
    <t>Lại Thanh Tùng</t>
  </si>
  <si>
    <t>Thửa 222, tờ 33</t>
  </si>
  <si>
    <t>Trịnh Văn Biển</t>
  </si>
  <si>
    <t>Thửa 120, tờ 33</t>
  </si>
  <si>
    <t>Thửa 232, tờ 32</t>
  </si>
  <si>
    <t>Đã chuyển 4.100m²</t>
  </si>
  <si>
    <t>Vũ Văn Sang</t>
  </si>
  <si>
    <t>Nguyễn Sơn Tùng</t>
  </si>
  <si>
    <t>Thửa 409, tờ 32</t>
  </si>
  <si>
    <t>Nguyễn Thị Tỵ</t>
  </si>
  <si>
    <t>Thửa 6, tờ 28</t>
  </si>
  <si>
    <t>Thửa 172, tờ 2</t>
  </si>
  <si>
    <t>Thửa 197, tờ 44</t>
  </si>
  <si>
    <t>Hồ Thị Luyến</t>
  </si>
  <si>
    <t>Thửa 479, tờ 42</t>
  </si>
  <si>
    <t>Cao Văn Kỳ</t>
  </si>
  <si>
    <t>Thửa 647, tờ 25</t>
  </si>
  <si>
    <t>Nguyễn Đình Chương</t>
  </si>
  <si>
    <t>Thửa 103, tờ 7</t>
  </si>
  <si>
    <t>Thửa 299, tờ 42</t>
  </si>
  <si>
    <t>Thửa 298, tờ 42</t>
  </si>
  <si>
    <t>Thửa 326, tờ 42</t>
  </si>
  <si>
    <t>Thửa 374, tờ 28</t>
  </si>
  <si>
    <t>Thửa 124, tờ 15</t>
  </si>
  <si>
    <t>Nguyễn Văn Bờ</t>
  </si>
  <si>
    <t>Thửa 95, tờ 15</t>
  </si>
  <si>
    <t>Nguyễn Kim Minh</t>
  </si>
  <si>
    <t>Phạm Xuân Minh</t>
  </si>
  <si>
    <t>Trần Hiếu Trung</t>
  </si>
  <si>
    <t>Thửa 05, tờ 11</t>
  </si>
  <si>
    <t>Thửa 136, tờ 05</t>
  </si>
  <si>
    <t>Thửa 08, tờ 10</t>
  </si>
  <si>
    <t>Bùi Hữu Được</t>
  </si>
  <si>
    <t>Thửa 01, tờ 32</t>
  </si>
  <si>
    <t>Đã chuyển 1.000m²</t>
  </si>
  <si>
    <t>Phan Bá Hiệp</t>
  </si>
  <si>
    <t>Đã chuyển 1.700m²</t>
  </si>
  <si>
    <t>Thửa 114, tờ 02</t>
  </si>
  <si>
    <t>Đã chuyển 800m²</t>
  </si>
  <si>
    <t>Thị Ơi</t>
  </si>
  <si>
    <t>Thửa 308, tờ 44</t>
  </si>
  <si>
    <t>Hồ Thị Hồng Thủy</t>
  </si>
  <si>
    <t>Thửa 53, tờ 25</t>
  </si>
  <si>
    <t>Thửa 30, tờ 35</t>
  </si>
  <si>
    <t>Điểu Huy</t>
  </si>
  <si>
    <t>Thửa 309, tờ 44</t>
  </si>
  <si>
    <t>Nguyễn Kiều Phi Yến</t>
  </si>
  <si>
    <t>Thửa 76, tờ 16</t>
  </si>
  <si>
    <t>Đã chuyển 1.200m²</t>
  </si>
  <si>
    <t>Thị Lan</t>
  </si>
  <si>
    <t>Thửa 213, tờ 33</t>
  </si>
  <si>
    <t>Lê Thị Thắm</t>
  </si>
  <si>
    <t>Thửa 290, tờ 04</t>
  </si>
  <si>
    <t>Đã đchuyển 1.500m²</t>
  </si>
  <si>
    <t>Lê Thị Toan</t>
  </si>
  <si>
    <t>Thửa 32, tờ 32</t>
  </si>
  <si>
    <t>Đã chuyển 2.100m²</t>
  </si>
  <si>
    <t>Phạm Thị Thanh Hà</t>
  </si>
  <si>
    <t>Thửa 259, tờ 04</t>
  </si>
  <si>
    <t>Nguyễn Thị Lê Hương</t>
  </si>
  <si>
    <t>Thửa 176, tờ 36</t>
  </si>
  <si>
    <t>Giáp Văn Đào</t>
  </si>
  <si>
    <t>Thửa 228, tờ 32</t>
  </si>
  <si>
    <t>Điểu Thanh</t>
  </si>
  <si>
    <t>Thửa 341, tờ 32</t>
  </si>
  <si>
    <t>Lê Văn Luyện</t>
  </si>
  <si>
    <t>Thửa 01, tờ 15</t>
  </si>
  <si>
    <t>Điểu Bé</t>
  </si>
  <si>
    <t>Thửa 26, tờ 05</t>
  </si>
  <si>
    <t>Phạm Văn Thấu</t>
  </si>
  <si>
    <t>Thửa 66, tờ 15</t>
  </si>
  <si>
    <t>Đã chuyển 2.900m²</t>
  </si>
  <si>
    <t>Nguyễn Thị Thệ</t>
  </si>
  <si>
    <t>Thửa 59, tờ 32</t>
  </si>
  <si>
    <t>Thửa 66, tờ 37</t>
  </si>
  <si>
    <t>Thửa 28, tờ 11</t>
  </si>
  <si>
    <t>Phạm Văn Mẫn</t>
  </si>
  <si>
    <t>Trần Thị Huê</t>
  </si>
  <si>
    <t>Thửa 409, tờ 44</t>
  </si>
  <si>
    <t>Thửa 187, tờ 4</t>
  </si>
  <si>
    <t>Vũ Văn Tư</t>
  </si>
  <si>
    <t>Thửa 26, tờ 24</t>
  </si>
  <si>
    <t>Viên Đình Tuấn</t>
  </si>
  <si>
    <t>Thửa 63, tờ 11</t>
  </si>
  <si>
    <t>Văn Tấn Mỹ</t>
  </si>
  <si>
    <t>Thửa 142, tờ 30</t>
  </si>
  <si>
    <t>Trần Phú Dương</t>
  </si>
  <si>
    <t>Thửa 13, tờ 19</t>
  </si>
  <si>
    <t>Vũ Văn Lý</t>
  </si>
  <si>
    <t>Đinh Thị Tin</t>
  </si>
  <si>
    <t>Thửa 184, tờ 25</t>
  </si>
  <si>
    <t>Lê Văn Kỳ</t>
  </si>
  <si>
    <t>Thửa 63, tờ 04</t>
  </si>
  <si>
    <t>Thửa 161, tờ 40</t>
  </si>
  <si>
    <t>Thửa 314, tờ 44</t>
  </si>
  <si>
    <t>Nguyễn Thị Lan</t>
  </si>
  <si>
    <t>Thửa 161, tờ 02</t>
  </si>
  <si>
    <t>Vũ Duy Linh</t>
  </si>
  <si>
    <t>Thửa 67, tờ 01</t>
  </si>
  <si>
    <t>Trần Đức Long</t>
  </si>
  <si>
    <t>Thửa 44, tờ 40</t>
  </si>
  <si>
    <t>Hoàng Văn Minh</t>
  </si>
  <si>
    <t>Thửa 458, tờ 25</t>
  </si>
  <si>
    <t>Đã chuyển 400m²</t>
  </si>
  <si>
    <t>Thửa 260, tờ 10</t>
  </si>
  <si>
    <t>Thửa 50, tờ 38</t>
  </si>
  <si>
    <t>Điểu Hớ</t>
  </si>
  <si>
    <t>Thửa 311, tờ 44</t>
  </si>
  <si>
    <t>Nguyễn Đình Thái</t>
  </si>
  <si>
    <t>Thửa 34, tờ 37</t>
  </si>
  <si>
    <t>Thửa 81, tờ 36</t>
  </si>
  <si>
    <t>Nguyễn Sỹ Cấp</t>
  </si>
  <si>
    <t>Thửa 55, tờ 38</t>
  </si>
  <si>
    <t>Phạm Thị Mỹ Hạnh</t>
  </si>
  <si>
    <t>Thửa 74, tờ 15</t>
  </si>
  <si>
    <t>Thửa 183, tờ 33</t>
  </si>
  <si>
    <t>Hồ Văn Phát</t>
  </si>
  <si>
    <t>Nguyễn Sỹ Chức</t>
  </si>
  <si>
    <t>Thửa 56, tờ 38</t>
  </si>
  <si>
    <t>Thửa 529, tờ 11</t>
  </si>
  <si>
    <t>Đỗ Thị Say</t>
  </si>
  <si>
    <t>Thửa 17, tờ 19</t>
  </si>
  <si>
    <t>Thửa 123, tờ 33</t>
  </si>
  <si>
    <t>Trần Bá Hòa</t>
  </si>
  <si>
    <t>Thửa 178, tờ 25</t>
  </si>
  <si>
    <t>Trần Thị Diễm Kiều</t>
  </si>
  <si>
    <t>Thửa 68, tờ 15</t>
  </si>
  <si>
    <t>Thửa 195, tờ 10</t>
  </si>
  <si>
    <t>Lý Thị Hoàng Em</t>
  </si>
  <si>
    <t>Thửa 432, tờ 28</t>
  </si>
  <si>
    <t>Nguyễn Xuân Thái</t>
  </si>
  <si>
    <t>Thửa 484, tờ 32</t>
  </si>
  <si>
    <t>Ngô Thị Hương</t>
  </si>
  <si>
    <t>Thửa 568, tờ 32</t>
  </si>
  <si>
    <t>Thửa 52, tờ 16</t>
  </si>
  <si>
    <t>Thửa 316, tờ 32</t>
  </si>
  <si>
    <t>Thửa 81, tờ 32</t>
  </si>
  <si>
    <t>Thửa 172, tờ 40</t>
  </si>
  <si>
    <t>Đã chuyển 3.100m²</t>
  </si>
  <si>
    <t>Trần Thị Nhung</t>
  </si>
  <si>
    <t>Thửa 223, tờ 33</t>
  </si>
  <si>
    <t>Trương Văn Mạnh</t>
  </si>
  <si>
    <t>Thửa 198, tờ 33</t>
  </si>
  <si>
    <t>Phạm Thị Liên</t>
  </si>
  <si>
    <t>Thửa 106, tờ 33</t>
  </si>
  <si>
    <t>Nguyễn Sỹ Tĩnh</t>
  </si>
  <si>
    <t>Bùi Đức Việt</t>
  </si>
  <si>
    <t>Thửa 42, tờ 10</t>
  </si>
  <si>
    <t>Thửa 207, tờ 10</t>
  </si>
  <si>
    <t>Thửa 254, tờ 10</t>
  </si>
  <si>
    <t>Dương Văn Quy</t>
  </si>
  <si>
    <t>Thửa 91, tờ 34</t>
  </si>
  <si>
    <t>Nguyễn Trọng Vẽ</t>
  </si>
  <si>
    <t>Thửa 453, tờ 4</t>
  </si>
  <si>
    <t>Cao Tiến Sinh</t>
  </si>
  <si>
    <t>Thửa 375, tờ 4</t>
  </si>
  <si>
    <t>Nguyễn Đăng Huy</t>
  </si>
  <si>
    <t>Thửa 114, tờ 2</t>
  </si>
  <si>
    <t>Thửa 173, tờ 42</t>
  </si>
  <si>
    <t>Thửa 156, tờ 42</t>
  </si>
  <si>
    <t>Điểu Hâm</t>
  </si>
  <si>
    <t>Thửa 61, tờ 11</t>
  </si>
  <si>
    <t>Điểu Plen</t>
  </si>
  <si>
    <t>Thửa 453, tờ 05</t>
  </si>
  <si>
    <t>Hoàng Duy Hùng</t>
  </si>
  <si>
    <t>Điểu Trương</t>
  </si>
  <si>
    <t>Thửa 644, tờ 04</t>
  </si>
  <si>
    <t>Phạm Văn Qúy</t>
  </si>
  <si>
    <t>Thửa 31, tờ 15</t>
  </si>
  <si>
    <t>Trần Mạnh Tường</t>
  </si>
  <si>
    <t>Thửa 68, tờ 02</t>
  </si>
  <si>
    <t>Thửa 92, tờ 33</t>
  </si>
  <si>
    <t>Nguyễn Màu</t>
  </si>
  <si>
    <t>Thửa 247, tờ 36</t>
  </si>
  <si>
    <t>Vũ Thị Thóc</t>
  </si>
  <si>
    <t>Thửa 175, tờ 42</t>
  </si>
  <si>
    <t>Vũ Thành Phương</t>
  </si>
  <si>
    <t>Thửa 351, tờ 04</t>
  </si>
  <si>
    <t>Đinh Thị Xuân</t>
  </si>
  <si>
    <t>Thửa 49, tờ 15</t>
  </si>
  <si>
    <t>Thửa 31, tờ 32</t>
  </si>
  <si>
    <t>Thửa 288, tờ 04</t>
  </si>
  <si>
    <t>Nguyễn Thị Thêu</t>
  </si>
  <si>
    <t>Thửa 696, tờ 32</t>
  </si>
  <si>
    <t>Thửa 634, tờ 04</t>
  </si>
  <si>
    <t>Lê Thị Hợp</t>
  </si>
  <si>
    <t>Thửa 695, tờ 32</t>
  </si>
  <si>
    <t>Vò Văn Thành</t>
  </si>
  <si>
    <t>Thửa 317, tờ 04</t>
  </si>
  <si>
    <t>Hà Thị Kha</t>
  </si>
  <si>
    <t>Thửa 41, tờ 40</t>
  </si>
  <si>
    <t>Trần Đắc Ý</t>
  </si>
  <si>
    <t>Thửa 144, tờ 13</t>
  </si>
  <si>
    <t>Nguyễn Thị Như Anh</t>
  </si>
  <si>
    <t>Thửa 380, tờ 11</t>
  </si>
  <si>
    <t>Nguyễn Tài Thuận</t>
  </si>
  <si>
    <t>Thửa 67, tờ 08</t>
  </si>
  <si>
    <t>Thị Nhé</t>
  </si>
  <si>
    <t>Thửa 58, tờ 05</t>
  </si>
  <si>
    <t>Đỗ Minh Quyết</t>
  </si>
  <si>
    <t>Thửa 538, tờ 04</t>
  </si>
  <si>
    <t>Nguyễn Thị Hồng Phước</t>
  </si>
  <si>
    <t>Võ Ngọc Tho</t>
  </si>
  <si>
    <t>Thửa 32, tờ 37</t>
  </si>
  <si>
    <t>Hà Văn Trường</t>
  </si>
  <si>
    <t>Thửa 36, tờ 37</t>
  </si>
  <si>
    <t>Phan Tùng Linh</t>
  </si>
  <si>
    <t>Thửa 132, tờ 40</t>
  </si>
  <si>
    <t>Lê Viết Thương</t>
  </si>
  <si>
    <t>Thửa 36, tờ 16</t>
  </si>
  <si>
    <t>Tống Văn Vũ</t>
  </si>
  <si>
    <t>Thửa 321, tờ 32</t>
  </si>
  <si>
    <t>Thửa 37, tờ 36</t>
  </si>
  <si>
    <t>Thửa 242, tờ 24</t>
  </si>
  <si>
    <t>Vũ Thị Hằng</t>
  </si>
  <si>
    <t>Thửa 513, tờ 28</t>
  </si>
  <si>
    <t>Nguyễn Văn Hổ</t>
  </si>
  <si>
    <t>Thửa 241, tờ 28</t>
  </si>
  <si>
    <t>Thửa 5, tờ 8</t>
  </si>
  <si>
    <t>Nguyễn Viết Hảo</t>
  </si>
  <si>
    <t>Thửa 138, tờ 15</t>
  </si>
  <si>
    <t>Thửa 151, tờ 15</t>
  </si>
  <si>
    <t>Thửa 152, tờ 15</t>
  </si>
  <si>
    <t>Thửa 137, tờ 15</t>
  </si>
  <si>
    <t>Thửa 136, tờ 15</t>
  </si>
  <si>
    <t>Thửa 161, tờ 15</t>
  </si>
  <si>
    <t>Thửa 145, tờ 15</t>
  </si>
  <si>
    <t>Thửa 144, tờ 15</t>
  </si>
  <si>
    <t>Thửa 154, tờ 15</t>
  </si>
  <si>
    <t>Thửa 155, tờ 15</t>
  </si>
  <si>
    <t>Thửa 156, tờ 15</t>
  </si>
  <si>
    <t>Thửa 158, tờ 15</t>
  </si>
  <si>
    <t>Thửa 159, tờ 15</t>
  </si>
  <si>
    <t>Thửa 160, tờ 15</t>
  </si>
  <si>
    <t>Thửa 146, tờ 15</t>
  </si>
  <si>
    <t>Thửa 147, tờ 15</t>
  </si>
  <si>
    <t>Thửa 148, tờ 15</t>
  </si>
  <si>
    <t>Thửa 150, tờ 15</t>
  </si>
  <si>
    <t>Thửa 141, tờ 15</t>
  </si>
  <si>
    <t>Thửa 135, tờ 15</t>
  </si>
  <si>
    <t>Thửa 149, tờ 15</t>
  </si>
  <si>
    <t>Thửa 139, tờ 15</t>
  </si>
  <si>
    <t>Thửa 134, tờ 15</t>
  </si>
  <si>
    <t>Thửa 130, tờ 15</t>
  </si>
  <si>
    <t>Thửa 140, tờ 15</t>
  </si>
  <si>
    <t>Thửa 131, tờ 15</t>
  </si>
  <si>
    <t>Thửa 132, tờ 15</t>
  </si>
  <si>
    <t>Thửa 163, tờ 15</t>
  </si>
  <si>
    <t>Thửa 538, tờ 4</t>
  </si>
  <si>
    <t>Thửa 253, tờ 42</t>
  </si>
  <si>
    <t>Võ Thị Hoài</t>
  </si>
  <si>
    <t>Thửa 163, tờ 10</t>
  </si>
  <si>
    <t>Trịnh Văn Xương</t>
  </si>
  <si>
    <t>Thửa 08, tờ 22</t>
  </si>
  <si>
    <t>Thửa 666, tờ 25</t>
  </si>
  <si>
    <t>Nguyễn Duy Tiên</t>
  </si>
  <si>
    <t>Thửa 497, tờ 32</t>
  </si>
  <si>
    <t>Nguyễn Quang Hào</t>
  </si>
  <si>
    <t>Thửa 477, tờ 32</t>
  </si>
  <si>
    <t>Lê Minh Hoàng</t>
  </si>
  <si>
    <t>Thửa 475, tờ 32</t>
  </si>
  <si>
    <t>Thửa 476, tờ 32</t>
  </si>
  <si>
    <t>Trần Văn Thiện</t>
  </si>
  <si>
    <t>Thửa 165, tờ 19</t>
  </si>
  <si>
    <t>Lê Văn Kỹ</t>
  </si>
  <si>
    <t>Thửa 63, tờ 4</t>
  </si>
  <si>
    <t>Phan Văn Thàng</t>
  </si>
  <si>
    <t>Tô Thị Hiền</t>
  </si>
  <si>
    <t>Thửa 157, tờ 34</t>
  </si>
  <si>
    <t>Thị Dươi</t>
  </si>
  <si>
    <t>Thửa 43, tờ 34</t>
  </si>
  <si>
    <t>Thửa 72, tờ 16</t>
  </si>
  <si>
    <t>Thửa 24, tờ 35</t>
  </si>
  <si>
    <t>Thửa 73, tờ 16</t>
  </si>
  <si>
    <t>Điểu Đang</t>
  </si>
  <si>
    <t>Điểu Phun</t>
  </si>
  <si>
    <t>Thửa 332, tờ 44</t>
  </si>
  <si>
    <t>Giáp Văn Sử</t>
  </si>
  <si>
    <t>Vũ Ngọc Sơn</t>
  </si>
  <si>
    <t>Thửa 168, tờ 42</t>
  </si>
  <si>
    <t>Lê Minh Thìn</t>
  </si>
  <si>
    <t>Thị Bé Lan</t>
  </si>
  <si>
    <t>Thửa 59, tờ 05</t>
  </si>
  <si>
    <t>Trần Quang Nhẫn</t>
  </si>
  <si>
    <t>Lương Xuân Thành</t>
  </si>
  <si>
    <t>Thửa 30, tờ 10</t>
  </si>
  <si>
    <t>Nguyễn Văn Lắm</t>
  </si>
  <si>
    <t>Thửa 482, tờ 32</t>
  </si>
  <si>
    <t>Trần Công Cản
(Thị Ven)</t>
  </si>
  <si>
    <t>Thửa 156, tờ 04</t>
  </si>
  <si>
    <t>Lê Thị Hồng Chín</t>
  </si>
  <si>
    <t xml:space="preserve">Nguyễn Thanh Lâm </t>
  </si>
  <si>
    <t>Thửa 49, tờ 38</t>
  </si>
  <si>
    <t>Thửa 634, tờ 4</t>
  </si>
  <si>
    <t>Nguyễn Văn Lai</t>
  </si>
  <si>
    <t>Thửa 139, tờ 13</t>
  </si>
  <si>
    <t>Thửa 352, tờ 44</t>
  </si>
  <si>
    <t>Thửa 153, tờ 40</t>
  </si>
  <si>
    <t>Thửa 98, tờ 32</t>
  </si>
  <si>
    <t>Thửa 99, tờ 32</t>
  </si>
  <si>
    <t>Lê Quang Bình</t>
  </si>
  <si>
    <t>Thửa 612, tờ 32</t>
  </si>
  <si>
    <t>Thửa 613, tờ 32</t>
  </si>
  <si>
    <t>Thửa 614, tờ 32</t>
  </si>
  <si>
    <t>Thửa 615, tờ 32</t>
  </si>
  <si>
    <t>Thửa 616, tờ 32</t>
  </si>
  <si>
    <t>Thửa 617, tờ 32</t>
  </si>
  <si>
    <t>Thửa 618, tờ 32</t>
  </si>
  <si>
    <t>Thửa 619, tờ 32</t>
  </si>
  <si>
    <t>Thửa 620, tờ 32</t>
  </si>
  <si>
    <t>Thửa 621, tờ 32</t>
  </si>
  <si>
    <t>Thửa 622, tờ 32</t>
  </si>
  <si>
    <t>Thửa 623, tờ 32</t>
  </si>
  <si>
    <t>Thửa 624, tờ 32</t>
  </si>
  <si>
    <t>Thửa 625, tờ 32</t>
  </si>
  <si>
    <t>Thửa 626, tờ 32</t>
  </si>
  <si>
    <t>Thửa 627, tờ 32</t>
  </si>
  <si>
    <t>Thửa 628, tờ 32</t>
  </si>
  <si>
    <t>Trương Thị Mỹ Lệ</t>
  </si>
  <si>
    <t>Thửa 629, tờ 32</t>
  </si>
  <si>
    <t>Thửa 630, tờ 32</t>
  </si>
  <si>
    <t>Thửa 631, tờ 32</t>
  </si>
  <si>
    <t>Thửa 632, tờ 32</t>
  </si>
  <si>
    <t>Thửa 633, tờ 32</t>
  </si>
  <si>
    <t>Thửa 634, tờ 32</t>
  </si>
  <si>
    <t>Thửa 635, tờ 32</t>
  </si>
  <si>
    <t>Thửa 637, tờ 32</t>
  </si>
  <si>
    <t>Thửa 638, tờ 32</t>
  </si>
  <si>
    <t>Thửa 639, tờ 32</t>
  </si>
  <si>
    <t>Thửa 640, tờ 32</t>
  </si>
  <si>
    <t>Thửa 641, tờ 32</t>
  </si>
  <si>
    <t>Thửa 642, tờ 32</t>
  </si>
  <si>
    <t>Thửa 21, tờ 42</t>
  </si>
  <si>
    <t>Thửa 62, tờ 41</t>
  </si>
  <si>
    <t>Nguyễn Duy Tuyên</t>
  </si>
  <si>
    <t>Thửa 02, tờ 05</t>
  </si>
  <si>
    <t>Thửa 78, tờ 18</t>
  </si>
  <si>
    <t>Điểu Út</t>
  </si>
  <si>
    <t>Thửa 17, tờ 35</t>
  </si>
  <si>
    <t>Thửa 593, tờ 42</t>
  </si>
  <si>
    <t>Thửa 126, tờ 16</t>
  </si>
  <si>
    <t>Thửa 92, tờ 32</t>
  </si>
  <si>
    <t>Vương Thị Bích Thủy</t>
  </si>
  <si>
    <t>Thửa 21, tờ 35</t>
  </si>
  <si>
    <t>Cao Hữu Thành</t>
  </si>
  <si>
    <t>Thửa 275, tờ 32</t>
  </si>
  <si>
    <t>Tô Thị Hiền
(Tô Hồng Nhung)</t>
  </si>
  <si>
    <t>Thửa 26, tờ 35</t>
  </si>
  <si>
    <t>Tống Văn Giang</t>
  </si>
  <si>
    <t>Thửa 125, tờ 11</t>
  </si>
  <si>
    <t>Thân Quốc Tuấn</t>
  </si>
  <si>
    <t>Thửa 206, tờ 42</t>
  </si>
  <si>
    <t>Thị Hứ</t>
  </si>
  <si>
    <t>Thửa 331, tờ 44</t>
  </si>
  <si>
    <t>Phạm Thành Quý</t>
  </si>
  <si>
    <t>Nguyễn Đức Oánh</t>
  </si>
  <si>
    <t>Thửa 518, tờ 28</t>
  </si>
  <si>
    <t>Vũ Văn Văn</t>
  </si>
  <si>
    <t>Thửa 515, tờ 28</t>
  </si>
  <si>
    <t>Thửa 48, tờ 38</t>
  </si>
  <si>
    <t>Thửa 400, tờ 32</t>
  </si>
  <si>
    <t>Thửa 553, tờ 32</t>
  </si>
  <si>
    <t>Thửa 554, tờ 32</t>
  </si>
  <si>
    <t>Thửa 560, tờ 32</t>
  </si>
  <si>
    <t>Thửa 486, tờ 36</t>
  </si>
  <si>
    <t>Vũ Thị Mừng</t>
  </si>
  <si>
    <t>Nguyễn Hồng Khanh</t>
  </si>
  <si>
    <t>Lương Văn Sanh</t>
  </si>
  <si>
    <t>Thửa 145, tờ 30</t>
  </si>
  <si>
    <t>Thửa 161, tờ 2</t>
  </si>
  <si>
    <t>Thửa 103, tờ 33</t>
  </si>
  <si>
    <t>Võ Ngọc Hậu</t>
  </si>
  <si>
    <t>Thửa 256, tờ 4</t>
  </si>
  <si>
    <t>Lê Quang Dương</t>
  </si>
  <si>
    <t>Thửa 558, tờ 5</t>
  </si>
  <si>
    <t>Lê Hòa Thuận</t>
  </si>
  <si>
    <t>Thửa 282, tờ 10</t>
  </si>
  <si>
    <t>Nguyễn Ngọc Kiên</t>
  </si>
  <si>
    <t>Thửa 130, tờ 34</t>
  </si>
  <si>
    <t>Thửa 59, tờ 5</t>
  </si>
  <si>
    <t>Bùi Thị Ngọc Trang</t>
  </si>
  <si>
    <t>Thửa 313, tờ 32</t>
  </si>
  <si>
    <t>Thửa 605, tờ 42</t>
  </si>
  <si>
    <t>Thửa 128, tờ 4</t>
  </si>
  <si>
    <t>Nguyễn Kim Châu</t>
  </si>
  <si>
    <t>Thửa 189, tờ 33</t>
  </si>
  <si>
    <t>ỎNT</t>
  </si>
  <si>
    <t>Thửa 312, tờ 05</t>
  </si>
  <si>
    <t>Thửa 470, tờ 32</t>
  </si>
  <si>
    <t>Thửa 43, tờ 18</t>
  </si>
  <si>
    <t>Thửa 41, tờ 18</t>
  </si>
  <si>
    <t>Điểu Mách</t>
  </si>
  <si>
    <t>Thửa 610, tờ 32</t>
  </si>
  <si>
    <t>Lê Thanh Chánh</t>
  </si>
  <si>
    <t>Thửa 177, tờ 44</t>
  </si>
  <si>
    <t>Lê Viết Đại</t>
  </si>
  <si>
    <t>Lê Thị Tường Vi</t>
  </si>
  <si>
    <t>Thửa 1, tờ 27</t>
  </si>
  <si>
    <t>Võ Văn Nhanh</t>
  </si>
  <si>
    <t>Thửa 184, tờ 03</t>
  </si>
  <si>
    <t>XIII</t>
  </si>
  <si>
    <t>Nguyễn Công Lợi</t>
  </si>
  <si>
    <t>Thửa 64, tờ 43</t>
  </si>
  <si>
    <t>Nguyễn Văn Xuân</t>
  </si>
  <si>
    <t>Thửa 36, tờ 35</t>
  </si>
  <si>
    <t>Nguyễn Thanh Liêm</t>
  </si>
  <si>
    <t>Thửa 19, tờ 9</t>
  </si>
  <si>
    <t>Điểu Sê</t>
  </si>
  <si>
    <t>Thửa 439, tờ 23</t>
  </si>
  <si>
    <t>Nguyễn Thị Bé</t>
  </si>
  <si>
    <t>Thửa 223, tờ 27</t>
  </si>
  <si>
    <t>Đinh Thanh Tùng</t>
  </si>
  <si>
    <t>Thửa 7, tờ 33</t>
  </si>
  <si>
    <t>Đỗ Huy Lê</t>
  </si>
  <si>
    <t>Thửa 106, tờ 30</t>
  </si>
  <si>
    <t>Thửa 119, tờ 32</t>
  </si>
  <si>
    <t>Thửa 220, tờ 23</t>
  </si>
  <si>
    <t>Hoàng Văn Vân</t>
  </si>
  <si>
    <t>Thửa 34, tờ 42</t>
  </si>
  <si>
    <t>Lê Đăng Soạn</t>
  </si>
  <si>
    <t>Thửa 110, tờ 40</t>
  </si>
  <si>
    <t>Cù Văn Hằng</t>
  </si>
  <si>
    <t>Thửa 156, tờ 27</t>
  </si>
  <si>
    <t>Nguyễn Văn Chỉnh</t>
  </si>
  <si>
    <t>Thửa 48, tờ 36</t>
  </si>
  <si>
    <t xml:space="preserve">Trần Văn Minh </t>
  </si>
  <si>
    <t>Thửa 45, tờ 46</t>
  </si>
  <si>
    <t>Lê Thị Bông</t>
  </si>
  <si>
    <t>Thửa 209, tờ 27</t>
  </si>
  <si>
    <t>Cao Khánh Hòa</t>
  </si>
  <si>
    <t>Thửa 170, tờ 36</t>
  </si>
  <si>
    <t>Trần Minh Ngà</t>
  </si>
  <si>
    <t>Phạm Văn Năm</t>
  </si>
  <si>
    <t>Thửa 57, tờ 30</t>
  </si>
  <si>
    <t>Thửa 73, tờ 30</t>
  </si>
  <si>
    <t>Thửa 41, tờ 44</t>
  </si>
  <si>
    <t>Phạm Văn Nam</t>
  </si>
  <si>
    <t>Nguyễn Thị Kim Xuyến</t>
  </si>
  <si>
    <t>Thửa 06, tờ 32</t>
  </si>
  <si>
    <t>Lương Văn Hải</t>
  </si>
  <si>
    <t>Thửa 02, tờ 33</t>
  </si>
  <si>
    <t>Trần Thị Ất</t>
  </si>
  <si>
    <t>Thửa 54, tờ 57</t>
  </si>
  <si>
    <t>Lê Thị Liên</t>
  </si>
  <si>
    <t>Thửa 69, tờ 35</t>
  </si>
  <si>
    <t>Lê Đình Cường</t>
  </si>
  <si>
    <t>Thửa 136, tờ 30</t>
  </si>
  <si>
    <t>Nguyễn Thị Thúy Quỳnh</t>
  </si>
  <si>
    <t>Thửa 211, tờ 28</t>
  </si>
  <si>
    <t>Thửa 27, tờ 09</t>
  </si>
  <si>
    <t>Thửa 16, tờ 41</t>
  </si>
  <si>
    <t>Trần Mai Hưng</t>
  </si>
  <si>
    <t>Thửa 238, tờ 27</t>
  </si>
  <si>
    <t>Điểu Hơ Lơ</t>
  </si>
  <si>
    <t>Thửa 19, tờ 56</t>
  </si>
  <si>
    <t>Nguyễn Đình Tú</t>
  </si>
  <si>
    <t>Thửa 54, tờ 35</t>
  </si>
  <si>
    <t>Lê Văn Mười</t>
  </si>
  <si>
    <t>Thửa 212, tờ 27</t>
  </si>
  <si>
    <t>Lê Thị Xy</t>
  </si>
  <si>
    <t>Thửa 217, tờ 27</t>
  </si>
  <si>
    <t>Trần Thị Lài</t>
  </si>
  <si>
    <t>Thửa 100, tờ 35</t>
  </si>
  <si>
    <t>Nguyễn Kim Dũng</t>
  </si>
  <si>
    <t>Thửa 12, tờ 34</t>
  </si>
  <si>
    <t>Phan Sỹ Hiếu</t>
  </si>
  <si>
    <t>Thửa 06, tờ 33</t>
  </si>
  <si>
    <t>Nguyễn Đình Ngọc</t>
  </si>
  <si>
    <t>Thửa 235, tờ 27</t>
  </si>
  <si>
    <t>Nguyễn Văn Tắc</t>
  </si>
  <si>
    <t>Thửa 19, tờ 46</t>
  </si>
  <si>
    <t>Thửa 40, tờ 09</t>
  </si>
  <si>
    <t>Trần Thanh Truyền</t>
  </si>
  <si>
    <t>Đoàn Tấn Hằng</t>
  </si>
  <si>
    <t>Thửa 114, tờ 42</t>
  </si>
  <si>
    <t>Trần Công Qúa</t>
  </si>
  <si>
    <t>Thửa 80, tờ 30</t>
  </si>
  <si>
    <t>Nguyễn Hải Toàn</t>
  </si>
  <si>
    <t>Thửa 245, tờ 27</t>
  </si>
  <si>
    <t>Huỳnh Thị Thảo</t>
  </si>
  <si>
    <t>Thửa 127, tờ 30</t>
  </si>
  <si>
    <t>Hà Thị Thanh Hiền</t>
  </si>
  <si>
    <t>Thửa 38, tờ 42</t>
  </si>
  <si>
    <t>Nguyễn Đình Tuấn</t>
  </si>
  <si>
    <t>Thửa 140, tờ 28</t>
  </si>
  <si>
    <t>Hồ Văn Hiệu</t>
  </si>
  <si>
    <t>Thửa 143, tờ 46</t>
  </si>
  <si>
    <t>Hồ Xuân Biên</t>
  </si>
  <si>
    <t>Thửa 58, tờ 30</t>
  </si>
  <si>
    <t>Bùi Xuân Dương</t>
  </si>
  <si>
    <t>Thửa 56, tờ 43</t>
  </si>
  <si>
    <t>Nguyễn Văn Hạnh 
(Nguyễn Thị Kim Xuyến)</t>
  </si>
  <si>
    <t>Vũ Thị Thơm</t>
  </si>
  <si>
    <t>Trần Đức Quảng</t>
  </si>
  <si>
    <t>Thửa 103, tờ 30</t>
  </si>
  <si>
    <t>Đinh Thị Hờn</t>
  </si>
  <si>
    <t>Thửa 07, tờ 35</t>
  </si>
  <si>
    <t>Nguyễn Văn Thược</t>
  </si>
  <si>
    <t>Lê Đình Tựu</t>
  </si>
  <si>
    <t>Thửa 34, tờ 22</t>
  </si>
  <si>
    <t>Trần Văn Minh</t>
  </si>
  <si>
    <t>Thửa 123, tờ 36</t>
  </si>
  <si>
    <t>Lương Thị Oanh</t>
  </si>
  <si>
    <t>Thửa 111, tờ 45</t>
  </si>
  <si>
    <t>Nguyễn Thị Mai Em</t>
  </si>
  <si>
    <t>Thửa 32, tờ 30</t>
  </si>
  <si>
    <t>Thửa 240, tờ 28</t>
  </si>
  <si>
    <t>Trần Công Tính</t>
  </si>
  <si>
    <t>Trần Thị Thuyền</t>
  </si>
  <si>
    <t>Nguyễn Văn Dự</t>
  </si>
  <si>
    <t>Thửa 246, tờ 27</t>
  </si>
  <si>
    <t>Thửa 23, tờ 62</t>
  </si>
  <si>
    <t>Lê Thị Thanh Huệ</t>
  </si>
  <si>
    <t>Thửa 60, tờ 30</t>
  </si>
  <si>
    <t>Thửa 26, tờ 33</t>
  </si>
  <si>
    <t>Thửa 22, tờ 33</t>
  </si>
  <si>
    <t>Thửa 67, tờ 40</t>
  </si>
  <si>
    <t>Huỳnh Thanh Kiếm</t>
  </si>
  <si>
    <t>Thửa 11, tờ 35</t>
  </si>
  <si>
    <t>Trần Thị Thu Nguyệt</t>
  </si>
  <si>
    <t>Thửa 51, tờ 43</t>
  </si>
  <si>
    <t>Hà Duy Điệt</t>
  </si>
  <si>
    <t>Thửa 27, tờ 28</t>
  </si>
  <si>
    <t>Bùi Ngọc Hồi</t>
  </si>
  <si>
    <t>Thửa 45, tờ 35</t>
  </si>
  <si>
    <t>Thửa 78, tờ 30</t>
  </si>
  <si>
    <t>Thửa 19, tờ 36</t>
  </si>
  <si>
    <t>Lương Quang Trường</t>
  </si>
  <si>
    <t>Thửa 47, tờ 31</t>
  </si>
  <si>
    <t>Nguyễn Minh Long</t>
  </si>
  <si>
    <t>Đoàn Thị Phương</t>
  </si>
  <si>
    <t>Thửa 125, tờ 36</t>
  </si>
  <si>
    <t>Thửa 149, tờ 27</t>
  </si>
  <si>
    <t>Nguyễn Thị Lào</t>
  </si>
  <si>
    <t>Thửa 16, tờ 9</t>
  </si>
  <si>
    <t>Đặng Thị Hoa</t>
  </si>
  <si>
    <t>Thửa 6, tờ 30</t>
  </si>
  <si>
    <t>Võ Thị Gái</t>
  </si>
  <si>
    <t>Đinh Thị Thìn</t>
  </si>
  <si>
    <t>Thửa 192, tờ 27</t>
  </si>
  <si>
    <t>Phạm Đăng Anh</t>
  </si>
  <si>
    <t>Thửa 263, tờ 23</t>
  </si>
  <si>
    <t>Thị Lâm</t>
  </si>
  <si>
    <t>Thửa 232, tờ 28</t>
  </si>
  <si>
    <t>Vũ Quyết Chiến</t>
  </si>
  <si>
    <t>Thửa 75, tờ 45</t>
  </si>
  <si>
    <t>Trần Tâm Văn</t>
  </si>
  <si>
    <t>Thửa 18, tờ 33</t>
  </si>
  <si>
    <t>Trần Xuân Bình</t>
  </si>
  <si>
    <t>Thửa 11, tờ 56</t>
  </si>
  <si>
    <t>Phạm Đình Hải</t>
  </si>
  <si>
    <t>Thửa 2, tờ 9</t>
  </si>
  <si>
    <t>Ngô Hoàng Vũ</t>
  </si>
  <si>
    <t>Thửa 40, tờ 62</t>
  </si>
  <si>
    <t>Trịnh Văn Vững</t>
  </si>
  <si>
    <t>Thửa 06, tờ 36</t>
  </si>
  <si>
    <t>Nguyễn Thúc Hoạt</t>
  </si>
  <si>
    <t>Thửa 207, tờ 28</t>
  </si>
  <si>
    <t>Điểu Phúc</t>
  </si>
  <si>
    <t>Thửa 74, tờ 16</t>
  </si>
  <si>
    <t>Thửa 382, tờ 16</t>
  </si>
  <si>
    <t>Nguyễn Ngọc Loan</t>
  </si>
  <si>
    <t>Thửa 03, tờ 44</t>
  </si>
  <si>
    <t>Trần Văn Mi</t>
  </si>
  <si>
    <t>Thửa 193, tờ 30</t>
  </si>
  <si>
    <t>Thửa 107, tờ 30</t>
  </si>
  <si>
    <t>Thửa 14, tờ 33</t>
  </si>
  <si>
    <t>Thửa 07, tờ 33</t>
  </si>
  <si>
    <t>Nguyễn Thị Lập</t>
  </si>
  <si>
    <t>Thửa 118, tờ 36</t>
  </si>
  <si>
    <t>Thửa 261, tờ 27</t>
  </si>
  <si>
    <t>Võ Việt Cường</t>
  </si>
  <si>
    <t>Trần Đức Vui</t>
  </si>
  <si>
    <t>Thửa 200, tờ 30</t>
  </si>
  <si>
    <t>Trần Minh Hòa</t>
  </si>
  <si>
    <t>Nguyễn Thị Quận</t>
  </si>
  <si>
    <t>Thửa 27, tờ 31</t>
  </si>
  <si>
    <t>Hoàng Văn Thành</t>
  </si>
  <si>
    <t>Thửa 177, tờ 28</t>
  </si>
  <si>
    <t>Thửa 04, tờ 56</t>
  </si>
  <si>
    <t>Thửa 124, tờ 45</t>
  </si>
  <si>
    <t>Thửa 184, tờ 30</t>
  </si>
  <si>
    <t>Thửa 198, tờ 30</t>
  </si>
  <si>
    <t>Thửa 222, tờ 27</t>
  </si>
  <si>
    <t>Nguyễn Thanh Phú</t>
  </si>
  <si>
    <t>Thửa 456, tờ 23</t>
  </si>
  <si>
    <t>Trần Đức Giỏi</t>
  </si>
  <si>
    <t>Điểu Nganh</t>
  </si>
  <si>
    <t>Thửa 137, tờ 28</t>
  </si>
  <si>
    <t>Nguyễn Xuân Khu</t>
  </si>
  <si>
    <t>Thửa 47, tờ 45</t>
  </si>
  <si>
    <t>Cao Thị Nhượng</t>
  </si>
  <si>
    <t>Thửa 90, tờ 30</t>
  </si>
  <si>
    <t>Lê Đình Giống</t>
  </si>
  <si>
    <t>Thửa 130, tờ 30</t>
  </si>
  <si>
    <t>Trần Văn Tâm</t>
  </si>
  <si>
    <t>Thửa 103, tờ 31</t>
  </si>
  <si>
    <t>Nguyễn Đức Mạnh</t>
  </si>
  <si>
    <t>Thửa 112, tờ 30</t>
  </si>
  <si>
    <t>Thửa 17, tờ 36</t>
  </si>
  <si>
    <t>Thửa 42, tờ 34</t>
  </si>
  <si>
    <t>Trần Thanh Hùng</t>
  </si>
  <si>
    <t>Thửa 125, tờ 28</t>
  </si>
  <si>
    <t>Nguyễn Thị Nốp</t>
  </si>
  <si>
    <t>Thửa 18, tờ 30</t>
  </si>
  <si>
    <t>Thửa 380, tờ 16</t>
  </si>
  <si>
    <t>Nguyễn Văn Sáu</t>
  </si>
  <si>
    <t>Nguyễn Thị Thìn</t>
  </si>
  <si>
    <t>Thửa 110, tờ 30</t>
  </si>
  <si>
    <t>Điểu Treo</t>
  </si>
  <si>
    <t>Thửa 449, tờ 23</t>
  </si>
  <si>
    <t>Thửa 358, tờ 16</t>
  </si>
  <si>
    <t>Thửa 359, tờ 16</t>
  </si>
  <si>
    <t>Thửa 22, tờ 36</t>
  </si>
  <si>
    <t>Thửa 74, tờ 36</t>
  </si>
  <si>
    <t>Thửa 147, tờ 16</t>
  </si>
  <si>
    <t>Lê Thanh Bình</t>
  </si>
  <si>
    <t>Thửa 30, tờ 16</t>
  </si>
  <si>
    <t>Đỗ Thái Thanh</t>
  </si>
  <si>
    <t>Thửa 33, tờ 16</t>
  </si>
  <si>
    <t>Thửa 146, tờ 16</t>
  </si>
  <si>
    <t>Trần Quốc Duẩn</t>
  </si>
  <si>
    <t>Trần Thị Thanh Huệ</t>
  </si>
  <si>
    <t>Thửa 08, tờ 33</t>
  </si>
  <si>
    <t>Thửa 206, tờ 30</t>
  </si>
  <si>
    <t>Thửa 207, tờ 30</t>
  </si>
  <si>
    <t>Thượng Văn Kết</t>
  </si>
  <si>
    <t>Thửa 428, tờ 23</t>
  </si>
  <si>
    <t>Nguyễn Văn Gia</t>
  </si>
  <si>
    <t>Thửa 233, tờ 28</t>
  </si>
  <si>
    <t>Ngô Thị Mai</t>
  </si>
  <si>
    <t>Thửa 185, tờ 30</t>
  </si>
  <si>
    <t>Điểu Đảng</t>
  </si>
  <si>
    <t>Trần Thị Kim Sa</t>
  </si>
  <si>
    <t>Thửa 173, tờ 36</t>
  </si>
  <si>
    <t>Thửa 43, tờ 35</t>
  </si>
  <si>
    <t>Nguyễn Văn Rán</t>
  </si>
  <si>
    <t>Thửa 40, tờ 31</t>
  </si>
  <si>
    <t>Thửa 31, tờ 27</t>
  </si>
  <si>
    <t>Huỳnh Văn Chiêm</t>
  </si>
  <si>
    <t>Thửa 135, tờ 27</t>
  </si>
  <si>
    <t>Nguyễn Thanh Vinh</t>
  </si>
  <si>
    <t>Đặng Bảo Vy</t>
  </si>
  <si>
    <t>Thửa 159, tờ 36</t>
  </si>
  <si>
    <t>Nguyễn Văn San</t>
  </si>
  <si>
    <t>Thửa 175, tờ 36</t>
  </si>
  <si>
    <t>Thửa 37, tờ 34</t>
  </si>
  <si>
    <t>Lưu Thị Hiền</t>
  </si>
  <si>
    <t>Thửa 34, tờ 33</t>
  </si>
  <si>
    <t>Thửa 198, tờ 23</t>
  </si>
  <si>
    <t>Thị Hồng</t>
  </si>
  <si>
    <t>Võ Thị Linh</t>
  </si>
  <si>
    <t>Điểu Nia</t>
  </si>
  <si>
    <t>Thửa 315, tờ 16</t>
  </si>
  <si>
    <t>Hoàng Thị Phi Loan</t>
  </si>
  <si>
    <t>Thửa 58, tờ 41</t>
  </si>
  <si>
    <t>Lê Quốc Công</t>
  </si>
  <si>
    <t>Thửa 210, tờ 28</t>
  </si>
  <si>
    <t>Phạm Đức Vũ</t>
  </si>
  <si>
    <t>Thửa 150, tờ 36</t>
  </si>
  <si>
    <t>Nguyễn Văn Hoài</t>
  </si>
  <si>
    <t>Thửa 164, tờ 46</t>
  </si>
  <si>
    <t>Thị Nánh</t>
  </si>
  <si>
    <t>Thửa 383, tờ 16</t>
  </si>
  <si>
    <t>Điểu Truyền</t>
  </si>
  <si>
    <t>Thửa 307, tờ 23</t>
  </si>
  <si>
    <t>Thửa 426, tờ 23</t>
  </si>
  <si>
    <t>Thửa 29, tờ 33</t>
  </si>
  <si>
    <t>Trần Thị Hiền</t>
  </si>
  <si>
    <t>Thửa 45, tờ 28</t>
  </si>
  <si>
    <t>Điểu Vương</t>
  </si>
  <si>
    <t>Thửa 450, tờ 23</t>
  </si>
  <si>
    <t>Danh Tiền</t>
  </si>
  <si>
    <t>Thửa 219, tờ 23</t>
  </si>
  <si>
    <t>Thửa 442, tờ 23</t>
  </si>
  <si>
    <t>Sum of TNG4</t>
  </si>
  <si>
    <t>MA_QH</t>
  </si>
  <si>
    <t>MA_HT</t>
  </si>
  <si>
    <t>CAN</t>
  </si>
  <si>
    <t>CSD</t>
  </si>
  <si>
    <t>DBV</t>
  </si>
  <si>
    <t>DDL</t>
  </si>
  <si>
    <t>DDT</t>
  </si>
  <si>
    <t>DHT</t>
  </si>
  <si>
    <t>DKV</t>
  </si>
  <si>
    <t>DNG</t>
  </si>
  <si>
    <t>DRA</t>
  </si>
  <si>
    <t>DSH</t>
  </si>
  <si>
    <t>DTS</t>
  </si>
  <si>
    <t>DTT</t>
  </si>
  <si>
    <t>DXH</t>
  </si>
  <si>
    <t>DYT</t>
  </si>
  <si>
    <t>LMU</t>
  </si>
  <si>
    <t>LUA</t>
  </si>
  <si>
    <t>LUC</t>
  </si>
  <si>
    <t>LUN</t>
  </si>
  <si>
    <t>MNC</t>
  </si>
  <si>
    <t>NCK</t>
  </si>
  <si>
    <t>NNP</t>
  </si>
  <si>
    <t>PNN</t>
  </si>
  <si>
    <t>RDD</t>
  </si>
  <si>
    <t>RPH</t>
  </si>
  <si>
    <t>RSX</t>
  </si>
  <si>
    <t>SKT</t>
  </si>
  <si>
    <t>SON</t>
  </si>
  <si>
    <t>TIN</t>
  </si>
  <si>
    <t>(blank)</t>
  </si>
  <si>
    <t>DKG</t>
  </si>
  <si>
    <t>Grand Total</t>
  </si>
  <si>
    <t>Sum of XBC4</t>
  </si>
  <si>
    <t>Sum of XBB4</t>
  </si>
  <si>
    <t>Sum of XBG4</t>
  </si>
  <si>
    <t>Sum of XBT4</t>
  </si>
  <si>
    <t>Sum of XCB4</t>
  </si>
  <si>
    <t>Sum of XDB4</t>
  </si>
  <si>
    <t>Sum of XKL4</t>
  </si>
  <si>
    <t>Sum of XLL4</t>
  </si>
  <si>
    <t>Sum of XNT4</t>
  </si>
  <si>
    <t>Sum of XQT4</t>
  </si>
  <si>
    <t>Sum of XSB4</t>
  </si>
  <si>
    <t>Sum of XSN4</t>
  </si>
  <si>
    <t>Sum of XSR4</t>
  </si>
  <si>
    <t>Sum of XXB4</t>
  </si>
  <si>
    <t>Sum of XXS4</t>
  </si>
  <si>
    <t>Sum of CMD 16</t>
  </si>
  <si>
    <t>Biểu 09/CH-KH</t>
  </si>
  <si>
    <t>Đơn vị tính: ha</t>
  </si>
  <si>
    <t>Mục đích</t>
  </si>
  <si>
    <t>Mã đất</t>
  </si>
  <si>
    <t>Lấy vào các loại đất</t>
  </si>
  <si>
    <t>Diện tích năm…</t>
  </si>
  <si>
    <t>Cộng
giảm</t>
  </si>
  <si>
    <t>Biến
động</t>
  </si>
  <si>
    <t>DIỆN TÍCH TỰ NHIÊN</t>
  </si>
  <si>
    <t>Đất nông nghiệp</t>
  </si>
  <si>
    <t>Đất trồng lúa</t>
  </si>
  <si>
    <t>- Đất chuyên trồng lúa nước</t>
  </si>
  <si>
    <t>- Đất trồng lúa khác</t>
  </si>
  <si>
    <t>- Đất trồng lúa nương</t>
  </si>
  <si>
    <t>Đất trồng cây hàng năm còn lại</t>
  </si>
  <si>
    <t>1.3</t>
  </si>
  <si>
    <t>Đất trồng cây lâu năm</t>
  </si>
  <si>
    <t>1.4</t>
  </si>
  <si>
    <t>Đất rừng sản xuất</t>
  </si>
  <si>
    <t>1.5</t>
  </si>
  <si>
    <t>Đất rừng phòng hộ</t>
  </si>
  <si>
    <t>1.6</t>
  </si>
  <si>
    <t>Đất trồng rừng đặc dụng</t>
  </si>
  <si>
    <t>1.7</t>
  </si>
  <si>
    <t>Đất nuôi trồng thủy sản</t>
  </si>
  <si>
    <t>1.8</t>
  </si>
  <si>
    <t>Đất làm muối</t>
  </si>
  <si>
    <t>1.9</t>
  </si>
  <si>
    <t>Đất nông nghiệp khác</t>
  </si>
  <si>
    <t>Đất phi nông nghiệp</t>
  </si>
  <si>
    <t>Đất quốc phòng</t>
  </si>
  <si>
    <t>Đất an ninh</t>
  </si>
  <si>
    <t>2.3</t>
  </si>
  <si>
    <t>Đất khu công nghiệp</t>
  </si>
  <si>
    <t>2.4</t>
  </si>
  <si>
    <t>Đất khu chế xuất</t>
  </si>
  <si>
    <t>2.5</t>
  </si>
  <si>
    <t>Đất cụm công nghiệp</t>
  </si>
  <si>
    <t>2.6</t>
  </si>
  <si>
    <t>Đất thương mại, dịch vụ</t>
  </si>
  <si>
    <t>2.7</t>
  </si>
  <si>
    <t>Đất cơ sở sản xuất phi nông nghiệp</t>
  </si>
  <si>
    <t>2.8</t>
  </si>
  <si>
    <t>Đất cho hoạt động khoáng sản</t>
  </si>
  <si>
    <t>2.9</t>
  </si>
  <si>
    <t>Đất phát triển hạ tầng cấp quốc gia, cấp tỉnh, cấp huyện, cấp xã</t>
  </si>
  <si>
    <t>2.14.1</t>
  </si>
  <si>
    <t>Giao thông</t>
  </si>
  <si>
    <t>2.14.2</t>
  </si>
  <si>
    <t>Thủy lợi</t>
  </si>
  <si>
    <t>2.14.3</t>
  </si>
  <si>
    <t>Công trình năng lượng</t>
  </si>
  <si>
    <t>2.14.4</t>
  </si>
  <si>
    <t>Bưu chính viễn thông</t>
  </si>
  <si>
    <t>2.14.5</t>
  </si>
  <si>
    <t>Văn hóa</t>
  </si>
  <si>
    <t>2.14.6</t>
  </si>
  <si>
    <t>Y tế</t>
  </si>
  <si>
    <t>2.14.7</t>
  </si>
  <si>
    <t>Giáo dục đào tạo</t>
  </si>
  <si>
    <t>2.14.8</t>
  </si>
  <si>
    <t>Thể dục thể thao</t>
  </si>
  <si>
    <t>2.14.9</t>
  </si>
  <si>
    <t>Nghiên cứu khoa học</t>
  </si>
  <si>
    <t>2.14.10</t>
  </si>
  <si>
    <t>Dịch vụ xã hội</t>
  </si>
  <si>
    <t>2.14.11</t>
  </si>
  <si>
    <t>Chợ</t>
  </si>
  <si>
    <t>2.14.12</t>
  </si>
  <si>
    <t>Đất xây dựng kho dự trữ quốc gia</t>
  </si>
  <si>
    <t>2.10</t>
  </si>
  <si>
    <t>Đất di tích lịch sử -văn hóa</t>
  </si>
  <si>
    <t>2.11</t>
  </si>
  <si>
    <t>Đất danh lam thắng cảnh</t>
  </si>
  <si>
    <t>2.12</t>
  </si>
  <si>
    <t>Đất bãi thải xử lý chất thải</t>
  </si>
  <si>
    <t>2.13</t>
  </si>
  <si>
    <t>Đất ở tại nông thôn</t>
  </si>
  <si>
    <t>2.14</t>
  </si>
  <si>
    <t>Đất ở tại đô thị</t>
  </si>
  <si>
    <t>2.15</t>
  </si>
  <si>
    <t>Đất xây dựng trụ sở cơ quan</t>
  </si>
  <si>
    <t>2.16</t>
  </si>
  <si>
    <t>Đất xây dựng trụ sở tổ chức sự nghiệp</t>
  </si>
  <si>
    <t>2.17</t>
  </si>
  <si>
    <t>Đất xây dựng cơ sở ngoại giao</t>
  </si>
  <si>
    <t>2.18</t>
  </si>
  <si>
    <t>Đất cơ sở tôn giáo</t>
  </si>
  <si>
    <t>2.19</t>
  </si>
  <si>
    <t>Đất làm nghĩa trang, nghĩa địa, nhà tang lễ, nhà hỏa táng</t>
  </si>
  <si>
    <t>2.20</t>
  </si>
  <si>
    <t>Đất sản xuất vật liệu xây dựng, làm đồ gốm</t>
  </si>
  <si>
    <t>2.21</t>
  </si>
  <si>
    <t>Đất sinh hoạt cộng đồng</t>
  </si>
  <si>
    <t>2.22</t>
  </si>
  <si>
    <t>Đất khu vui chơi, giải trí công cộng</t>
  </si>
  <si>
    <t>2.23</t>
  </si>
  <si>
    <t>Đất cơ sở tín ngưỡng</t>
  </si>
  <si>
    <t>2.24</t>
  </si>
  <si>
    <t>Đất sông, ngòi, kênh, rạch, suối</t>
  </si>
  <si>
    <t>2.25</t>
  </si>
  <si>
    <t>Đất mặt nước chuyên dùng</t>
  </si>
  <si>
    <t>2.26</t>
  </si>
  <si>
    <t>Đất phi nông nghiệp khác</t>
  </si>
  <si>
    <t>3</t>
  </si>
  <si>
    <t>Đất chưa sử dụng</t>
  </si>
  <si>
    <t>Cộng tăng</t>
  </si>
  <si>
    <t>dd</t>
  </si>
</sst>
</file>

<file path=xl/styles.xml><?xml version="1.0" encoding="utf-8"?>
<styleSheet xmlns="http://schemas.openxmlformats.org/spreadsheetml/2006/main">
  <numFmts count="16">
    <numFmt numFmtId="176" formatCode="_(* #,##0.00_);_(* \(#,##0.00\);_(* &quot;-&quot;??_);_(@_)"/>
    <numFmt numFmtId="177" formatCode="&quot;\&quot;#,##0.00;[Red]&quot;\&quot;&quot;\&quot;&quot;\&quot;&quot;\&quot;&quot;\&quot;&quot;\&quot;\-#,##0.00"/>
    <numFmt numFmtId="178" formatCode="_-* #,##0\ &quot;₫&quot;_-;\-* #,##0\ &quot;₫&quot;_-;_-* &quot;-&quot;\ &quot;₫&quot;_-;_-@_-"/>
    <numFmt numFmtId="179" formatCode="_-* #,##0.00\ &quot;₫&quot;_-;\-* #,##0.00\ &quot;₫&quot;_-;_-* &quot;-&quot;??\ &quot;₫&quot;_-;_-@_-"/>
    <numFmt numFmtId="180" formatCode="\$#,##0\ ;\(\$#,##0\)"/>
    <numFmt numFmtId="181" formatCode="#,##0.000"/>
    <numFmt numFmtId="182" formatCode="_-* #,##0.000\ _₫_-;\-* #,##0.000\ _₫_-;_-* &quot;-&quot;???\ _₫_-;_-@_-"/>
    <numFmt numFmtId="183" formatCode="_ * #,##0_ ;_ * \-#,##0_ ;_ * &quot;-&quot;_ ;_ @_ "/>
    <numFmt numFmtId="184" formatCode="&quot;\&quot;#,##0;[Red]&quot;\&quot;\-#,##0"/>
    <numFmt numFmtId="185" formatCode="&quot;\&quot;#,##0;[Red]&quot;\&quot;&quot;\&quot;\-#,##0"/>
    <numFmt numFmtId="186" formatCode="&quot;\&quot;#,##0.00;[Red]&quot;\&quot;\-#,##0.00"/>
    <numFmt numFmtId="187" formatCode="#,##0.0000"/>
    <numFmt numFmtId="188" formatCode="_ * #,##0.00_ ;_ * \-#,##0.00_ ;_ * &quot;-&quot;??_ ;_ @_ "/>
    <numFmt numFmtId="189" formatCode="0.0000"/>
    <numFmt numFmtId="190" formatCode="_(* #,##0.0000_);_(* \(#,##0.0000\);_(* &quot;-&quot;????_);_(@_)"/>
    <numFmt numFmtId="191" formatCode="_(* #,##0.000_);_(* \(#,##0.000\);_(* &quot;-&quot;??_);_(@_)"/>
  </numFmts>
  <fonts count="62">
    <font>
      <sz val="11"/>
      <color theme="1"/>
      <name val="Arial"/>
      <charset val="134"/>
    </font>
    <font>
      <b/>
      <sz val="9"/>
      <name val="Times New Roman"/>
      <charset val="134"/>
    </font>
    <font>
      <sz val="9"/>
      <name val="Arial"/>
      <charset val="163"/>
    </font>
    <font>
      <b/>
      <sz val="9"/>
      <name val="Arial"/>
      <charset val="163"/>
    </font>
    <font>
      <i/>
      <sz val="9"/>
      <name val="Arial"/>
      <charset val="163"/>
    </font>
    <font>
      <sz val="9"/>
      <name val="Times New Roman"/>
      <charset val="134"/>
    </font>
    <font>
      <b/>
      <sz val="9"/>
      <name val="VNI-Helve-Condense"/>
      <charset val="134"/>
    </font>
    <font>
      <sz val="9"/>
      <name val="VNI-Helve-Condense"/>
      <charset val="134"/>
    </font>
    <font>
      <i/>
      <sz val="9"/>
      <name val="Times New Roman"/>
      <charset val="134"/>
    </font>
    <font>
      <b/>
      <sz val="11"/>
      <name val="Times New Roman"/>
      <charset val="134"/>
    </font>
    <font>
      <sz val="11"/>
      <name val="Times New Roman"/>
      <charset val="134"/>
    </font>
    <font>
      <b/>
      <sz val="10"/>
      <name val="Times New Roman"/>
      <charset val="134"/>
    </font>
    <font>
      <b/>
      <i/>
      <sz val="9"/>
      <name val="Times New Roman"/>
      <charset val="134"/>
    </font>
    <font>
      <sz val="7"/>
      <name val="VNI-Helve-Condense"/>
      <charset val="134"/>
    </font>
    <font>
      <sz val="12"/>
      <name val="Times New Roman"/>
      <charset val="134"/>
    </font>
    <font>
      <b/>
      <sz val="11"/>
      <name val="Times New Roman"/>
      <charset val="134"/>
    </font>
    <font>
      <sz val="10"/>
      <name val="Times New Roman"/>
      <charset val="134"/>
    </font>
    <font>
      <sz val="11"/>
      <name val="Times New Roman"/>
      <charset val="134"/>
    </font>
    <font>
      <b/>
      <sz val="12"/>
      <name val="Times New Roman"/>
      <charset val="134"/>
    </font>
    <font>
      <b/>
      <sz val="10"/>
      <name val="Times New Roman"/>
      <charset val="134"/>
    </font>
    <font>
      <sz val="8"/>
      <name val="Times New Roman"/>
      <charset val="134"/>
    </font>
    <font>
      <b/>
      <sz val="10"/>
      <color theme="1"/>
      <name val="Times New Roman"/>
      <charset val="134"/>
    </font>
    <font>
      <sz val="10"/>
      <color theme="1"/>
      <name val="Times New Roman"/>
      <charset val="134"/>
    </font>
    <font>
      <b/>
      <i/>
      <sz val="10"/>
      <color theme="1"/>
      <name val="Times New Roman"/>
      <charset val="134"/>
    </font>
    <font>
      <i/>
      <sz val="10"/>
      <color theme="1"/>
      <name val="Times New Roman"/>
      <charset val="134"/>
    </font>
    <font>
      <sz val="10"/>
      <color rgb="FFFF0000"/>
      <name val="Times New Roman"/>
      <charset val="134"/>
    </font>
    <font>
      <sz val="11"/>
      <color rgb="FF0061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name val="Arial"/>
      <charset val="134"/>
    </font>
    <font>
      <sz val="11"/>
      <name val="UVnTime"/>
      <charset val="134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sz val="11"/>
      <color rgb="FFFF0000"/>
      <name val="Calibri"/>
      <charset val="0"/>
      <scheme val="minor"/>
    </font>
    <font>
      <sz val="13"/>
      <color theme="1"/>
      <name val="Times New Roman"/>
      <charset val="134"/>
    </font>
    <font>
      <sz val="14"/>
      <name val="??"/>
      <charset val="129"/>
    </font>
    <font>
      <sz val="11"/>
      <color indexed="8"/>
      <name val="Calibri"/>
      <charset val="134"/>
    </font>
    <font>
      <i/>
      <sz val="11"/>
      <color rgb="FF7F7F7F"/>
      <name val="Calibri"/>
      <charset val="0"/>
      <scheme val="minor"/>
    </font>
    <font>
      <b/>
      <sz val="18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2"/>
      <name val="Arial"/>
      <charset val="134"/>
    </font>
    <font>
      <b/>
      <sz val="11"/>
      <color rgb="FFFFFFFF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theme="1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2"/>
      <name val="바탕체"/>
      <charset val="129"/>
    </font>
    <font>
      <sz val="10"/>
      <name val=".VnTime"/>
      <charset val="134"/>
    </font>
    <font>
      <sz val="10"/>
      <name val="???"/>
      <charset val="129"/>
    </font>
    <font>
      <sz val="10"/>
      <name val="Arial"/>
      <charset val="163"/>
    </font>
    <font>
      <sz val="12"/>
      <name val="VNI-Times"/>
      <charset val="134"/>
    </font>
    <font>
      <sz val="11"/>
      <color theme="1"/>
      <name val="Calibri"/>
      <charset val="134"/>
    </font>
    <font>
      <sz val="11"/>
      <color theme="1"/>
      <name val="Times New Roman"/>
      <charset val="134"/>
    </font>
    <font>
      <sz val="14"/>
      <name val="뼻뮝"/>
      <charset val="129"/>
    </font>
    <font>
      <sz val="12"/>
      <name val="뼻뮝"/>
      <charset val="129"/>
    </font>
    <font>
      <sz val="10"/>
      <name val="굴림체"/>
      <charset val="129"/>
    </font>
  </fonts>
  <fills count="4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106">
    <xf numFmtId="0" fontId="0" fillId="0" borderId="0"/>
    <xf numFmtId="0" fontId="32" fillId="15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/>
    <xf numFmtId="183" fontId="28" fillId="0" borderId="0" applyFont="0" applyFill="0" applyBorder="0" applyAlignment="0" applyProtection="0">
      <alignment vertical="center"/>
    </xf>
    <xf numFmtId="178" fontId="28" fillId="0" borderId="0" applyFont="0" applyFill="0" applyBorder="0" applyAlignment="0" applyProtection="0">
      <alignment vertical="center"/>
    </xf>
    <xf numFmtId="179" fontId="28" fillId="0" borderId="0" applyFont="0" applyFill="0" applyBorder="0" applyAlignment="0" applyProtection="0">
      <alignment vertical="center"/>
    </xf>
    <xf numFmtId="40" fontId="38" fillId="0" borderId="0" applyFont="0" applyFill="0" applyBorder="0" applyAlignment="0" applyProtection="0"/>
    <xf numFmtId="9" fontId="28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/>
    <xf numFmtId="0" fontId="31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0" borderId="0" applyFont="0" applyFill="0" applyBorder="0" applyAlignment="0" applyProtection="0"/>
    <xf numFmtId="0" fontId="45" fillId="25" borderId="24" applyNumberFormat="0" applyAlignment="0" applyProtection="0">
      <alignment vertical="center"/>
    </xf>
    <xf numFmtId="0" fontId="43" fillId="0" borderId="20" applyNumberFormat="0" applyFill="0" applyAlignment="0" applyProtection="0">
      <alignment vertical="center"/>
    </xf>
    <xf numFmtId="0" fontId="28" fillId="20" borderId="22" applyNumberFormat="0" applyFont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47" fillId="0" borderId="2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33" borderId="21" applyNumberFormat="0" applyAlignment="0" applyProtection="0">
      <alignment vertical="center"/>
    </xf>
    <xf numFmtId="3" fontId="29" fillId="0" borderId="0" applyFont="0" applyFill="0" applyBorder="0" applyAlignment="0" applyProtection="0"/>
    <xf numFmtId="0" fontId="31" fillId="28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1" fillId="18" borderId="28" applyNumberFormat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4" fillId="18" borderId="21" applyNumberFormat="0" applyAlignment="0" applyProtection="0">
      <alignment vertical="center"/>
    </xf>
    <xf numFmtId="0" fontId="50" fillId="0" borderId="27" applyNumberFormat="0" applyFill="0" applyAlignment="0" applyProtection="0">
      <alignment vertical="center"/>
    </xf>
    <xf numFmtId="0" fontId="48" fillId="0" borderId="26" applyNumberFormat="0" applyFill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2" fontId="29" fillId="0" borderId="0" applyFont="0" applyFill="0" applyBorder="0" applyAlignment="0" applyProtection="0"/>
    <xf numFmtId="0" fontId="31" fillId="14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53" fillId="0" borderId="0"/>
    <xf numFmtId="38" fontId="38" fillId="0" borderId="0" applyFont="0" applyFill="0" applyBorder="0" applyAlignment="0" applyProtection="0"/>
    <xf numFmtId="0" fontId="32" fillId="4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180" fontId="29" fillId="0" borderId="0" applyFont="0" applyFill="0" applyBorder="0" applyAlignment="0" applyProtection="0"/>
    <xf numFmtId="0" fontId="31" fillId="2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177" fontId="29" fillId="0" borderId="0" applyFont="0" applyFill="0" applyBorder="0" applyAlignment="0" applyProtection="0"/>
    <xf numFmtId="0" fontId="38" fillId="0" borderId="0" applyFont="0" applyFill="0" applyBorder="0" applyAlignment="0" applyProtection="0"/>
    <xf numFmtId="185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0" fontId="54" fillId="0" borderId="0"/>
    <xf numFmtId="0" fontId="44" fillId="0" borderId="23" applyNumberFormat="0" applyAlignment="0" applyProtection="0">
      <alignment horizontal="left" vertical="center"/>
    </xf>
    <xf numFmtId="0" fontId="44" fillId="0" borderId="5">
      <alignment horizontal="left" vertical="center"/>
    </xf>
    <xf numFmtId="0" fontId="37" fillId="0" borderId="0"/>
    <xf numFmtId="0" fontId="39" fillId="0" borderId="0"/>
    <xf numFmtId="0" fontId="37" fillId="0" borderId="0"/>
    <xf numFmtId="0" fontId="2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5" fillId="0" borderId="0"/>
    <xf numFmtId="0" fontId="30" fillId="0" borderId="0"/>
    <xf numFmtId="0" fontId="28" fillId="0" borderId="0"/>
    <xf numFmtId="0" fontId="29" fillId="0" borderId="0"/>
    <xf numFmtId="0" fontId="28" fillId="0" borderId="0"/>
    <xf numFmtId="0" fontId="37" fillId="0" borderId="0"/>
    <xf numFmtId="0" fontId="37" fillId="0" borderId="0"/>
    <xf numFmtId="0" fontId="37" fillId="0" borderId="0"/>
    <xf numFmtId="184" fontId="52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6" fillId="0" borderId="0"/>
    <xf numFmtId="0" fontId="37" fillId="0" borderId="0"/>
    <xf numFmtId="0" fontId="37" fillId="0" borderId="0"/>
    <xf numFmtId="0" fontId="29" fillId="0" borderId="0"/>
    <xf numFmtId="0" fontId="57" fillId="0" borderId="0"/>
    <xf numFmtId="0" fontId="57" fillId="0" borderId="0"/>
    <xf numFmtId="0" fontId="29" fillId="0" borderId="0"/>
    <xf numFmtId="0" fontId="58" fillId="0" borderId="0"/>
    <xf numFmtId="40" fontId="59" fillId="0" borderId="0" applyFont="0" applyFill="0" applyBorder="0" applyAlignment="0" applyProtection="0"/>
    <xf numFmtId="38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10" fontId="29" fillId="0" borderId="0" applyFont="0" applyFill="0" applyBorder="0" applyAlignment="0" applyProtection="0"/>
    <xf numFmtId="0" fontId="60" fillId="0" borderId="0"/>
    <xf numFmtId="185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86" fontId="52" fillId="0" borderId="0" applyFont="0" applyFill="0" applyBorder="0" applyAlignment="0" applyProtection="0"/>
    <xf numFmtId="0" fontId="61" fillId="0" borderId="0"/>
  </cellStyleXfs>
  <cellXfs count="309">
    <xf numFmtId="0" fontId="0" fillId="0" borderId="0" xfId="0"/>
    <xf numFmtId="0" fontId="1" fillId="0" borderId="0" xfId="44" applyFont="1" applyFill="1" applyAlignment="1">
      <alignment vertical="center"/>
    </xf>
    <xf numFmtId="0" fontId="2" fillId="0" borderId="0" xfId="73" applyFont="1"/>
    <xf numFmtId="0" fontId="3" fillId="0" borderId="0" xfId="73" applyFont="1"/>
    <xf numFmtId="0" fontId="4" fillId="0" borderId="0" xfId="73" applyFont="1"/>
    <xf numFmtId="0" fontId="4" fillId="0" borderId="0" xfId="73" applyFont="1" applyBorder="1"/>
    <xf numFmtId="0" fontId="2" fillId="0" borderId="0" xfId="73" applyFont="1" applyBorder="1"/>
    <xf numFmtId="0" fontId="5" fillId="0" borderId="0" xfId="44" applyFont="1" applyFill="1" applyAlignment="1">
      <alignment vertical="center"/>
    </xf>
    <xf numFmtId="176" fontId="5" fillId="0" borderId="0" xfId="44" applyNumberFormat="1" applyFont="1" applyFill="1" applyAlignment="1">
      <alignment vertical="center"/>
    </xf>
    <xf numFmtId="176" fontId="1" fillId="0" borderId="0" xfId="44" applyNumberFormat="1" applyFont="1" applyFill="1" applyAlignment="1">
      <alignment vertical="center"/>
    </xf>
    <xf numFmtId="176" fontId="6" fillId="0" borderId="0" xfId="44" applyNumberFormat="1" applyFont="1" applyFill="1" applyAlignment="1">
      <alignment vertical="center"/>
    </xf>
    <xf numFmtId="176" fontId="7" fillId="0" borderId="0" xfId="44" applyNumberFormat="1" applyFont="1" applyFill="1" applyAlignment="1">
      <alignment vertical="center"/>
    </xf>
    <xf numFmtId="176" fontId="8" fillId="0" borderId="0" xfId="44" applyNumberFormat="1" applyFont="1" applyFill="1" applyAlignment="1">
      <alignment vertical="center"/>
    </xf>
    <xf numFmtId="187" fontId="5" fillId="0" borderId="0" xfId="44" applyNumberFormat="1" applyFont="1" applyFill="1" applyAlignment="1">
      <alignment vertical="center"/>
    </xf>
    <xf numFmtId="0" fontId="9" fillId="0" borderId="0" xfId="73" applyFont="1" applyFill="1" applyAlignment="1">
      <alignment vertical="center"/>
    </xf>
    <xf numFmtId="0" fontId="10" fillId="0" borderId="0" xfId="44" applyFont="1" applyFill="1" applyAlignment="1">
      <alignment vertical="center"/>
    </xf>
    <xf numFmtId="0" fontId="9" fillId="0" borderId="0" xfId="44" applyFont="1" applyFill="1" applyAlignment="1">
      <alignment horizontal="left" vertical="center"/>
    </xf>
    <xf numFmtId="176" fontId="9" fillId="0" borderId="0" xfId="44" applyNumberFormat="1" applyFont="1" applyFill="1" applyAlignment="1">
      <alignment horizontal="center" vertical="center"/>
    </xf>
    <xf numFmtId="176" fontId="1" fillId="0" borderId="0" xfId="44" applyNumberFormat="1" applyFont="1" applyFill="1" applyAlignment="1">
      <alignment horizontal="center" vertical="center"/>
    </xf>
    <xf numFmtId="0" fontId="11" fillId="0" borderId="0" xfId="44" applyFont="1" applyFill="1" applyAlignment="1">
      <alignment vertical="center"/>
    </xf>
    <xf numFmtId="176" fontId="1" fillId="0" borderId="1" xfId="44" applyNumberFormat="1" applyFont="1" applyFill="1" applyBorder="1" applyAlignment="1">
      <alignment vertical="center"/>
    </xf>
    <xf numFmtId="4" fontId="1" fillId="0" borderId="2" xfId="73" applyNumberFormat="1" applyFont="1" applyBorder="1" applyAlignment="1">
      <alignment horizontal="center" vertical="center"/>
    </xf>
    <xf numFmtId="176" fontId="5" fillId="0" borderId="3" xfId="73" applyNumberFormat="1" applyFont="1" applyFill="1" applyBorder="1" applyAlignment="1">
      <alignment vertical="center"/>
    </xf>
    <xf numFmtId="176" fontId="1" fillId="0" borderId="4" xfId="73" applyNumberFormat="1" applyFont="1" applyFill="1" applyBorder="1" applyAlignment="1">
      <alignment vertical="center"/>
    </xf>
    <xf numFmtId="176" fontId="5" fillId="0" borderId="5" xfId="73" applyNumberFormat="1" applyFont="1" applyFill="1" applyBorder="1" applyAlignment="1">
      <alignment vertical="center"/>
    </xf>
    <xf numFmtId="4" fontId="1" fillId="0" borderId="6" xfId="73" applyNumberFormat="1" applyFont="1" applyBorder="1" applyAlignment="1">
      <alignment horizontal="center" vertical="center"/>
    </xf>
    <xf numFmtId="176" fontId="5" fillId="2" borderId="3" xfId="73" applyNumberFormat="1" applyFont="1" applyFill="1" applyBorder="1" applyAlignment="1">
      <alignment horizontal="center" vertical="center" wrapText="1"/>
    </xf>
    <xf numFmtId="176" fontId="1" fillId="3" borderId="3" xfId="73" applyNumberFormat="1" applyFont="1" applyFill="1" applyBorder="1" applyAlignment="1">
      <alignment horizontal="center" vertical="center" wrapText="1"/>
    </xf>
    <xf numFmtId="176" fontId="5" fillId="4" borderId="3" xfId="73" applyNumberFormat="1" applyFont="1" applyFill="1" applyBorder="1" applyAlignment="1">
      <alignment horizontal="center" vertical="center" wrapText="1"/>
    </xf>
    <xf numFmtId="176" fontId="5" fillId="5" borderId="3" xfId="73" applyNumberFormat="1" applyFont="1" applyFill="1" applyBorder="1" applyAlignment="1">
      <alignment horizontal="center" vertical="center" wrapText="1"/>
    </xf>
    <xf numFmtId="4" fontId="1" fillId="6" borderId="3" xfId="73" applyNumberFormat="1" applyFont="1" applyFill="1" applyBorder="1" applyAlignment="1">
      <alignment vertical="center"/>
    </xf>
    <xf numFmtId="4" fontId="1" fillId="6" borderId="3" xfId="73" applyNumberFormat="1" applyFont="1" applyFill="1" applyBorder="1" applyAlignment="1">
      <alignment horizontal="center" vertical="center"/>
    </xf>
    <xf numFmtId="176" fontId="1" fillId="2" borderId="3" xfId="73" applyNumberFormat="1" applyFont="1" applyFill="1" applyBorder="1" applyAlignment="1">
      <alignment vertical="center"/>
    </xf>
    <xf numFmtId="176" fontId="1" fillId="3" borderId="3" xfId="73" applyNumberFormat="1" applyFont="1" applyFill="1" applyBorder="1" applyAlignment="1">
      <alignment vertical="center"/>
    </xf>
    <xf numFmtId="176" fontId="1" fillId="6" borderId="3" xfId="73" applyNumberFormat="1" applyFont="1" applyFill="1" applyBorder="1" applyAlignment="1">
      <alignment vertical="center"/>
    </xf>
    <xf numFmtId="3" fontId="1" fillId="3" borderId="3" xfId="73" applyNumberFormat="1" applyFont="1" applyFill="1" applyBorder="1" applyAlignment="1">
      <alignment vertical="center"/>
    </xf>
    <xf numFmtId="4" fontId="1" fillId="3" borderId="3" xfId="73" applyNumberFormat="1" applyFont="1" applyFill="1" applyBorder="1" applyAlignment="1">
      <alignment vertical="center"/>
    </xf>
    <xf numFmtId="4" fontId="1" fillId="3" borderId="3" xfId="73" applyNumberFormat="1" applyFont="1" applyFill="1" applyBorder="1" applyAlignment="1">
      <alignment horizontal="center" vertical="center"/>
    </xf>
    <xf numFmtId="176" fontId="1" fillId="7" borderId="3" xfId="73" applyNumberFormat="1" applyFont="1" applyFill="1" applyBorder="1" applyAlignment="1">
      <alignment vertical="center"/>
    </xf>
    <xf numFmtId="4" fontId="5" fillId="4" borderId="3" xfId="73" applyNumberFormat="1" applyFont="1" applyFill="1" applyBorder="1" applyAlignment="1">
      <alignment vertical="center"/>
    </xf>
    <xf numFmtId="4" fontId="5" fillId="4" borderId="3" xfId="73" applyNumberFormat="1" applyFont="1" applyFill="1" applyBorder="1" applyAlignment="1">
      <alignment horizontal="center" vertical="center"/>
    </xf>
    <xf numFmtId="176" fontId="5" fillId="2" borderId="3" xfId="73" applyNumberFormat="1" applyFont="1" applyFill="1" applyBorder="1" applyAlignment="1">
      <alignment vertical="center"/>
    </xf>
    <xf numFmtId="176" fontId="1" fillId="3" borderId="3" xfId="73" applyNumberFormat="1" applyFont="1" applyFill="1" applyBorder="1" applyAlignment="1">
      <alignment vertical="center" wrapText="1"/>
    </xf>
    <xf numFmtId="176" fontId="5" fillId="7" borderId="3" xfId="73" applyNumberFormat="1" applyFont="1" applyFill="1" applyBorder="1" applyAlignment="1">
      <alignment vertical="center"/>
    </xf>
    <xf numFmtId="176" fontId="8" fillId="4" borderId="3" xfId="73" applyNumberFormat="1" applyFont="1" applyFill="1" applyBorder="1" applyAlignment="1">
      <alignment vertical="center"/>
    </xf>
    <xf numFmtId="4" fontId="8" fillId="5" borderId="3" xfId="73" applyNumberFormat="1" applyFont="1" applyFill="1" applyBorder="1" applyAlignment="1">
      <alignment vertical="center"/>
    </xf>
    <xf numFmtId="4" fontId="8" fillId="5" borderId="3" xfId="73" applyNumberFormat="1" applyFont="1" applyFill="1" applyBorder="1" applyAlignment="1">
      <alignment horizontal="center" vertical="center"/>
    </xf>
    <xf numFmtId="176" fontId="8" fillId="2" borderId="3" xfId="73" applyNumberFormat="1" applyFont="1" applyFill="1" applyBorder="1" applyAlignment="1">
      <alignment vertical="center"/>
    </xf>
    <xf numFmtId="176" fontId="12" fillId="3" borderId="3" xfId="73" applyNumberFormat="1" applyFont="1" applyFill="1" applyBorder="1" applyAlignment="1">
      <alignment vertical="center" wrapText="1"/>
    </xf>
    <xf numFmtId="176" fontId="8" fillId="7" borderId="3" xfId="73" applyNumberFormat="1" applyFont="1" applyFill="1" applyBorder="1" applyAlignment="1">
      <alignment vertical="center"/>
    </xf>
    <xf numFmtId="176" fontId="8" fillId="0" borderId="3" xfId="73" applyNumberFormat="1" applyFont="1" applyFill="1" applyBorder="1" applyAlignment="1">
      <alignment vertical="center"/>
    </xf>
    <xf numFmtId="188" fontId="13" fillId="0" borderId="7" xfId="44" applyNumberFormat="1" applyFont="1" applyFill="1" applyBorder="1" applyAlignment="1">
      <alignment horizontal="right" vertical="center"/>
    </xf>
    <xf numFmtId="176" fontId="5" fillId="4" borderId="3" xfId="73" applyNumberFormat="1" applyFont="1" applyFill="1" applyBorder="1" applyAlignment="1">
      <alignment vertical="center"/>
    </xf>
    <xf numFmtId="4" fontId="5" fillId="4" borderId="3" xfId="73" applyNumberFormat="1" applyFont="1" applyFill="1" applyBorder="1" applyAlignment="1">
      <alignment horizontal="left" vertical="center"/>
    </xf>
    <xf numFmtId="4" fontId="5" fillId="4" borderId="6" xfId="73" applyNumberFormat="1" applyFont="1" applyFill="1" applyBorder="1" applyAlignment="1">
      <alignment vertical="center"/>
    </xf>
    <xf numFmtId="4" fontId="5" fillId="4" borderId="6" xfId="73" applyNumberFormat="1" applyFont="1" applyFill="1" applyBorder="1" applyAlignment="1">
      <alignment horizontal="left" vertical="center"/>
    </xf>
    <xf numFmtId="4" fontId="5" fillId="4" borderId="6" xfId="73" applyNumberFormat="1" applyFont="1" applyFill="1" applyBorder="1" applyAlignment="1">
      <alignment horizontal="center" vertical="center"/>
    </xf>
    <xf numFmtId="176" fontId="5" fillId="2" borderId="6" xfId="73" applyNumberFormat="1" applyFont="1" applyFill="1" applyBorder="1" applyAlignment="1">
      <alignment vertical="center"/>
    </xf>
    <xf numFmtId="176" fontId="1" fillId="3" borderId="6" xfId="73" applyNumberFormat="1" applyFont="1" applyFill="1" applyBorder="1" applyAlignment="1">
      <alignment vertical="center" wrapText="1"/>
    </xf>
    <xf numFmtId="176" fontId="5" fillId="4" borderId="6" xfId="73" applyNumberFormat="1" applyFont="1" applyFill="1" applyBorder="1" applyAlignment="1">
      <alignment vertical="center"/>
    </xf>
    <xf numFmtId="176" fontId="5" fillId="0" borderId="6" xfId="73" applyNumberFormat="1" applyFont="1" applyFill="1" applyBorder="1" applyAlignment="1">
      <alignment vertical="center"/>
    </xf>
    <xf numFmtId="4" fontId="5" fillId="4" borderId="2" xfId="73" applyNumberFormat="1" applyFont="1" applyFill="1" applyBorder="1" applyAlignment="1">
      <alignment vertical="center"/>
    </xf>
    <xf numFmtId="4" fontId="5" fillId="4" borderId="2" xfId="73" applyNumberFormat="1" applyFont="1" applyFill="1" applyBorder="1" applyAlignment="1">
      <alignment horizontal="left" vertical="center"/>
    </xf>
    <xf numFmtId="4" fontId="5" fillId="4" borderId="2" xfId="73" applyNumberFormat="1" applyFont="1" applyFill="1" applyBorder="1" applyAlignment="1">
      <alignment horizontal="center" vertical="center"/>
    </xf>
    <xf numFmtId="176" fontId="5" fillId="2" borderId="2" xfId="73" applyNumberFormat="1" applyFont="1" applyFill="1" applyBorder="1" applyAlignment="1">
      <alignment vertical="center"/>
    </xf>
    <xf numFmtId="176" fontId="1" fillId="3" borderId="2" xfId="73" applyNumberFormat="1" applyFont="1" applyFill="1" applyBorder="1" applyAlignment="1">
      <alignment vertical="center" wrapText="1"/>
    </xf>
    <xf numFmtId="176" fontId="5" fillId="4" borderId="2" xfId="73" applyNumberFormat="1" applyFont="1" applyFill="1" applyBorder="1" applyAlignment="1">
      <alignment vertical="center"/>
    </xf>
    <xf numFmtId="176" fontId="5" fillId="0" borderId="2" xfId="73" applyNumberFormat="1" applyFont="1" applyFill="1" applyBorder="1" applyAlignment="1">
      <alignment vertical="center"/>
    </xf>
    <xf numFmtId="49" fontId="5" fillId="4" borderId="3" xfId="73" applyNumberFormat="1" applyFont="1" applyFill="1" applyBorder="1" applyAlignment="1">
      <alignment horizontal="center" vertical="center"/>
    </xf>
    <xf numFmtId="0" fontId="5" fillId="4" borderId="3" xfId="73" applyFont="1" applyFill="1" applyBorder="1" applyAlignment="1">
      <alignment vertical="center"/>
    </xf>
    <xf numFmtId="4" fontId="1" fillId="3" borderId="3" xfId="73" applyNumberFormat="1" applyFont="1" applyFill="1" applyBorder="1" applyAlignment="1">
      <alignment horizontal="right" vertical="center"/>
    </xf>
    <xf numFmtId="176" fontId="1" fillId="0" borderId="3" xfId="73" applyNumberFormat="1" applyFont="1" applyFill="1" applyBorder="1" applyAlignment="1">
      <alignment vertical="center"/>
    </xf>
    <xf numFmtId="4" fontId="5" fillId="8" borderId="3" xfId="73" applyNumberFormat="1" applyFont="1" applyFill="1" applyBorder="1" applyAlignment="1">
      <alignment vertical="center"/>
    </xf>
    <xf numFmtId="4" fontId="5" fillId="8" borderId="3" xfId="73" applyNumberFormat="1" applyFont="1" applyFill="1" applyBorder="1" applyAlignment="1">
      <alignment horizontal="center" vertical="center"/>
    </xf>
    <xf numFmtId="176" fontId="5" fillId="8" borderId="3" xfId="73" applyNumberFormat="1" applyFont="1" applyFill="1" applyBorder="1" applyAlignment="1">
      <alignment vertical="center"/>
    </xf>
    <xf numFmtId="176" fontId="1" fillId="8" borderId="3" xfId="73" applyNumberFormat="1" applyFont="1" applyFill="1" applyBorder="1" applyAlignment="1">
      <alignment vertical="center" wrapText="1"/>
    </xf>
    <xf numFmtId="176" fontId="5" fillId="4" borderId="3" xfId="73" applyNumberFormat="1" applyFont="1" applyFill="1" applyBorder="1" applyAlignment="1">
      <alignment horizontal="center" vertical="center"/>
    </xf>
    <xf numFmtId="176" fontId="1" fillId="0" borderId="5" xfId="73" applyNumberFormat="1" applyFont="1" applyFill="1" applyBorder="1" applyAlignment="1">
      <alignment vertical="center"/>
    </xf>
    <xf numFmtId="176" fontId="12" fillId="3" borderId="8" xfId="73" applyNumberFormat="1" applyFont="1" applyFill="1" applyBorder="1" applyAlignment="1">
      <alignment vertical="center" wrapText="1"/>
    </xf>
    <xf numFmtId="176" fontId="12" fillId="3" borderId="2" xfId="73" applyNumberFormat="1" applyFont="1" applyFill="1" applyBorder="1" applyAlignment="1">
      <alignment vertical="center" wrapText="1"/>
    </xf>
    <xf numFmtId="176" fontId="12" fillId="0" borderId="3" xfId="73" applyNumberFormat="1" applyFont="1" applyFill="1" applyBorder="1" applyAlignment="1">
      <alignment vertical="center"/>
    </xf>
    <xf numFmtId="176" fontId="5" fillId="7" borderId="6" xfId="73" applyNumberFormat="1" applyFont="1" applyFill="1" applyBorder="1" applyAlignment="1">
      <alignment vertical="center"/>
    </xf>
    <xf numFmtId="176" fontId="5" fillId="7" borderId="2" xfId="73" applyNumberFormat="1" applyFont="1" applyFill="1" applyBorder="1" applyAlignment="1">
      <alignment vertical="center"/>
    </xf>
    <xf numFmtId="176" fontId="12" fillId="0" borderId="0" xfId="44" applyNumberFormat="1" applyFont="1" applyFill="1" applyAlignment="1">
      <alignment horizontal="center" vertical="center"/>
    </xf>
    <xf numFmtId="176" fontId="12" fillId="0" borderId="1" xfId="44" applyNumberFormat="1" applyFont="1" applyFill="1" applyBorder="1" applyAlignment="1">
      <alignment vertical="center"/>
    </xf>
    <xf numFmtId="176" fontId="8" fillId="0" borderId="5" xfId="73" applyNumberFormat="1" applyFont="1" applyFill="1" applyBorder="1" applyAlignment="1">
      <alignment vertical="center"/>
    </xf>
    <xf numFmtId="176" fontId="12" fillId="6" borderId="3" xfId="73" applyNumberFormat="1" applyFont="1" applyFill="1" applyBorder="1" applyAlignment="1">
      <alignment vertical="center"/>
    </xf>
    <xf numFmtId="176" fontId="1" fillId="4" borderId="3" xfId="73" applyNumberFormat="1" applyFont="1" applyFill="1" applyBorder="1" applyAlignment="1">
      <alignment vertical="center" wrapText="1"/>
    </xf>
    <xf numFmtId="176" fontId="12" fillId="0" borderId="3" xfId="73" applyNumberFormat="1" applyFont="1" applyFill="1" applyBorder="1" applyAlignment="1">
      <alignment vertical="center" wrapText="1"/>
    </xf>
    <xf numFmtId="176" fontId="1" fillId="0" borderId="3" xfId="73" applyNumberFormat="1" applyFont="1" applyFill="1" applyBorder="1" applyAlignment="1">
      <alignment vertical="center" wrapText="1"/>
    </xf>
    <xf numFmtId="176" fontId="1" fillId="0" borderId="6" xfId="73" applyNumberFormat="1" applyFont="1" applyFill="1" applyBorder="1" applyAlignment="1">
      <alignment vertical="center" wrapText="1"/>
    </xf>
    <xf numFmtId="176" fontId="8" fillId="0" borderId="6" xfId="73" applyNumberFormat="1" applyFont="1" applyFill="1" applyBorder="1" applyAlignment="1">
      <alignment vertical="center"/>
    </xf>
    <xf numFmtId="176" fontId="1" fillId="0" borderId="2" xfId="73" applyNumberFormat="1" applyFont="1" applyFill="1" applyBorder="1" applyAlignment="1">
      <alignment vertical="center" wrapText="1"/>
    </xf>
    <xf numFmtId="176" fontId="8" fillId="0" borderId="2" xfId="73" applyNumberFormat="1" applyFont="1" applyFill="1" applyBorder="1" applyAlignment="1">
      <alignment vertical="center"/>
    </xf>
    <xf numFmtId="0" fontId="1" fillId="0" borderId="0" xfId="44" applyFont="1" applyFill="1" applyAlignment="1">
      <alignment horizontal="center" vertical="center"/>
    </xf>
    <xf numFmtId="176" fontId="8" fillId="0" borderId="1" xfId="44" applyNumberFormat="1" applyFont="1" applyFill="1" applyBorder="1" applyAlignment="1">
      <alignment vertical="center"/>
    </xf>
    <xf numFmtId="0" fontId="1" fillId="0" borderId="1" xfId="44" applyFont="1" applyFill="1" applyBorder="1" applyAlignment="1">
      <alignment vertical="center"/>
    </xf>
    <xf numFmtId="176" fontId="1" fillId="0" borderId="9" xfId="73" applyNumberFormat="1" applyFont="1" applyFill="1" applyBorder="1" applyAlignment="1">
      <alignment vertical="center"/>
    </xf>
    <xf numFmtId="0" fontId="5" fillId="0" borderId="0" xfId="73" applyFont="1"/>
    <xf numFmtId="176" fontId="5" fillId="8" borderId="3" xfId="73" applyNumberFormat="1" applyFont="1" applyFill="1" applyBorder="1" applyAlignment="1">
      <alignment horizontal="center" vertical="center" wrapText="1"/>
    </xf>
    <xf numFmtId="176" fontId="5" fillId="9" borderId="3" xfId="73" applyNumberFormat="1" applyFont="1" applyFill="1" applyBorder="1" applyAlignment="1">
      <alignment horizontal="center" vertical="center" wrapText="1"/>
    </xf>
    <xf numFmtId="176" fontId="5" fillId="9" borderId="3" xfId="73" applyNumberFormat="1" applyFont="1" applyFill="1" applyBorder="1" applyAlignment="1">
      <alignment vertical="center"/>
    </xf>
    <xf numFmtId="0" fontId="1" fillId="0" borderId="0" xfId="73" applyFont="1"/>
    <xf numFmtId="176" fontId="8" fillId="8" borderId="3" xfId="73" applyNumberFormat="1" applyFont="1" applyFill="1" applyBorder="1" applyAlignment="1">
      <alignment vertical="center"/>
    </xf>
    <xf numFmtId="176" fontId="8" fillId="9" borderId="3" xfId="73" applyNumberFormat="1" applyFont="1" applyFill="1" applyBorder="1" applyAlignment="1">
      <alignment vertical="center"/>
    </xf>
    <xf numFmtId="0" fontId="8" fillId="0" borderId="0" xfId="73" applyFont="1"/>
    <xf numFmtId="176" fontId="1" fillId="0" borderId="0" xfId="73" applyNumberFormat="1" applyFont="1"/>
    <xf numFmtId="176" fontId="5" fillId="0" borderId="0" xfId="73" applyNumberFormat="1" applyFont="1"/>
    <xf numFmtId="176" fontId="8" fillId="0" borderId="0" xfId="73" applyNumberFormat="1" applyFont="1"/>
    <xf numFmtId="0" fontId="8" fillId="0" borderId="0" xfId="73" applyFont="1" applyBorder="1"/>
    <xf numFmtId="176" fontId="8" fillId="0" borderId="0" xfId="73" applyNumberFormat="1" applyFont="1" applyBorder="1"/>
    <xf numFmtId="176" fontId="1" fillId="0" borderId="6" xfId="73" applyNumberFormat="1" applyFont="1" applyFill="1" applyBorder="1" applyAlignment="1">
      <alignment vertical="center"/>
    </xf>
    <xf numFmtId="176" fontId="5" fillId="8" borderId="6" xfId="73" applyNumberFormat="1" applyFont="1" applyFill="1" applyBorder="1" applyAlignment="1">
      <alignment vertical="center"/>
    </xf>
    <xf numFmtId="176" fontId="5" fillId="9" borderId="6" xfId="73" applyNumberFormat="1" applyFont="1" applyFill="1" applyBorder="1" applyAlignment="1">
      <alignment vertical="center"/>
    </xf>
    <xf numFmtId="0" fontId="5" fillId="0" borderId="0" xfId="73" applyFont="1" applyBorder="1"/>
    <xf numFmtId="176" fontId="5" fillId="0" borderId="0" xfId="73" applyNumberFormat="1" applyFont="1" applyBorder="1"/>
    <xf numFmtId="176" fontId="1" fillId="0" borderId="2" xfId="73" applyNumberFormat="1" applyFont="1" applyFill="1" applyBorder="1" applyAlignment="1">
      <alignment vertical="center"/>
    </xf>
    <xf numFmtId="176" fontId="5" fillId="8" borderId="2" xfId="73" applyNumberFormat="1" applyFont="1" applyFill="1" applyBorder="1" applyAlignment="1">
      <alignment vertical="center"/>
    </xf>
    <xf numFmtId="176" fontId="5" fillId="9" borderId="2" xfId="73" applyNumberFormat="1" applyFont="1" applyFill="1" applyBorder="1" applyAlignment="1">
      <alignment vertical="center"/>
    </xf>
    <xf numFmtId="176" fontId="1" fillId="9" borderId="3" xfId="73" applyNumberFormat="1" applyFont="1" applyFill="1" applyBorder="1" applyAlignment="1">
      <alignment vertical="center"/>
    </xf>
    <xf numFmtId="176" fontId="1" fillId="8" borderId="3" xfId="73" applyNumberFormat="1" applyFont="1" applyFill="1" applyBorder="1" applyAlignment="1">
      <alignment vertical="center"/>
    </xf>
    <xf numFmtId="0" fontId="7" fillId="0" borderId="0" xfId="44" applyFont="1" applyFill="1" applyAlignment="1">
      <alignment vertical="center"/>
    </xf>
    <xf numFmtId="189" fontId="5" fillId="0" borderId="0" xfId="73" applyNumberFormat="1" applyFont="1"/>
    <xf numFmtId="190" fontId="7" fillId="0" borderId="0" xfId="44" applyNumberFormat="1" applyFont="1" applyFill="1" applyAlignment="1">
      <alignment vertical="center"/>
    </xf>
    <xf numFmtId="4" fontId="7" fillId="0" borderId="0" xfId="44" applyNumberFormat="1" applyFont="1" applyFill="1" applyAlignment="1">
      <alignment vertic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0" xfId="0" applyNumberFormat="1" applyBorder="1"/>
    <xf numFmtId="0" fontId="0" fillId="0" borderId="12" xfId="0" applyNumberFormat="1" applyBorder="1"/>
    <xf numFmtId="0" fontId="0" fillId="0" borderId="13" xfId="0" applyBorder="1"/>
    <xf numFmtId="0" fontId="0" fillId="0" borderId="13" xfId="0" applyNumberFormat="1" applyBorder="1"/>
    <xf numFmtId="0" fontId="0" fillId="0" borderId="0" xfId="0" applyNumberFormat="1"/>
    <xf numFmtId="0" fontId="0" fillId="0" borderId="14" xfId="0" applyBorder="1"/>
    <xf numFmtId="0" fontId="0" fillId="0" borderId="14" xfId="0" applyNumberFormat="1" applyBorder="1"/>
    <xf numFmtId="0" fontId="0" fillId="0" borderId="15" xfId="0" applyNumberFormat="1" applyBorder="1"/>
    <xf numFmtId="0" fontId="0" fillId="0" borderId="16" xfId="0" applyBorder="1"/>
    <xf numFmtId="0" fontId="0" fillId="0" borderId="17" xfId="0" applyBorder="1"/>
    <xf numFmtId="0" fontId="0" fillId="0" borderId="17" xfId="0" applyNumberFormat="1" applyBorder="1"/>
    <xf numFmtId="0" fontId="0" fillId="0" borderId="18" xfId="0" applyNumberFormat="1" applyBorder="1"/>
    <xf numFmtId="0" fontId="0" fillId="0" borderId="19" xfId="0" applyNumberFormat="1" applyBorder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vertical="center" wrapText="1"/>
    </xf>
    <xf numFmtId="181" fontId="16" fillId="0" borderId="0" xfId="0" applyNumberFormat="1" applyFont="1" applyAlignment="1">
      <alignment vertical="center" wrapText="1"/>
    </xf>
    <xf numFmtId="191" fontId="16" fillId="0" borderId="0" xfId="2" applyNumberFormat="1" applyFont="1" applyAlignment="1">
      <alignment horizontal="right" vertical="center" wrapText="1"/>
    </xf>
    <xf numFmtId="0" fontId="16" fillId="0" borderId="0" xfId="0" applyFont="1" applyAlignment="1">
      <alignment horizontal="center" vertical="center" wrapText="1"/>
    </xf>
    <xf numFmtId="0" fontId="17" fillId="0" borderId="0" xfId="0" applyFont="1"/>
    <xf numFmtId="0" fontId="14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9" fillId="0" borderId="2" xfId="65" applyFont="1" applyBorder="1" applyAlignment="1">
      <alignment horizontal="center" vertical="center" wrapText="1"/>
    </xf>
    <xf numFmtId="0" fontId="19" fillId="0" borderId="2" xfId="73" applyFont="1" applyBorder="1" applyAlignment="1">
      <alignment horizontal="center" vertical="center" wrapText="1"/>
    </xf>
    <xf numFmtId="0" fontId="19" fillId="0" borderId="2" xfId="73" applyFont="1" applyBorder="1" applyAlignment="1">
      <alignment vertical="center" wrapText="1"/>
    </xf>
    <xf numFmtId="191" fontId="19" fillId="0" borderId="2" xfId="2" applyNumberFormat="1" applyFont="1" applyBorder="1" applyAlignment="1">
      <alignment horizontal="center" vertical="center" wrapText="1"/>
    </xf>
    <xf numFmtId="0" fontId="19" fillId="0" borderId="4" xfId="65" applyFont="1" applyBorder="1" applyAlignment="1">
      <alignment horizontal="center" vertical="center" wrapText="1"/>
    </xf>
    <xf numFmtId="0" fontId="19" fillId="0" borderId="9" xfId="65" applyFont="1" applyBorder="1" applyAlignment="1">
      <alignment horizontal="center" vertical="center" wrapText="1"/>
    </xf>
    <xf numFmtId="0" fontId="19" fillId="0" borderId="6" xfId="65" applyFont="1" applyBorder="1" applyAlignment="1">
      <alignment horizontal="center" vertical="center" wrapText="1"/>
    </xf>
    <xf numFmtId="0" fontId="19" fillId="0" borderId="6" xfId="73" applyFont="1" applyBorder="1" applyAlignment="1">
      <alignment horizontal="center" vertical="center" wrapText="1"/>
    </xf>
    <xf numFmtId="0" fontId="19" fillId="0" borderId="6" xfId="73" applyFont="1" applyBorder="1" applyAlignment="1">
      <alignment vertical="center" wrapText="1"/>
    </xf>
    <xf numFmtId="191" fontId="19" fillId="0" borderId="6" xfId="2" applyNumberFormat="1" applyFont="1" applyBorder="1" applyAlignment="1">
      <alignment horizontal="center" vertical="center" wrapText="1"/>
    </xf>
    <xf numFmtId="0" fontId="19" fillId="0" borderId="3" xfId="65" applyFont="1" applyBorder="1" applyAlignment="1">
      <alignment horizontal="center" vertical="center" wrapText="1"/>
    </xf>
    <xf numFmtId="0" fontId="20" fillId="0" borderId="3" xfId="65" applyFont="1" applyBorder="1" applyAlignment="1">
      <alignment horizontal="center" vertical="center" wrapText="1"/>
    </xf>
    <xf numFmtId="0" fontId="20" fillId="0" borderId="3" xfId="73" applyFont="1" applyBorder="1" applyAlignment="1">
      <alignment horizontal="center" vertical="center" wrapText="1"/>
    </xf>
    <xf numFmtId="0" fontId="20" fillId="0" borderId="3" xfId="73" applyFont="1" applyBorder="1" applyAlignment="1">
      <alignment vertical="center" wrapText="1"/>
    </xf>
    <xf numFmtId="191" fontId="20" fillId="0" borderId="3" xfId="2" applyNumberFormat="1" applyFont="1" applyBorder="1" applyAlignment="1">
      <alignment horizontal="right" vertical="center" wrapText="1"/>
    </xf>
    <xf numFmtId="0" fontId="19" fillId="0" borderId="3" xfId="65" applyFont="1" applyBorder="1" applyAlignment="1">
      <alignment vertical="center" wrapText="1"/>
    </xf>
    <xf numFmtId="191" fontId="19" fillId="0" borderId="3" xfId="2" applyNumberFormat="1" applyFont="1" applyBorder="1" applyAlignment="1">
      <alignment horizontal="right" vertical="center" wrapText="1"/>
    </xf>
    <xf numFmtId="181" fontId="19" fillId="0" borderId="3" xfId="73" applyNumberFormat="1" applyFont="1" applyBorder="1" applyAlignment="1">
      <alignment horizontal="center" vertical="center" wrapText="1"/>
    </xf>
    <xf numFmtId="0" fontId="19" fillId="0" borderId="3" xfId="73" applyFont="1" applyBorder="1" applyAlignment="1">
      <alignment horizontal="center" vertical="center" wrapText="1"/>
    </xf>
    <xf numFmtId="0" fontId="16" fillId="0" borderId="3" xfId="65" applyFont="1" applyBorder="1" applyAlignment="1">
      <alignment horizontal="center" vertical="center" wrapText="1"/>
    </xf>
    <xf numFmtId="0" fontId="16" fillId="0" borderId="3" xfId="65" applyFont="1" applyFill="1" applyBorder="1" applyAlignment="1">
      <alignment vertical="center" wrapText="1"/>
    </xf>
    <xf numFmtId="0" fontId="16" fillId="0" borderId="3" xfId="9" applyFont="1" applyBorder="1" applyAlignment="1">
      <alignment vertical="center" wrapText="1"/>
    </xf>
    <xf numFmtId="191" fontId="16" fillId="0" borderId="3" xfId="2" applyNumberFormat="1" applyFont="1" applyFill="1" applyBorder="1" applyAlignment="1">
      <alignment horizontal="right" vertical="center" wrapText="1"/>
    </xf>
    <xf numFmtId="0" fontId="16" fillId="0" borderId="3" xfId="9" applyFont="1" applyBorder="1" applyAlignment="1">
      <alignment horizontal="center" vertical="center" wrapText="1"/>
    </xf>
    <xf numFmtId="0" fontId="16" fillId="0" borderId="3" xfId="65" applyFont="1" applyBorder="1" applyAlignment="1">
      <alignment vertical="center" wrapText="1"/>
    </xf>
    <xf numFmtId="0" fontId="16" fillId="0" borderId="3" xfId="65" applyFont="1" applyFill="1" applyBorder="1" applyAlignment="1">
      <alignment horizontal="center" vertical="center" wrapText="1"/>
    </xf>
    <xf numFmtId="0" fontId="16" fillId="10" borderId="3" xfId="65" applyFont="1" applyFill="1" applyBorder="1" applyAlignment="1">
      <alignment vertical="center" wrapText="1"/>
    </xf>
    <xf numFmtId="191" fontId="16" fillId="10" borderId="3" xfId="2" applyNumberFormat="1" applyFont="1" applyFill="1" applyBorder="1" applyAlignment="1">
      <alignment horizontal="right" vertical="center" wrapText="1"/>
    </xf>
    <xf numFmtId="0" fontId="16" fillId="10" borderId="3" xfId="65" applyFont="1" applyFill="1" applyBorder="1" applyAlignment="1">
      <alignment horizontal="center" vertical="center" wrapText="1"/>
    </xf>
    <xf numFmtId="0" fontId="16" fillId="0" borderId="3" xfId="9" applyFont="1" applyBorder="1" applyAlignment="1">
      <alignment horizontal="left" vertical="center" wrapText="1"/>
    </xf>
    <xf numFmtId="0" fontId="16" fillId="0" borderId="3" xfId="73" applyFont="1" applyFill="1" applyBorder="1" applyAlignment="1">
      <alignment vertical="center" wrapText="1"/>
    </xf>
    <xf numFmtId="0" fontId="16" fillId="0" borderId="3" xfId="91" applyFont="1" applyFill="1" applyBorder="1" applyAlignment="1">
      <alignment horizontal="left" vertical="center" wrapText="1"/>
    </xf>
    <xf numFmtId="0" fontId="16" fillId="0" borderId="3" xfId="73" applyFont="1" applyFill="1" applyBorder="1" applyAlignment="1">
      <alignment horizontal="left" vertical="center" wrapText="1"/>
    </xf>
    <xf numFmtId="0" fontId="16" fillId="0" borderId="3" xfId="74" applyFont="1" applyFill="1" applyBorder="1" applyAlignment="1">
      <alignment horizontal="left" vertical="center" wrapText="1"/>
    </xf>
    <xf numFmtId="0" fontId="16" fillId="0" borderId="3" xfId="65" applyFont="1" applyFill="1" applyBorder="1" applyAlignment="1">
      <alignment horizontal="left" vertical="center" wrapText="1"/>
    </xf>
    <xf numFmtId="0" fontId="16" fillId="0" borderId="3" xfId="74" applyFont="1" applyFill="1" applyBorder="1" applyAlignment="1">
      <alignment vertical="center" wrapText="1"/>
    </xf>
    <xf numFmtId="0" fontId="16" fillId="0" borderId="3" xfId="91" applyFont="1" applyFill="1" applyBorder="1" applyAlignment="1">
      <alignment vertical="center" wrapText="1"/>
    </xf>
    <xf numFmtId="182" fontId="17" fillId="0" borderId="0" xfId="0" applyNumberFormat="1" applyFont="1"/>
    <xf numFmtId="0" fontId="16" fillId="0" borderId="3" xfId="65" applyFont="1" applyBorder="1" applyAlignment="1">
      <alignment horizontal="left" vertical="center" wrapText="1"/>
    </xf>
    <xf numFmtId="191" fontId="16" fillId="0" borderId="3" xfId="2" applyNumberFormat="1" applyFont="1" applyBorder="1" applyAlignment="1">
      <alignment horizontal="right" vertical="center" wrapText="1"/>
    </xf>
    <xf numFmtId="1" fontId="16" fillId="0" borderId="3" xfId="65" applyNumberFormat="1" applyFont="1" applyBorder="1" applyAlignment="1">
      <alignment vertical="center" wrapText="1"/>
    </xf>
    <xf numFmtId="0" fontId="16" fillId="0" borderId="3" xfId="64" applyFont="1" applyBorder="1" applyAlignment="1">
      <alignment vertical="center" wrapText="1"/>
    </xf>
    <xf numFmtId="0" fontId="16" fillId="0" borderId="3" xfId="64" applyFont="1" applyBorder="1" applyAlignment="1">
      <alignment horizontal="center" vertical="center" wrapText="1"/>
    </xf>
    <xf numFmtId="0" fontId="16" fillId="11" borderId="3" xfId="65" applyFont="1" applyFill="1" applyBorder="1" applyAlignment="1">
      <alignment horizontal="left" vertical="center" wrapText="1"/>
    </xf>
    <xf numFmtId="0" fontId="16" fillId="0" borderId="3" xfId="0" applyFont="1" applyBorder="1" applyAlignment="1">
      <alignment vertical="center" wrapText="1"/>
    </xf>
    <xf numFmtId="0" fontId="16" fillId="0" borderId="3" xfId="0" applyFont="1" applyBorder="1" applyAlignment="1">
      <alignment horizontal="left" vertical="center" wrapText="1"/>
    </xf>
    <xf numFmtId="1" fontId="16" fillId="0" borderId="3" xfId="0" applyNumberFormat="1" applyFont="1" applyFill="1" applyBorder="1" applyAlignment="1">
      <alignment vertical="center" wrapText="1"/>
    </xf>
    <xf numFmtId="0" fontId="16" fillId="0" borderId="3" xfId="67" applyFont="1" applyBorder="1" applyAlignment="1">
      <alignment horizontal="left" vertical="center"/>
    </xf>
    <xf numFmtId="0" fontId="16" fillId="0" borderId="3" xfId="67" applyFont="1" applyBorder="1" applyAlignment="1">
      <alignment horizontal="center" vertical="center"/>
    </xf>
    <xf numFmtId="0" fontId="16" fillId="0" borderId="4" xfId="76" applyFont="1" applyFill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/>
    </xf>
    <xf numFmtId="0" fontId="16" fillId="0" borderId="3" xfId="76" applyFont="1" applyFill="1" applyBorder="1" applyAlignment="1">
      <alignment horizontal="left" vertical="center" wrapText="1"/>
    </xf>
    <xf numFmtId="0" fontId="16" fillId="0" borderId="3" xfId="0" applyFont="1" applyBorder="1" applyAlignment="1">
      <alignment horizontal="justify" vertical="center" wrapText="1"/>
    </xf>
    <xf numFmtId="0" fontId="16" fillId="0" borderId="3" xfId="73" applyFont="1" applyFill="1" applyBorder="1" applyAlignment="1">
      <alignment horizontal="center" vertical="center" wrapText="1"/>
    </xf>
    <xf numFmtId="2" fontId="16" fillId="0" borderId="3" xfId="0" applyNumberFormat="1" applyFont="1" applyBorder="1" applyAlignment="1">
      <alignment vertical="center" wrapText="1"/>
    </xf>
    <xf numFmtId="0" fontId="19" fillId="0" borderId="3" xfId="65" applyFont="1" applyFill="1" applyBorder="1" applyAlignment="1">
      <alignment horizontal="center" vertical="center" wrapText="1"/>
    </xf>
    <xf numFmtId="191" fontId="19" fillId="0" borderId="3" xfId="2" applyNumberFormat="1" applyFont="1" applyFill="1" applyBorder="1" applyAlignment="1">
      <alignment horizontal="right" vertical="center" wrapText="1"/>
    </xf>
    <xf numFmtId="181" fontId="19" fillId="0" borderId="3" xfId="65" applyNumberFormat="1" applyFont="1" applyBorder="1" applyAlignment="1">
      <alignment horizontal="center" vertical="center" wrapText="1"/>
    </xf>
    <xf numFmtId="0" fontId="16" fillId="0" borderId="3" xfId="9" applyFont="1" applyFill="1" applyBorder="1" applyAlignment="1">
      <alignment vertical="center" wrapText="1"/>
    </xf>
    <xf numFmtId="0" fontId="16" fillId="0" borderId="3" xfId="88" applyFont="1" applyFill="1" applyBorder="1" applyAlignment="1">
      <alignment vertical="center" wrapText="1"/>
    </xf>
    <xf numFmtId="0" fontId="16" fillId="0" borderId="3" xfId="0" applyFont="1" applyFill="1" applyBorder="1" applyAlignment="1">
      <alignment vertical="center" wrapText="1"/>
    </xf>
    <xf numFmtId="181" fontId="19" fillId="0" borderId="3" xfId="73" applyNumberFormat="1" applyFont="1" applyFill="1" applyBorder="1" applyAlignment="1">
      <alignment horizontal="center" vertical="center" wrapText="1"/>
    </xf>
    <xf numFmtId="0" fontId="19" fillId="0" borderId="3" xfId="65" applyFont="1" applyFill="1" applyBorder="1" applyAlignment="1">
      <alignment vertical="center" wrapText="1"/>
    </xf>
    <xf numFmtId="0" fontId="16" fillId="10" borderId="3" xfId="65" applyFont="1" applyFill="1" applyBorder="1" applyAlignment="1">
      <alignment horizontal="left" vertical="center" wrapText="1"/>
    </xf>
    <xf numFmtId="0" fontId="16" fillId="11" borderId="3" xfId="65" applyFont="1" applyFill="1" applyBorder="1" applyAlignment="1">
      <alignment vertical="center" wrapText="1"/>
    </xf>
    <xf numFmtId="1" fontId="16" fillId="0" borderId="3" xfId="65" applyNumberFormat="1" applyFont="1" applyBorder="1" applyAlignment="1">
      <alignment horizontal="left" vertical="center" wrapText="1"/>
    </xf>
    <xf numFmtId="0" fontId="16" fillId="11" borderId="3" xfId="65" applyFont="1" applyFill="1" applyBorder="1" applyAlignment="1">
      <alignment horizontal="center" vertical="center" wrapText="1"/>
    </xf>
    <xf numFmtId="1" fontId="16" fillId="0" borderId="3" xfId="0" applyNumberFormat="1" applyFont="1" applyBorder="1" applyAlignment="1">
      <alignment vertical="center" wrapText="1"/>
    </xf>
    <xf numFmtId="0" fontId="16" fillId="0" borderId="3" xfId="73" applyFont="1" applyFill="1" applyBorder="1" applyAlignment="1">
      <alignment horizontal="left" vertical="center"/>
    </xf>
    <xf numFmtId="0" fontId="16" fillId="0" borderId="3" xfId="73" applyFont="1" applyFill="1" applyBorder="1" applyAlignment="1">
      <alignment vertical="center"/>
    </xf>
    <xf numFmtId="191" fontId="16" fillId="0" borderId="3" xfId="2" applyNumberFormat="1" applyFont="1" applyFill="1" applyBorder="1" applyAlignment="1">
      <alignment horizontal="right" vertical="center"/>
    </xf>
    <xf numFmtId="0" fontId="16" fillId="0" borderId="4" xfId="73" applyFont="1" applyFill="1" applyBorder="1" applyAlignment="1">
      <alignment horizontal="left" vertical="center"/>
    </xf>
    <xf numFmtId="0" fontId="19" fillId="0" borderId="3" xfId="65" applyFont="1" applyBorder="1" applyAlignment="1">
      <alignment horizontal="left" vertical="center" wrapText="1"/>
    </xf>
    <xf numFmtId="0" fontId="19" fillId="0" borderId="3" xfId="73" applyFont="1" applyFill="1" applyBorder="1" applyAlignment="1">
      <alignment horizontal="left" vertical="center" wrapText="1"/>
    </xf>
    <xf numFmtId="0" fontId="16" fillId="10" borderId="3" xfId="91" applyFont="1" applyFill="1" applyBorder="1" applyAlignment="1">
      <alignment horizontal="left" vertical="center" wrapText="1"/>
    </xf>
    <xf numFmtId="0" fontId="16" fillId="0" borderId="3" xfId="95" applyFont="1" applyBorder="1" applyAlignment="1">
      <alignment vertical="center" wrapText="1"/>
    </xf>
    <xf numFmtId="0" fontId="16" fillId="0" borderId="3" xfId="64" applyFont="1" applyFill="1" applyBorder="1" applyAlignment="1">
      <alignment horizontal="center" vertical="center" wrapText="1"/>
    </xf>
    <xf numFmtId="0" fontId="16" fillId="0" borderId="3" xfId="77" applyFont="1" applyFill="1" applyBorder="1" applyAlignment="1">
      <alignment horizontal="left" vertical="center" wrapText="1"/>
    </xf>
    <xf numFmtId="0" fontId="16" fillId="0" borderId="2" xfId="73" applyFont="1" applyFill="1" applyBorder="1" applyAlignment="1">
      <alignment horizontal="left" vertical="center" wrapText="1"/>
    </xf>
    <xf numFmtId="0" fontId="19" fillId="0" borderId="3" xfId="73" applyFont="1" applyFill="1" applyBorder="1" applyAlignment="1">
      <alignment vertical="center" wrapText="1"/>
    </xf>
    <xf numFmtId="0" fontId="19" fillId="0" borderId="3" xfId="73" applyFont="1" applyFill="1" applyBorder="1" applyAlignment="1">
      <alignment horizontal="center" vertical="center" wrapText="1"/>
    </xf>
    <xf numFmtId="0" fontId="16" fillId="0" borderId="3" xfId="91" applyFont="1" applyFill="1" applyBorder="1" applyAlignment="1">
      <alignment horizontal="center" vertical="center" wrapText="1"/>
    </xf>
    <xf numFmtId="0" fontId="16" fillId="0" borderId="3" xfId="66" applyFont="1" applyBorder="1" applyAlignment="1">
      <alignment vertical="center" wrapText="1"/>
    </xf>
    <xf numFmtId="0" fontId="16" fillId="0" borderId="3" xfId="73" applyFont="1" applyBorder="1" applyAlignment="1">
      <alignment horizontal="center" vertical="center" wrapText="1"/>
    </xf>
    <xf numFmtId="0" fontId="16" fillId="0" borderId="3" xfId="73" applyFont="1" applyBorder="1" applyAlignment="1">
      <alignment vertical="center" wrapText="1"/>
    </xf>
    <xf numFmtId="0" fontId="16" fillId="0" borderId="3" xfId="88" applyFont="1" applyBorder="1" applyAlignment="1">
      <alignment vertical="center" wrapText="1"/>
    </xf>
    <xf numFmtId="0" fontId="16" fillId="11" borderId="3" xfId="88" applyFont="1" applyFill="1" applyBorder="1" applyAlignment="1">
      <alignment vertical="center" wrapText="1"/>
    </xf>
    <xf numFmtId="0" fontId="16" fillId="0" borderId="3" xfId="69" applyFont="1" applyFill="1" applyBorder="1" applyAlignment="1">
      <alignment vertical="center" wrapText="1"/>
    </xf>
    <xf numFmtId="0" fontId="16" fillId="0" borderId="3" xfId="7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6" fillId="0" borderId="3" xfId="0" applyFont="1" applyBorder="1" applyAlignment="1">
      <alignment horizontal="center" vertical="center"/>
    </xf>
    <xf numFmtId="0" fontId="16" fillId="0" borderId="4" xfId="65" applyFont="1" applyFill="1" applyBorder="1" applyAlignment="1">
      <alignment horizontal="left" vertical="center" wrapText="1"/>
    </xf>
    <xf numFmtId="181" fontId="19" fillId="0" borderId="3" xfId="65" applyNumberFormat="1" applyFont="1" applyFill="1" applyBorder="1" applyAlignment="1">
      <alignment horizontal="center" vertical="center" wrapText="1"/>
    </xf>
    <xf numFmtId="0" fontId="16" fillId="0" borderId="3" xfId="71" applyFont="1" applyBorder="1" applyAlignment="1">
      <alignment vertical="center" wrapText="1"/>
    </xf>
    <xf numFmtId="0" fontId="16" fillId="0" borderId="3" xfId="72" applyFont="1" applyFill="1" applyBorder="1" applyAlignment="1">
      <alignment horizontal="center" vertical="center" wrapText="1"/>
    </xf>
    <xf numFmtId="0" fontId="16" fillId="0" borderId="3" xfId="68" applyFont="1" applyFill="1" applyBorder="1" applyAlignment="1">
      <alignment vertical="center" wrapText="1"/>
    </xf>
    <xf numFmtId="0" fontId="19" fillId="0" borderId="3" xfId="91" applyFont="1" applyFill="1" applyBorder="1" applyAlignment="1">
      <alignment vertical="center" wrapText="1"/>
    </xf>
    <xf numFmtId="0" fontId="16" fillId="0" borderId="3" xfId="78" applyFont="1" applyFill="1" applyBorder="1" applyAlignment="1">
      <alignment horizontal="center" vertical="center" wrapText="1"/>
    </xf>
    <xf numFmtId="0" fontId="16" fillId="0" borderId="3" xfId="65" applyFont="1" applyBorder="1" applyAlignment="1">
      <alignment horizontal="justify" vertical="center" wrapText="1"/>
    </xf>
    <xf numFmtId="0" fontId="16" fillId="11" borderId="3" xfId="0" applyFont="1" applyFill="1" applyBorder="1" applyAlignment="1">
      <alignment vertical="center" wrapText="1"/>
    </xf>
    <xf numFmtId="191" fontId="16" fillId="0" borderId="6" xfId="2" applyNumberFormat="1" applyFont="1" applyFill="1" applyBorder="1" applyAlignment="1">
      <alignment horizontal="right" vertical="center" wrapText="1"/>
    </xf>
    <xf numFmtId="0" fontId="16" fillId="0" borderId="2" xfId="0" applyFont="1" applyBorder="1" applyAlignment="1">
      <alignment vertical="center" wrapText="1"/>
    </xf>
    <xf numFmtId="0" fontId="16" fillId="0" borderId="9" xfId="91" applyFont="1" applyFill="1" applyBorder="1" applyAlignment="1">
      <alignment vertical="center" wrapText="1"/>
    </xf>
    <xf numFmtId="0" fontId="16" fillId="0" borderId="6" xfId="0" applyFont="1" applyBorder="1" applyAlignment="1">
      <alignment horizontal="justify" vertical="center" wrapText="1"/>
    </xf>
    <xf numFmtId="0" fontId="19" fillId="0" borderId="3" xfId="91" applyFont="1" applyFill="1" applyBorder="1" applyAlignment="1">
      <alignment horizontal="center" vertical="center" wrapText="1"/>
    </xf>
    <xf numFmtId="0" fontId="19" fillId="0" borderId="6" xfId="65" applyFont="1" applyBorder="1" applyAlignment="1">
      <alignment horizontal="justify" vertical="center" wrapText="1"/>
    </xf>
    <xf numFmtId="0" fontId="16" fillId="0" borderId="3" xfId="74" applyFont="1" applyFill="1" applyBorder="1" applyAlignment="1">
      <alignment horizontal="center" vertical="center" wrapText="1"/>
    </xf>
    <xf numFmtId="0" fontId="16" fillId="0" borderId="3" xfId="83" applyFont="1" applyBorder="1" applyAlignment="1">
      <alignment vertical="center" wrapText="1"/>
    </xf>
    <xf numFmtId="0" fontId="16" fillId="11" borderId="3" xfId="73" applyFont="1" applyFill="1" applyBorder="1" applyAlignment="1">
      <alignment horizontal="left" vertical="center" wrapText="1"/>
    </xf>
    <xf numFmtId="191" fontId="16" fillId="11" borderId="3" xfId="2" applyNumberFormat="1" applyFont="1" applyFill="1" applyBorder="1" applyAlignment="1">
      <alignment horizontal="right" vertical="center" wrapText="1"/>
    </xf>
    <xf numFmtId="0" fontId="16" fillId="11" borderId="3" xfId="73" applyFont="1" applyFill="1" applyBorder="1" applyAlignment="1">
      <alignment horizontal="center" vertical="center" wrapText="1"/>
    </xf>
    <xf numFmtId="0" fontId="16" fillId="11" borderId="3" xfId="0" applyFont="1" applyFill="1" applyBorder="1" applyAlignment="1">
      <alignment horizontal="left" vertical="center" wrapText="1"/>
    </xf>
    <xf numFmtId="0" fontId="16" fillId="0" borderId="8" xfId="73" applyFont="1" applyFill="1" applyBorder="1" applyAlignment="1">
      <alignment horizontal="left" vertical="center" wrapText="1"/>
    </xf>
    <xf numFmtId="0" fontId="16" fillId="0" borderId="3" xfId="75" applyFont="1" applyFill="1" applyBorder="1" applyAlignment="1">
      <alignment horizontal="left" vertical="center" wrapText="1"/>
    </xf>
    <xf numFmtId="0" fontId="16" fillId="0" borderId="3" xfId="85" applyFont="1" applyBorder="1" applyAlignment="1">
      <alignment vertical="center" wrapText="1"/>
    </xf>
    <xf numFmtId="0" fontId="16" fillId="0" borderId="3" xfId="79" applyFont="1" applyBorder="1" applyAlignment="1">
      <alignment horizontal="justify" vertical="center" wrapText="1"/>
    </xf>
    <xf numFmtId="0" fontId="16" fillId="0" borderId="3" xfId="82" applyFont="1" applyBorder="1" applyAlignment="1">
      <alignment horizontal="center" vertical="center" wrapText="1"/>
    </xf>
    <xf numFmtId="0" fontId="16" fillId="0" borderId="3" xfId="84" applyFont="1" applyBorder="1" applyAlignment="1">
      <alignment vertical="center" wrapText="1"/>
    </xf>
    <xf numFmtId="0" fontId="16" fillId="0" borderId="3" xfId="79" applyFont="1" applyBorder="1" applyAlignment="1">
      <alignment vertical="center" wrapText="1"/>
    </xf>
    <xf numFmtId="0" fontId="16" fillId="0" borderId="4" xfId="65" applyFont="1" applyBorder="1" applyAlignment="1">
      <alignment horizontal="left" vertical="center" wrapText="1"/>
    </xf>
    <xf numFmtId="191" fontId="17" fillId="0" borderId="0" xfId="0" applyNumberFormat="1" applyFont="1"/>
    <xf numFmtId="0" fontId="19" fillId="0" borderId="3" xfId="91" applyFont="1" applyFill="1" applyBorder="1" applyAlignment="1">
      <alignment horizontal="left" vertical="center" wrapText="1"/>
    </xf>
    <xf numFmtId="0" fontId="16" fillId="0" borderId="3" xfId="86" applyFont="1" applyFill="1" applyBorder="1" applyAlignment="1">
      <alignment vertical="center" wrapText="1"/>
    </xf>
    <xf numFmtId="0" fontId="16" fillId="0" borderId="3" xfId="89" applyFont="1" applyFill="1" applyBorder="1" applyAlignment="1">
      <alignment horizontal="center" vertical="center" wrapText="1"/>
    </xf>
    <xf numFmtId="0" fontId="16" fillId="0" borderId="3" xfId="90" applyFont="1" applyFill="1" applyBorder="1" applyAlignment="1">
      <alignment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3" xfId="0" applyFont="1" applyBorder="1"/>
    <xf numFmtId="181" fontId="16" fillId="0" borderId="3" xfId="0" applyNumberFormat="1" applyFont="1" applyBorder="1" applyAlignment="1">
      <alignment vertical="center" wrapText="1"/>
    </xf>
    <xf numFmtId="0" fontId="17" fillId="0" borderId="3" xfId="0" applyFont="1" applyBorder="1"/>
    <xf numFmtId="0" fontId="21" fillId="0" borderId="0" xfId="0" applyFont="1" applyFill="1" applyAlignment="1">
      <alignment horizontal="center" vertical="center" wrapText="1"/>
    </xf>
    <xf numFmtId="49" fontId="22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left" vertical="center" wrapText="1"/>
    </xf>
    <xf numFmtId="4" fontId="22" fillId="0" borderId="0" xfId="0" applyNumberFormat="1" applyFont="1" applyFill="1" applyAlignment="1">
      <alignment horizontal="right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4" fontId="21" fillId="0" borderId="3" xfId="0" applyNumberFormat="1" applyFont="1" applyFill="1" applyBorder="1" applyAlignment="1">
      <alignment horizontal="center" vertical="center" wrapText="1"/>
    </xf>
    <xf numFmtId="49" fontId="22" fillId="0" borderId="3" xfId="0" applyNumberFormat="1" applyFont="1" applyFill="1" applyBorder="1" applyAlignment="1">
      <alignment horizontal="center" vertical="center" wrapText="1"/>
    </xf>
    <xf numFmtId="4" fontId="22" fillId="0" borderId="3" xfId="0" applyNumberFormat="1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left" vertical="center" wrapText="1"/>
    </xf>
    <xf numFmtId="4" fontId="21" fillId="0" borderId="3" xfId="0" applyNumberFormat="1" applyFont="1" applyFill="1" applyBorder="1" applyAlignment="1">
      <alignment horizontal="right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left" vertical="center" wrapText="1"/>
    </xf>
    <xf numFmtId="4" fontId="23" fillId="0" borderId="3" xfId="0" applyNumberFormat="1" applyFont="1" applyFill="1" applyBorder="1" applyAlignment="1">
      <alignment horizontal="right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left" vertical="center" wrapText="1"/>
    </xf>
    <xf numFmtId="4" fontId="22" fillId="0" borderId="3" xfId="0" applyNumberFormat="1" applyFont="1" applyFill="1" applyBorder="1" applyAlignment="1">
      <alignment horizontal="right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left" vertical="center" wrapText="1"/>
    </xf>
    <xf numFmtId="4" fontId="24" fillId="0" borderId="3" xfId="0" applyNumberFormat="1" applyFont="1" applyFill="1" applyBorder="1" applyAlignment="1">
      <alignment horizontal="right" vertical="center" wrapText="1"/>
    </xf>
    <xf numFmtId="4" fontId="22" fillId="0" borderId="0" xfId="0" applyNumberFormat="1" applyFont="1" applyFill="1" applyAlignment="1">
      <alignment horizontal="center" vertical="center" wrapText="1"/>
    </xf>
    <xf numFmtId="4" fontId="23" fillId="0" borderId="0" xfId="0" applyNumberFormat="1" applyFont="1" applyFill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left" vertical="center" wrapText="1"/>
    </xf>
    <xf numFmtId="4" fontId="25" fillId="0" borderId="3" xfId="0" applyNumberFormat="1" applyFont="1" applyFill="1" applyBorder="1" applyAlignment="1">
      <alignment horizontal="right" vertical="center" wrapText="1"/>
    </xf>
    <xf numFmtId="49" fontId="22" fillId="0" borderId="3" xfId="0" applyNumberFormat="1" applyFont="1" applyFill="1" applyBorder="1" applyAlignment="1" quotePrefix="1">
      <alignment horizontal="center" vertical="center" wrapText="1"/>
    </xf>
    <xf numFmtId="0" fontId="22" fillId="0" borderId="3" xfId="0" applyFont="1" applyFill="1" applyBorder="1" applyAlignment="1" quotePrefix="1">
      <alignment horizontal="left" vertical="center" wrapText="1"/>
    </xf>
    <xf numFmtId="0" fontId="24" fillId="0" borderId="3" xfId="0" applyFont="1" applyFill="1" applyBorder="1" applyAlignment="1" quotePrefix="1">
      <alignment horizontal="left" vertical="center" wrapText="1"/>
    </xf>
    <xf numFmtId="0" fontId="20" fillId="0" borderId="3" xfId="65" applyFont="1" applyBorder="1" applyAlignment="1" quotePrefix="1">
      <alignment horizontal="center" vertical="center" wrapText="1"/>
    </xf>
    <xf numFmtId="0" fontId="20" fillId="0" borderId="3" xfId="73" applyFont="1" applyBorder="1" applyAlignment="1" quotePrefix="1">
      <alignment horizontal="center" vertical="center" wrapText="1"/>
    </xf>
    <xf numFmtId="0" fontId="20" fillId="0" borderId="3" xfId="73" applyFont="1" applyBorder="1" applyAlignment="1" quotePrefix="1">
      <alignment vertical="center" wrapText="1"/>
    </xf>
    <xf numFmtId="191" fontId="20" fillId="0" borderId="3" xfId="2" applyNumberFormat="1" applyFont="1" applyBorder="1" applyAlignment="1" quotePrefix="1">
      <alignment horizontal="right" vertical="center" wrapText="1"/>
    </xf>
    <xf numFmtId="4" fontId="8" fillId="5" borderId="3" xfId="73" applyNumberFormat="1" applyFont="1" applyFill="1" applyBorder="1" applyAlignment="1" quotePrefix="1">
      <alignment vertical="center"/>
    </xf>
  </cellXfs>
  <cellStyles count="106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???? [0.00]_PRODUCT DETAIL Q1" xfId="6"/>
    <cellStyle name="Percent" xfId="7" builtinId="5"/>
    <cellStyle name="Hyperlink" xfId="8" builtinId="8"/>
    <cellStyle name="Normal_Sheet1" xfId="9"/>
    <cellStyle name="60% - Accent4" xfId="10" builtinId="44"/>
    <cellStyle name="Followed Hyperlink" xfId="11" builtinId="9"/>
    <cellStyle name="Date" xfId="12"/>
    <cellStyle name="Check Cell" xfId="13" builtinId="23"/>
    <cellStyle name="Heading 2" xfId="14" builtinId="17"/>
    <cellStyle name="Note" xfId="15" builtinId="10"/>
    <cellStyle name="40% - Accent3" xfId="16" builtinId="39"/>
    <cellStyle name="Warning Text" xfId="17" builtinId="11"/>
    <cellStyle name="40% - Accent2" xfId="18" builtinId="35"/>
    <cellStyle name="Title" xfId="19" builtinId="15"/>
    <cellStyle name="CExplanatory Text" xfId="20" builtinId="53"/>
    <cellStyle name="Heading 1" xfId="21" builtinId="16"/>
    <cellStyle name="Heading 3" xfId="22" builtinId="18"/>
    <cellStyle name="Heading 4" xfId="23" builtinId="19"/>
    <cellStyle name="Input" xfId="24" builtinId="20"/>
    <cellStyle name="Comma0" xfId="25"/>
    <cellStyle name="60% - Accent3" xfId="26" builtinId="40"/>
    <cellStyle name="Good" xfId="27" builtinId="26"/>
    <cellStyle name="Output" xfId="28" builtinId="21"/>
    <cellStyle name="20% - Accent1" xfId="29" builtinId="30"/>
    <cellStyle name="Calculation" xfId="30" builtinId="22"/>
    <cellStyle name="Linked Cell" xfId="31" builtinId="24"/>
    <cellStyle name="Total" xfId="32" builtinId="25"/>
    <cellStyle name="Bad" xfId="33" builtinId="27"/>
    <cellStyle name="Neutral" xfId="34" builtinId="28"/>
    <cellStyle name="Accent1" xfId="35" builtinId="29"/>
    <cellStyle name="20% - Accent5" xfId="36" builtinId="46"/>
    <cellStyle name="60% - Accent1" xfId="37" builtinId="32"/>
    <cellStyle name="Fixed" xfId="38"/>
    <cellStyle name="Accent2" xfId="39" builtinId="33"/>
    <cellStyle name="20% - Accent2" xfId="40" builtinId="34"/>
    <cellStyle name="20% - Accent6" xfId="41" builtinId="50"/>
    <cellStyle name="60% - Accent2" xfId="42" builtinId="36"/>
    <cellStyle name="Accent3" xfId="43" builtinId="37"/>
    <cellStyle name="Normal_THop_Tinh(HaNoi)" xfId="44"/>
    <cellStyle name="????_PRODUCT DETAIL Q1" xfId="45"/>
    <cellStyle name="20% - Accent3" xfId="46" builtinId="38"/>
    <cellStyle name="Accent4" xfId="47" builtinId="41"/>
    <cellStyle name="20% - Accent4" xfId="48" builtinId="42"/>
    <cellStyle name="40% - Accent4" xfId="49" builtinId="43"/>
    <cellStyle name="Accent5" xfId="50" builtinId="45"/>
    <cellStyle name="40% - Accent5" xfId="51" builtinId="47"/>
    <cellStyle name="Currency0" xfId="52"/>
    <cellStyle name="60% - Accent5" xfId="53" builtinId="48"/>
    <cellStyle name="Accent6" xfId="54" builtinId="49"/>
    <cellStyle name="40% - Accent6" xfId="55" builtinId="51"/>
    <cellStyle name="60% - Accent6" xfId="56" builtinId="52"/>
    <cellStyle name="??" xfId="57"/>
    <cellStyle name="?? [0.00]_PRODUCT DETAIL Q1" xfId="58"/>
    <cellStyle name="?? [0]" xfId="59"/>
    <cellStyle name="???_HOBONG" xfId="60"/>
    <cellStyle name="??_(????)??????" xfId="61"/>
    <cellStyle name="Header1" xfId="62"/>
    <cellStyle name="Header2" xfId="63"/>
    <cellStyle name="Normal 10" xfId="64"/>
    <cellStyle name="Normal 11" xfId="65"/>
    <cellStyle name="Normal 12" xfId="66"/>
    <cellStyle name="Normal 13" xfId="67"/>
    <cellStyle name="Normal 20" xfId="68"/>
    <cellStyle name="Normal 15" xfId="69"/>
    <cellStyle name="Normal 16" xfId="70"/>
    <cellStyle name="Normal 18" xfId="71"/>
    <cellStyle name="Normal 19" xfId="72"/>
    <cellStyle name="Normal 2" xfId="73"/>
    <cellStyle name="Normal 2 2" xfId="74"/>
    <cellStyle name="Normal 2 2 2" xfId="75"/>
    <cellStyle name="Normal 2 2 3" xfId="76"/>
    <cellStyle name="Normal 2 3" xfId="77"/>
    <cellStyle name="Normal 22" xfId="78"/>
    <cellStyle name="Normal 30" xfId="79"/>
    <cellStyle name="Normal 25" xfId="80"/>
    <cellStyle name="통화_1202" xfId="81"/>
    <cellStyle name="Normal 31" xfId="82"/>
    <cellStyle name="Normal 26" xfId="83"/>
    <cellStyle name="Normal 32" xfId="84"/>
    <cellStyle name="Normal 27" xfId="85"/>
    <cellStyle name="Normal 33" xfId="86"/>
    <cellStyle name="Normal 28" xfId="87"/>
    <cellStyle name="Normal 3" xfId="88"/>
    <cellStyle name="Normal 34" xfId="89"/>
    <cellStyle name="Normal 35" xfId="90"/>
    <cellStyle name="Normal 4" xfId="91"/>
    <cellStyle name="Normal 5" xfId="92"/>
    <cellStyle name="Normal 6" xfId="93"/>
    <cellStyle name="Normal 7" xfId="94"/>
    <cellStyle name="Normal 8" xfId="95"/>
    <cellStyle name="똿뗦먛귟 [0.00]_PRODUCT DETAIL Q1" xfId="96"/>
    <cellStyle name="똿뗦먛귟_PRODUCT DETAIL Q1" xfId="97"/>
    <cellStyle name="믅됞 [0.00]_PRODUCT DETAIL Q1" xfId="98"/>
    <cellStyle name="믅됞_PRODUCT DETAIL Q1" xfId="99"/>
    <cellStyle name="백분율_HOBONG" xfId="100"/>
    <cellStyle name="뷭?_BOOKSHIP" xfId="101"/>
    <cellStyle name="콤마 [0]_1202" xfId="102"/>
    <cellStyle name="콤마_1202" xfId="103"/>
    <cellStyle name="통화 [0]_1202" xfId="104"/>
    <cellStyle name="표준_(정보부문)월별인원계획" xfId="105"/>
  </cellStyles>
  <tableStyles count="0" defaultTableStyle="TableStyleMedium9" defaultPivotStyle="PivotStyleLight16"/>
  <colors>
    <mruColors>
      <color rgb="00FFFF99"/>
      <color rgb="00FF99FF"/>
      <color rgb="00FFFFCC"/>
      <color rgb="00CCFFFF"/>
      <color rgb="000000FF"/>
      <color rgb="00FF00FF"/>
      <color rgb="00FFCC00"/>
      <color rgb="000099FF"/>
      <color rgb="00CCECFF"/>
      <color rgb="00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9" Type="http://schemas.openxmlformats.org/officeDocument/2006/relationships/sharedStrings" Target="sharedStrings.xml"/><Relationship Id="rId38" Type="http://schemas.openxmlformats.org/officeDocument/2006/relationships/styles" Target="styles.xml"/><Relationship Id="rId37" Type="http://schemas.openxmlformats.org/officeDocument/2006/relationships/theme" Target="theme/theme1.xml"/><Relationship Id="rId36" Type="http://schemas.openxmlformats.org/officeDocument/2006/relationships/pivotCacheDefinition" Target="pivotCache/pivotCacheDefinition1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\BINH PHUOC\HON QUAN\KE HOACH 2022\SO LIEU\HUYENHONQUA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4" refreshedVersion="4" refreshedDate="44345.143469213" refreshedBy="Thai" recordCount="602">
  <cacheSource type="worksheet">
    <worksheetSource ref="A2:FX1042" sheet="LAYDAT" r:id="rId2"/>
  </cacheSource>
  <cacheFields count="216">
    <cacheField name="STT" numFmtId="0"/>
    <cacheField name="Danh mục công trình" numFmtId="0"/>
    <cacheField name="Tên xã" numFmtId="0"/>
    <cacheField name="Mã Xã" numFmtId="0"/>
    <cacheField name="MA_HT" numFmtId="0">
      <sharedItems containsBlank="1" count="55">
        <s v="NNP"/>
        <s v="LUA"/>
        <s v="LUC"/>
        <m/>
        <s v="LUK"/>
        <s v="LUN"/>
        <s v="HNK"/>
        <s v="CLN"/>
        <s v="RSX"/>
        <s v="RPH"/>
        <s v="RDD"/>
        <s v="NTS"/>
        <s v="LMU"/>
        <s v="NKH"/>
        <s v="PNN"/>
        <s v="CQP"/>
        <s v="CAN"/>
        <s v="SKK"/>
        <s v="SKT"/>
        <s v="SKN"/>
        <s v="TMD"/>
        <s v="SKC"/>
        <s v="SKS"/>
        <s v="DHT"/>
        <s v="DGT"/>
        <s v="DTL"/>
        <s v="DBV"/>
        <s v="DNL"/>
        <s v="DVH"/>
        <s v="DYT"/>
        <s v="DGD"/>
        <s v="DTT"/>
        <s v="NCK"/>
        <s v="DXH"/>
        <s v="DCH"/>
        <s v="DKG"/>
        <s v="DDT"/>
        <s v="DDL"/>
        <s v="DRA"/>
        <s v="ONT"/>
        <s v="ODT"/>
        <s v="TSC"/>
        <s v="DTS"/>
        <s v="DNG"/>
        <s v="TON"/>
        <s v="NTD"/>
        <s v="SKX"/>
        <s v="DSH"/>
        <s v="DKV"/>
        <s v="TIN"/>
        <s v="SON"/>
        <s v="MNC"/>
        <s v="PNK"/>
        <s v="CSD"/>
        <s v="LNC" u="1"/>
      </sharedItems>
    </cacheField>
    <cacheField name="Diện tích HT" numFmtId="0"/>
    <cacheField name="MA_QH" numFmtId="0">
      <sharedItems containsBlank="1" count="54">
        <s v="NNP"/>
        <s v="LUA"/>
        <s v="LUC"/>
        <m/>
        <s v="LUK"/>
        <s v="LUN"/>
        <s v="HNK"/>
        <s v="CLN"/>
        <s v="RSX"/>
        <s v="RPH"/>
        <s v="RDD"/>
        <s v="NTS"/>
        <s v="LMU"/>
        <s v="NKH"/>
        <s v="PNN"/>
        <s v="CQP"/>
        <s v="CAN"/>
        <s v="SKK"/>
        <s v="SKT"/>
        <s v="SKN"/>
        <s v="TMD"/>
        <s v="SKC"/>
        <s v="SKS"/>
        <s v="DHT"/>
        <s v="DGT"/>
        <s v="DTL"/>
        <s v="DBV"/>
        <s v="DNL"/>
        <s v="DVH"/>
        <s v="DYT"/>
        <s v="DGD"/>
        <s v="DTT"/>
        <s v="NCK"/>
        <s v="DXH"/>
        <s v="DCH"/>
        <s v="DKG"/>
        <s v="DDT"/>
        <s v="DDL"/>
        <s v="DRA"/>
        <s v="ONT"/>
        <s v="ODT"/>
        <s v="TSC"/>
        <s v="DTS"/>
        <s v="DNG"/>
        <s v="TON"/>
        <s v="NTD"/>
        <s v="SKX"/>
        <s v="DSH"/>
        <s v="DKV"/>
        <s v="TIN"/>
        <s v="SON"/>
        <s v="MNC"/>
        <s v="PNK"/>
        <s v="CSD"/>
      </sharedItems>
    </cacheField>
    <cacheField name="Diện tích QH" numFmtId="0"/>
    <cacheField name="Chênh lệch" numFmtId="0"/>
    <cacheField name="Năm thực hiện" numFmtId="49"/>
    <cacheField name="Thu hồi" numFmtId="0"/>
    <cacheField name="chuyển mục đích" numFmtId="0"/>
    <cacheField name="TTK" numFmtId="0"/>
    <cacheField name="XAK" numFmtId="0"/>
    <cacheField name="XAP" numFmtId="0"/>
    <cacheField name="XDN" numFmtId="0"/>
    <cacheField name="XMD" numFmtId="0"/>
    <cacheField name="XMT" numFmtId="0"/>
    <cacheField name="XPA" numFmtId="0"/>
    <cacheField name="XTHp" numFmtId="0"/>
    <cacheField name="XTHg" numFmtId="0"/>
    <cacheField name="XTL" numFmtId="0"/>
    <cacheField name="XTQ" numFmtId="0"/>
    <cacheField name="XTA" numFmtId="0"/>
    <cacheField name="XTB" numFmtId="0"/>
    <cacheField name="#" numFmtId="0"/>
    <cacheField name="#2" numFmtId="0"/>
    <cacheField name="#3" numFmtId="0"/>
    <cacheField name="TTK2" numFmtId="0"/>
    <cacheField name="XAK2" numFmtId="0"/>
    <cacheField name="XAP2" numFmtId="0"/>
    <cacheField name="XDN2" numFmtId="0"/>
    <cacheField name="XMD2" numFmtId="0"/>
    <cacheField name="XMT2" numFmtId="0"/>
    <cacheField name="XPA2" numFmtId="0"/>
    <cacheField name="XTHp2" numFmtId="0"/>
    <cacheField name="XTHg2" numFmtId="0"/>
    <cacheField name="XTL2" numFmtId="0"/>
    <cacheField name="XTQ2" numFmtId="0"/>
    <cacheField name="XTA2" numFmtId="0"/>
    <cacheField name="XTB2" numFmtId="0"/>
    <cacheField name="#4" numFmtId="0"/>
    <cacheField name="#5" numFmtId="0"/>
    <cacheField name="#6" numFmtId="0"/>
    <cacheField name="TH 16" numFmtId="0"/>
    <cacheField name="CMD 16" numFmtId="0"/>
    <cacheField name="TTK3" numFmtId="0"/>
    <cacheField name="XAK3" numFmtId="0"/>
    <cacheField name="XAP3" numFmtId="0"/>
    <cacheField name="XDN3" numFmtId="0"/>
    <cacheField name="XMD3" numFmtId="0"/>
    <cacheField name="XMT3" numFmtId="0"/>
    <cacheField name="XPA3" numFmtId="0"/>
    <cacheField name="XTHp3" numFmtId="0"/>
    <cacheField name="XTHg3" numFmtId="0"/>
    <cacheField name="XTL3" numFmtId="0"/>
    <cacheField name="XTQ3" numFmtId="0"/>
    <cacheField name="XTA3" numFmtId="0"/>
    <cacheField name="XTB3" numFmtId="0"/>
    <cacheField name="#7" numFmtId="0"/>
    <cacheField name="#8" numFmtId="0"/>
    <cacheField name="#9" numFmtId="0"/>
    <cacheField name="TTK4" numFmtId="0"/>
    <cacheField name="XAK4" numFmtId="0"/>
    <cacheField name="XAP4" numFmtId="0"/>
    <cacheField name="XDN4" numFmtId="0"/>
    <cacheField name="XMD4" numFmtId="0"/>
    <cacheField name="XMT4" numFmtId="0"/>
    <cacheField name="XPA4" numFmtId="0"/>
    <cacheField name="XTHp4" numFmtId="0"/>
    <cacheField name="XTHg4" numFmtId="0"/>
    <cacheField name="XTL4" numFmtId="0"/>
    <cacheField name="XTQ4" numFmtId="0"/>
    <cacheField name="XTA4" numFmtId="0"/>
    <cacheField name="XTB4" numFmtId="0"/>
    <cacheField name="#10" numFmtId="0"/>
    <cacheField name="#11" numFmtId="0"/>
    <cacheField name="#12" numFmtId="0"/>
    <cacheField name="TH 17" numFmtId="0"/>
    <cacheField name="CMD 17" numFmtId="0"/>
    <cacheField name="TNG" numFmtId="0"/>
    <cacheField name="XBC" numFmtId="0"/>
    <cacheField name="XBB" numFmtId="0"/>
    <cacheField name="XBG" numFmtId="0"/>
    <cacheField name="XBT" numFmtId="0"/>
    <cacheField name="XCB" numFmtId="0"/>
    <cacheField name="XDB" numFmtId="0"/>
    <cacheField name="XKL" numFmtId="0"/>
    <cacheField name="XLL" numFmtId="0"/>
    <cacheField name="XNT" numFmtId="0"/>
    <cacheField name="XQT" numFmtId="0"/>
    <cacheField name="XSB" numFmtId="0"/>
    <cacheField name="XSN" numFmtId="0"/>
    <cacheField name="XSR" numFmtId="0"/>
    <cacheField name="XXB" numFmtId="0"/>
    <cacheField name="XXS" numFmtId="0"/>
    <cacheField name="TNG2" numFmtId="0"/>
    <cacheField name="XBC2" numFmtId="0"/>
    <cacheField name="XBB2" numFmtId="0"/>
    <cacheField name="XBG2" numFmtId="0"/>
    <cacheField name="XBT2" numFmtId="0"/>
    <cacheField name="XCB2" numFmtId="0"/>
    <cacheField name="XDB2" numFmtId="0"/>
    <cacheField name="XKL2" numFmtId="0"/>
    <cacheField name="XLL2" numFmtId="0"/>
    <cacheField name="XNT2" numFmtId="0"/>
    <cacheField name="XQT2" numFmtId="0"/>
    <cacheField name="XSB2" numFmtId="0"/>
    <cacheField name="XSN2" numFmtId="0"/>
    <cacheField name="XSR2" numFmtId="0"/>
    <cacheField name="XXB2" numFmtId="0"/>
    <cacheField name="XXS2" numFmtId="0"/>
    <cacheField name="TH 18" numFmtId="0"/>
    <cacheField name="CMD 18" numFmtId="0"/>
    <cacheField name="TNG3" numFmtId="0"/>
    <cacheField name="XBC3" numFmtId="0"/>
    <cacheField name="XBB3" numFmtId="0"/>
    <cacheField name="XBG3" numFmtId="0"/>
    <cacheField name="XBT3" numFmtId="0"/>
    <cacheField name="XCB3" numFmtId="0"/>
    <cacheField name="XDB3" numFmtId="0"/>
    <cacheField name="XKL3" numFmtId="0"/>
    <cacheField name="XLL3" numFmtId="0"/>
    <cacheField name="XNT3" numFmtId="0"/>
    <cacheField name="XQT3" numFmtId="0"/>
    <cacheField name="XSB3" numFmtId="0"/>
    <cacheField name="XSN3" numFmtId="0"/>
    <cacheField name="XSR3" numFmtId="0"/>
    <cacheField name="XXB3" numFmtId="0"/>
    <cacheField name="XXS3" numFmtId="0"/>
    <cacheField name="TNG4" numFmtId="0"/>
    <cacheField name="XBC4" numFmtId="0"/>
    <cacheField name="XBB4" numFmtId="0"/>
    <cacheField name="XBG4" numFmtId="0"/>
    <cacheField name="XBT4" numFmtId="0"/>
    <cacheField name="XCB4" numFmtId="0"/>
    <cacheField name="XDB4" numFmtId="0"/>
    <cacheField name="XKL4" numFmtId="0"/>
    <cacheField name="XLL4" numFmtId="0"/>
    <cacheField name="XNT4" numFmtId="0"/>
    <cacheField name="XQT4" numFmtId="0"/>
    <cacheField name="XSB4" numFmtId="0"/>
    <cacheField name="XSN4" numFmtId="0"/>
    <cacheField name="XSR4" numFmtId="0"/>
    <cacheField name="XXB4" numFmtId="0"/>
    <cacheField name="XXS4" numFmtId="0"/>
    <cacheField name="TH 19" numFmtId="0"/>
    <cacheField name="CMD 19" numFmtId="0"/>
    <cacheField name="TNG5" numFmtId="0"/>
    <cacheField name="XBC5" numFmtId="0"/>
    <cacheField name="XBB5" numFmtId="0"/>
    <cacheField name="XBG5" numFmtId="0"/>
    <cacheField name="XBT5" numFmtId="0"/>
    <cacheField name="XCB5" numFmtId="0"/>
    <cacheField name="XDB5" numFmtId="0"/>
    <cacheField name="XKL5" numFmtId="0"/>
    <cacheField name="XLL5" numFmtId="0"/>
    <cacheField name="XNT5" numFmtId="0"/>
    <cacheField name="XQT5" numFmtId="0"/>
    <cacheField name="XSB5" numFmtId="0"/>
    <cacheField name="XSN5" numFmtId="0"/>
    <cacheField name="XSR5" numFmtId="0"/>
    <cacheField name="XXB5" numFmtId="0"/>
    <cacheField name="XXS5" numFmtId="0"/>
    <cacheField name="TNG6" numFmtId="0"/>
    <cacheField name="XBC6" numFmtId="0"/>
    <cacheField name="XBB6" numFmtId="0"/>
    <cacheField name="XBG6" numFmtId="0"/>
    <cacheField name="XBT6" numFmtId="0"/>
    <cacheField name="XCB6" numFmtId="0"/>
    <cacheField name="XDB6" numFmtId="0"/>
    <cacheField name="XKL6" numFmtId="0"/>
    <cacheField name="XLL6" numFmtId="0"/>
    <cacheField name="XNT6" numFmtId="0"/>
    <cacheField name="XQT6" numFmtId="0"/>
    <cacheField name="XSB6" numFmtId="0"/>
    <cacheField name="XSN6" numFmtId="0"/>
    <cacheField name="XSR6" numFmtId="0"/>
    <cacheField name="XXB6" numFmtId="0"/>
    <cacheField name="XXS6" numFmtId="0"/>
    <cacheField name="TH 20" numFmtId="0"/>
    <cacheField name="CMD 20" numFmtId="0"/>
    <cacheField name="TNG7" numFmtId="0"/>
    <cacheField name="XBC7" numFmtId="0"/>
    <cacheField name="XBB7" numFmtId="0"/>
    <cacheField name="XBG7" numFmtId="0"/>
    <cacheField name="XBT7" numFmtId="0"/>
    <cacheField name="XCB7" numFmtId="0"/>
    <cacheField name="XDB7" numFmtId="0"/>
    <cacheField name="XKL7" numFmtId="0"/>
    <cacheField name="XLL7" numFmtId="0"/>
    <cacheField name="XNT7" numFmtId="0"/>
    <cacheField name="XQT7" numFmtId="0"/>
    <cacheField name="XSB7" numFmtId="0"/>
    <cacheField name="XSN7" numFmtId="0"/>
    <cacheField name="XSR7" numFmtId="0"/>
    <cacheField name="XXB7" numFmtId="0"/>
    <cacheField name="XXS7" numFmtId="0"/>
    <cacheField name="TNG8" numFmtId="0"/>
    <cacheField name="XBC8" numFmtId="0"/>
    <cacheField name="XBB8" numFmtId="0"/>
    <cacheField name="XBG8" numFmtId="0"/>
    <cacheField name="XBT8" numFmtId="0"/>
    <cacheField name="XCB8" numFmtId="0"/>
    <cacheField name="XDB8" numFmtId="0"/>
    <cacheField name="XKL8" numFmtId="0"/>
    <cacheField name="XLL8" numFmtId="0"/>
    <cacheField name="XNT8" numFmtId="0"/>
    <cacheField name="XQT8" numFmtId="0"/>
    <cacheField name="XSB8" numFmtId="0"/>
    <cacheField name="XSN8" numFmtId="0"/>
    <cacheField name="XSR8" numFmtId="0"/>
    <cacheField name="XXB8" numFmtId="0"/>
    <cacheField name="XXS8" numFmtId="0"/>
    <cacheField name="Thu hồi2" numFmtId="0"/>
    <cacheField name="Chuyển MD" numFmtI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2">
  <r>
    <s v="I"/>
    <s v="ĐẤT NÔNG NGHIỆP"/>
    <m/>
    <n v="0"/>
    <x v="0"/>
    <m/>
    <x v="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"/>
    <m/>
    <n v="0"/>
    <x v="1"/>
    <m/>
    <x v="1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- Đất chuyên trồng lúa nước"/>
    <m/>
    <n v="0"/>
    <x v="2"/>
    <m/>
    <x v="2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Thị trấn Tân Khai"/>
    <s v="TTK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An Khương"/>
    <s v="XAK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An Phú"/>
    <s v="XAP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Đồng Nơ"/>
    <s v="XDN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Minh Đức"/>
    <s v="XMD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Minh Tâm"/>
    <s v="XMT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Phước An"/>
    <s v="XPA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Tân Hiệp"/>
    <s v="XTHp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Tân Hưng"/>
    <s v="XTHg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Tân Lợi"/>
    <s v="XTL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Tân Quan"/>
    <s v="XTQ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Thanh An"/>
    <s v="XTA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Thanh Bình"/>
    <s v="XTB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- Đất lúa còn lại"/>
    <m/>
    <n v="0"/>
    <x v="4"/>
    <m/>
    <x v="4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- Đất lúa nương"/>
    <m/>
    <n v="0"/>
    <x v="5"/>
    <m/>
    <x v="5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6"/>
    <m/>
    <x v="6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 "/>
    <m/>
    <n v="0"/>
    <x v="7"/>
    <m/>
    <x v="7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8"/>
    <m/>
    <x v="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9"/>
    <m/>
    <x v="9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10"/>
    <m/>
    <x v="1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HỦY SẢN"/>
    <m/>
    <n v="0"/>
    <x v="11"/>
    <m/>
    <x v="11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LÀM MUỐI"/>
    <m/>
    <n v="0"/>
    <x v="12"/>
    <m/>
    <x v="12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13"/>
    <m/>
    <x v="1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I"/>
    <s v="ĐẤT PHI NÔNG NGHIỆP"/>
    <m/>
    <n v="0"/>
    <x v="14"/>
    <m/>
    <x v="14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QUỐC PHÒNG"/>
    <m/>
    <n v="0"/>
    <x v="15"/>
    <m/>
    <x v="15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AN NINH"/>
    <m/>
    <n v="0"/>
    <x v="16"/>
    <m/>
    <x v="16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KHU CÔNG NGHIỆP"/>
    <m/>
    <n v="0"/>
    <x v="17"/>
    <n v="0"/>
    <x v="17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KHU CHẾ XUẤT"/>
    <m/>
    <n v="0"/>
    <x v="18"/>
    <n v="0"/>
    <x v="1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ỤM CÔNG NGHIỆP"/>
    <m/>
    <n v="0"/>
    <x v="19"/>
    <m/>
    <x v="19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HƯƠNG MẠI DỊCH VỤ"/>
    <m/>
    <n v="0"/>
    <x v="20"/>
    <m/>
    <x v="2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Ơ SỞ SẢN XUẤT PNN"/>
    <m/>
    <n v="0"/>
    <x v="21"/>
    <m/>
    <x v="21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O HOẠT ĐỘNG KHAI THÁC KHOANG SẢN "/>
    <m/>
    <n v="0"/>
    <x v="22"/>
    <m/>
    <x v="22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PHÁT TRIỂN HẠ TẦNG"/>
    <m/>
    <n v="0"/>
    <x v="23"/>
    <m/>
    <x v="2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Đất giao thông "/>
    <m/>
    <n v="0"/>
    <x v="24"/>
    <m/>
    <x v="24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s v="Đất thủy lợi "/>
    <m/>
    <n v="0"/>
    <x v="25"/>
    <m/>
    <x v="25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Đất bưu chính viễn thông "/>
    <m/>
    <n v="0"/>
    <x v="26"/>
    <m/>
    <x v="26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Đất công trình năng lượng"/>
    <m/>
    <n v="0"/>
    <x v="27"/>
    <m/>
    <x v="27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Đất văn hóa"/>
    <m/>
    <n v="0"/>
    <x v="28"/>
    <m/>
    <x v="2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Đất y tế"/>
    <m/>
    <n v="0"/>
    <x v="29"/>
    <m/>
    <x v="29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Đất giáo dục, đào tạo"/>
    <m/>
    <n v="0"/>
    <x v="30"/>
    <m/>
    <x v="3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Đất thể dục thể thao"/>
    <m/>
    <n v="0"/>
    <x v="31"/>
    <m/>
    <x v="31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Đất nghiên cứu khoa học"/>
    <m/>
    <n v="0"/>
    <x v="32"/>
    <m/>
    <x v="32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s v="Đất dịch vụ xã hội"/>
    <m/>
    <n v="0"/>
    <x v="33"/>
    <m/>
    <x v="3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s v="Đất chợ"/>
    <m/>
    <n v="0"/>
    <x v="34"/>
    <m/>
    <x v="34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xây dựng kho dự trữ quốc gia"/>
    <m/>
    <n v="0"/>
    <x v="35"/>
    <m/>
    <x v="35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DI TÍCH ỊCH SỬ - VĂN HÓA"/>
    <m/>
    <n v="0"/>
    <x v="36"/>
    <m/>
    <x v="36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DANH LAM THẮNG CẢNH"/>
    <m/>
    <n v="0"/>
    <x v="37"/>
    <m/>
    <x v="37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BÃI THẢI XỬ LÍ CHẤT THẢI"/>
    <m/>
    <n v="0"/>
    <x v="38"/>
    <m/>
    <x v="3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Ở  NÔNG THÔN"/>
    <m/>
    <n v="0"/>
    <x v="39"/>
    <m/>
    <x v="39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Ở ĐÔ THỊ"/>
    <m/>
    <n v="0"/>
    <x v="40"/>
    <m/>
    <x v="4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Ụ SỞ CƠ QUAN"/>
    <m/>
    <n v="0"/>
    <x v="41"/>
    <m/>
    <x v="41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Ụ SỞ ĐƠN VỊ SỰ NGHIỆP"/>
    <m/>
    <n v="0"/>
    <x v="42"/>
    <m/>
    <x v="42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XÂY DỰNG TRỤ SỞ NGOẠI GIAO"/>
    <m/>
    <n v="0"/>
    <x v="43"/>
    <m/>
    <x v="4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Ơ SỞ TÔN GIÁO"/>
    <m/>
    <n v="0"/>
    <x v="44"/>
    <m/>
    <x v="44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GHĨA TRANG, NGHĨA ĐỊA"/>
    <m/>
    <n v="0"/>
    <x v="45"/>
    <m/>
    <x v="45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VẬT LIỆU XÂY DỰNG, LÀM GỐM"/>
    <m/>
    <n v="0"/>
    <x v="46"/>
    <m/>
    <x v="46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n v="0"/>
    <x v="3"/>
    <m/>
    <x v="3"/>
    <m/>
    <n v="0"/>
    <m/>
    <m/>
    <n v="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SINH HOẠT CỘNG ĐỒNG"/>
    <m/>
    <n v="0"/>
    <x v="47"/>
    <m/>
    <x v="47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VUI CHƠI GIẢI TRÍ CÔNG CỘNG"/>
    <m/>
    <n v="0"/>
    <x v="48"/>
    <m/>
    <x v="4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Ơ SỞ TÍN NGƯỠNG"/>
    <m/>
    <n v="0"/>
    <x v="49"/>
    <m/>
    <x v="49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SÔNG SUỐI"/>
    <m/>
    <n v="0"/>
    <x v="50"/>
    <m/>
    <x v="5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MẶT NƯỚC CHUYÊN DÙNG"/>
    <m/>
    <n v="0"/>
    <x v="51"/>
    <m/>
    <x v="51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PHI NÔNG NGHIỆP CÒN LẠI"/>
    <m/>
    <n v="0"/>
    <x v="52"/>
    <m/>
    <x v="52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II"/>
    <s v="ĐẤT CHƯA SỬ DỤNG "/>
    <m/>
    <n v="0"/>
    <x v="53"/>
    <m/>
    <x v="5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182.5155"/>
    <m/>
    <n v="0"/>
    <n v="182.5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x v="3"/>
    <m/>
    <x v="3"/>
    <m/>
    <m/>
    <m/>
    <n v="126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x v="3"/>
    <m/>
    <x v="3"/>
    <m/>
    <m/>
    <m/>
    <n v="-126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utoFormatId="1" applyNumberFormats="0" applyBorderFormats="0" applyFontFormats="0" applyPatternFormats="0" applyAlignmentFormats="0" applyWidthHeightFormats="1" dataCaption="Data" updatedVersion="4" minRefreshableVersion="3" createdVersion="4" useAutoFormatting="1" compact="0" indent="0" compactData="0" gridDropZones="1" showDrill="0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TNG4" fld="130" baseField="4" baseItem="0"/>
  </dataFields>
  <pivotTableStyleInfo showRowHeaders="1" showColHeaders="1" showLastColumn="1"/>
</pivotTableDefinition>
</file>

<file path=xl/pivotTables/pivotTable10.xml><?xml version="1.0" encoding="utf-8"?>
<pivotTableDefinition xmlns="http://schemas.openxmlformats.org/spreadsheetml/2006/main" name="PivotTable8" cacheId="0" dataOnRows="1" autoFormatId="1" applyNumberFormats="0" applyBorderFormats="0" applyFontFormats="0" applyPatternFormats="0" applyAlignmentFormats="0" applyWidthHeightFormats="1" dataCaption="Data" updatedVersion="4" minRefreshableVersion="3" createdVersion="4" useAutoFormatting="1" compact="0" indent="0" compactData="0" gridDropZones="1" showDrill="0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NT4" fld="139" baseField="4" baseItem="0"/>
  </dataFields>
  <pivotTableStyleInfo showRowHeaders="1" showColHeaders="1" showLastColumn="1"/>
</pivotTableDefinition>
</file>

<file path=xl/pivotTables/pivotTable11.xml><?xml version="1.0" encoding="utf-8"?>
<pivotTableDefinition xmlns="http://schemas.openxmlformats.org/spreadsheetml/2006/main" name="PivotTable9" cacheId="0" dataOnRows="1" autoFormatId="1" applyNumberFormats="0" applyBorderFormats="0" applyFontFormats="0" applyPatternFormats="0" applyAlignmentFormats="0" applyWidthHeightFormats="1" dataCaption="Data" updatedVersion="4" minRefreshableVersion="3" createdVersion="4" useAutoFormatting="1" compact="0" indent="0" compactData="0" gridDropZones="1" showDrill="0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QT4" fld="140" baseField="4" baseItem="0"/>
  </dataFields>
  <pivotTableStyleInfo showRowHeaders="1" showColHeaders="1" showLastColumn="1"/>
</pivotTableDefinition>
</file>

<file path=xl/pivotTables/pivotTable12.xml><?xml version="1.0" encoding="utf-8"?>
<pivotTableDefinition xmlns="http://schemas.openxmlformats.org/spreadsheetml/2006/main" name="PivotTable10" cacheId="0" dataOnRows="1" autoFormatId="1" applyNumberFormats="0" applyBorderFormats="0" applyFontFormats="0" applyPatternFormats="0" applyAlignmentFormats="0" applyWidthHeightFormats="1" dataCaption="Data" updatedVersion="4" minRefreshableVersion="3" createdVersion="4" useAutoFormatting="1" compact="0" indent="0" compactData="0" gridDropZones="1" showDrill="0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SB4" fld="141" baseField="4" baseItem="0"/>
  </dataFields>
  <pivotTableStyleInfo showRowHeaders="1" showColHeaders="1" showLastColumn="1"/>
</pivotTableDefinition>
</file>

<file path=xl/pivotTables/pivotTable13.xml><?xml version="1.0" encoding="utf-8"?>
<pivotTableDefinition xmlns="http://schemas.openxmlformats.org/spreadsheetml/2006/main" name="PivotTable11" cacheId="0" dataOnRows="1" autoFormatId="1" applyNumberFormats="0" applyBorderFormats="0" applyFontFormats="0" applyPatternFormats="0" applyAlignmentFormats="0" applyWidthHeightFormats="1" dataCaption="Data" updatedVersion="4" minRefreshableVersion="3" createdVersion="4" useAutoFormatting="1" compact="0" indent="0" compactData="0" gridDropZones="1" showDrill="0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SN4" fld="142" baseField="4" baseItem="0"/>
  </dataFields>
  <pivotTableStyleInfo showRowHeaders="1" showColHeaders="1" showLastColumn="1"/>
</pivotTableDefinition>
</file>

<file path=xl/pivotTables/pivotTable14.xml><?xml version="1.0" encoding="utf-8"?>
<pivotTableDefinition xmlns="http://schemas.openxmlformats.org/spreadsheetml/2006/main" name="PivotTable12" cacheId="0" dataOnRows="1" autoFormatId="1" applyNumberFormats="0" applyBorderFormats="0" applyFontFormats="0" applyPatternFormats="0" applyAlignmentFormats="0" applyWidthHeightFormats="1" dataCaption="Data" updatedVersion="4" minRefreshableVersion="3" createdVersion="4" useAutoFormatting="1" compact="0" indent="0" compactData="0" gridDropZones="1" showDrill="0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SR4" fld="143" baseField="4" baseItem="0"/>
  </dataFields>
  <pivotTableStyleInfo showRowHeaders="1" showColHeaders="1" showLastColumn="1"/>
</pivotTableDefinition>
</file>

<file path=xl/pivotTables/pivotTable15.xml><?xml version="1.0" encoding="utf-8"?>
<pivotTableDefinition xmlns="http://schemas.openxmlformats.org/spreadsheetml/2006/main" name="PivotTable13" cacheId="0" dataOnRows="1" autoFormatId="1" applyNumberFormats="0" applyBorderFormats="0" applyFontFormats="0" applyPatternFormats="0" applyAlignmentFormats="0" applyWidthHeightFormats="1" dataCaption="Data" updatedVersion="4" minRefreshableVersion="3" createdVersion="4" useAutoFormatting="1" compact="0" indent="0" compactData="0" gridDropZones="1" showDrill="0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XB4" fld="144" baseField="4" baseItem="0"/>
  </dataFields>
  <pivotTableStyleInfo showRowHeaders="1" showColHeaders="1" showLastColumn="1"/>
</pivotTableDefinition>
</file>

<file path=xl/pivotTables/pivotTable16.xml><?xml version="1.0" encoding="utf-8"?>
<pivotTableDefinition xmlns="http://schemas.openxmlformats.org/spreadsheetml/2006/main" name="PivotTable14" cacheId="0" dataOnRows="1" autoFormatId="1" applyNumberFormats="0" applyBorderFormats="0" applyFontFormats="0" applyPatternFormats="0" applyAlignmentFormats="0" applyWidthHeightFormats="1" dataCaption="Data" updatedVersion="4" minRefreshableVersion="3" createdVersion="4" useAutoFormatting="1" compact="0" indent="0" compactData="0" gridDropZones="1" showDrill="0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XS4" fld="145" baseField="4" baseItem="0"/>
  </dataFields>
  <pivotTableStyleInfo showRowHeaders="1" showColHeaders="1" showLastColumn="1"/>
</pivotTableDefinition>
</file>

<file path=xl/pivotTables/pivotTable17.xml><?xml version="1.0" encoding="utf-8"?>
<pivotTableDefinition xmlns="http://schemas.openxmlformats.org/spreadsheetml/2006/main" name="PivotTable15" cacheId="0" dataOnRows="1" autoFormatId="1" applyNumberFormats="0" applyBorderFormats="0" applyFontFormats="0" applyPatternFormats="0" applyAlignmentFormats="0" applyWidthHeightFormats="1" dataCaption="Data" updatedVersion="4" minRefreshableVersion="3" createdVersion="4" useAutoFormatting="1" compact="0" indent="0" compactData="0" gridDropZones="1" showDrill="0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dataField="1"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CMD 16" fld="45" baseField="4" baseItem="0"/>
  </dataFields>
  <pivotTableStyleInfo showRowHeaders="1" showColHeaders="1" showLastColumn="1"/>
</pivotTableDefinition>
</file>

<file path=xl/pivotTables/pivotTable2.xml><?xml version="1.0" encoding="utf-8"?>
<pivotTableDefinition xmlns="http://schemas.openxmlformats.org/spreadsheetml/2006/main" name="PivotTable2" cacheId="0" dataOnRows="1" autoFormatId="1" applyNumberFormats="0" applyBorderFormats="0" applyFontFormats="0" applyPatternFormats="0" applyAlignmentFormats="0" applyWidthHeightFormats="1" dataCaption="Data" updatedVersion="4" minRefreshableVersion="3" createdVersion="4" useAutoFormatting="1" compact="0" indent="0" compactData="0" gridDropZones="1" showDrill="0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BC4" fld="131" baseField="4" baseItem="0"/>
  </dataFields>
  <pivotTableStyleInfo showRowHeaders="1" showColHeaders="1" showLastColumn="1"/>
</pivotTableDefinition>
</file>

<file path=xl/pivotTables/pivotTable3.xml><?xml version="1.0" encoding="utf-8"?>
<pivotTableDefinition xmlns="http://schemas.openxmlformats.org/spreadsheetml/2006/main" name="PivotTable3" cacheId="0" dataOnRows="1" autoFormatId="1" applyNumberFormats="0" applyBorderFormats="0" applyFontFormats="0" applyPatternFormats="0" applyAlignmentFormats="0" applyWidthHeightFormats="1" dataCaption="Data" updatedVersion="4" minRefreshableVersion="3" createdVersion="4" useAutoFormatting="1" compact="0" indent="0" compactData="0" gridDropZones="1" showDrill="0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BB4" fld="132" baseField="4" baseItem="0"/>
  </dataFields>
  <pivotTableStyleInfo showRowHeaders="1" showColHeaders="1" showLastColumn="1"/>
</pivotTableDefinition>
</file>

<file path=xl/pivotTables/pivotTable4.xml><?xml version="1.0" encoding="utf-8"?>
<pivotTableDefinition xmlns="http://schemas.openxmlformats.org/spreadsheetml/2006/main" name="PivotTable1" cacheId="0" dataOnRows="1" autoFormatId="1" applyNumberFormats="0" applyBorderFormats="0" applyFontFormats="0" applyPatternFormats="0" applyAlignmentFormats="0" applyWidthHeightFormats="1" dataCaption="Data" updatedVersion="4" minRefreshableVersion="3" createdVersion="4" useAutoFormatting="1" compact="0" indent="0" compactData="0" gridDropZones="1" showDrill="0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BG4" fld="133" baseField="4" baseItem="0"/>
  </dataFields>
  <pivotTableStyleInfo showRowHeaders="1" showColHeaders="1" showLastColumn="1"/>
</pivotTableDefinition>
</file>

<file path=xl/pivotTables/pivotTable5.xml><?xml version="1.0" encoding="utf-8"?>
<pivotTableDefinition xmlns="http://schemas.openxmlformats.org/spreadsheetml/2006/main" name="PivotTable2" cacheId="0" dataOnRows="1" autoFormatId="1" applyNumberFormats="0" applyBorderFormats="0" applyFontFormats="0" applyPatternFormats="0" applyAlignmentFormats="0" applyWidthHeightFormats="1" dataCaption="Data" updatedVersion="4" minRefreshableVersion="3" createdVersion="4" useAutoFormatting="1" compact="0" indent="0" compactData="0" gridDropZones="1" showDrill="0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BT4" fld="134" baseField="4" baseItem="0"/>
  </dataFields>
  <pivotTableStyleInfo showRowHeaders="1" showColHeaders="1" showLastColumn="1"/>
</pivotTableDefinition>
</file>

<file path=xl/pivotTables/pivotTable6.xml><?xml version="1.0" encoding="utf-8"?>
<pivotTableDefinition xmlns="http://schemas.openxmlformats.org/spreadsheetml/2006/main" name="PivotTable3" cacheId="0" dataOnRows="1" autoFormatId="1" applyNumberFormats="0" applyBorderFormats="0" applyFontFormats="0" applyPatternFormats="0" applyAlignmentFormats="0" applyWidthHeightFormats="1" dataCaption="Data" updatedVersion="4" minRefreshableVersion="3" createdVersion="4" useAutoFormatting="1" compact="0" indent="0" compactData="0" gridDropZones="1" showDrill="0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CB4" fld="135" baseField="4" baseItem="0"/>
  </dataFields>
  <pivotTableStyleInfo showRowHeaders="1" showColHeaders="1" showLastColumn="1"/>
</pivotTableDefinition>
</file>

<file path=xl/pivotTables/pivotTable7.xml><?xml version="1.0" encoding="utf-8"?>
<pivotTableDefinition xmlns="http://schemas.openxmlformats.org/spreadsheetml/2006/main" name="PivotTable5" cacheId="0" dataOnRows="1" autoFormatId="1" applyNumberFormats="0" applyBorderFormats="0" applyFontFormats="0" applyPatternFormats="0" applyAlignmentFormats="0" applyWidthHeightFormats="1" dataCaption="Data" updatedVersion="4" minRefreshableVersion="3" createdVersion="4" useAutoFormatting="1" compact="0" indent="0" compactData="0" gridDropZones="1" showDrill="0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DB4" fld="136" baseField="4" baseItem="0"/>
  </dataFields>
  <pivotTableStyleInfo showRowHeaders="1" showColHeaders="1" showLastColumn="1"/>
</pivotTableDefinition>
</file>

<file path=xl/pivotTables/pivotTable8.xml><?xml version="1.0" encoding="utf-8"?>
<pivotTableDefinition xmlns="http://schemas.openxmlformats.org/spreadsheetml/2006/main" name="PivotTable6" cacheId="0" dataOnRows="1" autoFormatId="1" applyNumberFormats="0" applyBorderFormats="0" applyFontFormats="0" applyPatternFormats="0" applyAlignmentFormats="0" applyWidthHeightFormats="1" dataCaption="Data" updatedVersion="4" minRefreshableVersion="3" createdVersion="4" useAutoFormatting="1" compact="0" indent="0" compactData="0" gridDropZones="1" showDrill="0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KL4" fld="137" baseField="4" baseItem="0"/>
  </dataFields>
  <pivotTableStyleInfo showRowHeaders="1" showColHeaders="1" showLastColumn="1"/>
</pivotTableDefinition>
</file>

<file path=xl/pivotTables/pivotTable9.xml><?xml version="1.0" encoding="utf-8"?>
<pivotTableDefinition xmlns="http://schemas.openxmlformats.org/spreadsheetml/2006/main" name="PivotTable7" cacheId="0" dataOnRows="1" autoFormatId="1" applyNumberFormats="0" applyBorderFormats="0" applyFontFormats="0" applyPatternFormats="0" applyAlignmentFormats="0" applyWidthHeightFormats="1" dataCaption="Data" updatedVersion="4" minRefreshableVersion="3" createdVersion="4" useAutoFormatting="1" compact="0" indent="0" compactData="0" gridDropZones="1" showDrill="0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showAl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LL4" fld="138" baseField="4" baseItem="0"/>
  </dataFields>
  <pivotTableStyleInfo showRowHeaders="1" showColHeader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>
    <tabColor rgb="FF00B0F0"/>
  </sheetPr>
  <dimension ref="A1:N191"/>
  <sheetViews>
    <sheetView topLeftCell="A133" workbookViewId="0">
      <selection activeCell="J134" sqref="J134"/>
    </sheetView>
  </sheetViews>
  <sheetFormatPr defaultColWidth="8.25" defaultRowHeight="12.75"/>
  <cols>
    <col min="1" max="1" width="5.25" style="285" customWidth="1"/>
    <col min="2" max="2" width="40.625" style="286" customWidth="1"/>
    <col min="3" max="3" width="9.875" style="287" customWidth="1"/>
    <col min="4" max="4" width="10.25" style="287" customWidth="1"/>
    <col min="5" max="5" width="8.25" style="287" customWidth="1"/>
    <col min="6" max="6" width="14.125" style="285" customWidth="1"/>
    <col min="7" max="7" width="12.625" style="285" customWidth="1"/>
    <col min="8" max="8" width="17.75" style="286" customWidth="1"/>
    <col min="9" max="9" width="19" style="286" customWidth="1"/>
    <col min="10" max="10" width="32.25" style="286" customWidth="1"/>
    <col min="11" max="256" width="8.25" style="285"/>
    <col min="257" max="257" width="5.75" style="285" customWidth="1"/>
    <col min="258" max="258" width="40.625" style="285" customWidth="1"/>
    <col min="259" max="259" width="9.875" style="285" customWidth="1"/>
    <col min="260" max="260" width="10.25" style="285" customWidth="1"/>
    <col min="261" max="261" width="8.25" style="285"/>
    <col min="262" max="262" width="10.75" style="285" customWidth="1"/>
    <col min="263" max="263" width="12.625" style="285" customWidth="1"/>
    <col min="264" max="264" width="17.75" style="285" customWidth="1"/>
    <col min="265" max="265" width="19" style="285" customWidth="1"/>
    <col min="266" max="266" width="32.25" style="285" customWidth="1"/>
    <col min="267" max="512" width="8.25" style="285"/>
    <col min="513" max="513" width="5.75" style="285" customWidth="1"/>
    <col min="514" max="514" width="40.625" style="285" customWidth="1"/>
    <col min="515" max="515" width="9.875" style="285" customWidth="1"/>
    <col min="516" max="516" width="10.25" style="285" customWidth="1"/>
    <col min="517" max="517" width="8.25" style="285"/>
    <col min="518" max="518" width="10.75" style="285" customWidth="1"/>
    <col min="519" max="519" width="12.625" style="285" customWidth="1"/>
    <col min="520" max="520" width="17.75" style="285" customWidth="1"/>
    <col min="521" max="521" width="19" style="285" customWidth="1"/>
    <col min="522" max="522" width="32.25" style="285" customWidth="1"/>
    <col min="523" max="768" width="8.25" style="285"/>
    <col min="769" max="769" width="5.75" style="285" customWidth="1"/>
    <col min="770" max="770" width="40.625" style="285" customWidth="1"/>
    <col min="771" max="771" width="9.875" style="285" customWidth="1"/>
    <col min="772" max="772" width="10.25" style="285" customWidth="1"/>
    <col min="773" max="773" width="8.25" style="285"/>
    <col min="774" max="774" width="10.75" style="285" customWidth="1"/>
    <col min="775" max="775" width="12.625" style="285" customWidth="1"/>
    <col min="776" max="776" width="17.75" style="285" customWidth="1"/>
    <col min="777" max="777" width="19" style="285" customWidth="1"/>
    <col min="778" max="778" width="32.25" style="285" customWidth="1"/>
    <col min="779" max="1024" width="8.25" style="285"/>
    <col min="1025" max="1025" width="5.75" style="285" customWidth="1"/>
    <col min="1026" max="1026" width="40.625" style="285" customWidth="1"/>
    <col min="1027" max="1027" width="9.875" style="285" customWidth="1"/>
    <col min="1028" max="1028" width="10.25" style="285" customWidth="1"/>
    <col min="1029" max="1029" width="8.25" style="285"/>
    <col min="1030" max="1030" width="10.75" style="285" customWidth="1"/>
    <col min="1031" max="1031" width="12.625" style="285" customWidth="1"/>
    <col min="1032" max="1032" width="17.75" style="285" customWidth="1"/>
    <col min="1033" max="1033" width="19" style="285" customWidth="1"/>
    <col min="1034" max="1034" width="32.25" style="285" customWidth="1"/>
    <col min="1035" max="1280" width="8.25" style="285"/>
    <col min="1281" max="1281" width="5.75" style="285" customWidth="1"/>
    <col min="1282" max="1282" width="40.625" style="285" customWidth="1"/>
    <col min="1283" max="1283" width="9.875" style="285" customWidth="1"/>
    <col min="1284" max="1284" width="10.25" style="285" customWidth="1"/>
    <col min="1285" max="1285" width="8.25" style="285"/>
    <col min="1286" max="1286" width="10.75" style="285" customWidth="1"/>
    <col min="1287" max="1287" width="12.625" style="285" customWidth="1"/>
    <col min="1288" max="1288" width="17.75" style="285" customWidth="1"/>
    <col min="1289" max="1289" width="19" style="285" customWidth="1"/>
    <col min="1290" max="1290" width="32.25" style="285" customWidth="1"/>
    <col min="1291" max="1536" width="8.25" style="285"/>
    <col min="1537" max="1537" width="5.75" style="285" customWidth="1"/>
    <col min="1538" max="1538" width="40.625" style="285" customWidth="1"/>
    <col min="1539" max="1539" width="9.875" style="285" customWidth="1"/>
    <col min="1540" max="1540" width="10.25" style="285" customWidth="1"/>
    <col min="1541" max="1541" width="8.25" style="285"/>
    <col min="1542" max="1542" width="10.75" style="285" customWidth="1"/>
    <col min="1543" max="1543" width="12.625" style="285" customWidth="1"/>
    <col min="1544" max="1544" width="17.75" style="285" customWidth="1"/>
    <col min="1545" max="1545" width="19" style="285" customWidth="1"/>
    <col min="1546" max="1546" width="32.25" style="285" customWidth="1"/>
    <col min="1547" max="1792" width="8.25" style="285"/>
    <col min="1793" max="1793" width="5.75" style="285" customWidth="1"/>
    <col min="1794" max="1794" width="40.625" style="285" customWidth="1"/>
    <col min="1795" max="1795" width="9.875" style="285" customWidth="1"/>
    <col min="1796" max="1796" width="10.25" style="285" customWidth="1"/>
    <col min="1797" max="1797" width="8.25" style="285"/>
    <col min="1798" max="1798" width="10.75" style="285" customWidth="1"/>
    <col min="1799" max="1799" width="12.625" style="285" customWidth="1"/>
    <col min="1800" max="1800" width="17.75" style="285" customWidth="1"/>
    <col min="1801" max="1801" width="19" style="285" customWidth="1"/>
    <col min="1802" max="1802" width="32.25" style="285" customWidth="1"/>
    <col min="1803" max="2048" width="8.25" style="285"/>
    <col min="2049" max="2049" width="5.75" style="285" customWidth="1"/>
    <col min="2050" max="2050" width="40.625" style="285" customWidth="1"/>
    <col min="2051" max="2051" width="9.875" style="285" customWidth="1"/>
    <col min="2052" max="2052" width="10.25" style="285" customWidth="1"/>
    <col min="2053" max="2053" width="8.25" style="285"/>
    <col min="2054" max="2054" width="10.75" style="285" customWidth="1"/>
    <col min="2055" max="2055" width="12.625" style="285" customWidth="1"/>
    <col min="2056" max="2056" width="17.75" style="285" customWidth="1"/>
    <col min="2057" max="2057" width="19" style="285" customWidth="1"/>
    <col min="2058" max="2058" width="32.25" style="285" customWidth="1"/>
    <col min="2059" max="2304" width="8.25" style="285"/>
    <col min="2305" max="2305" width="5.75" style="285" customWidth="1"/>
    <col min="2306" max="2306" width="40.625" style="285" customWidth="1"/>
    <col min="2307" max="2307" width="9.875" style="285" customWidth="1"/>
    <col min="2308" max="2308" width="10.25" style="285" customWidth="1"/>
    <col min="2309" max="2309" width="8.25" style="285"/>
    <col min="2310" max="2310" width="10.75" style="285" customWidth="1"/>
    <col min="2311" max="2311" width="12.625" style="285" customWidth="1"/>
    <col min="2312" max="2312" width="17.75" style="285" customWidth="1"/>
    <col min="2313" max="2313" width="19" style="285" customWidth="1"/>
    <col min="2314" max="2314" width="32.25" style="285" customWidth="1"/>
    <col min="2315" max="2560" width="8.25" style="285"/>
    <col min="2561" max="2561" width="5.75" style="285" customWidth="1"/>
    <col min="2562" max="2562" width="40.625" style="285" customWidth="1"/>
    <col min="2563" max="2563" width="9.875" style="285" customWidth="1"/>
    <col min="2564" max="2564" width="10.25" style="285" customWidth="1"/>
    <col min="2565" max="2565" width="8.25" style="285"/>
    <col min="2566" max="2566" width="10.75" style="285" customWidth="1"/>
    <col min="2567" max="2567" width="12.625" style="285" customWidth="1"/>
    <col min="2568" max="2568" width="17.75" style="285" customWidth="1"/>
    <col min="2569" max="2569" width="19" style="285" customWidth="1"/>
    <col min="2570" max="2570" width="32.25" style="285" customWidth="1"/>
    <col min="2571" max="2816" width="8.25" style="285"/>
    <col min="2817" max="2817" width="5.75" style="285" customWidth="1"/>
    <col min="2818" max="2818" width="40.625" style="285" customWidth="1"/>
    <col min="2819" max="2819" width="9.875" style="285" customWidth="1"/>
    <col min="2820" max="2820" width="10.25" style="285" customWidth="1"/>
    <col min="2821" max="2821" width="8.25" style="285"/>
    <col min="2822" max="2822" width="10.75" style="285" customWidth="1"/>
    <col min="2823" max="2823" width="12.625" style="285" customWidth="1"/>
    <col min="2824" max="2824" width="17.75" style="285" customWidth="1"/>
    <col min="2825" max="2825" width="19" style="285" customWidth="1"/>
    <col min="2826" max="2826" width="32.25" style="285" customWidth="1"/>
    <col min="2827" max="3072" width="8.25" style="285"/>
    <col min="3073" max="3073" width="5.75" style="285" customWidth="1"/>
    <col min="3074" max="3074" width="40.625" style="285" customWidth="1"/>
    <col min="3075" max="3075" width="9.875" style="285" customWidth="1"/>
    <col min="3076" max="3076" width="10.25" style="285" customWidth="1"/>
    <col min="3077" max="3077" width="8.25" style="285"/>
    <col min="3078" max="3078" width="10.75" style="285" customWidth="1"/>
    <col min="3079" max="3079" width="12.625" style="285" customWidth="1"/>
    <col min="3080" max="3080" width="17.75" style="285" customWidth="1"/>
    <col min="3081" max="3081" width="19" style="285" customWidth="1"/>
    <col min="3082" max="3082" width="32.25" style="285" customWidth="1"/>
    <col min="3083" max="3328" width="8.25" style="285"/>
    <col min="3329" max="3329" width="5.75" style="285" customWidth="1"/>
    <col min="3330" max="3330" width="40.625" style="285" customWidth="1"/>
    <col min="3331" max="3331" width="9.875" style="285" customWidth="1"/>
    <col min="3332" max="3332" width="10.25" style="285" customWidth="1"/>
    <col min="3333" max="3333" width="8.25" style="285"/>
    <col min="3334" max="3334" width="10.75" style="285" customWidth="1"/>
    <col min="3335" max="3335" width="12.625" style="285" customWidth="1"/>
    <col min="3336" max="3336" width="17.75" style="285" customWidth="1"/>
    <col min="3337" max="3337" width="19" style="285" customWidth="1"/>
    <col min="3338" max="3338" width="32.25" style="285" customWidth="1"/>
    <col min="3339" max="3584" width="8.25" style="285"/>
    <col min="3585" max="3585" width="5.75" style="285" customWidth="1"/>
    <col min="3586" max="3586" width="40.625" style="285" customWidth="1"/>
    <col min="3587" max="3587" width="9.875" style="285" customWidth="1"/>
    <col min="3588" max="3588" width="10.25" style="285" customWidth="1"/>
    <col min="3589" max="3589" width="8.25" style="285"/>
    <col min="3590" max="3590" width="10.75" style="285" customWidth="1"/>
    <col min="3591" max="3591" width="12.625" style="285" customWidth="1"/>
    <col min="3592" max="3592" width="17.75" style="285" customWidth="1"/>
    <col min="3593" max="3593" width="19" style="285" customWidth="1"/>
    <col min="3594" max="3594" width="32.25" style="285" customWidth="1"/>
    <col min="3595" max="3840" width="8.25" style="285"/>
    <col min="3841" max="3841" width="5.75" style="285" customWidth="1"/>
    <col min="3842" max="3842" width="40.625" style="285" customWidth="1"/>
    <col min="3843" max="3843" width="9.875" style="285" customWidth="1"/>
    <col min="3844" max="3844" width="10.25" style="285" customWidth="1"/>
    <col min="3845" max="3845" width="8.25" style="285"/>
    <col min="3846" max="3846" width="10.75" style="285" customWidth="1"/>
    <col min="3847" max="3847" width="12.625" style="285" customWidth="1"/>
    <col min="3848" max="3848" width="17.75" style="285" customWidth="1"/>
    <col min="3849" max="3849" width="19" style="285" customWidth="1"/>
    <col min="3850" max="3850" width="32.25" style="285" customWidth="1"/>
    <col min="3851" max="4096" width="8.25" style="285"/>
    <col min="4097" max="4097" width="5.75" style="285" customWidth="1"/>
    <col min="4098" max="4098" width="40.625" style="285" customWidth="1"/>
    <col min="4099" max="4099" width="9.875" style="285" customWidth="1"/>
    <col min="4100" max="4100" width="10.25" style="285" customWidth="1"/>
    <col min="4101" max="4101" width="8.25" style="285"/>
    <col min="4102" max="4102" width="10.75" style="285" customWidth="1"/>
    <col min="4103" max="4103" width="12.625" style="285" customWidth="1"/>
    <col min="4104" max="4104" width="17.75" style="285" customWidth="1"/>
    <col min="4105" max="4105" width="19" style="285" customWidth="1"/>
    <col min="4106" max="4106" width="32.25" style="285" customWidth="1"/>
    <col min="4107" max="4352" width="8.25" style="285"/>
    <col min="4353" max="4353" width="5.75" style="285" customWidth="1"/>
    <col min="4354" max="4354" width="40.625" style="285" customWidth="1"/>
    <col min="4355" max="4355" width="9.875" style="285" customWidth="1"/>
    <col min="4356" max="4356" width="10.25" style="285" customWidth="1"/>
    <col min="4357" max="4357" width="8.25" style="285"/>
    <col min="4358" max="4358" width="10.75" style="285" customWidth="1"/>
    <col min="4359" max="4359" width="12.625" style="285" customWidth="1"/>
    <col min="4360" max="4360" width="17.75" style="285" customWidth="1"/>
    <col min="4361" max="4361" width="19" style="285" customWidth="1"/>
    <col min="4362" max="4362" width="32.25" style="285" customWidth="1"/>
    <col min="4363" max="4608" width="8.25" style="285"/>
    <col min="4609" max="4609" width="5.75" style="285" customWidth="1"/>
    <col min="4610" max="4610" width="40.625" style="285" customWidth="1"/>
    <col min="4611" max="4611" width="9.875" style="285" customWidth="1"/>
    <col min="4612" max="4612" width="10.25" style="285" customWidth="1"/>
    <col min="4613" max="4613" width="8.25" style="285"/>
    <col min="4614" max="4614" width="10.75" style="285" customWidth="1"/>
    <col min="4615" max="4615" width="12.625" style="285" customWidth="1"/>
    <col min="4616" max="4616" width="17.75" style="285" customWidth="1"/>
    <col min="4617" max="4617" width="19" style="285" customWidth="1"/>
    <col min="4618" max="4618" width="32.25" style="285" customWidth="1"/>
    <col min="4619" max="4864" width="8.25" style="285"/>
    <col min="4865" max="4865" width="5.75" style="285" customWidth="1"/>
    <col min="4866" max="4866" width="40.625" style="285" customWidth="1"/>
    <col min="4867" max="4867" width="9.875" style="285" customWidth="1"/>
    <col min="4868" max="4868" width="10.25" style="285" customWidth="1"/>
    <col min="4869" max="4869" width="8.25" style="285"/>
    <col min="4870" max="4870" width="10.75" style="285" customWidth="1"/>
    <col min="4871" max="4871" width="12.625" style="285" customWidth="1"/>
    <col min="4872" max="4872" width="17.75" style="285" customWidth="1"/>
    <col min="4873" max="4873" width="19" style="285" customWidth="1"/>
    <col min="4874" max="4874" width="32.25" style="285" customWidth="1"/>
    <col min="4875" max="5120" width="8.25" style="285"/>
    <col min="5121" max="5121" width="5.75" style="285" customWidth="1"/>
    <col min="5122" max="5122" width="40.625" style="285" customWidth="1"/>
    <col min="5123" max="5123" width="9.875" style="285" customWidth="1"/>
    <col min="5124" max="5124" width="10.25" style="285" customWidth="1"/>
    <col min="5125" max="5125" width="8.25" style="285"/>
    <col min="5126" max="5126" width="10.75" style="285" customWidth="1"/>
    <col min="5127" max="5127" width="12.625" style="285" customWidth="1"/>
    <col min="5128" max="5128" width="17.75" style="285" customWidth="1"/>
    <col min="5129" max="5129" width="19" style="285" customWidth="1"/>
    <col min="5130" max="5130" width="32.25" style="285" customWidth="1"/>
    <col min="5131" max="5376" width="8.25" style="285"/>
    <col min="5377" max="5377" width="5.75" style="285" customWidth="1"/>
    <col min="5378" max="5378" width="40.625" style="285" customWidth="1"/>
    <col min="5379" max="5379" width="9.875" style="285" customWidth="1"/>
    <col min="5380" max="5380" width="10.25" style="285" customWidth="1"/>
    <col min="5381" max="5381" width="8.25" style="285"/>
    <col min="5382" max="5382" width="10.75" style="285" customWidth="1"/>
    <col min="5383" max="5383" width="12.625" style="285" customWidth="1"/>
    <col min="5384" max="5384" width="17.75" style="285" customWidth="1"/>
    <col min="5385" max="5385" width="19" style="285" customWidth="1"/>
    <col min="5386" max="5386" width="32.25" style="285" customWidth="1"/>
    <col min="5387" max="5632" width="8.25" style="285"/>
    <col min="5633" max="5633" width="5.75" style="285" customWidth="1"/>
    <col min="5634" max="5634" width="40.625" style="285" customWidth="1"/>
    <col min="5635" max="5635" width="9.875" style="285" customWidth="1"/>
    <col min="5636" max="5636" width="10.25" style="285" customWidth="1"/>
    <col min="5637" max="5637" width="8.25" style="285"/>
    <col min="5638" max="5638" width="10.75" style="285" customWidth="1"/>
    <col min="5639" max="5639" width="12.625" style="285" customWidth="1"/>
    <col min="5640" max="5640" width="17.75" style="285" customWidth="1"/>
    <col min="5641" max="5641" width="19" style="285" customWidth="1"/>
    <col min="5642" max="5642" width="32.25" style="285" customWidth="1"/>
    <col min="5643" max="5888" width="8.25" style="285"/>
    <col min="5889" max="5889" width="5.75" style="285" customWidth="1"/>
    <col min="5890" max="5890" width="40.625" style="285" customWidth="1"/>
    <col min="5891" max="5891" width="9.875" style="285" customWidth="1"/>
    <col min="5892" max="5892" width="10.25" style="285" customWidth="1"/>
    <col min="5893" max="5893" width="8.25" style="285"/>
    <col min="5894" max="5894" width="10.75" style="285" customWidth="1"/>
    <col min="5895" max="5895" width="12.625" style="285" customWidth="1"/>
    <col min="5896" max="5896" width="17.75" style="285" customWidth="1"/>
    <col min="5897" max="5897" width="19" style="285" customWidth="1"/>
    <col min="5898" max="5898" width="32.25" style="285" customWidth="1"/>
    <col min="5899" max="6144" width="8.25" style="285"/>
    <col min="6145" max="6145" width="5.75" style="285" customWidth="1"/>
    <col min="6146" max="6146" width="40.625" style="285" customWidth="1"/>
    <col min="6147" max="6147" width="9.875" style="285" customWidth="1"/>
    <col min="6148" max="6148" width="10.25" style="285" customWidth="1"/>
    <col min="6149" max="6149" width="8.25" style="285"/>
    <col min="6150" max="6150" width="10.75" style="285" customWidth="1"/>
    <col min="6151" max="6151" width="12.625" style="285" customWidth="1"/>
    <col min="6152" max="6152" width="17.75" style="285" customWidth="1"/>
    <col min="6153" max="6153" width="19" style="285" customWidth="1"/>
    <col min="6154" max="6154" width="32.25" style="285" customWidth="1"/>
    <col min="6155" max="6400" width="8.25" style="285"/>
    <col min="6401" max="6401" width="5.75" style="285" customWidth="1"/>
    <col min="6402" max="6402" width="40.625" style="285" customWidth="1"/>
    <col min="6403" max="6403" width="9.875" style="285" customWidth="1"/>
    <col min="6404" max="6404" width="10.25" style="285" customWidth="1"/>
    <col min="6405" max="6405" width="8.25" style="285"/>
    <col min="6406" max="6406" width="10.75" style="285" customWidth="1"/>
    <col min="6407" max="6407" width="12.625" style="285" customWidth="1"/>
    <col min="6408" max="6408" width="17.75" style="285" customWidth="1"/>
    <col min="6409" max="6409" width="19" style="285" customWidth="1"/>
    <col min="6410" max="6410" width="32.25" style="285" customWidth="1"/>
    <col min="6411" max="6656" width="8.25" style="285"/>
    <col min="6657" max="6657" width="5.75" style="285" customWidth="1"/>
    <col min="6658" max="6658" width="40.625" style="285" customWidth="1"/>
    <col min="6659" max="6659" width="9.875" style="285" customWidth="1"/>
    <col min="6660" max="6660" width="10.25" style="285" customWidth="1"/>
    <col min="6661" max="6661" width="8.25" style="285"/>
    <col min="6662" max="6662" width="10.75" style="285" customWidth="1"/>
    <col min="6663" max="6663" width="12.625" style="285" customWidth="1"/>
    <col min="6664" max="6664" width="17.75" style="285" customWidth="1"/>
    <col min="6665" max="6665" width="19" style="285" customWidth="1"/>
    <col min="6666" max="6666" width="32.25" style="285" customWidth="1"/>
    <col min="6667" max="6912" width="8.25" style="285"/>
    <col min="6913" max="6913" width="5.75" style="285" customWidth="1"/>
    <col min="6914" max="6914" width="40.625" style="285" customWidth="1"/>
    <col min="6915" max="6915" width="9.875" style="285" customWidth="1"/>
    <col min="6916" max="6916" width="10.25" style="285" customWidth="1"/>
    <col min="6917" max="6917" width="8.25" style="285"/>
    <col min="6918" max="6918" width="10.75" style="285" customWidth="1"/>
    <col min="6919" max="6919" width="12.625" style="285" customWidth="1"/>
    <col min="6920" max="6920" width="17.75" style="285" customWidth="1"/>
    <col min="6921" max="6921" width="19" style="285" customWidth="1"/>
    <col min="6922" max="6922" width="32.25" style="285" customWidth="1"/>
    <col min="6923" max="7168" width="8.25" style="285"/>
    <col min="7169" max="7169" width="5.75" style="285" customWidth="1"/>
    <col min="7170" max="7170" width="40.625" style="285" customWidth="1"/>
    <col min="7171" max="7171" width="9.875" style="285" customWidth="1"/>
    <col min="7172" max="7172" width="10.25" style="285" customWidth="1"/>
    <col min="7173" max="7173" width="8.25" style="285"/>
    <col min="7174" max="7174" width="10.75" style="285" customWidth="1"/>
    <col min="7175" max="7175" width="12.625" style="285" customWidth="1"/>
    <col min="7176" max="7176" width="17.75" style="285" customWidth="1"/>
    <col min="7177" max="7177" width="19" style="285" customWidth="1"/>
    <col min="7178" max="7178" width="32.25" style="285" customWidth="1"/>
    <col min="7179" max="7424" width="8.25" style="285"/>
    <col min="7425" max="7425" width="5.75" style="285" customWidth="1"/>
    <col min="7426" max="7426" width="40.625" style="285" customWidth="1"/>
    <col min="7427" max="7427" width="9.875" style="285" customWidth="1"/>
    <col min="7428" max="7428" width="10.25" style="285" customWidth="1"/>
    <col min="7429" max="7429" width="8.25" style="285"/>
    <col min="7430" max="7430" width="10.75" style="285" customWidth="1"/>
    <col min="7431" max="7431" width="12.625" style="285" customWidth="1"/>
    <col min="7432" max="7432" width="17.75" style="285" customWidth="1"/>
    <col min="7433" max="7433" width="19" style="285" customWidth="1"/>
    <col min="7434" max="7434" width="32.25" style="285" customWidth="1"/>
    <col min="7435" max="7680" width="8.25" style="285"/>
    <col min="7681" max="7681" width="5.75" style="285" customWidth="1"/>
    <col min="7682" max="7682" width="40.625" style="285" customWidth="1"/>
    <col min="7683" max="7683" width="9.875" style="285" customWidth="1"/>
    <col min="7684" max="7684" width="10.25" style="285" customWidth="1"/>
    <col min="7685" max="7685" width="8.25" style="285"/>
    <col min="7686" max="7686" width="10.75" style="285" customWidth="1"/>
    <col min="7687" max="7687" width="12.625" style="285" customWidth="1"/>
    <col min="7688" max="7688" width="17.75" style="285" customWidth="1"/>
    <col min="7689" max="7689" width="19" style="285" customWidth="1"/>
    <col min="7690" max="7690" width="32.25" style="285" customWidth="1"/>
    <col min="7691" max="7936" width="8.25" style="285"/>
    <col min="7937" max="7937" width="5.75" style="285" customWidth="1"/>
    <col min="7938" max="7938" width="40.625" style="285" customWidth="1"/>
    <col min="7939" max="7939" width="9.875" style="285" customWidth="1"/>
    <col min="7940" max="7940" width="10.25" style="285" customWidth="1"/>
    <col min="7941" max="7941" width="8.25" style="285"/>
    <col min="7942" max="7942" width="10.75" style="285" customWidth="1"/>
    <col min="7943" max="7943" width="12.625" style="285" customWidth="1"/>
    <col min="7944" max="7944" width="17.75" style="285" customWidth="1"/>
    <col min="7945" max="7945" width="19" style="285" customWidth="1"/>
    <col min="7946" max="7946" width="32.25" style="285" customWidth="1"/>
    <col min="7947" max="8192" width="8.25" style="285"/>
    <col min="8193" max="8193" width="5.75" style="285" customWidth="1"/>
    <col min="8194" max="8194" width="40.625" style="285" customWidth="1"/>
    <col min="8195" max="8195" width="9.875" style="285" customWidth="1"/>
    <col min="8196" max="8196" width="10.25" style="285" customWidth="1"/>
    <col min="8197" max="8197" width="8.25" style="285"/>
    <col min="8198" max="8198" width="10.75" style="285" customWidth="1"/>
    <col min="8199" max="8199" width="12.625" style="285" customWidth="1"/>
    <col min="8200" max="8200" width="17.75" style="285" customWidth="1"/>
    <col min="8201" max="8201" width="19" style="285" customWidth="1"/>
    <col min="8202" max="8202" width="32.25" style="285" customWidth="1"/>
    <col min="8203" max="8448" width="8.25" style="285"/>
    <col min="8449" max="8449" width="5.75" style="285" customWidth="1"/>
    <col min="8450" max="8450" width="40.625" style="285" customWidth="1"/>
    <col min="8451" max="8451" width="9.875" style="285" customWidth="1"/>
    <col min="8452" max="8452" width="10.25" style="285" customWidth="1"/>
    <col min="8453" max="8453" width="8.25" style="285"/>
    <col min="8454" max="8454" width="10.75" style="285" customWidth="1"/>
    <col min="8455" max="8455" width="12.625" style="285" customWidth="1"/>
    <col min="8456" max="8456" width="17.75" style="285" customWidth="1"/>
    <col min="8457" max="8457" width="19" style="285" customWidth="1"/>
    <col min="8458" max="8458" width="32.25" style="285" customWidth="1"/>
    <col min="8459" max="8704" width="8.25" style="285"/>
    <col min="8705" max="8705" width="5.75" style="285" customWidth="1"/>
    <col min="8706" max="8706" width="40.625" style="285" customWidth="1"/>
    <col min="8707" max="8707" width="9.875" style="285" customWidth="1"/>
    <col min="8708" max="8708" width="10.25" style="285" customWidth="1"/>
    <col min="8709" max="8709" width="8.25" style="285"/>
    <col min="8710" max="8710" width="10.75" style="285" customWidth="1"/>
    <col min="8711" max="8711" width="12.625" style="285" customWidth="1"/>
    <col min="8712" max="8712" width="17.75" style="285" customWidth="1"/>
    <col min="8713" max="8713" width="19" style="285" customWidth="1"/>
    <col min="8714" max="8714" width="32.25" style="285" customWidth="1"/>
    <col min="8715" max="8960" width="8.25" style="285"/>
    <col min="8961" max="8961" width="5.75" style="285" customWidth="1"/>
    <col min="8962" max="8962" width="40.625" style="285" customWidth="1"/>
    <col min="8963" max="8963" width="9.875" style="285" customWidth="1"/>
    <col min="8964" max="8964" width="10.25" style="285" customWidth="1"/>
    <col min="8965" max="8965" width="8.25" style="285"/>
    <col min="8966" max="8966" width="10.75" style="285" customWidth="1"/>
    <col min="8967" max="8967" width="12.625" style="285" customWidth="1"/>
    <col min="8968" max="8968" width="17.75" style="285" customWidth="1"/>
    <col min="8969" max="8969" width="19" style="285" customWidth="1"/>
    <col min="8970" max="8970" width="32.25" style="285" customWidth="1"/>
    <col min="8971" max="9216" width="8.25" style="285"/>
    <col min="9217" max="9217" width="5.75" style="285" customWidth="1"/>
    <col min="9218" max="9218" width="40.625" style="285" customWidth="1"/>
    <col min="9219" max="9219" width="9.875" style="285" customWidth="1"/>
    <col min="9220" max="9220" width="10.25" style="285" customWidth="1"/>
    <col min="9221" max="9221" width="8.25" style="285"/>
    <col min="9222" max="9222" width="10.75" style="285" customWidth="1"/>
    <col min="9223" max="9223" width="12.625" style="285" customWidth="1"/>
    <col min="9224" max="9224" width="17.75" style="285" customWidth="1"/>
    <col min="9225" max="9225" width="19" style="285" customWidth="1"/>
    <col min="9226" max="9226" width="32.25" style="285" customWidth="1"/>
    <col min="9227" max="9472" width="8.25" style="285"/>
    <col min="9473" max="9473" width="5.75" style="285" customWidth="1"/>
    <col min="9474" max="9474" width="40.625" style="285" customWidth="1"/>
    <col min="9475" max="9475" width="9.875" style="285" customWidth="1"/>
    <col min="9476" max="9476" width="10.25" style="285" customWidth="1"/>
    <col min="9477" max="9477" width="8.25" style="285"/>
    <col min="9478" max="9478" width="10.75" style="285" customWidth="1"/>
    <col min="9479" max="9479" width="12.625" style="285" customWidth="1"/>
    <col min="9480" max="9480" width="17.75" style="285" customWidth="1"/>
    <col min="9481" max="9481" width="19" style="285" customWidth="1"/>
    <col min="9482" max="9482" width="32.25" style="285" customWidth="1"/>
    <col min="9483" max="9728" width="8.25" style="285"/>
    <col min="9729" max="9729" width="5.75" style="285" customWidth="1"/>
    <col min="9730" max="9730" width="40.625" style="285" customWidth="1"/>
    <col min="9731" max="9731" width="9.875" style="285" customWidth="1"/>
    <col min="9732" max="9732" width="10.25" style="285" customWidth="1"/>
    <col min="9733" max="9733" width="8.25" style="285"/>
    <col min="9734" max="9734" width="10.75" style="285" customWidth="1"/>
    <col min="9735" max="9735" width="12.625" style="285" customWidth="1"/>
    <col min="9736" max="9736" width="17.75" style="285" customWidth="1"/>
    <col min="9737" max="9737" width="19" style="285" customWidth="1"/>
    <col min="9738" max="9738" width="32.25" style="285" customWidth="1"/>
    <col min="9739" max="9984" width="8.25" style="285"/>
    <col min="9985" max="9985" width="5.75" style="285" customWidth="1"/>
    <col min="9986" max="9986" width="40.625" style="285" customWidth="1"/>
    <col min="9987" max="9987" width="9.875" style="285" customWidth="1"/>
    <col min="9988" max="9988" width="10.25" style="285" customWidth="1"/>
    <col min="9989" max="9989" width="8.25" style="285"/>
    <col min="9990" max="9990" width="10.75" style="285" customWidth="1"/>
    <col min="9991" max="9991" width="12.625" style="285" customWidth="1"/>
    <col min="9992" max="9992" width="17.75" style="285" customWidth="1"/>
    <col min="9993" max="9993" width="19" style="285" customWidth="1"/>
    <col min="9994" max="9994" width="32.25" style="285" customWidth="1"/>
    <col min="9995" max="10240" width="8.25" style="285"/>
    <col min="10241" max="10241" width="5.75" style="285" customWidth="1"/>
    <col min="10242" max="10242" width="40.625" style="285" customWidth="1"/>
    <col min="10243" max="10243" width="9.875" style="285" customWidth="1"/>
    <col min="10244" max="10244" width="10.25" style="285" customWidth="1"/>
    <col min="10245" max="10245" width="8.25" style="285"/>
    <col min="10246" max="10246" width="10.75" style="285" customWidth="1"/>
    <col min="10247" max="10247" width="12.625" style="285" customWidth="1"/>
    <col min="10248" max="10248" width="17.75" style="285" customWidth="1"/>
    <col min="10249" max="10249" width="19" style="285" customWidth="1"/>
    <col min="10250" max="10250" width="32.25" style="285" customWidth="1"/>
    <col min="10251" max="10496" width="8.25" style="285"/>
    <col min="10497" max="10497" width="5.75" style="285" customWidth="1"/>
    <col min="10498" max="10498" width="40.625" style="285" customWidth="1"/>
    <col min="10499" max="10499" width="9.875" style="285" customWidth="1"/>
    <col min="10500" max="10500" width="10.25" style="285" customWidth="1"/>
    <col min="10501" max="10501" width="8.25" style="285"/>
    <col min="10502" max="10502" width="10.75" style="285" customWidth="1"/>
    <col min="10503" max="10503" width="12.625" style="285" customWidth="1"/>
    <col min="10504" max="10504" width="17.75" style="285" customWidth="1"/>
    <col min="10505" max="10505" width="19" style="285" customWidth="1"/>
    <col min="10506" max="10506" width="32.25" style="285" customWidth="1"/>
    <col min="10507" max="10752" width="8.25" style="285"/>
    <col min="10753" max="10753" width="5.75" style="285" customWidth="1"/>
    <col min="10754" max="10754" width="40.625" style="285" customWidth="1"/>
    <col min="10755" max="10755" width="9.875" style="285" customWidth="1"/>
    <col min="10756" max="10756" width="10.25" style="285" customWidth="1"/>
    <col min="10757" max="10757" width="8.25" style="285"/>
    <col min="10758" max="10758" width="10.75" style="285" customWidth="1"/>
    <col min="10759" max="10759" width="12.625" style="285" customWidth="1"/>
    <col min="10760" max="10760" width="17.75" style="285" customWidth="1"/>
    <col min="10761" max="10761" width="19" style="285" customWidth="1"/>
    <col min="10762" max="10762" width="32.25" style="285" customWidth="1"/>
    <col min="10763" max="11008" width="8.25" style="285"/>
    <col min="11009" max="11009" width="5.75" style="285" customWidth="1"/>
    <col min="11010" max="11010" width="40.625" style="285" customWidth="1"/>
    <col min="11011" max="11011" width="9.875" style="285" customWidth="1"/>
    <col min="11012" max="11012" width="10.25" style="285" customWidth="1"/>
    <col min="11013" max="11013" width="8.25" style="285"/>
    <col min="11014" max="11014" width="10.75" style="285" customWidth="1"/>
    <col min="11015" max="11015" width="12.625" style="285" customWidth="1"/>
    <col min="11016" max="11016" width="17.75" style="285" customWidth="1"/>
    <col min="11017" max="11017" width="19" style="285" customWidth="1"/>
    <col min="11018" max="11018" width="32.25" style="285" customWidth="1"/>
    <col min="11019" max="11264" width="8.25" style="285"/>
    <col min="11265" max="11265" width="5.75" style="285" customWidth="1"/>
    <col min="11266" max="11266" width="40.625" style="285" customWidth="1"/>
    <col min="11267" max="11267" width="9.875" style="285" customWidth="1"/>
    <col min="11268" max="11268" width="10.25" style="285" customWidth="1"/>
    <col min="11269" max="11269" width="8.25" style="285"/>
    <col min="11270" max="11270" width="10.75" style="285" customWidth="1"/>
    <col min="11271" max="11271" width="12.625" style="285" customWidth="1"/>
    <col min="11272" max="11272" width="17.75" style="285" customWidth="1"/>
    <col min="11273" max="11273" width="19" style="285" customWidth="1"/>
    <col min="11274" max="11274" width="32.25" style="285" customWidth="1"/>
    <col min="11275" max="11520" width="8.25" style="285"/>
    <col min="11521" max="11521" width="5.75" style="285" customWidth="1"/>
    <col min="11522" max="11522" width="40.625" style="285" customWidth="1"/>
    <col min="11523" max="11523" width="9.875" style="285" customWidth="1"/>
    <col min="11524" max="11524" width="10.25" style="285" customWidth="1"/>
    <col min="11525" max="11525" width="8.25" style="285"/>
    <col min="11526" max="11526" width="10.75" style="285" customWidth="1"/>
    <col min="11527" max="11527" width="12.625" style="285" customWidth="1"/>
    <col min="11528" max="11528" width="17.75" style="285" customWidth="1"/>
    <col min="11529" max="11529" width="19" style="285" customWidth="1"/>
    <col min="11530" max="11530" width="32.25" style="285" customWidth="1"/>
    <col min="11531" max="11776" width="8.25" style="285"/>
    <col min="11777" max="11777" width="5.75" style="285" customWidth="1"/>
    <col min="11778" max="11778" width="40.625" style="285" customWidth="1"/>
    <col min="11779" max="11779" width="9.875" style="285" customWidth="1"/>
    <col min="11780" max="11780" width="10.25" style="285" customWidth="1"/>
    <col min="11781" max="11781" width="8.25" style="285"/>
    <col min="11782" max="11782" width="10.75" style="285" customWidth="1"/>
    <col min="11783" max="11783" width="12.625" style="285" customWidth="1"/>
    <col min="11784" max="11784" width="17.75" style="285" customWidth="1"/>
    <col min="11785" max="11785" width="19" style="285" customWidth="1"/>
    <col min="11786" max="11786" width="32.25" style="285" customWidth="1"/>
    <col min="11787" max="12032" width="8.25" style="285"/>
    <col min="12033" max="12033" width="5.75" style="285" customWidth="1"/>
    <col min="12034" max="12034" width="40.625" style="285" customWidth="1"/>
    <col min="12035" max="12035" width="9.875" style="285" customWidth="1"/>
    <col min="12036" max="12036" width="10.25" style="285" customWidth="1"/>
    <col min="12037" max="12037" width="8.25" style="285"/>
    <col min="12038" max="12038" width="10.75" style="285" customWidth="1"/>
    <col min="12039" max="12039" width="12.625" style="285" customWidth="1"/>
    <col min="12040" max="12040" width="17.75" style="285" customWidth="1"/>
    <col min="12041" max="12041" width="19" style="285" customWidth="1"/>
    <col min="12042" max="12042" width="32.25" style="285" customWidth="1"/>
    <col min="12043" max="12288" width="8.25" style="285"/>
    <col min="12289" max="12289" width="5.75" style="285" customWidth="1"/>
    <col min="12290" max="12290" width="40.625" style="285" customWidth="1"/>
    <col min="12291" max="12291" width="9.875" style="285" customWidth="1"/>
    <col min="12292" max="12292" width="10.25" style="285" customWidth="1"/>
    <col min="12293" max="12293" width="8.25" style="285"/>
    <col min="12294" max="12294" width="10.75" style="285" customWidth="1"/>
    <col min="12295" max="12295" width="12.625" style="285" customWidth="1"/>
    <col min="12296" max="12296" width="17.75" style="285" customWidth="1"/>
    <col min="12297" max="12297" width="19" style="285" customWidth="1"/>
    <col min="12298" max="12298" width="32.25" style="285" customWidth="1"/>
    <col min="12299" max="12544" width="8.25" style="285"/>
    <col min="12545" max="12545" width="5.75" style="285" customWidth="1"/>
    <col min="12546" max="12546" width="40.625" style="285" customWidth="1"/>
    <col min="12547" max="12547" width="9.875" style="285" customWidth="1"/>
    <col min="12548" max="12548" width="10.25" style="285" customWidth="1"/>
    <col min="12549" max="12549" width="8.25" style="285"/>
    <col min="12550" max="12550" width="10.75" style="285" customWidth="1"/>
    <col min="12551" max="12551" width="12.625" style="285" customWidth="1"/>
    <col min="12552" max="12552" width="17.75" style="285" customWidth="1"/>
    <col min="12553" max="12553" width="19" style="285" customWidth="1"/>
    <col min="12554" max="12554" width="32.25" style="285" customWidth="1"/>
    <col min="12555" max="12800" width="8.25" style="285"/>
    <col min="12801" max="12801" width="5.75" style="285" customWidth="1"/>
    <col min="12802" max="12802" width="40.625" style="285" customWidth="1"/>
    <col min="12803" max="12803" width="9.875" style="285" customWidth="1"/>
    <col min="12804" max="12804" width="10.25" style="285" customWidth="1"/>
    <col min="12805" max="12805" width="8.25" style="285"/>
    <col min="12806" max="12806" width="10.75" style="285" customWidth="1"/>
    <col min="12807" max="12807" width="12.625" style="285" customWidth="1"/>
    <col min="12808" max="12808" width="17.75" style="285" customWidth="1"/>
    <col min="12809" max="12809" width="19" style="285" customWidth="1"/>
    <col min="12810" max="12810" width="32.25" style="285" customWidth="1"/>
    <col min="12811" max="13056" width="8.25" style="285"/>
    <col min="13057" max="13057" width="5.75" style="285" customWidth="1"/>
    <col min="13058" max="13058" width="40.625" style="285" customWidth="1"/>
    <col min="13059" max="13059" width="9.875" style="285" customWidth="1"/>
    <col min="13060" max="13060" width="10.25" style="285" customWidth="1"/>
    <col min="13061" max="13061" width="8.25" style="285"/>
    <col min="13062" max="13062" width="10.75" style="285" customWidth="1"/>
    <col min="13063" max="13063" width="12.625" style="285" customWidth="1"/>
    <col min="13064" max="13064" width="17.75" style="285" customWidth="1"/>
    <col min="13065" max="13065" width="19" style="285" customWidth="1"/>
    <col min="13066" max="13066" width="32.25" style="285" customWidth="1"/>
    <col min="13067" max="13312" width="8.25" style="285"/>
    <col min="13313" max="13313" width="5.75" style="285" customWidth="1"/>
    <col min="13314" max="13314" width="40.625" style="285" customWidth="1"/>
    <col min="13315" max="13315" width="9.875" style="285" customWidth="1"/>
    <col min="13316" max="13316" width="10.25" style="285" customWidth="1"/>
    <col min="13317" max="13317" width="8.25" style="285"/>
    <col min="13318" max="13318" width="10.75" style="285" customWidth="1"/>
    <col min="13319" max="13319" width="12.625" style="285" customWidth="1"/>
    <col min="13320" max="13320" width="17.75" style="285" customWidth="1"/>
    <col min="13321" max="13321" width="19" style="285" customWidth="1"/>
    <col min="13322" max="13322" width="32.25" style="285" customWidth="1"/>
    <col min="13323" max="13568" width="8.25" style="285"/>
    <col min="13569" max="13569" width="5.75" style="285" customWidth="1"/>
    <col min="13570" max="13570" width="40.625" style="285" customWidth="1"/>
    <col min="13571" max="13571" width="9.875" style="285" customWidth="1"/>
    <col min="13572" max="13572" width="10.25" style="285" customWidth="1"/>
    <col min="13573" max="13573" width="8.25" style="285"/>
    <col min="13574" max="13574" width="10.75" style="285" customWidth="1"/>
    <col min="13575" max="13575" width="12.625" style="285" customWidth="1"/>
    <col min="13576" max="13576" width="17.75" style="285" customWidth="1"/>
    <col min="13577" max="13577" width="19" style="285" customWidth="1"/>
    <col min="13578" max="13578" width="32.25" style="285" customWidth="1"/>
    <col min="13579" max="13824" width="8.25" style="285"/>
    <col min="13825" max="13825" width="5.75" style="285" customWidth="1"/>
    <col min="13826" max="13826" width="40.625" style="285" customWidth="1"/>
    <col min="13827" max="13827" width="9.875" style="285" customWidth="1"/>
    <col min="13828" max="13828" width="10.25" style="285" customWidth="1"/>
    <col min="13829" max="13829" width="8.25" style="285"/>
    <col min="13830" max="13830" width="10.75" style="285" customWidth="1"/>
    <col min="13831" max="13831" width="12.625" style="285" customWidth="1"/>
    <col min="13832" max="13832" width="17.75" style="285" customWidth="1"/>
    <col min="13833" max="13833" width="19" style="285" customWidth="1"/>
    <col min="13834" max="13834" width="32.25" style="285" customWidth="1"/>
    <col min="13835" max="14080" width="8.25" style="285"/>
    <col min="14081" max="14081" width="5.75" style="285" customWidth="1"/>
    <col min="14082" max="14082" width="40.625" style="285" customWidth="1"/>
    <col min="14083" max="14083" width="9.875" style="285" customWidth="1"/>
    <col min="14084" max="14084" width="10.25" style="285" customWidth="1"/>
    <col min="14085" max="14085" width="8.25" style="285"/>
    <col min="14086" max="14086" width="10.75" style="285" customWidth="1"/>
    <col min="14087" max="14087" width="12.625" style="285" customWidth="1"/>
    <col min="14088" max="14088" width="17.75" style="285" customWidth="1"/>
    <col min="14089" max="14089" width="19" style="285" customWidth="1"/>
    <col min="14090" max="14090" width="32.25" style="285" customWidth="1"/>
    <col min="14091" max="14336" width="8.25" style="285"/>
    <col min="14337" max="14337" width="5.75" style="285" customWidth="1"/>
    <col min="14338" max="14338" width="40.625" style="285" customWidth="1"/>
    <col min="14339" max="14339" width="9.875" style="285" customWidth="1"/>
    <col min="14340" max="14340" width="10.25" style="285" customWidth="1"/>
    <col min="14341" max="14341" width="8.25" style="285"/>
    <col min="14342" max="14342" width="10.75" style="285" customWidth="1"/>
    <col min="14343" max="14343" width="12.625" style="285" customWidth="1"/>
    <col min="14344" max="14344" width="17.75" style="285" customWidth="1"/>
    <col min="14345" max="14345" width="19" style="285" customWidth="1"/>
    <col min="14346" max="14346" width="32.25" style="285" customWidth="1"/>
    <col min="14347" max="14592" width="8.25" style="285"/>
    <col min="14593" max="14593" width="5.75" style="285" customWidth="1"/>
    <col min="14594" max="14594" width="40.625" style="285" customWidth="1"/>
    <col min="14595" max="14595" width="9.875" style="285" customWidth="1"/>
    <col min="14596" max="14596" width="10.25" style="285" customWidth="1"/>
    <col min="14597" max="14597" width="8.25" style="285"/>
    <col min="14598" max="14598" width="10.75" style="285" customWidth="1"/>
    <col min="14599" max="14599" width="12.625" style="285" customWidth="1"/>
    <col min="14600" max="14600" width="17.75" style="285" customWidth="1"/>
    <col min="14601" max="14601" width="19" style="285" customWidth="1"/>
    <col min="14602" max="14602" width="32.25" style="285" customWidth="1"/>
    <col min="14603" max="14848" width="8.25" style="285"/>
    <col min="14849" max="14849" width="5.75" style="285" customWidth="1"/>
    <col min="14850" max="14850" width="40.625" style="285" customWidth="1"/>
    <col min="14851" max="14851" width="9.875" style="285" customWidth="1"/>
    <col min="14852" max="14852" width="10.25" style="285" customWidth="1"/>
    <col min="14853" max="14853" width="8.25" style="285"/>
    <col min="14854" max="14854" width="10.75" style="285" customWidth="1"/>
    <col min="14855" max="14855" width="12.625" style="285" customWidth="1"/>
    <col min="14856" max="14856" width="17.75" style="285" customWidth="1"/>
    <col min="14857" max="14857" width="19" style="285" customWidth="1"/>
    <col min="14858" max="14858" width="32.25" style="285" customWidth="1"/>
    <col min="14859" max="15104" width="8.25" style="285"/>
    <col min="15105" max="15105" width="5.75" style="285" customWidth="1"/>
    <col min="15106" max="15106" width="40.625" style="285" customWidth="1"/>
    <col min="15107" max="15107" width="9.875" style="285" customWidth="1"/>
    <col min="15108" max="15108" width="10.25" style="285" customWidth="1"/>
    <col min="15109" max="15109" width="8.25" style="285"/>
    <col min="15110" max="15110" width="10.75" style="285" customWidth="1"/>
    <col min="15111" max="15111" width="12.625" style="285" customWidth="1"/>
    <col min="15112" max="15112" width="17.75" style="285" customWidth="1"/>
    <col min="15113" max="15113" width="19" style="285" customWidth="1"/>
    <col min="15114" max="15114" width="32.25" style="285" customWidth="1"/>
    <col min="15115" max="15360" width="8.25" style="285"/>
    <col min="15361" max="15361" width="5.75" style="285" customWidth="1"/>
    <col min="15362" max="15362" width="40.625" style="285" customWidth="1"/>
    <col min="15363" max="15363" width="9.875" style="285" customWidth="1"/>
    <col min="15364" max="15364" width="10.25" style="285" customWidth="1"/>
    <col min="15365" max="15365" width="8.25" style="285"/>
    <col min="15366" max="15366" width="10.75" style="285" customWidth="1"/>
    <col min="15367" max="15367" width="12.625" style="285" customWidth="1"/>
    <col min="15368" max="15368" width="17.75" style="285" customWidth="1"/>
    <col min="15369" max="15369" width="19" style="285" customWidth="1"/>
    <col min="15370" max="15370" width="32.25" style="285" customWidth="1"/>
    <col min="15371" max="15616" width="8.25" style="285"/>
    <col min="15617" max="15617" width="5.75" style="285" customWidth="1"/>
    <col min="15618" max="15618" width="40.625" style="285" customWidth="1"/>
    <col min="15619" max="15619" width="9.875" style="285" customWidth="1"/>
    <col min="15620" max="15620" width="10.25" style="285" customWidth="1"/>
    <col min="15621" max="15621" width="8.25" style="285"/>
    <col min="15622" max="15622" width="10.75" style="285" customWidth="1"/>
    <col min="15623" max="15623" width="12.625" style="285" customWidth="1"/>
    <col min="15624" max="15624" width="17.75" style="285" customWidth="1"/>
    <col min="15625" max="15625" width="19" style="285" customWidth="1"/>
    <col min="15626" max="15626" width="32.25" style="285" customWidth="1"/>
    <col min="15627" max="15872" width="8.25" style="285"/>
    <col min="15873" max="15873" width="5.75" style="285" customWidth="1"/>
    <col min="15874" max="15874" width="40.625" style="285" customWidth="1"/>
    <col min="15875" max="15875" width="9.875" style="285" customWidth="1"/>
    <col min="15876" max="15876" width="10.25" style="285" customWidth="1"/>
    <col min="15877" max="15877" width="8.25" style="285"/>
    <col min="15878" max="15878" width="10.75" style="285" customWidth="1"/>
    <col min="15879" max="15879" width="12.625" style="285" customWidth="1"/>
    <col min="15880" max="15880" width="17.75" style="285" customWidth="1"/>
    <col min="15881" max="15881" width="19" style="285" customWidth="1"/>
    <col min="15882" max="15882" width="32.25" style="285" customWidth="1"/>
    <col min="15883" max="16128" width="8.25" style="285"/>
    <col min="16129" max="16129" width="5.75" style="285" customWidth="1"/>
    <col min="16130" max="16130" width="40.625" style="285" customWidth="1"/>
    <col min="16131" max="16131" width="9.875" style="285" customWidth="1"/>
    <col min="16132" max="16132" width="10.25" style="285" customWidth="1"/>
    <col min="16133" max="16133" width="8.25" style="285"/>
    <col min="16134" max="16134" width="10.75" style="285" customWidth="1"/>
    <col min="16135" max="16135" width="12.625" style="285" customWidth="1"/>
    <col min="16136" max="16136" width="17.75" style="285" customWidth="1"/>
    <col min="16137" max="16137" width="19" style="285" customWidth="1"/>
    <col min="16138" max="16138" width="32.25" style="285" customWidth="1"/>
    <col min="16139" max="16384" width="8.25" style="285"/>
  </cols>
  <sheetData>
    <row r="1" spans="1:9">
      <c r="A1" s="288" t="s">
        <v>0</v>
      </c>
      <c r="B1" s="288"/>
      <c r="C1" s="288"/>
      <c r="D1" s="288"/>
      <c r="E1" s="288"/>
      <c r="F1" s="288"/>
      <c r="G1" s="288"/>
      <c r="H1" s="288"/>
      <c r="I1" s="288"/>
    </row>
    <row r="2" spans="1:9">
      <c r="A2" s="288" t="s">
        <v>1</v>
      </c>
      <c r="B2" s="288"/>
      <c r="C2" s="288"/>
      <c r="D2" s="288"/>
      <c r="E2" s="288"/>
      <c r="F2" s="288"/>
      <c r="G2" s="288"/>
      <c r="H2" s="288"/>
      <c r="I2" s="288"/>
    </row>
    <row r="3" spans="1:9">
      <c r="A3" s="288" t="s">
        <v>2</v>
      </c>
      <c r="B3" s="288"/>
      <c r="C3" s="288"/>
      <c r="D3" s="288"/>
      <c r="E3" s="288"/>
      <c r="F3" s="288"/>
      <c r="G3" s="288"/>
      <c r="H3" s="288"/>
      <c r="I3" s="288"/>
    </row>
    <row r="4" s="280" customFormat="1" spans="1:12">
      <c r="A4" s="289" t="s">
        <v>3</v>
      </c>
      <c r="B4" s="289" t="s">
        <v>4</v>
      </c>
      <c r="C4" s="290" t="s">
        <v>5</v>
      </c>
      <c r="D4" s="290" t="s">
        <v>6</v>
      </c>
      <c r="E4" s="289" t="s">
        <v>7</v>
      </c>
      <c r="F4" s="289"/>
      <c r="G4" s="289" t="s">
        <v>8</v>
      </c>
      <c r="H4" s="289" t="s">
        <v>9</v>
      </c>
      <c r="I4" s="289" t="s">
        <v>10</v>
      </c>
      <c r="J4" s="289" t="s">
        <v>11</v>
      </c>
      <c r="K4" s="289" t="s">
        <v>12</v>
      </c>
      <c r="L4" s="285"/>
    </row>
    <row r="5" s="280" customFormat="1" ht="25.5" spans="1:12">
      <c r="A5" s="289"/>
      <c r="B5" s="289"/>
      <c r="C5" s="290"/>
      <c r="D5" s="290"/>
      <c r="E5" s="290" t="s">
        <v>13</v>
      </c>
      <c r="F5" s="289" t="s">
        <v>14</v>
      </c>
      <c r="G5" s="289"/>
      <c r="H5" s="289"/>
      <c r="I5" s="289"/>
      <c r="J5" s="289"/>
      <c r="K5" s="289"/>
      <c r="L5" s="285"/>
    </row>
    <row r="6" s="281" customFormat="1" spans="1:11">
      <c r="A6" s="291" t="s">
        <v>15</v>
      </c>
      <c r="B6" s="291" t="s">
        <v>16</v>
      </c>
      <c r="C6" s="292" t="s">
        <v>17</v>
      </c>
      <c r="D6" s="292" t="s">
        <v>18</v>
      </c>
      <c r="E6" s="292" t="s">
        <v>19</v>
      </c>
      <c r="F6" s="291" t="s">
        <v>20</v>
      </c>
      <c r="G6" s="291" t="s">
        <v>21</v>
      </c>
      <c r="H6" s="291" t="s">
        <v>22</v>
      </c>
      <c r="I6" s="291" t="s">
        <v>23</v>
      </c>
      <c r="J6" s="291" t="s">
        <v>24</v>
      </c>
      <c r="K6" s="309" t="s">
        <v>25</v>
      </c>
    </row>
    <row r="7" s="280" customFormat="1" ht="25.5" spans="1:12">
      <c r="A7" s="289">
        <v>1</v>
      </c>
      <c r="B7" s="293" t="s">
        <v>26</v>
      </c>
      <c r="C7" s="294">
        <v>782.48</v>
      </c>
      <c r="D7" s="294">
        <v>160</v>
      </c>
      <c r="E7" s="294">
        <v>622.48</v>
      </c>
      <c r="F7" s="290"/>
      <c r="G7" s="289"/>
      <c r="H7" s="293"/>
      <c r="I7" s="293"/>
      <c r="J7" s="293"/>
      <c r="K7" s="298"/>
      <c r="L7" s="285"/>
    </row>
    <row r="8" s="282" customFormat="1" spans="1:12">
      <c r="A8" s="295" t="s">
        <v>27</v>
      </c>
      <c r="B8" s="296" t="s">
        <v>28</v>
      </c>
      <c r="C8" s="297">
        <v>80.53</v>
      </c>
      <c r="D8" s="297">
        <v>0</v>
      </c>
      <c r="E8" s="297">
        <v>80.53</v>
      </c>
      <c r="F8" s="295"/>
      <c r="G8" s="295"/>
      <c r="H8" s="296"/>
      <c r="I8" s="296"/>
      <c r="J8" s="296"/>
      <c r="K8" s="298"/>
      <c r="L8" s="285"/>
    </row>
    <row r="9" ht="63.75" spans="1:11">
      <c r="A9" s="298">
        <v>1</v>
      </c>
      <c r="B9" s="310" t="s">
        <v>29</v>
      </c>
      <c r="C9" s="300">
        <v>30</v>
      </c>
      <c r="D9" s="300"/>
      <c r="E9" s="300">
        <v>30</v>
      </c>
      <c r="F9" s="298" t="s">
        <v>30</v>
      </c>
      <c r="G9" s="298" t="s">
        <v>31</v>
      </c>
      <c r="H9" s="299" t="s">
        <v>32</v>
      </c>
      <c r="I9" s="299"/>
      <c r="J9" s="299" t="s">
        <v>33</v>
      </c>
      <c r="K9" s="298"/>
    </row>
    <row r="10" ht="63.75" spans="1:11">
      <c r="A10" s="298">
        <v>2</v>
      </c>
      <c r="B10" s="310" t="s">
        <v>34</v>
      </c>
      <c r="C10" s="300">
        <v>25.53</v>
      </c>
      <c r="D10" s="300"/>
      <c r="E10" s="300">
        <v>25.53</v>
      </c>
      <c r="F10" s="298" t="s">
        <v>30</v>
      </c>
      <c r="G10" s="298" t="s">
        <v>31</v>
      </c>
      <c r="H10" s="299" t="s">
        <v>35</v>
      </c>
      <c r="I10" s="299"/>
      <c r="J10" s="299" t="s">
        <v>36</v>
      </c>
      <c r="K10" s="298"/>
    </row>
    <row r="11" ht="63.75" spans="1:11">
      <c r="A11" s="298">
        <v>3</v>
      </c>
      <c r="B11" s="310" t="s">
        <v>37</v>
      </c>
      <c r="C11" s="300">
        <v>25</v>
      </c>
      <c r="D11" s="300"/>
      <c r="E11" s="300">
        <v>25</v>
      </c>
      <c r="F11" s="298" t="s">
        <v>30</v>
      </c>
      <c r="G11" s="298" t="s">
        <v>31</v>
      </c>
      <c r="H11" s="299" t="s">
        <v>38</v>
      </c>
      <c r="I11" s="299"/>
      <c r="J11" s="299" t="s">
        <v>39</v>
      </c>
      <c r="K11" s="298"/>
    </row>
    <row r="12" s="282" customFormat="1" ht="25.5" spans="1:12">
      <c r="A12" s="295" t="s">
        <v>40</v>
      </c>
      <c r="B12" s="296" t="s">
        <v>41</v>
      </c>
      <c r="C12" s="297">
        <v>701.95</v>
      </c>
      <c r="D12" s="297">
        <v>160</v>
      </c>
      <c r="E12" s="297">
        <v>541.95</v>
      </c>
      <c r="F12" s="295"/>
      <c r="G12" s="295"/>
      <c r="H12" s="296"/>
      <c r="I12" s="296"/>
      <c r="J12" s="296"/>
      <c r="K12" s="298"/>
      <c r="L12" s="285"/>
    </row>
    <row r="13" ht="25.5" spans="1:11">
      <c r="A13" s="298" t="s">
        <v>42</v>
      </c>
      <c r="B13" s="299" t="s">
        <v>43</v>
      </c>
      <c r="C13" s="300"/>
      <c r="D13" s="300"/>
      <c r="E13" s="300">
        <v>0</v>
      </c>
      <c r="F13" s="298"/>
      <c r="G13" s="298"/>
      <c r="H13" s="299"/>
      <c r="I13" s="299"/>
      <c r="J13" s="299"/>
      <c r="K13" s="298"/>
    </row>
    <row r="14" spans="1:11">
      <c r="A14" s="298"/>
      <c r="B14" s="299"/>
      <c r="C14" s="300"/>
      <c r="D14" s="300"/>
      <c r="E14" s="300">
        <v>0</v>
      </c>
      <c r="F14" s="298"/>
      <c r="G14" s="298"/>
      <c r="H14" s="299"/>
      <c r="I14" s="299"/>
      <c r="J14" s="299"/>
      <c r="K14" s="298"/>
    </row>
    <row r="15" spans="1:11">
      <c r="A15" s="298"/>
      <c r="B15" s="299"/>
      <c r="C15" s="300"/>
      <c r="D15" s="300"/>
      <c r="E15" s="300">
        <v>0</v>
      </c>
      <c r="F15" s="298"/>
      <c r="G15" s="298"/>
      <c r="H15" s="299"/>
      <c r="I15" s="299"/>
      <c r="J15" s="299"/>
      <c r="K15" s="298"/>
    </row>
    <row r="16" ht="25.5" spans="1:11">
      <c r="A16" s="298" t="s">
        <v>44</v>
      </c>
      <c r="B16" s="299" t="s">
        <v>45</v>
      </c>
      <c r="C16" s="300">
        <v>160</v>
      </c>
      <c r="D16" s="300">
        <v>160</v>
      </c>
      <c r="E16" s="300">
        <v>0</v>
      </c>
      <c r="F16" s="298"/>
      <c r="G16" s="298"/>
      <c r="H16" s="299"/>
      <c r="I16" s="299"/>
      <c r="J16" s="299"/>
      <c r="K16" s="298"/>
    </row>
    <row r="17" ht="51" spans="1:11">
      <c r="A17" s="298">
        <v>4</v>
      </c>
      <c r="B17" s="299" t="s">
        <v>46</v>
      </c>
      <c r="C17" s="300">
        <v>160</v>
      </c>
      <c r="D17" s="300">
        <v>160</v>
      </c>
      <c r="E17" s="300">
        <v>0</v>
      </c>
      <c r="F17" s="298"/>
      <c r="G17" s="298" t="s">
        <v>47</v>
      </c>
      <c r="H17" s="299" t="s">
        <v>48</v>
      </c>
      <c r="I17" s="299"/>
      <c r="J17" s="299" t="s">
        <v>49</v>
      </c>
      <c r="K17" s="298"/>
    </row>
    <row r="18" ht="25.5" spans="1:11">
      <c r="A18" s="298" t="s">
        <v>50</v>
      </c>
      <c r="B18" s="299" t="s">
        <v>51</v>
      </c>
      <c r="C18" s="300">
        <v>541.95</v>
      </c>
      <c r="D18" s="300"/>
      <c r="E18" s="300">
        <v>541.95</v>
      </c>
      <c r="F18" s="298"/>
      <c r="G18" s="298"/>
      <c r="H18" s="299"/>
      <c r="I18" s="299"/>
      <c r="J18" s="299"/>
      <c r="K18" s="298"/>
    </row>
    <row r="19" ht="38.25" spans="1:11">
      <c r="A19" s="298">
        <v>5</v>
      </c>
      <c r="B19" s="299" t="s">
        <v>52</v>
      </c>
      <c r="C19" s="300">
        <v>241.95</v>
      </c>
      <c r="D19" s="300">
        <v>0</v>
      </c>
      <c r="E19" s="300">
        <v>241.95</v>
      </c>
      <c r="F19" s="298"/>
      <c r="G19" s="298"/>
      <c r="H19" s="299"/>
      <c r="I19" s="299"/>
      <c r="J19" s="299" t="s">
        <v>53</v>
      </c>
      <c r="K19" s="298"/>
    </row>
    <row r="20" s="283" customFormat="1" spans="1:11">
      <c r="A20" s="301"/>
      <c r="B20" s="302" t="s">
        <v>54</v>
      </c>
      <c r="C20" s="303"/>
      <c r="D20" s="303"/>
      <c r="E20" s="303"/>
      <c r="F20" s="301"/>
      <c r="G20" s="301"/>
      <c r="H20" s="302"/>
      <c r="I20" s="302"/>
      <c r="J20" s="302"/>
      <c r="K20" s="301"/>
    </row>
    <row r="21" s="283" customFormat="1" spans="1:11">
      <c r="A21" s="301"/>
      <c r="B21" s="302" t="s">
        <v>55</v>
      </c>
      <c r="C21" s="303">
        <v>215</v>
      </c>
      <c r="D21" s="303"/>
      <c r="E21" s="303">
        <v>215</v>
      </c>
      <c r="F21" s="301" t="s">
        <v>30</v>
      </c>
      <c r="G21" s="301" t="s">
        <v>56</v>
      </c>
      <c r="H21" s="302" t="s">
        <v>57</v>
      </c>
      <c r="I21" s="302"/>
      <c r="J21" s="302"/>
      <c r="K21" s="301"/>
    </row>
    <row r="22" s="283" customFormat="1" spans="1:11">
      <c r="A22" s="301"/>
      <c r="B22" s="302" t="s">
        <v>58</v>
      </c>
      <c r="C22" s="303">
        <v>26.95</v>
      </c>
      <c r="D22" s="303"/>
      <c r="E22" s="303">
        <v>26.95</v>
      </c>
      <c r="F22" s="301" t="s">
        <v>30</v>
      </c>
      <c r="G22" s="301" t="s">
        <v>59</v>
      </c>
      <c r="H22" s="302" t="s">
        <v>60</v>
      </c>
      <c r="I22" s="302"/>
      <c r="J22" s="302"/>
      <c r="K22" s="301"/>
    </row>
    <row r="23" ht="102" spans="1:11">
      <c r="A23" s="298">
        <v>6</v>
      </c>
      <c r="B23" s="299" t="s">
        <v>61</v>
      </c>
      <c r="C23" s="300">
        <v>300</v>
      </c>
      <c r="D23" s="300">
        <v>0</v>
      </c>
      <c r="E23" s="300">
        <v>300</v>
      </c>
      <c r="F23" s="298" t="s">
        <v>30</v>
      </c>
      <c r="G23" s="298" t="s">
        <v>56</v>
      </c>
      <c r="H23" s="299" t="s">
        <v>62</v>
      </c>
      <c r="I23" s="299"/>
      <c r="J23" s="299" t="s">
        <v>63</v>
      </c>
      <c r="K23" s="298"/>
    </row>
    <row r="24" s="283" customFormat="1" spans="1:12">
      <c r="A24" s="301"/>
      <c r="B24" s="311" t="s">
        <v>64</v>
      </c>
      <c r="C24" s="303">
        <v>75</v>
      </c>
      <c r="D24" s="303"/>
      <c r="E24" s="303">
        <v>75</v>
      </c>
      <c r="F24" s="301"/>
      <c r="G24" s="301"/>
      <c r="H24" s="302"/>
      <c r="I24" s="302"/>
      <c r="J24" s="302"/>
      <c r="K24" s="301"/>
      <c r="L24" s="285"/>
    </row>
    <row r="25" s="283" customFormat="1" spans="1:12">
      <c r="A25" s="301"/>
      <c r="B25" s="311" t="s">
        <v>65</v>
      </c>
      <c r="C25" s="303">
        <v>75</v>
      </c>
      <c r="D25" s="303"/>
      <c r="E25" s="303">
        <v>75</v>
      </c>
      <c r="F25" s="301"/>
      <c r="G25" s="301"/>
      <c r="H25" s="302"/>
      <c r="I25" s="302"/>
      <c r="J25" s="302"/>
      <c r="K25" s="301"/>
      <c r="L25" s="285"/>
    </row>
    <row r="26" s="283" customFormat="1" spans="1:12">
      <c r="A26" s="301"/>
      <c r="B26" s="311" t="s">
        <v>66</v>
      </c>
      <c r="C26" s="303">
        <v>75</v>
      </c>
      <c r="D26" s="303"/>
      <c r="E26" s="303">
        <v>75</v>
      </c>
      <c r="F26" s="301"/>
      <c r="G26" s="301"/>
      <c r="H26" s="302"/>
      <c r="I26" s="302"/>
      <c r="J26" s="302"/>
      <c r="K26" s="301"/>
      <c r="L26" s="285"/>
    </row>
    <row r="27" s="283" customFormat="1" spans="1:12">
      <c r="A27" s="301"/>
      <c r="B27" s="311" t="s">
        <v>67</v>
      </c>
      <c r="C27" s="303">
        <v>75</v>
      </c>
      <c r="D27" s="303"/>
      <c r="E27" s="303">
        <v>75</v>
      </c>
      <c r="F27" s="301"/>
      <c r="G27" s="301"/>
      <c r="H27" s="302"/>
      <c r="I27" s="302"/>
      <c r="J27" s="302"/>
      <c r="K27" s="301"/>
      <c r="L27" s="285"/>
    </row>
    <row r="28" s="280" customFormat="1" spans="1:12">
      <c r="A28" s="289">
        <v>2</v>
      </c>
      <c r="B28" s="293" t="s">
        <v>68</v>
      </c>
      <c r="C28" s="294">
        <v>1699.2076</v>
      </c>
      <c r="D28" s="294">
        <v>122.65712</v>
      </c>
      <c r="E28" s="294">
        <v>1576.55048</v>
      </c>
      <c r="F28" s="289"/>
      <c r="G28" s="289"/>
      <c r="H28" s="293"/>
      <c r="I28" s="293"/>
      <c r="J28" s="293"/>
      <c r="K28" s="298"/>
      <c r="L28" s="285"/>
    </row>
    <row r="29" s="282" customFormat="1" ht="25.5" spans="1:12">
      <c r="A29" s="295" t="s">
        <v>69</v>
      </c>
      <c r="B29" s="296" t="s">
        <v>51</v>
      </c>
      <c r="C29" s="297">
        <v>1131.07</v>
      </c>
      <c r="D29" s="297">
        <v>112.65</v>
      </c>
      <c r="E29" s="297">
        <v>1018.42</v>
      </c>
      <c r="F29" s="295"/>
      <c r="G29" s="295"/>
      <c r="H29" s="296"/>
      <c r="I29" s="296"/>
      <c r="J29" s="296"/>
      <c r="K29" s="298"/>
      <c r="L29" s="285"/>
    </row>
    <row r="30" ht="38.25" spans="1:11">
      <c r="A30" s="298">
        <v>7</v>
      </c>
      <c r="B30" s="299" t="s">
        <v>70</v>
      </c>
      <c r="C30" s="300">
        <v>60</v>
      </c>
      <c r="D30" s="300"/>
      <c r="E30" s="300">
        <v>60</v>
      </c>
      <c r="F30" s="298" t="s">
        <v>30</v>
      </c>
      <c r="G30" s="298" t="s">
        <v>71</v>
      </c>
      <c r="H30" s="299" t="s">
        <v>72</v>
      </c>
      <c r="I30" s="299"/>
      <c r="J30" s="299" t="s">
        <v>73</v>
      </c>
      <c r="K30" s="298"/>
    </row>
    <row r="31" s="282" customFormat="1" ht="63.75" spans="1:12">
      <c r="A31" s="298">
        <v>8</v>
      </c>
      <c r="B31" s="299" t="s">
        <v>74</v>
      </c>
      <c r="C31" s="300">
        <v>0.32</v>
      </c>
      <c r="D31" s="300">
        <v>0</v>
      </c>
      <c r="E31" s="300">
        <v>0.32</v>
      </c>
      <c r="F31" s="298" t="s">
        <v>30</v>
      </c>
      <c r="G31" s="298" t="s">
        <v>71</v>
      </c>
      <c r="H31" s="299" t="s">
        <v>75</v>
      </c>
      <c r="I31" s="299"/>
      <c r="J31" s="299" t="s">
        <v>76</v>
      </c>
      <c r="K31" s="298"/>
      <c r="L31" s="285"/>
    </row>
    <row r="32" s="282" customFormat="1" spans="1:12">
      <c r="A32" s="301"/>
      <c r="B32" s="311" t="s">
        <v>77</v>
      </c>
      <c r="C32" s="303">
        <v>0.11</v>
      </c>
      <c r="D32" s="297"/>
      <c r="E32" s="303">
        <v>0.11</v>
      </c>
      <c r="F32" s="301"/>
      <c r="G32" s="301"/>
      <c r="H32" s="302"/>
      <c r="I32" s="302"/>
      <c r="J32" s="302"/>
      <c r="K32" s="301"/>
      <c r="L32" s="283"/>
    </row>
    <row r="33" s="282" customFormat="1" spans="1:12">
      <c r="A33" s="301"/>
      <c r="B33" s="311" t="s">
        <v>78</v>
      </c>
      <c r="C33" s="303">
        <v>0.11</v>
      </c>
      <c r="D33" s="297"/>
      <c r="E33" s="303">
        <v>0.11</v>
      </c>
      <c r="F33" s="301"/>
      <c r="G33" s="301"/>
      <c r="H33" s="302"/>
      <c r="I33" s="302"/>
      <c r="J33" s="302"/>
      <c r="K33" s="301"/>
      <c r="L33" s="283"/>
    </row>
    <row r="34" s="282" customFormat="1" spans="1:12">
      <c r="A34" s="301"/>
      <c r="B34" s="311" t="s">
        <v>79</v>
      </c>
      <c r="C34" s="303">
        <v>0.1</v>
      </c>
      <c r="D34" s="297"/>
      <c r="E34" s="303">
        <v>0.1</v>
      </c>
      <c r="F34" s="301"/>
      <c r="G34" s="301"/>
      <c r="H34" s="302"/>
      <c r="I34" s="302"/>
      <c r="J34" s="302"/>
      <c r="K34" s="301"/>
      <c r="L34" s="283"/>
    </row>
    <row r="35" s="282" customFormat="1" ht="38.25" spans="1:12">
      <c r="A35" s="298">
        <v>9</v>
      </c>
      <c r="B35" s="299" t="s">
        <v>80</v>
      </c>
      <c r="C35" s="300">
        <v>0.1</v>
      </c>
      <c r="D35" s="297"/>
      <c r="E35" s="300">
        <v>0.1</v>
      </c>
      <c r="F35" s="298" t="s">
        <v>30</v>
      </c>
      <c r="G35" s="298" t="s">
        <v>71</v>
      </c>
      <c r="H35" s="299" t="s">
        <v>81</v>
      </c>
      <c r="I35" s="299"/>
      <c r="J35" s="299" t="s">
        <v>82</v>
      </c>
      <c r="K35" s="298"/>
      <c r="L35" s="285"/>
    </row>
    <row r="36" s="282" customFormat="1" ht="63.75" spans="1:12">
      <c r="A36" s="298">
        <v>10</v>
      </c>
      <c r="B36" s="299" t="s">
        <v>83</v>
      </c>
      <c r="C36" s="300">
        <v>0.24</v>
      </c>
      <c r="D36" s="300">
        <v>0</v>
      </c>
      <c r="E36" s="300">
        <v>0.24</v>
      </c>
      <c r="F36" s="298" t="s">
        <v>30</v>
      </c>
      <c r="G36" s="298" t="s">
        <v>71</v>
      </c>
      <c r="H36" s="299" t="s">
        <v>84</v>
      </c>
      <c r="I36" s="299"/>
      <c r="J36" s="299" t="s">
        <v>85</v>
      </c>
      <c r="K36" s="298"/>
      <c r="L36" s="285"/>
    </row>
    <row r="37" s="282" customFormat="1" spans="1:12">
      <c r="A37" s="301"/>
      <c r="B37" s="311" t="s">
        <v>77</v>
      </c>
      <c r="C37" s="303">
        <v>0.08</v>
      </c>
      <c r="D37" s="297"/>
      <c r="E37" s="303">
        <v>0.08</v>
      </c>
      <c r="F37" s="301"/>
      <c r="G37" s="301"/>
      <c r="H37" s="302"/>
      <c r="I37" s="302"/>
      <c r="J37" s="302"/>
      <c r="K37" s="301"/>
      <c r="L37" s="283"/>
    </row>
    <row r="38" s="282" customFormat="1" spans="1:12">
      <c r="A38" s="301"/>
      <c r="B38" s="311" t="s">
        <v>86</v>
      </c>
      <c r="C38" s="303">
        <v>0.08</v>
      </c>
      <c r="D38" s="297"/>
      <c r="E38" s="303">
        <v>0.08</v>
      </c>
      <c r="F38" s="301"/>
      <c r="G38" s="301"/>
      <c r="H38" s="302"/>
      <c r="I38" s="302"/>
      <c r="J38" s="302"/>
      <c r="K38" s="301"/>
      <c r="L38" s="283"/>
    </row>
    <row r="39" s="282" customFormat="1" spans="1:12">
      <c r="A39" s="301"/>
      <c r="B39" s="311" t="s">
        <v>79</v>
      </c>
      <c r="C39" s="303">
        <v>0.08</v>
      </c>
      <c r="D39" s="297"/>
      <c r="E39" s="303">
        <v>0.08</v>
      </c>
      <c r="F39" s="301"/>
      <c r="G39" s="301"/>
      <c r="H39" s="302"/>
      <c r="I39" s="302"/>
      <c r="J39" s="302"/>
      <c r="K39" s="301"/>
      <c r="L39" s="283"/>
    </row>
    <row r="40" s="282" customFormat="1" ht="38.25" spans="1:12">
      <c r="A40" s="298">
        <v>11</v>
      </c>
      <c r="B40" s="299" t="s">
        <v>87</v>
      </c>
      <c r="C40" s="300">
        <v>1.7</v>
      </c>
      <c r="D40" s="297"/>
      <c r="E40" s="300">
        <v>1.7</v>
      </c>
      <c r="F40" s="298" t="s">
        <v>30</v>
      </c>
      <c r="G40" s="298" t="s">
        <v>71</v>
      </c>
      <c r="H40" s="299" t="s">
        <v>32</v>
      </c>
      <c r="I40" s="299"/>
      <c r="J40" s="299" t="s">
        <v>88</v>
      </c>
      <c r="K40" s="298"/>
      <c r="L40" s="285"/>
    </row>
    <row r="41" s="282" customFormat="1" ht="102" spans="1:12">
      <c r="A41" s="298">
        <v>12</v>
      </c>
      <c r="B41" s="299" t="s">
        <v>89</v>
      </c>
      <c r="C41" s="300">
        <v>360</v>
      </c>
      <c r="D41" s="297"/>
      <c r="E41" s="300">
        <v>360</v>
      </c>
      <c r="F41" s="298" t="s">
        <v>30</v>
      </c>
      <c r="G41" s="298" t="s">
        <v>71</v>
      </c>
      <c r="H41" s="299" t="s">
        <v>90</v>
      </c>
      <c r="I41" s="299"/>
      <c r="J41" s="299" t="s">
        <v>91</v>
      </c>
      <c r="K41" s="298"/>
      <c r="L41" s="285"/>
    </row>
    <row r="42" s="282" customFormat="1" ht="38.25" spans="1:12">
      <c r="A42" s="298">
        <v>13</v>
      </c>
      <c r="B42" s="299" t="s">
        <v>92</v>
      </c>
      <c r="C42" s="300">
        <v>163.8</v>
      </c>
      <c r="D42" s="300"/>
      <c r="E42" s="300">
        <v>163.8</v>
      </c>
      <c r="F42" s="298" t="s">
        <v>93</v>
      </c>
      <c r="G42" s="298" t="s">
        <v>94</v>
      </c>
      <c r="H42" s="299" t="s">
        <v>95</v>
      </c>
      <c r="I42" s="299"/>
      <c r="J42" s="299" t="s">
        <v>96</v>
      </c>
      <c r="K42" s="298"/>
      <c r="L42" s="285"/>
    </row>
    <row r="43" s="282" customFormat="1" spans="1:12">
      <c r="A43" s="301"/>
      <c r="B43" s="311" t="s">
        <v>97</v>
      </c>
      <c r="C43" s="303">
        <v>32.76</v>
      </c>
      <c r="D43" s="297"/>
      <c r="E43" s="303">
        <v>32.76</v>
      </c>
      <c r="F43" s="301"/>
      <c r="G43" s="301"/>
      <c r="H43" s="302"/>
      <c r="I43" s="302"/>
      <c r="J43" s="302"/>
      <c r="K43" s="301"/>
      <c r="L43" s="283"/>
    </row>
    <row r="44" s="282" customFormat="1" spans="1:12">
      <c r="A44" s="301"/>
      <c r="B44" s="311" t="s">
        <v>98</v>
      </c>
      <c r="C44" s="303">
        <v>24.57</v>
      </c>
      <c r="D44" s="297"/>
      <c r="E44" s="303">
        <v>24.57</v>
      </c>
      <c r="F44" s="301"/>
      <c r="G44" s="301"/>
      <c r="H44" s="302"/>
      <c r="I44" s="302"/>
      <c r="J44" s="302"/>
      <c r="K44" s="301"/>
      <c r="L44" s="283"/>
    </row>
    <row r="45" s="282" customFormat="1" spans="1:12">
      <c r="A45" s="301"/>
      <c r="B45" s="311" t="s">
        <v>99</v>
      </c>
      <c r="C45" s="303">
        <v>24.57</v>
      </c>
      <c r="D45" s="297"/>
      <c r="E45" s="303">
        <v>24.57</v>
      </c>
      <c r="F45" s="301"/>
      <c r="G45" s="301"/>
      <c r="H45" s="302"/>
      <c r="I45" s="302"/>
      <c r="J45" s="302"/>
      <c r="K45" s="301"/>
      <c r="L45" s="283"/>
    </row>
    <row r="46" s="282" customFormat="1" spans="1:12">
      <c r="A46" s="301"/>
      <c r="B46" s="311" t="s">
        <v>100</v>
      </c>
      <c r="C46" s="303">
        <v>49.14</v>
      </c>
      <c r="D46" s="297"/>
      <c r="E46" s="303">
        <v>49.14</v>
      </c>
      <c r="F46" s="301"/>
      <c r="G46" s="301"/>
      <c r="H46" s="302"/>
      <c r="I46" s="302"/>
      <c r="J46" s="302"/>
      <c r="K46" s="301"/>
      <c r="L46" s="283"/>
    </row>
    <row r="47" s="282" customFormat="1" spans="1:12">
      <c r="A47" s="301"/>
      <c r="B47" s="311" t="s">
        <v>101</v>
      </c>
      <c r="C47" s="303">
        <v>32.76</v>
      </c>
      <c r="D47" s="297"/>
      <c r="E47" s="303">
        <v>32.76</v>
      </c>
      <c r="F47" s="301"/>
      <c r="G47" s="301"/>
      <c r="H47" s="302"/>
      <c r="I47" s="302"/>
      <c r="J47" s="302"/>
      <c r="K47" s="301"/>
      <c r="L47" s="283"/>
    </row>
    <row r="48" s="282" customFormat="1" ht="76.5" spans="1:12">
      <c r="A48" s="298">
        <v>14</v>
      </c>
      <c r="B48" s="299" t="s">
        <v>102</v>
      </c>
      <c r="C48" s="300">
        <v>16</v>
      </c>
      <c r="D48" s="300">
        <v>0</v>
      </c>
      <c r="E48" s="300">
        <v>16</v>
      </c>
      <c r="F48" s="298" t="s">
        <v>103</v>
      </c>
      <c r="G48" s="298" t="s">
        <v>94</v>
      </c>
      <c r="H48" s="299" t="s">
        <v>104</v>
      </c>
      <c r="I48" s="299"/>
      <c r="J48" s="299" t="s">
        <v>105</v>
      </c>
      <c r="K48" s="298"/>
      <c r="L48" s="285"/>
    </row>
    <row r="49" s="282" customFormat="1" spans="1:12">
      <c r="A49" s="301"/>
      <c r="B49" s="311" t="s">
        <v>106</v>
      </c>
      <c r="C49" s="303">
        <v>5</v>
      </c>
      <c r="D49" s="297"/>
      <c r="E49" s="303">
        <v>5</v>
      </c>
      <c r="F49" s="301"/>
      <c r="G49" s="301"/>
      <c r="H49" s="302"/>
      <c r="I49" s="302"/>
      <c r="J49" s="302"/>
      <c r="K49" s="301"/>
      <c r="L49" s="283"/>
    </row>
    <row r="50" s="282" customFormat="1" spans="1:12">
      <c r="A50" s="301"/>
      <c r="B50" s="311" t="s">
        <v>107</v>
      </c>
      <c r="C50" s="303">
        <v>5</v>
      </c>
      <c r="D50" s="297"/>
      <c r="E50" s="303">
        <v>5</v>
      </c>
      <c r="F50" s="301"/>
      <c r="G50" s="301"/>
      <c r="H50" s="302"/>
      <c r="I50" s="302"/>
      <c r="J50" s="302"/>
      <c r="K50" s="301"/>
      <c r="L50" s="283"/>
    </row>
    <row r="51" s="282" customFormat="1" spans="1:12">
      <c r="A51" s="301"/>
      <c r="B51" s="311" t="s">
        <v>108</v>
      </c>
      <c r="C51" s="303">
        <v>6</v>
      </c>
      <c r="D51" s="297"/>
      <c r="E51" s="303">
        <v>6</v>
      </c>
      <c r="F51" s="301"/>
      <c r="G51" s="301"/>
      <c r="H51" s="302"/>
      <c r="I51" s="302"/>
      <c r="J51" s="302"/>
      <c r="K51" s="301"/>
      <c r="L51" s="283"/>
    </row>
    <row r="52" s="282" customFormat="1" ht="51" spans="1:12">
      <c r="A52" s="298">
        <v>15</v>
      </c>
      <c r="B52" s="299" t="s">
        <v>109</v>
      </c>
      <c r="C52" s="300">
        <v>0.2</v>
      </c>
      <c r="D52" s="297"/>
      <c r="E52" s="300">
        <v>0.2</v>
      </c>
      <c r="F52" s="298" t="s">
        <v>30</v>
      </c>
      <c r="G52" s="298" t="s">
        <v>94</v>
      </c>
      <c r="H52" s="299" t="s">
        <v>48</v>
      </c>
      <c r="I52" s="299"/>
      <c r="J52" s="299" t="s">
        <v>110</v>
      </c>
      <c r="K52" s="298"/>
      <c r="L52" s="285"/>
    </row>
    <row r="53" s="282" customFormat="1" ht="63.75" spans="1:12">
      <c r="A53" s="298">
        <v>16</v>
      </c>
      <c r="B53" s="299" t="s">
        <v>111</v>
      </c>
      <c r="C53" s="300">
        <v>0.13</v>
      </c>
      <c r="D53" s="297"/>
      <c r="E53" s="300">
        <v>0.13</v>
      </c>
      <c r="F53" s="298" t="s">
        <v>30</v>
      </c>
      <c r="G53" s="298" t="s">
        <v>94</v>
      </c>
      <c r="H53" s="299" t="s">
        <v>32</v>
      </c>
      <c r="I53" s="299"/>
      <c r="J53" s="299" t="s">
        <v>112</v>
      </c>
      <c r="K53" s="298"/>
      <c r="L53" s="285"/>
    </row>
    <row r="54" s="282" customFormat="1" ht="38.25" spans="1:12">
      <c r="A54" s="298">
        <v>17</v>
      </c>
      <c r="B54" s="299" t="s">
        <v>113</v>
      </c>
      <c r="C54" s="300">
        <v>10.49</v>
      </c>
      <c r="D54" s="300">
        <v>0</v>
      </c>
      <c r="E54" s="300">
        <v>10.49</v>
      </c>
      <c r="F54" s="298" t="s">
        <v>114</v>
      </c>
      <c r="G54" s="298" t="s">
        <v>94</v>
      </c>
      <c r="H54" s="299" t="s">
        <v>115</v>
      </c>
      <c r="I54" s="299"/>
      <c r="J54" s="299" t="s">
        <v>116</v>
      </c>
      <c r="K54" s="298"/>
      <c r="L54" s="285"/>
    </row>
    <row r="55" s="282" customFormat="1" spans="1:12">
      <c r="A55" s="301"/>
      <c r="B55" s="311" t="s">
        <v>117</v>
      </c>
      <c r="C55" s="303">
        <v>4.72</v>
      </c>
      <c r="D55" s="297"/>
      <c r="E55" s="303">
        <v>4.72</v>
      </c>
      <c r="F55" s="301"/>
      <c r="G55" s="301"/>
      <c r="H55" s="302"/>
      <c r="I55" s="302"/>
      <c r="J55" s="302"/>
      <c r="K55" s="301"/>
      <c r="L55" s="283"/>
    </row>
    <row r="56" s="282" customFormat="1" spans="1:12">
      <c r="A56" s="301"/>
      <c r="B56" s="311" t="s">
        <v>78</v>
      </c>
      <c r="C56" s="303">
        <v>1.05</v>
      </c>
      <c r="D56" s="297"/>
      <c r="E56" s="303">
        <v>1.05</v>
      </c>
      <c r="F56" s="301"/>
      <c r="G56" s="301"/>
      <c r="H56" s="302"/>
      <c r="I56" s="302"/>
      <c r="J56" s="302"/>
      <c r="K56" s="301"/>
      <c r="L56" s="283"/>
    </row>
    <row r="57" s="282" customFormat="1" spans="1:12">
      <c r="A57" s="301"/>
      <c r="B57" s="311" t="s">
        <v>118</v>
      </c>
      <c r="C57" s="303">
        <v>4.72</v>
      </c>
      <c r="D57" s="297"/>
      <c r="E57" s="303">
        <v>4.72</v>
      </c>
      <c r="F57" s="301"/>
      <c r="G57" s="301"/>
      <c r="H57" s="302"/>
      <c r="I57" s="302"/>
      <c r="J57" s="302"/>
      <c r="K57" s="301"/>
      <c r="L57" s="283"/>
    </row>
    <row r="58" s="282" customFormat="1" ht="63.75" spans="1:12">
      <c r="A58" s="298">
        <v>18</v>
      </c>
      <c r="B58" s="299" t="s">
        <v>119</v>
      </c>
      <c r="C58" s="300">
        <v>2.7</v>
      </c>
      <c r="D58" s="300">
        <v>2.51</v>
      </c>
      <c r="E58" s="300">
        <v>0.19</v>
      </c>
      <c r="F58" s="298" t="s">
        <v>120</v>
      </c>
      <c r="G58" s="298" t="s">
        <v>94</v>
      </c>
      <c r="H58" s="299" t="s">
        <v>48</v>
      </c>
      <c r="I58" s="299"/>
      <c r="J58" s="299" t="s">
        <v>121</v>
      </c>
      <c r="K58" s="298"/>
      <c r="L58" s="285"/>
    </row>
    <row r="59" s="282" customFormat="1" ht="38.25" spans="1:12">
      <c r="A59" s="298">
        <v>19</v>
      </c>
      <c r="B59" s="299" t="s">
        <v>122</v>
      </c>
      <c r="C59" s="300">
        <v>2.9</v>
      </c>
      <c r="D59" s="300">
        <v>2.67</v>
      </c>
      <c r="E59" s="300">
        <v>0.23</v>
      </c>
      <c r="F59" s="298" t="s">
        <v>30</v>
      </c>
      <c r="G59" s="298" t="s">
        <v>94</v>
      </c>
      <c r="H59" s="299" t="s">
        <v>48</v>
      </c>
      <c r="I59" s="299"/>
      <c r="J59" s="299" t="s">
        <v>123</v>
      </c>
      <c r="K59" s="298"/>
      <c r="L59" s="285"/>
    </row>
    <row r="60" s="282" customFormat="1" ht="38.25" spans="1:12">
      <c r="A60" s="298">
        <v>20</v>
      </c>
      <c r="B60" s="299" t="s">
        <v>124</v>
      </c>
      <c r="C60" s="300">
        <v>11.7</v>
      </c>
      <c r="D60" s="300">
        <v>11.49</v>
      </c>
      <c r="E60" s="300">
        <v>0.210000000000001</v>
      </c>
      <c r="F60" s="298" t="s">
        <v>120</v>
      </c>
      <c r="G60" s="298" t="s">
        <v>94</v>
      </c>
      <c r="H60" s="299" t="s">
        <v>48</v>
      </c>
      <c r="I60" s="299"/>
      <c r="J60" s="299" t="s">
        <v>123</v>
      </c>
      <c r="K60" s="298"/>
      <c r="L60" s="285"/>
    </row>
    <row r="61" s="282" customFormat="1" ht="38.25" spans="1:12">
      <c r="A61" s="298">
        <v>21</v>
      </c>
      <c r="B61" s="299" t="s">
        <v>125</v>
      </c>
      <c r="C61" s="300">
        <v>0.03</v>
      </c>
      <c r="D61" s="297"/>
      <c r="E61" s="300">
        <v>0.03</v>
      </c>
      <c r="F61" s="298" t="s">
        <v>30</v>
      </c>
      <c r="G61" s="298" t="s">
        <v>94</v>
      </c>
      <c r="H61" s="299" t="s">
        <v>48</v>
      </c>
      <c r="I61" s="299"/>
      <c r="J61" s="299" t="s">
        <v>123</v>
      </c>
      <c r="K61" s="298"/>
      <c r="L61" s="285"/>
    </row>
    <row r="62" s="282" customFormat="1" ht="114.75" spans="1:12">
      <c r="A62" s="298">
        <v>22</v>
      </c>
      <c r="B62" s="299" t="s">
        <v>126</v>
      </c>
      <c r="C62" s="300">
        <v>0.61</v>
      </c>
      <c r="D62" s="300">
        <v>0</v>
      </c>
      <c r="E62" s="300">
        <v>0.61</v>
      </c>
      <c r="F62" s="298" t="s">
        <v>127</v>
      </c>
      <c r="G62" s="298" t="s">
        <v>94</v>
      </c>
      <c r="H62" s="299" t="s">
        <v>128</v>
      </c>
      <c r="I62" s="299"/>
      <c r="J62" s="299" t="s">
        <v>129</v>
      </c>
      <c r="K62" s="298"/>
      <c r="L62" s="285"/>
    </row>
    <row r="63" s="282" customFormat="1" spans="1:12">
      <c r="A63" s="301"/>
      <c r="B63" s="311" t="s">
        <v>130</v>
      </c>
      <c r="C63" s="303">
        <v>0.05</v>
      </c>
      <c r="D63" s="297"/>
      <c r="E63" s="303">
        <v>0.05</v>
      </c>
      <c r="F63" s="301"/>
      <c r="G63" s="301"/>
      <c r="H63" s="302"/>
      <c r="I63" s="302"/>
      <c r="J63" s="302"/>
      <c r="K63" s="301"/>
      <c r="L63" s="285"/>
    </row>
    <row r="64" s="282" customFormat="1" spans="1:12">
      <c r="A64" s="301"/>
      <c r="B64" s="311" t="s">
        <v>131</v>
      </c>
      <c r="C64" s="303">
        <v>0.05</v>
      </c>
      <c r="D64" s="297"/>
      <c r="E64" s="303">
        <v>0.05</v>
      </c>
      <c r="F64" s="301"/>
      <c r="G64" s="301"/>
      <c r="H64" s="302"/>
      <c r="I64" s="302"/>
      <c r="J64" s="302"/>
      <c r="K64" s="301"/>
      <c r="L64" s="285"/>
    </row>
    <row r="65" s="282" customFormat="1" spans="1:12">
      <c r="A65" s="301"/>
      <c r="B65" s="311" t="s">
        <v>78</v>
      </c>
      <c r="C65" s="303">
        <v>0.05</v>
      </c>
      <c r="D65" s="297"/>
      <c r="E65" s="303">
        <v>0.05</v>
      </c>
      <c r="F65" s="301"/>
      <c r="G65" s="301"/>
      <c r="H65" s="302"/>
      <c r="I65" s="302"/>
      <c r="J65" s="302"/>
      <c r="K65" s="301"/>
      <c r="L65" s="285"/>
    </row>
    <row r="66" s="282" customFormat="1" spans="1:12">
      <c r="A66" s="301"/>
      <c r="B66" s="311" t="s">
        <v>132</v>
      </c>
      <c r="C66" s="303">
        <v>0.05</v>
      </c>
      <c r="D66" s="297"/>
      <c r="E66" s="303">
        <v>0.05</v>
      </c>
      <c r="F66" s="301"/>
      <c r="G66" s="301"/>
      <c r="H66" s="302"/>
      <c r="I66" s="302"/>
      <c r="J66" s="302"/>
      <c r="K66" s="301"/>
      <c r="L66" s="285"/>
    </row>
    <row r="67" s="282" customFormat="1" spans="1:12">
      <c r="A67" s="301"/>
      <c r="B67" s="311" t="s">
        <v>86</v>
      </c>
      <c r="C67" s="303">
        <v>0.05</v>
      </c>
      <c r="D67" s="297"/>
      <c r="E67" s="303">
        <v>0.05</v>
      </c>
      <c r="F67" s="301"/>
      <c r="G67" s="301"/>
      <c r="H67" s="302"/>
      <c r="I67" s="302"/>
      <c r="J67" s="302"/>
      <c r="K67" s="301"/>
      <c r="L67" s="285"/>
    </row>
    <row r="68" s="282" customFormat="1" spans="1:12">
      <c r="A68" s="301"/>
      <c r="B68" s="311" t="s">
        <v>77</v>
      </c>
      <c r="C68" s="303">
        <v>0.31</v>
      </c>
      <c r="D68" s="297"/>
      <c r="E68" s="303">
        <v>0.31</v>
      </c>
      <c r="F68" s="301"/>
      <c r="G68" s="301"/>
      <c r="H68" s="302"/>
      <c r="I68" s="302"/>
      <c r="J68" s="302"/>
      <c r="K68" s="301"/>
      <c r="L68" s="285"/>
    </row>
    <row r="69" s="282" customFormat="1" spans="1:12">
      <c r="A69" s="301"/>
      <c r="B69" s="311" t="s">
        <v>133</v>
      </c>
      <c r="C69" s="303">
        <v>0.05</v>
      </c>
      <c r="D69" s="297"/>
      <c r="E69" s="303">
        <v>0.05</v>
      </c>
      <c r="F69" s="301"/>
      <c r="G69" s="301"/>
      <c r="H69" s="302"/>
      <c r="I69" s="302"/>
      <c r="J69" s="302"/>
      <c r="K69" s="301"/>
      <c r="L69" s="285"/>
    </row>
    <row r="70" s="280" customFormat="1" ht="89.25" spans="1:12">
      <c r="A70" s="298">
        <v>23</v>
      </c>
      <c r="B70" s="310" t="s">
        <v>134</v>
      </c>
      <c r="C70" s="300">
        <v>6</v>
      </c>
      <c r="D70" s="300">
        <v>0</v>
      </c>
      <c r="E70" s="300">
        <v>6</v>
      </c>
      <c r="F70" s="298" t="s">
        <v>135</v>
      </c>
      <c r="G70" s="298" t="s">
        <v>94</v>
      </c>
      <c r="H70" s="299" t="s">
        <v>136</v>
      </c>
      <c r="I70" s="299"/>
      <c r="J70" s="299" t="s">
        <v>137</v>
      </c>
      <c r="K70" s="298"/>
      <c r="L70" s="285"/>
    </row>
    <row r="71" s="282" customFormat="1" spans="1:12">
      <c r="A71" s="301"/>
      <c r="B71" s="311" t="s">
        <v>98</v>
      </c>
      <c r="C71" s="303">
        <v>3</v>
      </c>
      <c r="D71" s="297"/>
      <c r="E71" s="303">
        <v>3</v>
      </c>
      <c r="F71" s="301"/>
      <c r="G71" s="301"/>
      <c r="H71" s="302"/>
      <c r="I71" s="302"/>
      <c r="J71" s="302"/>
      <c r="K71" s="301"/>
      <c r="L71" s="285"/>
    </row>
    <row r="72" s="282" customFormat="1" spans="1:12">
      <c r="A72" s="301"/>
      <c r="B72" s="311" t="s">
        <v>99</v>
      </c>
      <c r="C72" s="303">
        <v>3</v>
      </c>
      <c r="D72" s="297"/>
      <c r="E72" s="303">
        <v>3</v>
      </c>
      <c r="F72" s="301"/>
      <c r="G72" s="301"/>
      <c r="H72" s="302"/>
      <c r="I72" s="302"/>
      <c r="J72" s="302"/>
      <c r="K72" s="301"/>
      <c r="L72" s="285"/>
    </row>
    <row r="73" s="280" customFormat="1" ht="102" spans="1:12">
      <c r="A73" s="298">
        <v>24</v>
      </c>
      <c r="B73" s="310" t="s">
        <v>138</v>
      </c>
      <c r="C73" s="300">
        <v>4</v>
      </c>
      <c r="D73" s="300">
        <v>0</v>
      </c>
      <c r="E73" s="300">
        <v>4</v>
      </c>
      <c r="F73" s="298" t="s">
        <v>135</v>
      </c>
      <c r="G73" s="298" t="s">
        <v>94</v>
      </c>
      <c r="H73" s="299" t="s">
        <v>139</v>
      </c>
      <c r="I73" s="299"/>
      <c r="J73" s="299" t="s">
        <v>140</v>
      </c>
      <c r="K73" s="298"/>
      <c r="L73" s="285"/>
    </row>
    <row r="74" s="282" customFormat="1" spans="1:12">
      <c r="A74" s="301"/>
      <c r="B74" s="311" t="s">
        <v>108</v>
      </c>
      <c r="C74" s="303">
        <v>1</v>
      </c>
      <c r="D74" s="297"/>
      <c r="E74" s="303">
        <v>1</v>
      </c>
      <c r="F74" s="301"/>
      <c r="G74" s="301"/>
      <c r="H74" s="302"/>
      <c r="I74" s="302"/>
      <c r="J74" s="302"/>
      <c r="K74" s="301"/>
      <c r="L74" s="285"/>
    </row>
    <row r="75" s="282" customFormat="1" spans="1:12">
      <c r="A75" s="301"/>
      <c r="B75" s="311" t="s">
        <v>106</v>
      </c>
      <c r="C75" s="303">
        <v>1</v>
      </c>
      <c r="D75" s="297"/>
      <c r="E75" s="303">
        <v>1</v>
      </c>
      <c r="F75" s="301"/>
      <c r="G75" s="301"/>
      <c r="H75" s="302"/>
      <c r="I75" s="302"/>
      <c r="J75" s="302"/>
      <c r="K75" s="301"/>
      <c r="L75" s="285"/>
    </row>
    <row r="76" s="282" customFormat="1" spans="1:12">
      <c r="A76" s="301"/>
      <c r="B76" s="311" t="s">
        <v>98</v>
      </c>
      <c r="C76" s="303">
        <v>1</v>
      </c>
      <c r="D76" s="297"/>
      <c r="E76" s="303">
        <v>1</v>
      </c>
      <c r="F76" s="301"/>
      <c r="G76" s="301"/>
      <c r="H76" s="302"/>
      <c r="I76" s="302"/>
      <c r="J76" s="302"/>
      <c r="K76" s="301"/>
      <c r="L76" s="285"/>
    </row>
    <row r="77" s="282" customFormat="1" spans="1:12">
      <c r="A77" s="301"/>
      <c r="B77" s="311" t="s">
        <v>99</v>
      </c>
      <c r="C77" s="303">
        <v>1</v>
      </c>
      <c r="D77" s="297"/>
      <c r="E77" s="303">
        <v>1</v>
      </c>
      <c r="F77" s="301"/>
      <c r="G77" s="301"/>
      <c r="H77" s="302"/>
      <c r="I77" s="302"/>
      <c r="J77" s="302"/>
      <c r="K77" s="301"/>
      <c r="L77" s="285"/>
    </row>
    <row r="78" s="280" customFormat="1" ht="89.25" spans="1:12">
      <c r="A78" s="298">
        <v>25</v>
      </c>
      <c r="B78" s="310" t="s">
        <v>141</v>
      </c>
      <c r="C78" s="300">
        <v>14.5</v>
      </c>
      <c r="D78" s="294"/>
      <c r="E78" s="300">
        <v>14.5</v>
      </c>
      <c r="F78" s="298" t="s">
        <v>142</v>
      </c>
      <c r="G78" s="298" t="s">
        <v>94</v>
      </c>
      <c r="H78" s="299" t="s">
        <v>32</v>
      </c>
      <c r="I78" s="299"/>
      <c r="J78" s="299" t="s">
        <v>143</v>
      </c>
      <c r="K78" s="298"/>
      <c r="L78" s="285"/>
    </row>
    <row r="79" s="280" customFormat="1" ht="89.25" spans="1:12">
      <c r="A79" s="298">
        <v>26</v>
      </c>
      <c r="B79" s="310" t="s">
        <v>144</v>
      </c>
      <c r="C79" s="300">
        <v>25.92</v>
      </c>
      <c r="D79" s="300">
        <v>0</v>
      </c>
      <c r="E79" s="300">
        <v>25.92</v>
      </c>
      <c r="F79" s="298" t="s">
        <v>145</v>
      </c>
      <c r="G79" s="298"/>
      <c r="H79" s="299" t="s">
        <v>146</v>
      </c>
      <c r="I79" s="299"/>
      <c r="J79" s="299" t="s">
        <v>147</v>
      </c>
      <c r="K79" s="298"/>
      <c r="L79" s="285"/>
    </row>
    <row r="80" s="282" customFormat="1" ht="38.25" spans="1:12">
      <c r="A80" s="301"/>
      <c r="B80" s="311" t="s">
        <v>148</v>
      </c>
      <c r="C80" s="303">
        <v>15.5</v>
      </c>
      <c r="D80" s="297"/>
      <c r="E80" s="303">
        <v>15.5</v>
      </c>
      <c r="F80" s="301" t="s">
        <v>149</v>
      </c>
      <c r="G80" s="301" t="s">
        <v>94</v>
      </c>
      <c r="H80" s="302"/>
      <c r="I80" s="302"/>
      <c r="J80" s="302"/>
      <c r="K80" s="301"/>
      <c r="L80" s="283"/>
    </row>
    <row r="81" s="282" customFormat="1" ht="51" spans="1:12">
      <c r="A81" s="301"/>
      <c r="B81" s="311" t="s">
        <v>150</v>
      </c>
      <c r="C81" s="303">
        <v>10.42</v>
      </c>
      <c r="D81" s="297"/>
      <c r="E81" s="303">
        <v>10.42</v>
      </c>
      <c r="F81" s="301" t="s">
        <v>151</v>
      </c>
      <c r="G81" s="301" t="s">
        <v>94</v>
      </c>
      <c r="H81" s="302"/>
      <c r="I81" s="302"/>
      <c r="J81" s="302"/>
      <c r="K81" s="301"/>
      <c r="L81" s="283"/>
    </row>
    <row r="82" s="280" customFormat="1" ht="63.75" spans="1:12">
      <c r="A82" s="298">
        <v>27</v>
      </c>
      <c r="B82" s="310" t="s">
        <v>152</v>
      </c>
      <c r="C82" s="300">
        <v>15</v>
      </c>
      <c r="D82" s="300">
        <v>0</v>
      </c>
      <c r="E82" s="300">
        <v>15</v>
      </c>
      <c r="F82" s="298" t="s">
        <v>153</v>
      </c>
      <c r="G82" s="298" t="s">
        <v>94</v>
      </c>
      <c r="H82" s="299" t="s">
        <v>154</v>
      </c>
      <c r="I82" s="299"/>
      <c r="J82" s="299" t="s">
        <v>155</v>
      </c>
      <c r="K82" s="298"/>
      <c r="L82" s="285"/>
    </row>
    <row r="83" s="282" customFormat="1" ht="25.5" spans="1:12">
      <c r="A83" s="301"/>
      <c r="B83" s="311" t="s">
        <v>156</v>
      </c>
      <c r="C83" s="303">
        <v>7.5</v>
      </c>
      <c r="D83" s="297"/>
      <c r="E83" s="303">
        <v>7.5</v>
      </c>
      <c r="F83" s="283" t="s">
        <v>157</v>
      </c>
      <c r="G83" s="301"/>
      <c r="H83" s="302"/>
      <c r="I83" s="302"/>
      <c r="J83" s="302"/>
      <c r="K83" s="301"/>
      <c r="L83" s="283"/>
    </row>
    <row r="84" s="282" customFormat="1" ht="25.5" spans="1:12">
      <c r="A84" s="301"/>
      <c r="B84" s="311" t="s">
        <v>148</v>
      </c>
      <c r="C84" s="303">
        <v>7.5</v>
      </c>
      <c r="D84" s="297"/>
      <c r="E84" s="303">
        <v>7.5</v>
      </c>
      <c r="F84" s="301" t="s">
        <v>158</v>
      </c>
      <c r="G84" s="301"/>
      <c r="H84" s="302"/>
      <c r="I84" s="302"/>
      <c r="J84" s="302"/>
      <c r="K84" s="301"/>
      <c r="L84" s="283"/>
    </row>
    <row r="85" s="280" customFormat="1" ht="89.25" spans="1:12">
      <c r="A85" s="298">
        <v>28</v>
      </c>
      <c r="B85" s="310" t="s">
        <v>159</v>
      </c>
      <c r="C85" s="300">
        <v>16.1</v>
      </c>
      <c r="D85" s="300">
        <v>0</v>
      </c>
      <c r="E85" s="300">
        <v>16.1</v>
      </c>
      <c r="F85" s="298" t="s">
        <v>160</v>
      </c>
      <c r="G85" s="298"/>
      <c r="H85" s="299" t="s">
        <v>161</v>
      </c>
      <c r="I85" s="299"/>
      <c r="J85" s="299" t="s">
        <v>147</v>
      </c>
      <c r="K85" s="298"/>
      <c r="L85" s="285"/>
    </row>
    <row r="86" s="282" customFormat="1" spans="1:12">
      <c r="A86" s="301"/>
      <c r="B86" s="311" t="s">
        <v>108</v>
      </c>
      <c r="C86" s="303">
        <v>3.23</v>
      </c>
      <c r="D86" s="297"/>
      <c r="E86" s="303">
        <v>3.23</v>
      </c>
      <c r="F86" s="301"/>
      <c r="G86" s="301" t="s">
        <v>94</v>
      </c>
      <c r="H86" s="302"/>
      <c r="I86" s="302"/>
      <c r="J86" s="302"/>
      <c r="K86" s="301"/>
      <c r="L86" s="283"/>
    </row>
    <row r="87" s="282" customFormat="1" spans="1:12">
      <c r="A87" s="301"/>
      <c r="B87" s="311" t="s">
        <v>107</v>
      </c>
      <c r="C87" s="303">
        <v>12.87</v>
      </c>
      <c r="D87" s="297"/>
      <c r="E87" s="303">
        <v>12.87</v>
      </c>
      <c r="F87" s="301"/>
      <c r="G87" s="301" t="s">
        <v>94</v>
      </c>
      <c r="H87" s="302"/>
      <c r="I87" s="302"/>
      <c r="J87" s="302"/>
      <c r="K87" s="301"/>
      <c r="L87" s="283"/>
    </row>
    <row r="88" s="280" customFormat="1" ht="89.25" spans="1:12">
      <c r="A88" s="298">
        <v>29</v>
      </c>
      <c r="B88" s="310" t="s">
        <v>162</v>
      </c>
      <c r="C88" s="300">
        <v>27</v>
      </c>
      <c r="D88" s="294"/>
      <c r="E88" s="300">
        <v>27</v>
      </c>
      <c r="F88" s="298" t="s">
        <v>135</v>
      </c>
      <c r="G88" s="298" t="s">
        <v>94</v>
      </c>
      <c r="H88" s="299" t="s">
        <v>60</v>
      </c>
      <c r="I88" s="299"/>
      <c r="J88" s="299" t="s">
        <v>163</v>
      </c>
      <c r="K88" s="298"/>
      <c r="L88" s="285"/>
    </row>
    <row r="89" s="282" customFormat="1" ht="89.25" spans="1:12">
      <c r="A89" s="298">
        <v>30</v>
      </c>
      <c r="B89" s="299" t="s">
        <v>164</v>
      </c>
      <c r="C89" s="300">
        <v>0.54</v>
      </c>
      <c r="D89" s="297"/>
      <c r="E89" s="300">
        <v>0.54</v>
      </c>
      <c r="F89" s="298" t="s">
        <v>30</v>
      </c>
      <c r="G89" s="298" t="s">
        <v>165</v>
      </c>
      <c r="H89" s="299" t="s">
        <v>35</v>
      </c>
      <c r="I89" s="299"/>
      <c r="J89" s="299" t="s">
        <v>166</v>
      </c>
      <c r="K89" s="298"/>
      <c r="L89" s="285"/>
    </row>
    <row r="90" s="282" customFormat="1" ht="63.75" spans="1:12">
      <c r="A90" s="298">
        <v>31</v>
      </c>
      <c r="B90" s="299" t="s">
        <v>167</v>
      </c>
      <c r="C90" s="300">
        <v>2</v>
      </c>
      <c r="D90" s="297"/>
      <c r="E90" s="300">
        <v>2</v>
      </c>
      <c r="F90" s="298" t="s">
        <v>30</v>
      </c>
      <c r="G90" s="298" t="s">
        <v>165</v>
      </c>
      <c r="H90" s="299" t="s">
        <v>32</v>
      </c>
      <c r="I90" s="299"/>
      <c r="J90" s="299" t="s">
        <v>168</v>
      </c>
      <c r="K90" s="298"/>
      <c r="L90" s="285"/>
    </row>
    <row r="91" s="282" customFormat="1" ht="51" spans="1:12">
      <c r="A91" s="298">
        <v>32</v>
      </c>
      <c r="B91" s="299" t="s">
        <v>169</v>
      </c>
      <c r="C91" s="300">
        <v>0.16</v>
      </c>
      <c r="D91" s="297"/>
      <c r="E91" s="300">
        <v>0.16</v>
      </c>
      <c r="F91" s="298" t="s">
        <v>30</v>
      </c>
      <c r="G91" s="298" t="s">
        <v>165</v>
      </c>
      <c r="H91" s="299" t="s">
        <v>170</v>
      </c>
      <c r="I91" s="299"/>
      <c r="J91" s="299" t="s">
        <v>171</v>
      </c>
      <c r="K91" s="298"/>
      <c r="L91" s="285"/>
    </row>
    <row r="92" s="282" customFormat="1" ht="63.75" spans="1:12">
      <c r="A92" s="298">
        <v>33</v>
      </c>
      <c r="B92" s="299" t="s">
        <v>172</v>
      </c>
      <c r="C92" s="300">
        <v>1</v>
      </c>
      <c r="D92" s="297"/>
      <c r="E92" s="300">
        <v>1</v>
      </c>
      <c r="F92" s="298" t="s">
        <v>30</v>
      </c>
      <c r="G92" s="298" t="s">
        <v>165</v>
      </c>
      <c r="H92" s="299" t="s">
        <v>81</v>
      </c>
      <c r="I92" s="299"/>
      <c r="J92" s="299" t="s">
        <v>168</v>
      </c>
      <c r="K92" s="298"/>
      <c r="L92" s="285"/>
    </row>
    <row r="93" s="282" customFormat="1" ht="63.75" spans="1:12">
      <c r="A93" s="298">
        <v>34</v>
      </c>
      <c r="B93" s="299" t="s">
        <v>173</v>
      </c>
      <c r="C93" s="300">
        <v>198.06</v>
      </c>
      <c r="D93" s="300">
        <v>95.98</v>
      </c>
      <c r="E93" s="300">
        <v>102.08</v>
      </c>
      <c r="F93" s="298" t="s">
        <v>30</v>
      </c>
      <c r="G93" s="298" t="s">
        <v>174</v>
      </c>
      <c r="H93" s="299" t="s">
        <v>175</v>
      </c>
      <c r="I93" s="299"/>
      <c r="J93" s="299" t="s">
        <v>176</v>
      </c>
      <c r="K93" s="298"/>
      <c r="L93" s="304"/>
    </row>
    <row r="94" s="282" customFormat="1" spans="1:12">
      <c r="A94" s="301"/>
      <c r="B94" s="311" t="s">
        <v>133</v>
      </c>
      <c r="C94" s="303">
        <v>171.86</v>
      </c>
      <c r="D94" s="303">
        <v>69.86</v>
      </c>
      <c r="E94" s="303">
        <v>102</v>
      </c>
      <c r="F94" s="301"/>
      <c r="G94" s="301"/>
      <c r="H94" s="302"/>
      <c r="I94" s="302"/>
      <c r="J94" s="302"/>
      <c r="K94" s="301"/>
      <c r="L94" s="285"/>
    </row>
    <row r="95" s="282" customFormat="1" spans="1:12">
      <c r="A95" s="301"/>
      <c r="B95" s="311" t="s">
        <v>132</v>
      </c>
      <c r="C95" s="303">
        <v>26.2</v>
      </c>
      <c r="D95" s="303">
        <v>26.12</v>
      </c>
      <c r="E95" s="303">
        <v>0.0799999999999983</v>
      </c>
      <c r="F95" s="301"/>
      <c r="G95" s="301"/>
      <c r="H95" s="302"/>
      <c r="I95" s="302"/>
      <c r="J95" s="302"/>
      <c r="K95" s="301"/>
      <c r="L95" s="285"/>
    </row>
    <row r="96" s="282" customFormat="1" ht="51" spans="1:12">
      <c r="A96" s="298">
        <v>35</v>
      </c>
      <c r="B96" s="299" t="s">
        <v>177</v>
      </c>
      <c r="C96" s="300">
        <v>1.69</v>
      </c>
      <c r="D96" s="297"/>
      <c r="E96" s="300">
        <v>1.69</v>
      </c>
      <c r="F96" s="298" t="s">
        <v>30</v>
      </c>
      <c r="G96" s="298" t="s">
        <v>178</v>
      </c>
      <c r="H96" s="299" t="s">
        <v>179</v>
      </c>
      <c r="I96" s="299"/>
      <c r="J96" s="299" t="s">
        <v>180</v>
      </c>
      <c r="K96" s="298"/>
      <c r="L96" s="285"/>
    </row>
    <row r="97" s="282" customFormat="1" ht="51" spans="1:12">
      <c r="A97" s="298">
        <v>36</v>
      </c>
      <c r="B97" s="299" t="s">
        <v>181</v>
      </c>
      <c r="C97" s="300">
        <v>1</v>
      </c>
      <c r="D97" s="300"/>
      <c r="E97" s="300">
        <v>1</v>
      </c>
      <c r="F97" s="298" t="s">
        <v>30</v>
      </c>
      <c r="G97" s="298" t="s">
        <v>182</v>
      </c>
      <c r="H97" s="299" t="s">
        <v>38</v>
      </c>
      <c r="I97" s="299"/>
      <c r="J97" s="299" t="s">
        <v>183</v>
      </c>
      <c r="K97" s="298"/>
      <c r="L97" s="285"/>
    </row>
    <row r="98" s="282" customFormat="1" ht="63.75" spans="1:14">
      <c r="A98" s="298">
        <v>37</v>
      </c>
      <c r="B98" s="299" t="s">
        <v>184</v>
      </c>
      <c r="C98" s="300">
        <v>10.07</v>
      </c>
      <c r="D98" s="297"/>
      <c r="E98" s="300">
        <v>10.07</v>
      </c>
      <c r="F98" s="298" t="s">
        <v>30</v>
      </c>
      <c r="G98" s="298" t="s">
        <v>185</v>
      </c>
      <c r="H98" s="299" t="s">
        <v>186</v>
      </c>
      <c r="I98" s="299"/>
      <c r="J98" s="299" t="s">
        <v>187</v>
      </c>
      <c r="K98" s="298"/>
      <c r="L98" s="285"/>
      <c r="N98" s="305"/>
    </row>
    <row r="99" s="282" customFormat="1" ht="63.75" spans="1:12">
      <c r="A99" s="298">
        <v>38</v>
      </c>
      <c r="B99" s="299" t="s">
        <v>184</v>
      </c>
      <c r="C99" s="300">
        <v>13.41</v>
      </c>
      <c r="D99" s="297"/>
      <c r="E99" s="300">
        <v>13.41</v>
      </c>
      <c r="F99" s="298" t="s">
        <v>30</v>
      </c>
      <c r="G99" s="298" t="s">
        <v>188</v>
      </c>
      <c r="H99" s="299" t="s">
        <v>170</v>
      </c>
      <c r="I99" s="299"/>
      <c r="J99" s="299" t="s">
        <v>187</v>
      </c>
      <c r="K99" s="298"/>
      <c r="L99" s="285"/>
    </row>
    <row r="100" s="282" customFormat="1" ht="51" spans="1:12">
      <c r="A100" s="298">
        <v>39</v>
      </c>
      <c r="B100" s="299" t="s">
        <v>189</v>
      </c>
      <c r="C100" s="300">
        <v>91</v>
      </c>
      <c r="D100" s="297"/>
      <c r="E100" s="300">
        <v>91</v>
      </c>
      <c r="F100" s="298" t="s">
        <v>30</v>
      </c>
      <c r="G100" s="298" t="s">
        <v>188</v>
      </c>
      <c r="H100" s="299" t="s">
        <v>60</v>
      </c>
      <c r="I100" s="299"/>
      <c r="J100" s="299" t="s">
        <v>190</v>
      </c>
      <c r="K100" s="298"/>
      <c r="L100" s="285"/>
    </row>
    <row r="101" s="282" customFormat="1" ht="63.75" spans="1:12">
      <c r="A101" s="298">
        <v>40</v>
      </c>
      <c r="B101" s="299" t="s">
        <v>191</v>
      </c>
      <c r="C101" s="300">
        <v>5.6</v>
      </c>
      <c r="D101" s="297"/>
      <c r="E101" s="300">
        <v>5.6</v>
      </c>
      <c r="F101" s="298" t="s">
        <v>30</v>
      </c>
      <c r="G101" s="298" t="s">
        <v>192</v>
      </c>
      <c r="H101" s="299" t="s">
        <v>193</v>
      </c>
      <c r="I101" s="299"/>
      <c r="J101" s="299" t="s">
        <v>194</v>
      </c>
      <c r="K101" s="298"/>
      <c r="L101" s="285"/>
    </row>
    <row r="102" s="282" customFormat="1" ht="51" spans="1:12">
      <c r="A102" s="298">
        <v>41</v>
      </c>
      <c r="B102" s="299" t="s">
        <v>195</v>
      </c>
      <c r="C102" s="300">
        <v>1.62</v>
      </c>
      <c r="D102" s="297"/>
      <c r="E102" s="300">
        <v>1.62</v>
      </c>
      <c r="F102" s="298" t="s">
        <v>30</v>
      </c>
      <c r="G102" s="298" t="s">
        <v>192</v>
      </c>
      <c r="H102" s="299" t="s">
        <v>170</v>
      </c>
      <c r="I102" s="299"/>
      <c r="J102" s="299" t="s">
        <v>196</v>
      </c>
      <c r="K102" s="298"/>
      <c r="L102" s="285"/>
    </row>
    <row r="103" s="282" customFormat="1" ht="25.5" spans="1:12">
      <c r="A103" s="298">
        <v>42</v>
      </c>
      <c r="B103" s="299" t="s">
        <v>197</v>
      </c>
      <c r="C103" s="300">
        <v>2.5</v>
      </c>
      <c r="D103" s="297"/>
      <c r="E103" s="300">
        <v>2.5</v>
      </c>
      <c r="F103" s="298" t="s">
        <v>30</v>
      </c>
      <c r="G103" s="298" t="s">
        <v>192</v>
      </c>
      <c r="H103" s="299" t="s">
        <v>32</v>
      </c>
      <c r="I103" s="299"/>
      <c r="J103" s="299" t="s">
        <v>198</v>
      </c>
      <c r="K103" s="298"/>
      <c r="L103" s="285"/>
    </row>
    <row r="104" s="282" customFormat="1" ht="25.5" spans="1:12">
      <c r="A104" s="298">
        <v>43</v>
      </c>
      <c r="B104" s="299" t="s">
        <v>199</v>
      </c>
      <c r="C104" s="300">
        <v>4.5</v>
      </c>
      <c r="D104" s="297"/>
      <c r="E104" s="300">
        <v>4.5</v>
      </c>
      <c r="F104" s="298" t="s">
        <v>30</v>
      </c>
      <c r="G104" s="298" t="s">
        <v>192</v>
      </c>
      <c r="H104" s="299" t="s">
        <v>32</v>
      </c>
      <c r="I104" s="299"/>
      <c r="J104" s="299" t="s">
        <v>198</v>
      </c>
      <c r="K104" s="298"/>
      <c r="L104" s="285"/>
    </row>
    <row r="105" s="282" customFormat="1" ht="63.75" spans="1:12">
      <c r="A105" s="298">
        <v>44</v>
      </c>
      <c r="B105" s="299" t="s">
        <v>200</v>
      </c>
      <c r="C105" s="300">
        <v>2.91</v>
      </c>
      <c r="D105" s="297"/>
      <c r="E105" s="300">
        <v>2.91</v>
      </c>
      <c r="F105" s="298" t="s">
        <v>30</v>
      </c>
      <c r="G105" s="298" t="s">
        <v>201</v>
      </c>
      <c r="H105" s="299" t="s">
        <v>48</v>
      </c>
      <c r="I105" s="299"/>
      <c r="J105" s="299" t="s">
        <v>202</v>
      </c>
      <c r="K105" s="298"/>
      <c r="L105" s="285"/>
    </row>
    <row r="106" s="282" customFormat="1" ht="63.75" spans="1:12">
      <c r="A106" s="298">
        <v>45</v>
      </c>
      <c r="B106" s="299" t="s">
        <v>203</v>
      </c>
      <c r="C106" s="300">
        <v>5.3</v>
      </c>
      <c r="D106" s="297"/>
      <c r="E106" s="300">
        <v>5.3</v>
      </c>
      <c r="F106" s="298" t="s">
        <v>204</v>
      </c>
      <c r="G106" s="298" t="s">
        <v>201</v>
      </c>
      <c r="H106" s="299" t="s">
        <v>48</v>
      </c>
      <c r="I106" s="299"/>
      <c r="J106" s="299" t="s">
        <v>205</v>
      </c>
      <c r="K106" s="298"/>
      <c r="L106" s="285"/>
    </row>
    <row r="107" s="282" customFormat="1" ht="89.25" spans="1:12">
      <c r="A107" s="298">
        <v>46</v>
      </c>
      <c r="B107" s="299" t="s">
        <v>206</v>
      </c>
      <c r="C107" s="300">
        <v>7</v>
      </c>
      <c r="D107" s="297"/>
      <c r="E107" s="300">
        <v>7</v>
      </c>
      <c r="F107" s="298" t="s">
        <v>30</v>
      </c>
      <c r="G107" s="298" t="s">
        <v>201</v>
      </c>
      <c r="H107" s="299" t="s">
        <v>48</v>
      </c>
      <c r="I107" s="299"/>
      <c r="J107" s="299" t="s">
        <v>207</v>
      </c>
      <c r="K107" s="298"/>
      <c r="L107" s="285"/>
    </row>
    <row r="108" s="282" customFormat="1" ht="76.5" spans="1:12">
      <c r="A108" s="298">
        <v>47</v>
      </c>
      <c r="B108" s="299" t="s">
        <v>208</v>
      </c>
      <c r="C108" s="300">
        <v>2</v>
      </c>
      <c r="D108" s="297"/>
      <c r="E108" s="300">
        <v>2</v>
      </c>
      <c r="F108" s="298" t="s">
        <v>30</v>
      </c>
      <c r="G108" s="298" t="s">
        <v>209</v>
      </c>
      <c r="H108" s="299" t="s">
        <v>90</v>
      </c>
      <c r="I108" s="299"/>
      <c r="J108" s="299" t="s">
        <v>210</v>
      </c>
      <c r="K108" s="298"/>
      <c r="L108" s="285"/>
    </row>
    <row r="109" s="282" customFormat="1" ht="51" spans="1:12">
      <c r="A109" s="298">
        <v>48</v>
      </c>
      <c r="B109" s="299" t="s">
        <v>211</v>
      </c>
      <c r="C109" s="300">
        <v>2.02</v>
      </c>
      <c r="D109" s="297"/>
      <c r="E109" s="300">
        <v>2.02</v>
      </c>
      <c r="F109" s="298" t="s">
        <v>30</v>
      </c>
      <c r="G109" s="298" t="s">
        <v>212</v>
      </c>
      <c r="H109" s="299" t="s">
        <v>193</v>
      </c>
      <c r="I109" s="299"/>
      <c r="J109" s="299" t="s">
        <v>213</v>
      </c>
      <c r="K109" s="298"/>
      <c r="L109" s="285"/>
    </row>
    <row r="110" s="282" customFormat="1" ht="76.5" spans="1:12">
      <c r="A110" s="298">
        <v>49</v>
      </c>
      <c r="B110" s="299" t="s">
        <v>214</v>
      </c>
      <c r="C110" s="300">
        <v>3.58</v>
      </c>
      <c r="D110" s="297"/>
      <c r="E110" s="300">
        <v>3.58</v>
      </c>
      <c r="F110" s="298" t="s">
        <v>215</v>
      </c>
      <c r="G110" s="298" t="s">
        <v>216</v>
      </c>
      <c r="H110" s="299" t="s">
        <v>48</v>
      </c>
      <c r="I110" s="299"/>
      <c r="J110" s="299" t="s">
        <v>217</v>
      </c>
      <c r="K110" s="298"/>
      <c r="L110" s="285"/>
    </row>
    <row r="111" s="282" customFormat="1" ht="89.25" spans="1:12">
      <c r="A111" s="298">
        <v>50</v>
      </c>
      <c r="B111" s="299" t="s">
        <v>218</v>
      </c>
      <c r="C111" s="300">
        <v>1.6</v>
      </c>
      <c r="D111" s="297"/>
      <c r="E111" s="300">
        <v>1.6</v>
      </c>
      <c r="F111" s="298" t="s">
        <v>30</v>
      </c>
      <c r="G111" s="298" t="s">
        <v>216</v>
      </c>
      <c r="H111" s="299" t="s">
        <v>60</v>
      </c>
      <c r="I111" s="299"/>
      <c r="J111" s="299" t="s">
        <v>219</v>
      </c>
      <c r="K111" s="298"/>
      <c r="L111" s="285"/>
    </row>
    <row r="112" ht="63.75" spans="1:11">
      <c r="A112" s="298">
        <v>51</v>
      </c>
      <c r="B112" s="299" t="s">
        <v>220</v>
      </c>
      <c r="C112" s="300">
        <v>6.5</v>
      </c>
      <c r="D112" s="300"/>
      <c r="E112" s="300">
        <v>6.5</v>
      </c>
      <c r="F112" s="298" t="s">
        <v>221</v>
      </c>
      <c r="G112" s="298" t="s">
        <v>216</v>
      </c>
      <c r="H112" s="299" t="s">
        <v>72</v>
      </c>
      <c r="I112" s="299"/>
      <c r="J112" s="299" t="s">
        <v>222</v>
      </c>
      <c r="K112" s="298"/>
    </row>
    <row r="113" ht="89.25" spans="1:11">
      <c r="A113" s="298">
        <v>52</v>
      </c>
      <c r="B113" s="299" t="s">
        <v>223</v>
      </c>
      <c r="C113" s="300">
        <v>15</v>
      </c>
      <c r="D113" s="300"/>
      <c r="E113" s="300">
        <v>15</v>
      </c>
      <c r="F113" s="298" t="s">
        <v>224</v>
      </c>
      <c r="G113" s="298" t="s">
        <v>216</v>
      </c>
      <c r="H113" s="299" t="s">
        <v>72</v>
      </c>
      <c r="I113" s="299"/>
      <c r="J113" s="299" t="s">
        <v>225</v>
      </c>
      <c r="K113" s="298"/>
    </row>
    <row r="114" ht="63.75" spans="1:11">
      <c r="A114" s="298">
        <v>53</v>
      </c>
      <c r="B114" s="299" t="s">
        <v>226</v>
      </c>
      <c r="C114" s="300">
        <v>4.87</v>
      </c>
      <c r="D114" s="300"/>
      <c r="E114" s="300">
        <v>4.87</v>
      </c>
      <c r="F114" s="298" t="s">
        <v>227</v>
      </c>
      <c r="G114" s="298" t="s">
        <v>216</v>
      </c>
      <c r="H114" s="299" t="s">
        <v>38</v>
      </c>
      <c r="I114" s="299"/>
      <c r="J114" s="299" t="s">
        <v>228</v>
      </c>
      <c r="K114" s="298"/>
    </row>
    <row r="115" ht="89.25" spans="1:11">
      <c r="A115" s="298">
        <v>54</v>
      </c>
      <c r="B115" s="310" t="s">
        <v>229</v>
      </c>
      <c r="C115" s="300">
        <v>7.7</v>
      </c>
      <c r="D115" s="300"/>
      <c r="E115" s="300">
        <v>7.7</v>
      </c>
      <c r="F115" s="298" t="s">
        <v>230</v>
      </c>
      <c r="G115" s="298" t="s">
        <v>216</v>
      </c>
      <c r="H115" s="299" t="s">
        <v>179</v>
      </c>
      <c r="I115" s="299"/>
      <c r="J115" s="299" t="s">
        <v>231</v>
      </c>
      <c r="K115" s="298"/>
    </row>
    <row r="116" s="282" customFormat="1" ht="38.25" spans="1:12">
      <c r="A116" s="295" t="s">
        <v>232</v>
      </c>
      <c r="B116" s="296" t="s">
        <v>233</v>
      </c>
      <c r="C116" s="297">
        <v>568.1376</v>
      </c>
      <c r="D116" s="297">
        <v>10.00712</v>
      </c>
      <c r="E116" s="297">
        <v>558.13048</v>
      </c>
      <c r="F116" s="295"/>
      <c r="G116" s="295"/>
      <c r="H116" s="296"/>
      <c r="I116" s="296"/>
      <c r="J116" s="296"/>
      <c r="K116" s="298"/>
      <c r="L116" s="285"/>
    </row>
    <row r="117" spans="1:11">
      <c r="A117" s="298"/>
      <c r="B117" s="299" t="s">
        <v>234</v>
      </c>
      <c r="C117" s="300">
        <v>558.6706</v>
      </c>
      <c r="D117" s="300">
        <v>9.23012</v>
      </c>
      <c r="E117" s="300">
        <v>549.44048</v>
      </c>
      <c r="F117" s="292">
        <v>321.70988</v>
      </c>
      <c r="G117" s="298"/>
      <c r="H117" s="299"/>
      <c r="I117" s="299"/>
      <c r="J117" s="299"/>
      <c r="K117" s="298"/>
    </row>
    <row r="118" ht="25.5" spans="1:11">
      <c r="A118" s="298">
        <v>1</v>
      </c>
      <c r="B118" s="299" t="s">
        <v>235</v>
      </c>
      <c r="C118" s="300">
        <v>22.75</v>
      </c>
      <c r="D118" s="300">
        <v>4.6</v>
      </c>
      <c r="E118" s="300">
        <v>18.15</v>
      </c>
      <c r="F118" s="298" t="s">
        <v>30</v>
      </c>
      <c r="G118" s="298" t="s">
        <v>236</v>
      </c>
      <c r="H118" s="299" t="s">
        <v>72</v>
      </c>
      <c r="I118" s="299"/>
      <c r="J118" s="299" t="s">
        <v>237</v>
      </c>
      <c r="K118" s="298"/>
    </row>
    <row r="119" ht="63.75" spans="1:11">
      <c r="A119" s="298">
        <v>2</v>
      </c>
      <c r="B119" s="299" t="s">
        <v>238</v>
      </c>
      <c r="C119" s="300">
        <v>4.62</v>
      </c>
      <c r="D119" s="300"/>
      <c r="E119" s="300">
        <v>4.62</v>
      </c>
      <c r="F119" s="298" t="s">
        <v>30</v>
      </c>
      <c r="G119" s="298" t="s">
        <v>239</v>
      </c>
      <c r="H119" s="299" t="s">
        <v>72</v>
      </c>
      <c r="I119" s="299"/>
      <c r="J119" s="299" t="s">
        <v>240</v>
      </c>
      <c r="K119" s="298"/>
    </row>
    <row r="120" ht="25.5" spans="1:11">
      <c r="A120" s="298">
        <v>3</v>
      </c>
      <c r="B120" s="299" t="s">
        <v>241</v>
      </c>
      <c r="C120" s="300">
        <v>11.61</v>
      </c>
      <c r="D120" s="300"/>
      <c r="E120" s="300">
        <v>11.61</v>
      </c>
      <c r="F120" s="298" t="s">
        <v>30</v>
      </c>
      <c r="G120" s="298" t="s">
        <v>239</v>
      </c>
      <c r="H120" s="299" t="s">
        <v>32</v>
      </c>
      <c r="I120" s="299"/>
      <c r="J120" s="299" t="s">
        <v>242</v>
      </c>
      <c r="K120" s="298"/>
    </row>
    <row r="121" ht="38.25" spans="1:11">
      <c r="A121" s="298">
        <v>4</v>
      </c>
      <c r="B121" s="299" t="s">
        <v>243</v>
      </c>
      <c r="C121" s="300">
        <v>32.2</v>
      </c>
      <c r="D121" s="300">
        <v>3</v>
      </c>
      <c r="E121" s="300">
        <v>29.2</v>
      </c>
      <c r="F121" s="298" t="s">
        <v>30</v>
      </c>
      <c r="G121" s="298" t="s">
        <v>239</v>
      </c>
      <c r="H121" s="299" t="s">
        <v>81</v>
      </c>
      <c r="I121" s="299"/>
      <c r="J121" s="299" t="s">
        <v>244</v>
      </c>
      <c r="K121" s="298"/>
    </row>
    <row r="122" ht="25.5" spans="1:11">
      <c r="A122" s="298">
        <v>5</v>
      </c>
      <c r="B122" s="299" t="s">
        <v>245</v>
      </c>
      <c r="C122" s="300">
        <v>18.5</v>
      </c>
      <c r="D122" s="300">
        <v>1.51012</v>
      </c>
      <c r="E122" s="300">
        <v>16.98988</v>
      </c>
      <c r="F122" s="298" t="s">
        <v>30</v>
      </c>
      <c r="G122" s="298" t="s">
        <v>239</v>
      </c>
      <c r="H122" s="299" t="s">
        <v>81</v>
      </c>
      <c r="I122" s="299"/>
      <c r="J122" s="299" t="s">
        <v>246</v>
      </c>
      <c r="K122" s="298"/>
    </row>
    <row r="123" ht="25.5" spans="1:11">
      <c r="A123" s="298">
        <v>6</v>
      </c>
      <c r="B123" s="299" t="s">
        <v>247</v>
      </c>
      <c r="C123" s="300">
        <v>7.48</v>
      </c>
      <c r="D123" s="300"/>
      <c r="E123" s="300">
        <v>7.48</v>
      </c>
      <c r="F123" s="298" t="s">
        <v>30</v>
      </c>
      <c r="G123" s="298" t="s">
        <v>239</v>
      </c>
      <c r="H123" s="299" t="s">
        <v>81</v>
      </c>
      <c r="I123" s="299"/>
      <c r="J123" s="299" t="s">
        <v>248</v>
      </c>
      <c r="K123" s="298"/>
    </row>
    <row r="124" ht="25.5" spans="1:11">
      <c r="A124" s="298">
        <v>7</v>
      </c>
      <c r="B124" s="299" t="s">
        <v>249</v>
      </c>
      <c r="C124" s="300">
        <v>31.31</v>
      </c>
      <c r="D124" s="300"/>
      <c r="E124" s="300">
        <v>31.31</v>
      </c>
      <c r="F124" s="298" t="s">
        <v>30</v>
      </c>
      <c r="G124" s="298" t="s">
        <v>239</v>
      </c>
      <c r="H124" s="299" t="s">
        <v>32</v>
      </c>
      <c r="I124" s="299"/>
      <c r="J124" s="299" t="s">
        <v>250</v>
      </c>
      <c r="K124" s="298"/>
    </row>
    <row r="125" ht="25.5" spans="1:11">
      <c r="A125" s="298">
        <v>8</v>
      </c>
      <c r="B125" s="299" t="s">
        <v>251</v>
      </c>
      <c r="C125" s="300">
        <v>10.5</v>
      </c>
      <c r="D125" s="300"/>
      <c r="E125" s="300">
        <v>10.5</v>
      </c>
      <c r="F125" s="298" t="s">
        <v>30</v>
      </c>
      <c r="G125" s="298" t="s">
        <v>239</v>
      </c>
      <c r="H125" s="299" t="s">
        <v>32</v>
      </c>
      <c r="I125" s="299"/>
      <c r="J125" s="299" t="s">
        <v>252</v>
      </c>
      <c r="K125" s="298"/>
    </row>
    <row r="126" ht="25.5" spans="1:11">
      <c r="A126" s="298">
        <v>9</v>
      </c>
      <c r="B126" s="299" t="s">
        <v>253</v>
      </c>
      <c r="C126" s="300">
        <v>12.3</v>
      </c>
      <c r="D126" s="300"/>
      <c r="E126" s="300">
        <v>12.3</v>
      </c>
      <c r="F126" s="298" t="s">
        <v>30</v>
      </c>
      <c r="G126" s="298" t="s">
        <v>239</v>
      </c>
      <c r="H126" s="299" t="s">
        <v>81</v>
      </c>
      <c r="I126" s="299"/>
      <c r="J126" s="299" t="s">
        <v>254</v>
      </c>
      <c r="K126" s="298"/>
    </row>
    <row r="127" ht="25.5" spans="1:11">
      <c r="A127" s="298">
        <v>10</v>
      </c>
      <c r="B127" s="299" t="s">
        <v>255</v>
      </c>
      <c r="C127" s="300">
        <v>6</v>
      </c>
      <c r="D127" s="300">
        <v>0.12</v>
      </c>
      <c r="E127" s="300">
        <v>5.88</v>
      </c>
      <c r="F127" s="298" t="s">
        <v>30</v>
      </c>
      <c r="G127" s="298" t="s">
        <v>239</v>
      </c>
      <c r="H127" s="299" t="s">
        <v>35</v>
      </c>
      <c r="I127" s="299"/>
      <c r="J127" s="299" t="s">
        <v>256</v>
      </c>
      <c r="K127" s="298"/>
    </row>
    <row r="128" ht="25.5" spans="1:11">
      <c r="A128" s="298">
        <v>11</v>
      </c>
      <c r="B128" s="299" t="s">
        <v>257</v>
      </c>
      <c r="C128" s="300">
        <v>3.53</v>
      </c>
      <c r="D128" s="300"/>
      <c r="E128" s="300">
        <v>3.53</v>
      </c>
      <c r="F128" s="298" t="s">
        <v>30</v>
      </c>
      <c r="G128" s="298" t="s">
        <v>239</v>
      </c>
      <c r="H128" s="299" t="s">
        <v>193</v>
      </c>
      <c r="I128" s="299"/>
      <c r="J128" s="299" t="s">
        <v>258</v>
      </c>
      <c r="K128" s="298"/>
    </row>
    <row r="129" ht="25.5" spans="1:11">
      <c r="A129" s="298">
        <v>12</v>
      </c>
      <c r="B129" s="299" t="s">
        <v>259</v>
      </c>
      <c r="C129" s="300">
        <v>9.28</v>
      </c>
      <c r="D129" s="300"/>
      <c r="E129" s="300">
        <v>9.28</v>
      </c>
      <c r="F129" s="298" t="s">
        <v>30</v>
      </c>
      <c r="G129" s="298" t="s">
        <v>239</v>
      </c>
      <c r="H129" s="299" t="s">
        <v>193</v>
      </c>
      <c r="I129" s="299"/>
      <c r="J129" s="299" t="s">
        <v>260</v>
      </c>
      <c r="K129" s="298"/>
    </row>
    <row r="130" ht="25.5" spans="1:11">
      <c r="A130" s="298">
        <v>13</v>
      </c>
      <c r="B130" s="299" t="s">
        <v>261</v>
      </c>
      <c r="C130" s="300">
        <v>27</v>
      </c>
      <c r="D130" s="300"/>
      <c r="E130" s="300">
        <v>27</v>
      </c>
      <c r="F130" s="298" t="s">
        <v>30</v>
      </c>
      <c r="G130" s="298" t="s">
        <v>239</v>
      </c>
      <c r="H130" s="299" t="s">
        <v>193</v>
      </c>
      <c r="I130" s="299"/>
      <c r="J130" s="299" t="s">
        <v>262</v>
      </c>
      <c r="K130" s="298"/>
    </row>
    <row r="131" ht="25.5" spans="1:11">
      <c r="A131" s="298">
        <v>14</v>
      </c>
      <c r="B131" s="299" t="s">
        <v>263</v>
      </c>
      <c r="C131" s="300">
        <v>0.54</v>
      </c>
      <c r="D131" s="300"/>
      <c r="E131" s="300">
        <v>0.54</v>
      </c>
      <c r="F131" s="298" t="s">
        <v>264</v>
      </c>
      <c r="G131" s="298" t="s">
        <v>265</v>
      </c>
      <c r="H131" s="299" t="s">
        <v>193</v>
      </c>
      <c r="I131" s="299"/>
      <c r="J131" s="299" t="s">
        <v>266</v>
      </c>
      <c r="K131" s="298"/>
    </row>
    <row r="132" ht="25.5" spans="1:11">
      <c r="A132" s="298">
        <v>15</v>
      </c>
      <c r="B132" s="299" t="s">
        <v>267</v>
      </c>
      <c r="C132" s="300">
        <v>0.08</v>
      </c>
      <c r="D132" s="300"/>
      <c r="E132" s="300">
        <v>0.08</v>
      </c>
      <c r="F132" s="298" t="s">
        <v>30</v>
      </c>
      <c r="G132" s="298" t="s">
        <v>265</v>
      </c>
      <c r="H132" s="299" t="s">
        <v>32</v>
      </c>
      <c r="I132" s="299"/>
      <c r="J132" s="299" t="s">
        <v>268</v>
      </c>
      <c r="K132" s="298"/>
    </row>
    <row r="133" ht="25.5" spans="1:11">
      <c r="A133" s="298">
        <v>16</v>
      </c>
      <c r="B133" s="299" t="s">
        <v>269</v>
      </c>
      <c r="C133" s="300">
        <v>0.08</v>
      </c>
      <c r="D133" s="300"/>
      <c r="E133" s="300">
        <v>0.08</v>
      </c>
      <c r="F133" s="298" t="s">
        <v>30</v>
      </c>
      <c r="G133" s="298" t="s">
        <v>265</v>
      </c>
      <c r="H133" s="299" t="s">
        <v>48</v>
      </c>
      <c r="I133" s="299"/>
      <c r="J133" s="299" t="s">
        <v>270</v>
      </c>
      <c r="K133" s="298"/>
    </row>
    <row r="134" s="284" customFormat="1" ht="25.5" spans="1:11">
      <c r="A134" s="306">
        <v>17</v>
      </c>
      <c r="B134" s="307" t="s">
        <v>271</v>
      </c>
      <c r="C134" s="308">
        <v>0.08</v>
      </c>
      <c r="D134" s="308"/>
      <c r="E134" s="308">
        <v>0.08</v>
      </c>
      <c r="F134" s="306" t="s">
        <v>30</v>
      </c>
      <c r="G134" s="306" t="s">
        <v>265</v>
      </c>
      <c r="H134" s="307" t="s">
        <v>272</v>
      </c>
      <c r="I134" s="307"/>
      <c r="J134" s="307" t="s">
        <v>273</v>
      </c>
      <c r="K134" s="306"/>
    </row>
    <row r="135" ht="25.5" spans="1:11">
      <c r="A135" s="298">
        <v>18</v>
      </c>
      <c r="B135" s="299" t="s">
        <v>274</v>
      </c>
      <c r="C135" s="300">
        <v>0.1</v>
      </c>
      <c r="D135" s="300"/>
      <c r="E135" s="300">
        <v>0.1</v>
      </c>
      <c r="F135" s="298" t="s">
        <v>30</v>
      </c>
      <c r="G135" s="298" t="s">
        <v>265</v>
      </c>
      <c r="H135" s="299" t="s">
        <v>32</v>
      </c>
      <c r="I135" s="299"/>
      <c r="J135" s="299" t="s">
        <v>275</v>
      </c>
      <c r="K135" s="298"/>
    </row>
    <row r="136" ht="25.5" spans="1:11">
      <c r="A136" s="298">
        <v>19</v>
      </c>
      <c r="B136" s="299" t="s">
        <v>276</v>
      </c>
      <c r="C136" s="300">
        <v>2.07</v>
      </c>
      <c r="D136" s="300"/>
      <c r="E136" s="300">
        <v>2.07</v>
      </c>
      <c r="F136" s="298" t="s">
        <v>30</v>
      </c>
      <c r="G136" s="298" t="s">
        <v>265</v>
      </c>
      <c r="H136" s="299" t="s">
        <v>48</v>
      </c>
      <c r="I136" s="299"/>
      <c r="J136" s="299" t="s">
        <v>277</v>
      </c>
      <c r="K136" s="298"/>
    </row>
    <row r="137" ht="25.5" spans="1:11">
      <c r="A137" s="298">
        <v>20</v>
      </c>
      <c r="B137" s="299" t="s">
        <v>278</v>
      </c>
      <c r="C137" s="300">
        <v>0.13</v>
      </c>
      <c r="D137" s="300"/>
      <c r="E137" s="300">
        <v>0.13</v>
      </c>
      <c r="F137" s="298" t="s">
        <v>30</v>
      </c>
      <c r="G137" s="298" t="s">
        <v>265</v>
      </c>
      <c r="H137" s="299" t="s">
        <v>60</v>
      </c>
      <c r="I137" s="299"/>
      <c r="J137" s="299" t="s">
        <v>279</v>
      </c>
      <c r="K137" s="298"/>
    </row>
    <row r="138" ht="25.5" spans="1:11">
      <c r="A138" s="298">
        <v>21</v>
      </c>
      <c r="B138" s="299" t="s">
        <v>280</v>
      </c>
      <c r="C138" s="300">
        <v>2.05</v>
      </c>
      <c r="D138" s="300"/>
      <c r="E138" s="300">
        <v>2.05</v>
      </c>
      <c r="F138" s="298" t="s">
        <v>30</v>
      </c>
      <c r="G138" s="298" t="s">
        <v>204</v>
      </c>
      <c r="H138" s="299" t="s">
        <v>186</v>
      </c>
      <c r="I138" s="299"/>
      <c r="J138" s="299" t="s">
        <v>281</v>
      </c>
      <c r="K138" s="298"/>
    </row>
    <row r="139" ht="25.5" spans="1:11">
      <c r="A139" s="298">
        <v>22</v>
      </c>
      <c r="B139" s="299" t="s">
        <v>282</v>
      </c>
      <c r="C139" s="300">
        <v>5</v>
      </c>
      <c r="D139" s="300"/>
      <c r="E139" s="300">
        <v>5</v>
      </c>
      <c r="F139" s="298" t="s">
        <v>30</v>
      </c>
      <c r="G139" s="298" t="s">
        <v>204</v>
      </c>
      <c r="H139" s="299" t="s">
        <v>186</v>
      </c>
      <c r="I139" s="299"/>
      <c r="J139" s="299" t="s">
        <v>283</v>
      </c>
      <c r="K139" s="298"/>
    </row>
    <row r="140" ht="25.5" spans="1:11">
      <c r="A140" s="298">
        <v>23</v>
      </c>
      <c r="B140" s="299" t="s">
        <v>284</v>
      </c>
      <c r="C140" s="300">
        <v>1.6</v>
      </c>
      <c r="D140" s="300"/>
      <c r="E140" s="300">
        <v>1.6</v>
      </c>
      <c r="F140" s="298" t="s">
        <v>30</v>
      </c>
      <c r="G140" s="298" t="s">
        <v>204</v>
      </c>
      <c r="H140" s="299" t="s">
        <v>81</v>
      </c>
      <c r="I140" s="299"/>
      <c r="J140" s="299" t="s">
        <v>285</v>
      </c>
      <c r="K140" s="298"/>
    </row>
    <row r="141" spans="1:11">
      <c r="A141" s="298">
        <v>24</v>
      </c>
      <c r="B141" s="299" t="s">
        <v>286</v>
      </c>
      <c r="C141" s="300">
        <v>8</v>
      </c>
      <c r="D141" s="300"/>
      <c r="E141" s="300">
        <v>8</v>
      </c>
      <c r="F141" s="298" t="s">
        <v>30</v>
      </c>
      <c r="G141" s="298" t="s">
        <v>239</v>
      </c>
      <c r="H141" s="299" t="s">
        <v>90</v>
      </c>
      <c r="I141" s="299"/>
      <c r="J141" s="299" t="s">
        <v>287</v>
      </c>
      <c r="K141" s="298"/>
    </row>
    <row r="142" ht="25.5" spans="1:11">
      <c r="A142" s="298">
        <v>25</v>
      </c>
      <c r="B142" s="299" t="s">
        <v>288</v>
      </c>
      <c r="C142" s="300">
        <v>8.73</v>
      </c>
      <c r="D142" s="300"/>
      <c r="E142" s="300">
        <v>8.73</v>
      </c>
      <c r="F142" s="298" t="s">
        <v>289</v>
      </c>
      <c r="G142" s="298" t="s">
        <v>290</v>
      </c>
      <c r="H142" s="299" t="s">
        <v>48</v>
      </c>
      <c r="I142" s="299"/>
      <c r="J142" s="299" t="s">
        <v>291</v>
      </c>
      <c r="K142" s="298"/>
    </row>
    <row r="143" ht="25.5" spans="1:11">
      <c r="A143" s="298">
        <v>26</v>
      </c>
      <c r="B143" s="299" t="s">
        <v>292</v>
      </c>
      <c r="C143" s="300">
        <v>61.47</v>
      </c>
      <c r="D143" s="300"/>
      <c r="E143" s="300">
        <v>61.47</v>
      </c>
      <c r="F143" s="298" t="s">
        <v>30</v>
      </c>
      <c r="G143" s="298" t="s">
        <v>192</v>
      </c>
      <c r="H143" s="299" t="s">
        <v>72</v>
      </c>
      <c r="I143" s="299"/>
      <c r="J143" s="299" t="s">
        <v>293</v>
      </c>
      <c r="K143" s="298"/>
    </row>
    <row r="144" ht="25.5" spans="1:11">
      <c r="A144" s="298">
        <v>27</v>
      </c>
      <c r="B144" s="299" t="s">
        <v>294</v>
      </c>
      <c r="C144" s="300">
        <v>25.93</v>
      </c>
      <c r="D144" s="300"/>
      <c r="E144" s="300">
        <v>25.93</v>
      </c>
      <c r="F144" s="298" t="s">
        <v>30</v>
      </c>
      <c r="G144" s="298" t="s">
        <v>192</v>
      </c>
      <c r="H144" s="299" t="s">
        <v>72</v>
      </c>
      <c r="I144" s="299"/>
      <c r="J144" s="299" t="s">
        <v>295</v>
      </c>
      <c r="K144" s="298"/>
    </row>
    <row r="145" ht="25.5" spans="1:11">
      <c r="A145" s="298">
        <v>28</v>
      </c>
      <c r="B145" s="299" t="s">
        <v>296</v>
      </c>
      <c r="C145" s="300">
        <v>18</v>
      </c>
      <c r="D145" s="300"/>
      <c r="E145" s="300">
        <v>18</v>
      </c>
      <c r="F145" s="298" t="s">
        <v>30</v>
      </c>
      <c r="G145" s="298" t="s">
        <v>192</v>
      </c>
      <c r="H145" s="299" t="s">
        <v>32</v>
      </c>
      <c r="I145" s="299"/>
      <c r="J145" s="299" t="s">
        <v>297</v>
      </c>
      <c r="K145" s="298"/>
    </row>
    <row r="146" spans="1:11">
      <c r="A146" s="298">
        <v>29</v>
      </c>
      <c r="B146" s="299" t="s">
        <v>298</v>
      </c>
      <c r="C146" s="300">
        <v>207.54579</v>
      </c>
      <c r="D146" s="300"/>
      <c r="E146" s="300">
        <v>207.54579</v>
      </c>
      <c r="F146" s="298"/>
      <c r="G146" s="298"/>
      <c r="H146" s="299"/>
      <c r="I146" s="299"/>
      <c r="J146" s="299"/>
      <c r="K146" s="298"/>
    </row>
    <row r="147" s="283" customFormat="1" spans="1:12">
      <c r="A147" s="301" t="s">
        <v>299</v>
      </c>
      <c r="B147" s="302" t="s">
        <v>300</v>
      </c>
      <c r="C147" s="303">
        <v>23.8962</v>
      </c>
      <c r="D147" s="303"/>
      <c r="E147" s="303">
        <v>23.8962</v>
      </c>
      <c r="F147" s="301" t="s">
        <v>301</v>
      </c>
      <c r="G147" s="301"/>
      <c r="H147" s="302"/>
      <c r="I147" s="302"/>
      <c r="J147" s="302"/>
      <c r="K147" s="298"/>
      <c r="L147" s="285"/>
    </row>
    <row r="148" s="283" customFormat="1" spans="1:12">
      <c r="A148" s="301" t="s">
        <v>299</v>
      </c>
      <c r="B148" s="302" t="s">
        <v>302</v>
      </c>
      <c r="C148" s="303">
        <v>13.449</v>
      </c>
      <c r="D148" s="303"/>
      <c r="E148" s="303">
        <v>13.449</v>
      </c>
      <c r="F148" s="301" t="s">
        <v>30</v>
      </c>
      <c r="G148" s="301"/>
      <c r="H148" s="302"/>
      <c r="I148" s="302"/>
      <c r="J148" s="302"/>
      <c r="K148" s="298"/>
      <c r="L148" s="285"/>
    </row>
    <row r="149" s="283" customFormat="1" spans="1:12">
      <c r="A149" s="301" t="s">
        <v>299</v>
      </c>
      <c r="B149" s="302" t="s">
        <v>303</v>
      </c>
      <c r="C149" s="303">
        <v>11.021</v>
      </c>
      <c r="D149" s="303"/>
      <c r="E149" s="303">
        <v>11.021</v>
      </c>
      <c r="F149" s="301" t="s">
        <v>30</v>
      </c>
      <c r="G149" s="301"/>
      <c r="H149" s="302"/>
      <c r="I149" s="302"/>
      <c r="J149" s="302"/>
      <c r="K149" s="298"/>
      <c r="L149" s="285"/>
    </row>
    <row r="150" s="283" customFormat="1" spans="1:12">
      <c r="A150" s="301" t="s">
        <v>299</v>
      </c>
      <c r="B150" s="302" t="s">
        <v>304</v>
      </c>
      <c r="C150" s="303">
        <v>6.31999999999999</v>
      </c>
      <c r="D150" s="303"/>
      <c r="E150" s="303">
        <v>6.31999999999999</v>
      </c>
      <c r="F150" s="301" t="s">
        <v>30</v>
      </c>
      <c r="G150" s="301"/>
      <c r="H150" s="302"/>
      <c r="I150" s="302"/>
      <c r="J150" s="302"/>
      <c r="K150" s="298"/>
      <c r="L150" s="285"/>
    </row>
    <row r="151" s="283" customFormat="1" spans="1:12">
      <c r="A151" s="301" t="s">
        <v>299</v>
      </c>
      <c r="B151" s="302" t="s">
        <v>305</v>
      </c>
      <c r="C151" s="303">
        <v>17.705</v>
      </c>
      <c r="D151" s="303"/>
      <c r="E151" s="303">
        <v>17.705</v>
      </c>
      <c r="F151" s="301" t="s">
        <v>301</v>
      </c>
      <c r="G151" s="301"/>
      <c r="H151" s="302"/>
      <c r="I151" s="302"/>
      <c r="J151" s="302"/>
      <c r="K151" s="298"/>
      <c r="L151" s="285"/>
    </row>
    <row r="152" s="283" customFormat="1" spans="1:12">
      <c r="A152" s="301" t="s">
        <v>299</v>
      </c>
      <c r="B152" s="302" t="s">
        <v>306</v>
      </c>
      <c r="C152" s="303">
        <v>12.315</v>
      </c>
      <c r="D152" s="303"/>
      <c r="E152" s="303">
        <v>12.315</v>
      </c>
      <c r="F152" s="301" t="s">
        <v>301</v>
      </c>
      <c r="G152" s="301"/>
      <c r="H152" s="302"/>
      <c r="I152" s="302"/>
      <c r="J152" s="302"/>
      <c r="K152" s="298"/>
      <c r="L152" s="285"/>
    </row>
    <row r="153" s="283" customFormat="1" spans="1:12">
      <c r="A153" s="301" t="s">
        <v>299</v>
      </c>
      <c r="B153" s="302" t="s">
        <v>307</v>
      </c>
      <c r="C153" s="303">
        <v>5.54999999999999</v>
      </c>
      <c r="D153" s="303"/>
      <c r="E153" s="303">
        <v>5.54999999999999</v>
      </c>
      <c r="F153" s="301" t="s">
        <v>30</v>
      </c>
      <c r="G153" s="301"/>
      <c r="H153" s="302"/>
      <c r="I153" s="302"/>
      <c r="J153" s="302"/>
      <c r="K153" s="298"/>
      <c r="L153" s="285"/>
    </row>
    <row r="154" s="283" customFormat="1" spans="1:12">
      <c r="A154" s="301" t="s">
        <v>299</v>
      </c>
      <c r="B154" s="302" t="s">
        <v>308</v>
      </c>
      <c r="C154" s="303">
        <v>12.605</v>
      </c>
      <c r="D154" s="303"/>
      <c r="E154" s="303">
        <v>12.605</v>
      </c>
      <c r="F154" s="301" t="s">
        <v>30</v>
      </c>
      <c r="G154" s="301"/>
      <c r="H154" s="302"/>
      <c r="I154" s="302"/>
      <c r="J154" s="302"/>
      <c r="K154" s="298"/>
      <c r="L154" s="285"/>
    </row>
    <row r="155" s="283" customFormat="1" spans="1:12">
      <c r="A155" s="301" t="s">
        <v>299</v>
      </c>
      <c r="B155" s="302" t="s">
        <v>309</v>
      </c>
      <c r="C155" s="303">
        <v>33.548</v>
      </c>
      <c r="D155" s="303"/>
      <c r="E155" s="303">
        <v>33.548</v>
      </c>
      <c r="F155" s="301" t="s">
        <v>301</v>
      </c>
      <c r="G155" s="301"/>
      <c r="H155" s="302"/>
      <c r="I155" s="302"/>
      <c r="J155" s="302"/>
      <c r="K155" s="298"/>
      <c r="L155" s="285"/>
    </row>
    <row r="156" s="283" customFormat="1" spans="1:12">
      <c r="A156" s="301" t="s">
        <v>299</v>
      </c>
      <c r="B156" s="302" t="s">
        <v>310</v>
      </c>
      <c r="C156" s="303">
        <v>13.7949999999999</v>
      </c>
      <c r="D156" s="303"/>
      <c r="E156" s="303">
        <v>13.7949999999999</v>
      </c>
      <c r="F156" s="301" t="s">
        <v>30</v>
      </c>
      <c r="G156" s="301"/>
      <c r="H156" s="302"/>
      <c r="I156" s="302"/>
      <c r="J156" s="302"/>
      <c r="K156" s="298"/>
      <c r="L156" s="285"/>
    </row>
    <row r="157" s="283" customFormat="1" spans="1:12">
      <c r="A157" s="301" t="s">
        <v>299</v>
      </c>
      <c r="B157" s="302" t="s">
        <v>311</v>
      </c>
      <c r="C157" s="303">
        <v>22.0925</v>
      </c>
      <c r="D157" s="303"/>
      <c r="E157" s="303">
        <v>22.0925</v>
      </c>
      <c r="F157" s="301" t="s">
        <v>30</v>
      </c>
      <c r="G157" s="301"/>
      <c r="H157" s="302"/>
      <c r="I157" s="302"/>
      <c r="J157" s="302"/>
      <c r="K157" s="298"/>
      <c r="L157" s="285"/>
    </row>
    <row r="158" s="283" customFormat="1" spans="1:12">
      <c r="A158" s="301" t="s">
        <v>299</v>
      </c>
      <c r="B158" s="302" t="s">
        <v>312</v>
      </c>
      <c r="C158" s="303">
        <v>28.61</v>
      </c>
      <c r="D158" s="303"/>
      <c r="E158" s="303">
        <v>28.61</v>
      </c>
      <c r="F158" s="301" t="s">
        <v>301</v>
      </c>
      <c r="G158" s="301"/>
      <c r="H158" s="302"/>
      <c r="I158" s="302"/>
      <c r="J158" s="302"/>
      <c r="K158" s="298"/>
      <c r="L158" s="285"/>
    </row>
    <row r="159" s="283" customFormat="1" spans="1:12">
      <c r="A159" s="301" t="s">
        <v>299</v>
      </c>
      <c r="B159" s="302" t="s">
        <v>313</v>
      </c>
      <c r="C159" s="303">
        <v>6.63908999999999</v>
      </c>
      <c r="D159" s="303"/>
      <c r="E159" s="303">
        <v>6.63908999999999</v>
      </c>
      <c r="F159" s="301" t="s">
        <v>30</v>
      </c>
      <c r="G159" s="301"/>
      <c r="H159" s="302"/>
      <c r="I159" s="302"/>
      <c r="J159" s="302"/>
      <c r="K159" s="298"/>
      <c r="L159" s="285"/>
    </row>
    <row r="160" spans="1:11">
      <c r="A160" s="298">
        <v>30</v>
      </c>
      <c r="B160" s="299" t="s">
        <v>314</v>
      </c>
      <c r="C160" s="300">
        <v>11.823</v>
      </c>
      <c r="D160" s="300"/>
      <c r="E160" s="300">
        <v>11.823</v>
      </c>
      <c r="F160" s="298"/>
      <c r="G160" s="298"/>
      <c r="H160" s="299"/>
      <c r="I160" s="299"/>
      <c r="J160" s="299"/>
      <c r="K160" s="298"/>
    </row>
    <row r="161" s="283" customFormat="1" spans="1:12">
      <c r="A161" s="301" t="s">
        <v>299</v>
      </c>
      <c r="B161" s="302" t="s">
        <v>302</v>
      </c>
      <c r="C161" s="303">
        <v>0.1</v>
      </c>
      <c r="D161" s="303"/>
      <c r="E161" s="303">
        <v>0.1</v>
      </c>
      <c r="F161" s="301" t="s">
        <v>30</v>
      </c>
      <c r="G161" s="301"/>
      <c r="H161" s="302"/>
      <c r="I161" s="302"/>
      <c r="J161" s="302"/>
      <c r="K161" s="298"/>
      <c r="L161" s="285"/>
    </row>
    <row r="162" s="283" customFormat="1" spans="1:12">
      <c r="A162" s="301" t="s">
        <v>299</v>
      </c>
      <c r="B162" s="302" t="s">
        <v>307</v>
      </c>
      <c r="C162" s="303">
        <v>1.8</v>
      </c>
      <c r="D162" s="303"/>
      <c r="E162" s="303">
        <v>1.8</v>
      </c>
      <c r="F162" s="301" t="s">
        <v>30</v>
      </c>
      <c r="G162" s="301"/>
      <c r="H162" s="302"/>
      <c r="I162" s="302"/>
      <c r="J162" s="302"/>
      <c r="K162" s="298"/>
      <c r="L162" s="285"/>
    </row>
    <row r="163" s="283" customFormat="1" spans="1:12">
      <c r="A163" s="301" t="s">
        <v>299</v>
      </c>
      <c r="B163" s="302" t="s">
        <v>308</v>
      </c>
      <c r="C163" s="303">
        <v>0.22</v>
      </c>
      <c r="D163" s="303"/>
      <c r="E163" s="303">
        <v>0.22</v>
      </c>
      <c r="F163" s="301" t="s">
        <v>30</v>
      </c>
      <c r="G163" s="301"/>
      <c r="H163" s="302"/>
      <c r="I163" s="302"/>
      <c r="J163" s="302"/>
      <c r="K163" s="298"/>
      <c r="L163" s="285"/>
    </row>
    <row r="164" s="283" customFormat="1" spans="1:12">
      <c r="A164" s="301" t="s">
        <v>299</v>
      </c>
      <c r="B164" s="302" t="s">
        <v>309</v>
      </c>
      <c r="C164" s="303">
        <v>4.993</v>
      </c>
      <c r="D164" s="303"/>
      <c r="E164" s="303">
        <v>4.993</v>
      </c>
      <c r="F164" s="301" t="s">
        <v>30</v>
      </c>
      <c r="G164" s="301"/>
      <c r="H164" s="302"/>
      <c r="I164" s="302"/>
      <c r="J164" s="302"/>
      <c r="K164" s="298"/>
      <c r="L164" s="285"/>
    </row>
    <row r="165" s="283" customFormat="1" spans="1:12">
      <c r="A165" s="301" t="s">
        <v>299</v>
      </c>
      <c r="B165" s="302" t="s">
        <v>311</v>
      </c>
      <c r="C165" s="303">
        <v>3</v>
      </c>
      <c r="D165" s="303"/>
      <c r="E165" s="303">
        <v>3</v>
      </c>
      <c r="F165" s="301" t="s">
        <v>30</v>
      </c>
      <c r="G165" s="301"/>
      <c r="H165" s="302"/>
      <c r="I165" s="302"/>
      <c r="J165" s="302"/>
      <c r="K165" s="298"/>
      <c r="L165" s="285"/>
    </row>
    <row r="166" s="283" customFormat="1" spans="1:12">
      <c r="A166" s="301" t="s">
        <v>299</v>
      </c>
      <c r="B166" s="302" t="s">
        <v>312</v>
      </c>
      <c r="C166" s="303">
        <v>1.71</v>
      </c>
      <c r="D166" s="303"/>
      <c r="E166" s="303">
        <v>1.71</v>
      </c>
      <c r="F166" s="301" t="s">
        <v>30</v>
      </c>
      <c r="G166" s="301"/>
      <c r="H166" s="302"/>
      <c r="I166" s="302"/>
      <c r="J166" s="302"/>
      <c r="K166" s="298"/>
      <c r="L166" s="285"/>
    </row>
    <row r="167" spans="1:11">
      <c r="A167" s="298">
        <v>31</v>
      </c>
      <c r="B167" s="299" t="s">
        <v>315</v>
      </c>
      <c r="C167" s="300">
        <v>0.64472</v>
      </c>
      <c r="D167" s="300"/>
      <c r="E167" s="300">
        <v>0.64472</v>
      </c>
      <c r="F167" s="298"/>
      <c r="G167" s="298"/>
      <c r="H167" s="299"/>
      <c r="I167" s="299"/>
      <c r="J167" s="299"/>
      <c r="K167" s="298"/>
    </row>
    <row r="168" s="283" customFormat="1" spans="1:11">
      <c r="A168" s="301" t="s">
        <v>299</v>
      </c>
      <c r="B168" s="302" t="s">
        <v>308</v>
      </c>
      <c r="C168" s="303">
        <v>0.11</v>
      </c>
      <c r="D168" s="303"/>
      <c r="E168" s="303">
        <v>0.11</v>
      </c>
      <c r="F168" s="301" t="s">
        <v>30</v>
      </c>
      <c r="G168" s="301"/>
      <c r="H168" s="302"/>
      <c r="I168" s="302"/>
      <c r="J168" s="302"/>
      <c r="K168" s="301"/>
    </row>
    <row r="169" s="283" customFormat="1" spans="1:12">
      <c r="A169" s="301" t="s">
        <v>299</v>
      </c>
      <c r="B169" s="302" t="s">
        <v>309</v>
      </c>
      <c r="C169" s="303">
        <v>0.53472</v>
      </c>
      <c r="D169" s="303"/>
      <c r="E169" s="303">
        <v>0.53472</v>
      </c>
      <c r="F169" s="301" t="s">
        <v>30</v>
      </c>
      <c r="G169" s="301"/>
      <c r="H169" s="302"/>
      <c r="I169" s="302"/>
      <c r="J169" s="302"/>
      <c r="K169" s="298"/>
      <c r="L169" s="285"/>
    </row>
    <row r="170" spans="1:11">
      <c r="A170" s="298">
        <v>32</v>
      </c>
      <c r="B170" s="299" t="s">
        <v>316</v>
      </c>
      <c r="C170" s="300">
        <v>5.27709</v>
      </c>
      <c r="D170" s="300"/>
      <c r="E170" s="300">
        <v>5.27709</v>
      </c>
      <c r="F170" s="298"/>
      <c r="G170" s="298"/>
      <c r="H170" s="299"/>
      <c r="I170" s="299"/>
      <c r="J170" s="299"/>
      <c r="K170" s="298"/>
    </row>
    <row r="171" s="283" customFormat="1" spans="1:12">
      <c r="A171" s="301" t="s">
        <v>299</v>
      </c>
      <c r="B171" s="302" t="s">
        <v>312</v>
      </c>
      <c r="C171" s="303">
        <v>2.28189</v>
      </c>
      <c r="D171" s="303"/>
      <c r="E171" s="303">
        <v>2.28189</v>
      </c>
      <c r="F171" s="301" t="s">
        <v>317</v>
      </c>
      <c r="G171" s="301"/>
      <c r="H171" s="302"/>
      <c r="I171" s="302"/>
      <c r="J171" s="302"/>
      <c r="K171" s="298"/>
      <c r="L171" s="285"/>
    </row>
    <row r="172" s="283" customFormat="1" spans="1:12">
      <c r="A172" s="301" t="s">
        <v>299</v>
      </c>
      <c r="B172" s="302" t="s">
        <v>302</v>
      </c>
      <c r="C172" s="303">
        <v>0.05</v>
      </c>
      <c r="D172" s="303"/>
      <c r="E172" s="303">
        <v>0.05</v>
      </c>
      <c r="F172" s="301" t="s">
        <v>318</v>
      </c>
      <c r="G172" s="301"/>
      <c r="H172" s="302"/>
      <c r="I172" s="302"/>
      <c r="J172" s="302"/>
      <c r="K172" s="298"/>
      <c r="L172" s="285"/>
    </row>
    <row r="173" s="283" customFormat="1" spans="1:12">
      <c r="A173" s="301" t="s">
        <v>299</v>
      </c>
      <c r="B173" s="302" t="s">
        <v>309</v>
      </c>
      <c r="C173" s="303">
        <v>2.9452</v>
      </c>
      <c r="D173" s="303"/>
      <c r="E173" s="303">
        <v>2.9452</v>
      </c>
      <c r="F173" s="301" t="s">
        <v>319</v>
      </c>
      <c r="G173" s="301"/>
      <c r="H173" s="302"/>
      <c r="I173" s="302"/>
      <c r="J173" s="302"/>
      <c r="K173" s="298"/>
      <c r="L173" s="285"/>
    </row>
    <row r="174" spans="1:11">
      <c r="A174" s="298">
        <v>33</v>
      </c>
      <c r="B174" s="299" t="s">
        <v>320</v>
      </c>
      <c r="C174" s="300">
        <v>1.74</v>
      </c>
      <c r="D174" s="300"/>
      <c r="E174" s="300">
        <v>1.74</v>
      </c>
      <c r="F174" s="298"/>
      <c r="G174" s="298"/>
      <c r="H174" s="299"/>
      <c r="I174" s="299"/>
      <c r="J174" s="299"/>
      <c r="K174" s="298"/>
    </row>
    <row r="175" s="283" customFormat="1" spans="1:12">
      <c r="A175" s="301" t="s">
        <v>299</v>
      </c>
      <c r="B175" s="302" t="s">
        <v>309</v>
      </c>
      <c r="C175" s="303">
        <v>0.37</v>
      </c>
      <c r="D175" s="303"/>
      <c r="E175" s="303">
        <v>0.37</v>
      </c>
      <c r="F175" s="301" t="s">
        <v>30</v>
      </c>
      <c r="G175" s="301"/>
      <c r="H175" s="302"/>
      <c r="I175" s="302"/>
      <c r="J175" s="302"/>
      <c r="K175" s="298"/>
      <c r="L175" s="285"/>
    </row>
    <row r="176" s="283" customFormat="1" spans="1:12">
      <c r="A176" s="301" t="s">
        <v>299</v>
      </c>
      <c r="B176" s="302" t="s">
        <v>300</v>
      </c>
      <c r="C176" s="303">
        <v>0.1</v>
      </c>
      <c r="D176" s="303"/>
      <c r="E176" s="303">
        <v>0.1</v>
      </c>
      <c r="F176" s="301" t="s">
        <v>30</v>
      </c>
      <c r="G176" s="301"/>
      <c r="H176" s="302"/>
      <c r="I176" s="302"/>
      <c r="J176" s="302"/>
      <c r="K176" s="298"/>
      <c r="L176" s="285"/>
    </row>
    <row r="177" s="283" customFormat="1" spans="1:12">
      <c r="A177" s="301" t="s">
        <v>299</v>
      </c>
      <c r="B177" s="302" t="s">
        <v>302</v>
      </c>
      <c r="C177" s="303">
        <v>1</v>
      </c>
      <c r="D177" s="303"/>
      <c r="E177" s="303">
        <v>1</v>
      </c>
      <c r="F177" s="301" t="s">
        <v>30</v>
      </c>
      <c r="G177" s="301"/>
      <c r="H177" s="302"/>
      <c r="I177" s="302"/>
      <c r="J177" s="302"/>
      <c r="K177" s="298"/>
      <c r="L177" s="285"/>
    </row>
    <row r="178" s="283" customFormat="1" spans="1:12">
      <c r="A178" s="301" t="s">
        <v>299</v>
      </c>
      <c r="B178" s="302" t="s">
        <v>308</v>
      </c>
      <c r="C178" s="303">
        <v>0.22</v>
      </c>
      <c r="D178" s="303"/>
      <c r="E178" s="303">
        <v>0.22</v>
      </c>
      <c r="F178" s="301" t="s">
        <v>30</v>
      </c>
      <c r="G178" s="301"/>
      <c r="H178" s="302"/>
      <c r="I178" s="302"/>
      <c r="J178" s="302"/>
      <c r="K178" s="298"/>
      <c r="L178" s="285"/>
    </row>
    <row r="179" s="283" customFormat="1" spans="1:12">
      <c r="A179" s="301" t="s">
        <v>299</v>
      </c>
      <c r="B179" s="302" t="s">
        <v>311</v>
      </c>
      <c r="C179" s="303">
        <v>0.05</v>
      </c>
      <c r="D179" s="303"/>
      <c r="E179" s="303">
        <v>0.05</v>
      </c>
      <c r="F179" s="301" t="s">
        <v>30</v>
      </c>
      <c r="G179" s="301"/>
      <c r="H179" s="302"/>
      <c r="I179" s="302"/>
      <c r="J179" s="302"/>
      <c r="K179" s="298"/>
      <c r="L179" s="285"/>
    </row>
    <row r="180" s="283" customFormat="1" spans="1:12">
      <c r="A180" s="301">
        <v>34</v>
      </c>
      <c r="B180" s="302" t="s">
        <v>321</v>
      </c>
      <c r="C180" s="303">
        <v>0.7</v>
      </c>
      <c r="D180" s="303"/>
      <c r="E180" s="303">
        <v>0.7</v>
      </c>
      <c r="F180" s="301"/>
      <c r="G180" s="301"/>
      <c r="H180" s="302"/>
      <c r="I180" s="302"/>
      <c r="J180" s="302"/>
      <c r="K180" s="298"/>
      <c r="L180" s="285"/>
    </row>
    <row r="181" s="283" customFormat="1" spans="1:12">
      <c r="A181" s="301" t="s">
        <v>299</v>
      </c>
      <c r="B181" s="302" t="s">
        <v>300</v>
      </c>
      <c r="C181" s="303">
        <v>0.1</v>
      </c>
      <c r="D181" s="303"/>
      <c r="E181" s="303">
        <v>0.1</v>
      </c>
      <c r="F181" s="301" t="s">
        <v>30</v>
      </c>
      <c r="G181" s="301"/>
      <c r="H181" s="302"/>
      <c r="I181" s="302"/>
      <c r="J181" s="302"/>
      <c r="K181" s="298"/>
      <c r="L181" s="285"/>
    </row>
    <row r="182" s="283" customFormat="1" spans="1:12">
      <c r="A182" s="301" t="s">
        <v>299</v>
      </c>
      <c r="B182" s="302" t="s">
        <v>309</v>
      </c>
      <c r="C182" s="303">
        <v>0.3</v>
      </c>
      <c r="D182" s="303"/>
      <c r="E182" s="303">
        <v>0.3</v>
      </c>
      <c r="F182" s="301" t="s">
        <v>30</v>
      </c>
      <c r="G182" s="301"/>
      <c r="H182" s="302"/>
      <c r="I182" s="302"/>
      <c r="J182" s="302"/>
      <c r="K182" s="298"/>
      <c r="L182" s="285"/>
    </row>
    <row r="183" s="283" customFormat="1" spans="1:12">
      <c r="A183" s="301" t="s">
        <v>299</v>
      </c>
      <c r="B183" s="302" t="s">
        <v>311</v>
      </c>
      <c r="C183" s="303">
        <v>0.3</v>
      </c>
      <c r="D183" s="303"/>
      <c r="E183" s="303">
        <v>0.3</v>
      </c>
      <c r="F183" s="301" t="s">
        <v>30</v>
      </c>
      <c r="G183" s="301"/>
      <c r="H183" s="302"/>
      <c r="I183" s="302"/>
      <c r="J183" s="302"/>
      <c r="K183" s="298"/>
      <c r="L183" s="285"/>
    </row>
    <row r="184" spans="1:11">
      <c r="A184" s="298"/>
      <c r="B184" s="299" t="s">
        <v>322</v>
      </c>
      <c r="C184" s="300">
        <v>0.777</v>
      </c>
      <c r="D184" s="300">
        <v>0.777</v>
      </c>
      <c r="E184" s="300">
        <v>0</v>
      </c>
      <c r="F184" s="298"/>
      <c r="G184" s="298"/>
      <c r="H184" s="299"/>
      <c r="I184" s="299"/>
      <c r="J184" s="299"/>
      <c r="K184" s="298"/>
    </row>
    <row r="185" ht="25.5" spans="1:11">
      <c r="A185" s="298">
        <v>1</v>
      </c>
      <c r="B185" s="299" t="s">
        <v>323</v>
      </c>
      <c r="C185" s="300">
        <v>0.3</v>
      </c>
      <c r="D185" s="300">
        <v>0.3</v>
      </c>
      <c r="E185" s="300"/>
      <c r="F185" s="298"/>
      <c r="G185" s="298" t="s">
        <v>324</v>
      </c>
      <c r="H185" s="299" t="s">
        <v>72</v>
      </c>
      <c r="I185" s="299"/>
      <c r="J185" s="299" t="s">
        <v>325</v>
      </c>
      <c r="K185" s="298"/>
    </row>
    <row r="186" ht="25.5" spans="1:11">
      <c r="A186" s="298">
        <v>2</v>
      </c>
      <c r="B186" s="299" t="s">
        <v>326</v>
      </c>
      <c r="C186" s="300">
        <v>0.477</v>
      </c>
      <c r="D186" s="300">
        <v>0.477</v>
      </c>
      <c r="E186" s="300"/>
      <c r="F186" s="298"/>
      <c r="G186" s="298" t="s">
        <v>324</v>
      </c>
      <c r="H186" s="299" t="s">
        <v>35</v>
      </c>
      <c r="I186" s="299"/>
      <c r="J186" s="299" t="s">
        <v>327</v>
      </c>
      <c r="K186" s="298"/>
    </row>
    <row r="187" spans="1:11">
      <c r="A187" s="298"/>
      <c r="B187" s="299" t="s">
        <v>328</v>
      </c>
      <c r="C187" s="300">
        <v>8.69</v>
      </c>
      <c r="D187" s="300">
        <v>0</v>
      </c>
      <c r="E187" s="300">
        <v>8.69</v>
      </c>
      <c r="F187" s="298"/>
      <c r="G187" s="298"/>
      <c r="H187" s="299"/>
      <c r="I187" s="299"/>
      <c r="J187" s="299"/>
      <c r="K187" s="298"/>
    </row>
    <row r="188" ht="25.5" spans="1:11">
      <c r="A188" s="298">
        <v>1</v>
      </c>
      <c r="B188" s="299" t="s">
        <v>329</v>
      </c>
      <c r="C188" s="300">
        <v>1.36</v>
      </c>
      <c r="D188" s="300"/>
      <c r="E188" s="300">
        <v>1.36</v>
      </c>
      <c r="F188" s="298" t="s">
        <v>201</v>
      </c>
      <c r="G188" s="298" t="s">
        <v>201</v>
      </c>
      <c r="H188" s="299" t="s">
        <v>48</v>
      </c>
      <c r="I188" s="299"/>
      <c r="J188" s="299" t="s">
        <v>330</v>
      </c>
      <c r="K188" s="298"/>
    </row>
    <row r="189" ht="51" spans="1:11">
      <c r="A189" s="298">
        <v>2</v>
      </c>
      <c r="B189" s="299" t="s">
        <v>331</v>
      </c>
      <c r="C189" s="300">
        <v>0.09</v>
      </c>
      <c r="D189" s="300"/>
      <c r="E189" s="300">
        <v>0.09</v>
      </c>
      <c r="F189" s="298" t="s">
        <v>188</v>
      </c>
      <c r="G189" s="298" t="s">
        <v>188</v>
      </c>
      <c r="H189" s="299" t="s">
        <v>81</v>
      </c>
      <c r="I189" s="299"/>
      <c r="J189" s="299" t="s">
        <v>332</v>
      </c>
      <c r="K189" s="298"/>
    </row>
    <row r="190" ht="63.75" spans="1:11">
      <c r="A190" s="298">
        <v>3</v>
      </c>
      <c r="B190" s="299" t="s">
        <v>333</v>
      </c>
      <c r="C190" s="300">
        <v>7</v>
      </c>
      <c r="D190" s="300"/>
      <c r="E190" s="300">
        <v>7</v>
      </c>
      <c r="F190" s="298" t="s">
        <v>30</v>
      </c>
      <c r="G190" s="298" t="s">
        <v>201</v>
      </c>
      <c r="H190" s="299" t="s">
        <v>48</v>
      </c>
      <c r="I190" s="299"/>
      <c r="J190" s="299" t="s">
        <v>334</v>
      </c>
      <c r="K190" s="298"/>
    </row>
    <row r="191" ht="25.5" spans="1:11">
      <c r="A191" s="298">
        <v>4</v>
      </c>
      <c r="B191" s="299" t="s">
        <v>335</v>
      </c>
      <c r="C191" s="300">
        <v>0.24</v>
      </c>
      <c r="D191" s="300"/>
      <c r="E191" s="300">
        <v>0.24</v>
      </c>
      <c r="F191" s="298" t="s">
        <v>336</v>
      </c>
      <c r="G191" s="298" t="s">
        <v>265</v>
      </c>
      <c r="H191" s="299" t="s">
        <v>48</v>
      </c>
      <c r="I191" s="299"/>
      <c r="J191" s="299" t="s">
        <v>337</v>
      </c>
      <c r="K191" s="298"/>
    </row>
  </sheetData>
  <mergeCells count="13">
    <mergeCell ref="A1:I1"/>
    <mergeCell ref="A2:I2"/>
    <mergeCell ref="A3:I3"/>
    <mergeCell ref="E4:F4"/>
    <mergeCell ref="A4:A5"/>
    <mergeCell ref="B4:B5"/>
    <mergeCell ref="C4:C5"/>
    <mergeCell ref="D4:D5"/>
    <mergeCell ref="G4:G5"/>
    <mergeCell ref="H4:H5"/>
    <mergeCell ref="I4:I5"/>
    <mergeCell ref="J4:J5"/>
    <mergeCell ref="K4:K5"/>
  </mergeCells>
  <printOptions horizontalCentered="1"/>
  <pageMargins left="0.393700787401575" right="0.393700787401575" top="0.511811023622047" bottom="0.393700787401575" header="0.511811023622047" footer="0.393700787401575"/>
  <pageSetup paperSize="9" orientation="landscape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3">
    <tabColor rgb="FFFF0000"/>
  </sheetPr>
  <dimension ref="A3:BD59"/>
  <sheetViews>
    <sheetView workbookViewId="0">
      <selection activeCell="A1" sqref="A1"/>
    </sheetView>
  </sheetViews>
  <sheetFormatPr defaultColWidth="9" defaultRowHeight="14.25"/>
  <cols>
    <col min="1" max="1" width="11.625" customWidth="1"/>
    <col min="2" max="55" width="9.125" customWidth="1"/>
    <col min="56" max="56" width="10.375" customWidth="1"/>
  </cols>
  <sheetData>
    <row r="3" spans="1:56">
      <c r="A3" s="125" t="s">
        <v>8320</v>
      </c>
      <c r="B3" s="125" t="s">
        <v>8281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36"/>
    </row>
    <row r="4" spans="1:56">
      <c r="A4" s="125" t="s">
        <v>8282</v>
      </c>
      <c r="B4" s="125" t="s">
        <v>8283</v>
      </c>
      <c r="C4" s="127" t="s">
        <v>30</v>
      </c>
      <c r="D4" s="127" t="s">
        <v>31</v>
      </c>
      <c r="E4" s="127" t="s">
        <v>8284</v>
      </c>
      <c r="F4" s="127" t="s">
        <v>8285</v>
      </c>
      <c r="G4" s="127" t="s">
        <v>178</v>
      </c>
      <c r="H4" s="127" t="s">
        <v>8286</v>
      </c>
      <c r="I4" s="127" t="s">
        <v>8287</v>
      </c>
      <c r="J4" s="127" t="s">
        <v>165</v>
      </c>
      <c r="K4" s="127" t="s">
        <v>94</v>
      </c>
      <c r="L4" s="127" t="s">
        <v>8288</v>
      </c>
      <c r="M4" s="127" t="s">
        <v>8289</v>
      </c>
      <c r="N4" s="127" t="s">
        <v>8290</v>
      </c>
      <c r="O4" s="127" t="s">
        <v>71</v>
      </c>
      <c r="P4" s="127" t="s">
        <v>8291</v>
      </c>
      <c r="Q4" s="127" t="s">
        <v>8292</v>
      </c>
      <c r="R4" s="127" t="s">
        <v>216</v>
      </c>
      <c r="S4" s="127" t="s">
        <v>8293</v>
      </c>
      <c r="T4" s="127" t="s">
        <v>8294</v>
      </c>
      <c r="U4" s="127" t="s">
        <v>212</v>
      </c>
      <c r="V4" s="127" t="s">
        <v>8295</v>
      </c>
      <c r="W4" s="127" t="s">
        <v>8296</v>
      </c>
      <c r="X4" s="127" t="s">
        <v>2492</v>
      </c>
      <c r="Y4" s="127" t="s">
        <v>8297</v>
      </c>
      <c r="Z4" s="127" t="s">
        <v>8298</v>
      </c>
      <c r="AA4" s="127" t="s">
        <v>8299</v>
      </c>
      <c r="AB4" s="127" t="s">
        <v>221</v>
      </c>
      <c r="AC4" s="127" t="s">
        <v>8300</v>
      </c>
      <c r="AD4" s="127" t="s">
        <v>8301</v>
      </c>
      <c r="AE4" s="127" t="s">
        <v>8302</v>
      </c>
      <c r="AF4" s="127" t="s">
        <v>553</v>
      </c>
      <c r="AG4" s="127" t="s">
        <v>8303</v>
      </c>
      <c r="AH4" s="127" t="s">
        <v>182</v>
      </c>
      <c r="AI4" s="127" t="s">
        <v>318</v>
      </c>
      <c r="AJ4" s="127" t="s">
        <v>201</v>
      </c>
      <c r="AK4" s="127" t="s">
        <v>188</v>
      </c>
      <c r="AL4" s="127" t="s">
        <v>59</v>
      </c>
      <c r="AM4" s="127" t="s">
        <v>8304</v>
      </c>
      <c r="AN4" s="127" t="s">
        <v>8305</v>
      </c>
      <c r="AO4" s="127" t="s">
        <v>8306</v>
      </c>
      <c r="AP4" s="127" t="s">
        <v>8307</v>
      </c>
      <c r="AQ4" s="127" t="s">
        <v>204</v>
      </c>
      <c r="AR4" s="127" t="s">
        <v>47</v>
      </c>
      <c r="AS4" s="127" t="s">
        <v>56</v>
      </c>
      <c r="AT4" s="127" t="s">
        <v>174</v>
      </c>
      <c r="AU4" s="127" t="s">
        <v>8308</v>
      </c>
      <c r="AV4" s="127" t="s">
        <v>236</v>
      </c>
      <c r="AW4" s="127" t="s">
        <v>8309</v>
      </c>
      <c r="AX4" s="127" t="s">
        <v>8310</v>
      </c>
      <c r="AY4" s="127" t="s">
        <v>265</v>
      </c>
      <c r="AZ4" s="127" t="s">
        <v>324</v>
      </c>
      <c r="BA4" s="127" t="s">
        <v>336</v>
      </c>
      <c r="BB4" s="127" t="s">
        <v>8311</v>
      </c>
      <c r="BC4" s="127" t="s">
        <v>8312</v>
      </c>
      <c r="BD4" s="137" t="s">
        <v>8313</v>
      </c>
    </row>
    <row r="5" spans="1:56">
      <c r="A5" s="125" t="s">
        <v>8283</v>
      </c>
      <c r="B5" s="128">
        <v>0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38">
        <v>0</v>
      </c>
    </row>
    <row r="6" spans="1:56">
      <c r="A6" s="130" t="s">
        <v>30</v>
      </c>
      <c r="B6" s="131"/>
      <c r="C6" s="132">
        <v>0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9">
        <v>0</v>
      </c>
    </row>
    <row r="7" spans="1:56">
      <c r="A7" s="130" t="s">
        <v>31</v>
      </c>
      <c r="B7" s="131"/>
      <c r="C7" s="132"/>
      <c r="D7" s="132">
        <v>0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9">
        <v>0</v>
      </c>
    </row>
    <row r="8" spans="1:56">
      <c r="A8" s="130" t="s">
        <v>8284</v>
      </c>
      <c r="B8" s="131"/>
      <c r="C8" s="132"/>
      <c r="D8" s="132"/>
      <c r="E8" s="132">
        <v>0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9">
        <v>0</v>
      </c>
    </row>
    <row r="9" spans="1:56">
      <c r="A9" s="130" t="s">
        <v>8285</v>
      </c>
      <c r="B9" s="131"/>
      <c r="C9" s="132"/>
      <c r="D9" s="132"/>
      <c r="E9" s="132"/>
      <c r="F9" s="132">
        <v>0</v>
      </c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9">
        <v>0</v>
      </c>
    </row>
    <row r="10" spans="1:56">
      <c r="A10" s="130" t="s">
        <v>178</v>
      </c>
      <c r="B10" s="131"/>
      <c r="C10" s="132"/>
      <c r="D10" s="132"/>
      <c r="E10" s="132"/>
      <c r="F10" s="132"/>
      <c r="G10" s="132">
        <v>0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9">
        <v>0</v>
      </c>
    </row>
    <row r="11" spans="1:56">
      <c r="A11" s="130" t="s">
        <v>8286</v>
      </c>
      <c r="B11" s="131"/>
      <c r="C11" s="132"/>
      <c r="D11" s="132"/>
      <c r="E11" s="132"/>
      <c r="F11" s="132"/>
      <c r="G11" s="132"/>
      <c r="H11" s="132">
        <v>0</v>
      </c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9">
        <v>0</v>
      </c>
    </row>
    <row r="12" spans="1:56">
      <c r="A12" s="130" t="s">
        <v>8287</v>
      </c>
      <c r="B12" s="131"/>
      <c r="C12" s="132"/>
      <c r="D12" s="132"/>
      <c r="E12" s="132"/>
      <c r="F12" s="132"/>
      <c r="G12" s="132"/>
      <c r="H12" s="132"/>
      <c r="I12" s="132"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9">
        <v>0</v>
      </c>
    </row>
    <row r="13" spans="1:56">
      <c r="A13" s="130" t="s">
        <v>165</v>
      </c>
      <c r="B13" s="131"/>
      <c r="C13" s="132"/>
      <c r="D13" s="132"/>
      <c r="E13" s="132"/>
      <c r="F13" s="132"/>
      <c r="G13" s="132"/>
      <c r="H13" s="132"/>
      <c r="I13" s="132"/>
      <c r="J13" s="132"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9">
        <v>0</v>
      </c>
    </row>
    <row r="14" spans="1:56">
      <c r="A14" s="130" t="s">
        <v>94</v>
      </c>
      <c r="B14" s="131"/>
      <c r="C14" s="132"/>
      <c r="D14" s="132"/>
      <c r="E14" s="132"/>
      <c r="F14" s="132"/>
      <c r="G14" s="132"/>
      <c r="H14" s="132"/>
      <c r="I14" s="132"/>
      <c r="J14" s="132"/>
      <c r="K14" s="132">
        <v>0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9">
        <v>0</v>
      </c>
    </row>
    <row r="15" spans="1:56">
      <c r="A15" s="130" t="s">
        <v>8288</v>
      </c>
      <c r="B15" s="131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0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9">
        <v>0</v>
      </c>
    </row>
    <row r="16" spans="1:56">
      <c r="A16" s="130" t="s">
        <v>8289</v>
      </c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>
        <v>0</v>
      </c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9">
        <v>0</v>
      </c>
    </row>
    <row r="17" spans="1:56">
      <c r="A17" s="130" t="s">
        <v>8290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>
        <v>0</v>
      </c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9">
        <v>0</v>
      </c>
    </row>
    <row r="18" spans="1:56">
      <c r="A18" s="130" t="s">
        <v>71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9">
        <v>0</v>
      </c>
    </row>
    <row r="19" spans="1:56">
      <c r="A19" s="130" t="s">
        <v>8291</v>
      </c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>
        <v>0</v>
      </c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9">
        <v>0</v>
      </c>
    </row>
    <row r="20" spans="1:56">
      <c r="A20" s="130" t="s">
        <v>8292</v>
      </c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>
        <v>0</v>
      </c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9">
        <v>0</v>
      </c>
    </row>
    <row r="21" spans="1:56">
      <c r="A21" s="130" t="s">
        <v>216</v>
      </c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>
        <v>0</v>
      </c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9">
        <v>0</v>
      </c>
    </row>
    <row r="22" spans="1:56">
      <c r="A22" s="130" t="s">
        <v>8293</v>
      </c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>
        <v>0</v>
      </c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9">
        <v>0</v>
      </c>
    </row>
    <row r="23" spans="1:56">
      <c r="A23" s="130" t="s">
        <v>8294</v>
      </c>
      <c r="B23" s="13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>
        <v>0</v>
      </c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9">
        <v>0</v>
      </c>
    </row>
    <row r="24" spans="1:56">
      <c r="A24" s="130" t="s">
        <v>212</v>
      </c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0</v>
      </c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9">
        <v>0</v>
      </c>
    </row>
    <row r="25" spans="1:56">
      <c r="A25" s="130" t="s">
        <v>8295</v>
      </c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>
        <v>0</v>
      </c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9">
        <v>0</v>
      </c>
    </row>
    <row r="26" spans="1:56">
      <c r="A26" s="130" t="s">
        <v>8296</v>
      </c>
      <c r="B26" s="13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9">
        <v>0</v>
      </c>
    </row>
    <row r="27" spans="1:56">
      <c r="A27" s="130" t="s">
        <v>2492</v>
      </c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>
        <v>0</v>
      </c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9">
        <v>0</v>
      </c>
    </row>
    <row r="28" spans="1:56">
      <c r="A28" s="130" t="s">
        <v>8297</v>
      </c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9">
        <v>0</v>
      </c>
    </row>
    <row r="29" spans="1:56">
      <c r="A29" s="130" t="s">
        <v>8298</v>
      </c>
      <c r="B29" s="13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>
        <v>0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9">
        <v>0</v>
      </c>
    </row>
    <row r="30" spans="1:56">
      <c r="A30" s="130" t="s">
        <v>8299</v>
      </c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>
        <v>0</v>
      </c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9">
        <v>0</v>
      </c>
    </row>
    <row r="31" spans="1:56">
      <c r="A31" s="130" t="s">
        <v>221</v>
      </c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>
        <v>0</v>
      </c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9">
        <v>0</v>
      </c>
    </row>
    <row r="32" spans="1:56">
      <c r="A32" s="130" t="s">
        <v>8300</v>
      </c>
      <c r="B32" s="13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>
        <v>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9">
        <v>0</v>
      </c>
    </row>
    <row r="33" spans="1:56">
      <c r="A33" s="130" t="s">
        <v>8301</v>
      </c>
      <c r="B33" s="13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>
        <v>0</v>
      </c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9">
        <v>0</v>
      </c>
    </row>
    <row r="34" spans="1:56">
      <c r="A34" s="130" t="s">
        <v>8302</v>
      </c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>
        <v>0</v>
      </c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9">
        <v>0</v>
      </c>
    </row>
    <row r="35" spans="1:56">
      <c r="A35" s="130" t="s">
        <v>553</v>
      </c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>
        <v>0</v>
      </c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9">
        <v>0</v>
      </c>
    </row>
    <row r="36" spans="1:56">
      <c r="A36" s="130" t="s">
        <v>8303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>
        <v>0</v>
      </c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9">
        <v>0</v>
      </c>
    </row>
    <row r="37" spans="1:56">
      <c r="A37" s="130" t="s">
        <v>182</v>
      </c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>
        <v>0</v>
      </c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9">
        <v>0</v>
      </c>
    </row>
    <row r="38" spans="1:56">
      <c r="A38" s="130" t="s">
        <v>318</v>
      </c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>
        <v>0</v>
      </c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9">
        <v>0</v>
      </c>
    </row>
    <row r="39" spans="1:56">
      <c r="A39" s="130" t="s">
        <v>201</v>
      </c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>
        <v>0</v>
      </c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9">
        <v>0</v>
      </c>
    </row>
    <row r="40" spans="1:56">
      <c r="A40" s="130" t="s">
        <v>188</v>
      </c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>
        <v>0</v>
      </c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9">
        <v>0</v>
      </c>
    </row>
    <row r="41" spans="1:56">
      <c r="A41" s="130" t="s">
        <v>59</v>
      </c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>
        <v>0</v>
      </c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9">
        <v>0</v>
      </c>
    </row>
    <row r="42" spans="1:56">
      <c r="A42" s="130" t="s">
        <v>8304</v>
      </c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>
        <v>0</v>
      </c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9">
        <v>0</v>
      </c>
    </row>
    <row r="43" spans="1:56">
      <c r="A43" s="130" t="s">
        <v>8305</v>
      </c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9">
        <v>0</v>
      </c>
    </row>
    <row r="44" spans="1:56">
      <c r="A44" s="130" t="s">
        <v>8306</v>
      </c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9">
        <v>0</v>
      </c>
    </row>
    <row r="45" spans="1:56">
      <c r="A45" s="130" t="s">
        <v>8307</v>
      </c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>
        <v>0</v>
      </c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9">
        <v>0</v>
      </c>
    </row>
    <row r="46" spans="1:56">
      <c r="A46" s="130" t="s">
        <v>204</v>
      </c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>
        <v>0</v>
      </c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9">
        <v>0</v>
      </c>
    </row>
    <row r="47" spans="1:56">
      <c r="A47" s="130" t="s">
        <v>47</v>
      </c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>
        <v>0</v>
      </c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9">
        <v>0</v>
      </c>
    </row>
    <row r="48" spans="1:56">
      <c r="A48" s="130" t="s">
        <v>56</v>
      </c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>
        <v>0</v>
      </c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9">
        <v>0</v>
      </c>
    </row>
    <row r="49" spans="1:56">
      <c r="A49" s="130" t="s">
        <v>174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>
        <v>0</v>
      </c>
      <c r="AU49" s="132"/>
      <c r="AV49" s="132"/>
      <c r="AW49" s="132"/>
      <c r="AX49" s="132"/>
      <c r="AY49" s="132"/>
      <c r="AZ49" s="132"/>
      <c r="BA49" s="132"/>
      <c r="BB49" s="132"/>
      <c r="BC49" s="132"/>
      <c r="BD49" s="139">
        <v>0</v>
      </c>
    </row>
    <row r="50" spans="1:56">
      <c r="A50" s="130" t="s">
        <v>8308</v>
      </c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>
        <v>0</v>
      </c>
      <c r="AV50" s="132"/>
      <c r="AW50" s="132"/>
      <c r="AX50" s="132"/>
      <c r="AY50" s="132"/>
      <c r="AZ50" s="132"/>
      <c r="BA50" s="132"/>
      <c r="BB50" s="132"/>
      <c r="BC50" s="132"/>
      <c r="BD50" s="139">
        <v>0</v>
      </c>
    </row>
    <row r="51" spans="1:56">
      <c r="A51" s="130" t="s">
        <v>236</v>
      </c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>
        <v>0</v>
      </c>
      <c r="AW51" s="132"/>
      <c r="AX51" s="132"/>
      <c r="AY51" s="132"/>
      <c r="AZ51" s="132"/>
      <c r="BA51" s="132"/>
      <c r="BB51" s="132"/>
      <c r="BC51" s="132"/>
      <c r="BD51" s="139">
        <v>0</v>
      </c>
    </row>
    <row r="52" spans="1:56">
      <c r="A52" s="130" t="s">
        <v>8309</v>
      </c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>
        <v>0</v>
      </c>
      <c r="AX52" s="132"/>
      <c r="AY52" s="132"/>
      <c r="AZ52" s="132"/>
      <c r="BA52" s="132"/>
      <c r="BB52" s="132"/>
      <c r="BC52" s="132"/>
      <c r="BD52" s="139">
        <v>0</v>
      </c>
    </row>
    <row r="53" spans="1:56">
      <c r="A53" s="130" t="s">
        <v>8310</v>
      </c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>
        <v>0</v>
      </c>
      <c r="AY53" s="132"/>
      <c r="AZ53" s="132"/>
      <c r="BA53" s="132"/>
      <c r="BB53" s="132"/>
      <c r="BC53" s="132"/>
      <c r="BD53" s="139">
        <v>0</v>
      </c>
    </row>
    <row r="54" spans="1:56">
      <c r="A54" s="130" t="s">
        <v>265</v>
      </c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>
        <v>0</v>
      </c>
      <c r="AZ54" s="132"/>
      <c r="BA54" s="132"/>
      <c r="BB54" s="132"/>
      <c r="BC54" s="132"/>
      <c r="BD54" s="139">
        <v>0</v>
      </c>
    </row>
    <row r="55" spans="1:56">
      <c r="A55" s="130" t="s">
        <v>324</v>
      </c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>
        <v>0</v>
      </c>
      <c r="BA55" s="132"/>
      <c r="BB55" s="132"/>
      <c r="BC55" s="132"/>
      <c r="BD55" s="139">
        <v>0</v>
      </c>
    </row>
    <row r="56" spans="1:56">
      <c r="A56" s="130" t="s">
        <v>336</v>
      </c>
      <c r="B56" s="13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>
        <v>0</v>
      </c>
      <c r="BB56" s="132"/>
      <c r="BC56" s="132"/>
      <c r="BD56" s="139">
        <v>0</v>
      </c>
    </row>
    <row r="57" spans="1:56">
      <c r="A57" s="130" t="s">
        <v>8311</v>
      </c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>
        <v>0</v>
      </c>
      <c r="BC57" s="132"/>
      <c r="BD57" s="139">
        <v>0</v>
      </c>
    </row>
    <row r="58" spans="1:56">
      <c r="A58" s="130" t="s">
        <v>8312</v>
      </c>
      <c r="B58" s="13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>
        <v>0</v>
      </c>
      <c r="BD58" s="139">
        <v>0</v>
      </c>
    </row>
    <row r="59" spans="1:56">
      <c r="A59" s="133" t="s">
        <v>8313</v>
      </c>
      <c r="B59" s="134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40">
        <v>0</v>
      </c>
    </row>
  </sheetData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4">
    <tabColor rgb="FFFF0000"/>
  </sheetPr>
  <dimension ref="A3:BD59"/>
  <sheetViews>
    <sheetView workbookViewId="0">
      <selection activeCell="A1" sqref="A1"/>
    </sheetView>
  </sheetViews>
  <sheetFormatPr defaultColWidth="9" defaultRowHeight="14.25"/>
  <cols>
    <col min="1" max="1" width="11.375" customWidth="1"/>
    <col min="2" max="55" width="9.125" customWidth="1"/>
    <col min="56" max="56" width="10.375" customWidth="1"/>
  </cols>
  <sheetData>
    <row r="3" spans="1:56">
      <c r="A3" s="125" t="s">
        <v>8321</v>
      </c>
      <c r="B3" s="125" t="s">
        <v>8281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36"/>
    </row>
    <row r="4" spans="1:56">
      <c r="A4" s="125" t="s">
        <v>8282</v>
      </c>
      <c r="B4" s="125" t="s">
        <v>8283</v>
      </c>
      <c r="C4" s="127" t="s">
        <v>30</v>
      </c>
      <c r="D4" s="127" t="s">
        <v>31</v>
      </c>
      <c r="E4" s="127" t="s">
        <v>8284</v>
      </c>
      <c r="F4" s="127" t="s">
        <v>8285</v>
      </c>
      <c r="G4" s="127" t="s">
        <v>178</v>
      </c>
      <c r="H4" s="127" t="s">
        <v>8286</v>
      </c>
      <c r="I4" s="127" t="s">
        <v>8287</v>
      </c>
      <c r="J4" s="127" t="s">
        <v>165</v>
      </c>
      <c r="K4" s="127" t="s">
        <v>94</v>
      </c>
      <c r="L4" s="127" t="s">
        <v>8288</v>
      </c>
      <c r="M4" s="127" t="s">
        <v>8289</v>
      </c>
      <c r="N4" s="127" t="s">
        <v>8290</v>
      </c>
      <c r="O4" s="127" t="s">
        <v>71</v>
      </c>
      <c r="P4" s="127" t="s">
        <v>8291</v>
      </c>
      <c r="Q4" s="127" t="s">
        <v>8292</v>
      </c>
      <c r="R4" s="127" t="s">
        <v>216</v>
      </c>
      <c r="S4" s="127" t="s">
        <v>8293</v>
      </c>
      <c r="T4" s="127" t="s">
        <v>8294</v>
      </c>
      <c r="U4" s="127" t="s">
        <v>212</v>
      </c>
      <c r="V4" s="127" t="s">
        <v>8295</v>
      </c>
      <c r="W4" s="127" t="s">
        <v>8296</v>
      </c>
      <c r="X4" s="127" t="s">
        <v>2492</v>
      </c>
      <c r="Y4" s="127" t="s">
        <v>8297</v>
      </c>
      <c r="Z4" s="127" t="s">
        <v>8298</v>
      </c>
      <c r="AA4" s="127" t="s">
        <v>8299</v>
      </c>
      <c r="AB4" s="127" t="s">
        <v>221</v>
      </c>
      <c r="AC4" s="127" t="s">
        <v>8300</v>
      </c>
      <c r="AD4" s="127" t="s">
        <v>8301</v>
      </c>
      <c r="AE4" s="127" t="s">
        <v>8302</v>
      </c>
      <c r="AF4" s="127" t="s">
        <v>553</v>
      </c>
      <c r="AG4" s="127" t="s">
        <v>8303</v>
      </c>
      <c r="AH4" s="127" t="s">
        <v>182</v>
      </c>
      <c r="AI4" s="127" t="s">
        <v>318</v>
      </c>
      <c r="AJ4" s="127" t="s">
        <v>201</v>
      </c>
      <c r="AK4" s="127" t="s">
        <v>188</v>
      </c>
      <c r="AL4" s="127" t="s">
        <v>59</v>
      </c>
      <c r="AM4" s="127" t="s">
        <v>8304</v>
      </c>
      <c r="AN4" s="127" t="s">
        <v>8305</v>
      </c>
      <c r="AO4" s="127" t="s">
        <v>8306</v>
      </c>
      <c r="AP4" s="127" t="s">
        <v>8307</v>
      </c>
      <c r="AQ4" s="127" t="s">
        <v>204</v>
      </c>
      <c r="AR4" s="127" t="s">
        <v>47</v>
      </c>
      <c r="AS4" s="127" t="s">
        <v>56</v>
      </c>
      <c r="AT4" s="127" t="s">
        <v>174</v>
      </c>
      <c r="AU4" s="127" t="s">
        <v>8308</v>
      </c>
      <c r="AV4" s="127" t="s">
        <v>236</v>
      </c>
      <c r="AW4" s="127" t="s">
        <v>8309</v>
      </c>
      <c r="AX4" s="127" t="s">
        <v>8310</v>
      </c>
      <c r="AY4" s="127" t="s">
        <v>265</v>
      </c>
      <c r="AZ4" s="127" t="s">
        <v>324</v>
      </c>
      <c r="BA4" s="127" t="s">
        <v>336</v>
      </c>
      <c r="BB4" s="127" t="s">
        <v>8311</v>
      </c>
      <c r="BC4" s="127" t="s">
        <v>8312</v>
      </c>
      <c r="BD4" s="137" t="s">
        <v>8313</v>
      </c>
    </row>
    <row r="5" spans="1:56">
      <c r="A5" s="125" t="s">
        <v>8283</v>
      </c>
      <c r="B5" s="128">
        <v>0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38">
        <v>0</v>
      </c>
    </row>
    <row r="6" spans="1:56">
      <c r="A6" s="130" t="s">
        <v>30</v>
      </c>
      <c r="B6" s="131"/>
      <c r="C6" s="132">
        <v>0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9">
        <v>0</v>
      </c>
    </row>
    <row r="7" spans="1:56">
      <c r="A7" s="130" t="s">
        <v>31</v>
      </c>
      <c r="B7" s="131"/>
      <c r="C7" s="132"/>
      <c r="D7" s="132">
        <v>0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9">
        <v>0</v>
      </c>
    </row>
    <row r="8" spans="1:56">
      <c r="A8" s="130" t="s">
        <v>8284</v>
      </c>
      <c r="B8" s="131"/>
      <c r="C8" s="132"/>
      <c r="D8" s="132"/>
      <c r="E8" s="132">
        <v>0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9">
        <v>0</v>
      </c>
    </row>
    <row r="9" spans="1:56">
      <c r="A9" s="130" t="s">
        <v>8285</v>
      </c>
      <c r="B9" s="131"/>
      <c r="C9" s="132"/>
      <c r="D9" s="132"/>
      <c r="E9" s="132"/>
      <c r="F9" s="132">
        <v>0</v>
      </c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9">
        <v>0</v>
      </c>
    </row>
    <row r="10" spans="1:56">
      <c r="A10" s="130" t="s">
        <v>178</v>
      </c>
      <c r="B10" s="131"/>
      <c r="C10" s="132"/>
      <c r="D10" s="132"/>
      <c r="E10" s="132"/>
      <c r="F10" s="132"/>
      <c r="G10" s="132">
        <v>0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9">
        <v>0</v>
      </c>
    </row>
    <row r="11" spans="1:56">
      <c r="A11" s="130" t="s">
        <v>8286</v>
      </c>
      <c r="B11" s="131"/>
      <c r="C11" s="132"/>
      <c r="D11" s="132"/>
      <c r="E11" s="132"/>
      <c r="F11" s="132"/>
      <c r="G11" s="132"/>
      <c r="H11" s="132">
        <v>0</v>
      </c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9">
        <v>0</v>
      </c>
    </row>
    <row r="12" spans="1:56">
      <c r="A12" s="130" t="s">
        <v>8287</v>
      </c>
      <c r="B12" s="131"/>
      <c r="C12" s="132"/>
      <c r="D12" s="132"/>
      <c r="E12" s="132"/>
      <c r="F12" s="132"/>
      <c r="G12" s="132"/>
      <c r="H12" s="132"/>
      <c r="I12" s="132"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9">
        <v>0</v>
      </c>
    </row>
    <row r="13" spans="1:56">
      <c r="A13" s="130" t="s">
        <v>165</v>
      </c>
      <c r="B13" s="131"/>
      <c r="C13" s="132"/>
      <c r="D13" s="132"/>
      <c r="E13" s="132"/>
      <c r="F13" s="132"/>
      <c r="G13" s="132"/>
      <c r="H13" s="132"/>
      <c r="I13" s="132"/>
      <c r="J13" s="132"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9">
        <v>0</v>
      </c>
    </row>
    <row r="14" spans="1:56">
      <c r="A14" s="130" t="s">
        <v>94</v>
      </c>
      <c r="B14" s="131"/>
      <c r="C14" s="132"/>
      <c r="D14" s="132"/>
      <c r="E14" s="132"/>
      <c r="F14" s="132"/>
      <c r="G14" s="132"/>
      <c r="H14" s="132"/>
      <c r="I14" s="132"/>
      <c r="J14" s="132"/>
      <c r="K14" s="132">
        <v>0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9">
        <v>0</v>
      </c>
    </row>
    <row r="15" spans="1:56">
      <c r="A15" s="130" t="s">
        <v>8288</v>
      </c>
      <c r="B15" s="131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0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9">
        <v>0</v>
      </c>
    </row>
    <row r="16" spans="1:56">
      <c r="A16" s="130" t="s">
        <v>8289</v>
      </c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>
        <v>0</v>
      </c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9">
        <v>0</v>
      </c>
    </row>
    <row r="17" spans="1:56">
      <c r="A17" s="130" t="s">
        <v>8290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>
        <v>0</v>
      </c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9">
        <v>0</v>
      </c>
    </row>
    <row r="18" spans="1:56">
      <c r="A18" s="130" t="s">
        <v>71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9">
        <v>0</v>
      </c>
    </row>
    <row r="19" spans="1:56">
      <c r="A19" s="130" t="s">
        <v>8291</v>
      </c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>
        <v>0</v>
      </c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9">
        <v>0</v>
      </c>
    </row>
    <row r="20" spans="1:56">
      <c r="A20" s="130" t="s">
        <v>8292</v>
      </c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>
        <v>0</v>
      </c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9">
        <v>0</v>
      </c>
    </row>
    <row r="21" spans="1:56">
      <c r="A21" s="130" t="s">
        <v>216</v>
      </c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>
        <v>0</v>
      </c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9">
        <v>0</v>
      </c>
    </row>
    <row r="22" spans="1:56">
      <c r="A22" s="130" t="s">
        <v>8293</v>
      </c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>
        <v>0</v>
      </c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9">
        <v>0</v>
      </c>
    </row>
    <row r="23" spans="1:56">
      <c r="A23" s="130" t="s">
        <v>8294</v>
      </c>
      <c r="B23" s="13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>
        <v>0</v>
      </c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9">
        <v>0</v>
      </c>
    </row>
    <row r="24" spans="1:56">
      <c r="A24" s="130" t="s">
        <v>212</v>
      </c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0</v>
      </c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9">
        <v>0</v>
      </c>
    </row>
    <row r="25" spans="1:56">
      <c r="A25" s="130" t="s">
        <v>8295</v>
      </c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>
        <v>0</v>
      </c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9">
        <v>0</v>
      </c>
    </row>
    <row r="26" spans="1:56">
      <c r="A26" s="130" t="s">
        <v>8296</v>
      </c>
      <c r="B26" s="13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9">
        <v>0</v>
      </c>
    </row>
    <row r="27" spans="1:56">
      <c r="A27" s="130" t="s">
        <v>2492</v>
      </c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>
        <v>0</v>
      </c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9">
        <v>0</v>
      </c>
    </row>
    <row r="28" spans="1:56">
      <c r="A28" s="130" t="s">
        <v>8297</v>
      </c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9">
        <v>0</v>
      </c>
    </row>
    <row r="29" spans="1:56">
      <c r="A29" s="130" t="s">
        <v>8298</v>
      </c>
      <c r="B29" s="13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>
        <v>0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9">
        <v>0</v>
      </c>
    </row>
    <row r="30" spans="1:56">
      <c r="A30" s="130" t="s">
        <v>8299</v>
      </c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>
        <v>0</v>
      </c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9">
        <v>0</v>
      </c>
    </row>
    <row r="31" spans="1:56">
      <c r="A31" s="130" t="s">
        <v>221</v>
      </c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>
        <v>0</v>
      </c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9">
        <v>0</v>
      </c>
    </row>
    <row r="32" spans="1:56">
      <c r="A32" s="130" t="s">
        <v>8300</v>
      </c>
      <c r="B32" s="13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>
        <v>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9">
        <v>0</v>
      </c>
    </row>
    <row r="33" spans="1:56">
      <c r="A33" s="130" t="s">
        <v>8301</v>
      </c>
      <c r="B33" s="13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>
        <v>0</v>
      </c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9">
        <v>0</v>
      </c>
    </row>
    <row r="34" spans="1:56">
      <c r="A34" s="130" t="s">
        <v>8302</v>
      </c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>
        <v>0</v>
      </c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9">
        <v>0</v>
      </c>
    </row>
    <row r="35" spans="1:56">
      <c r="A35" s="130" t="s">
        <v>553</v>
      </c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>
        <v>0</v>
      </c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9">
        <v>0</v>
      </c>
    </row>
    <row r="36" spans="1:56">
      <c r="A36" s="130" t="s">
        <v>8303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>
        <v>0</v>
      </c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9">
        <v>0</v>
      </c>
    </row>
    <row r="37" spans="1:56">
      <c r="A37" s="130" t="s">
        <v>182</v>
      </c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>
        <v>0</v>
      </c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9">
        <v>0</v>
      </c>
    </row>
    <row r="38" spans="1:56">
      <c r="A38" s="130" t="s">
        <v>318</v>
      </c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>
        <v>0</v>
      </c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9">
        <v>0</v>
      </c>
    </row>
    <row r="39" spans="1:56">
      <c r="A39" s="130" t="s">
        <v>201</v>
      </c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>
        <v>0</v>
      </c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9">
        <v>0</v>
      </c>
    </row>
    <row r="40" spans="1:56">
      <c r="A40" s="130" t="s">
        <v>188</v>
      </c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>
        <v>0</v>
      </c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9">
        <v>0</v>
      </c>
    </row>
    <row r="41" spans="1:56">
      <c r="A41" s="130" t="s">
        <v>59</v>
      </c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>
        <v>0</v>
      </c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9">
        <v>0</v>
      </c>
    </row>
    <row r="42" spans="1:56">
      <c r="A42" s="130" t="s">
        <v>8304</v>
      </c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>
        <v>0</v>
      </c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9">
        <v>0</v>
      </c>
    </row>
    <row r="43" spans="1:56">
      <c r="A43" s="130" t="s">
        <v>8305</v>
      </c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9">
        <v>0</v>
      </c>
    </row>
    <row r="44" spans="1:56">
      <c r="A44" s="130" t="s">
        <v>8306</v>
      </c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9">
        <v>0</v>
      </c>
    </row>
    <row r="45" spans="1:56">
      <c r="A45" s="130" t="s">
        <v>8307</v>
      </c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>
        <v>0</v>
      </c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9">
        <v>0</v>
      </c>
    </row>
    <row r="46" spans="1:56">
      <c r="A46" s="130" t="s">
        <v>204</v>
      </c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>
        <v>0</v>
      </c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9">
        <v>0</v>
      </c>
    </row>
    <row r="47" spans="1:56">
      <c r="A47" s="130" t="s">
        <v>47</v>
      </c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>
        <v>0</v>
      </c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9">
        <v>0</v>
      </c>
    </row>
    <row r="48" spans="1:56">
      <c r="A48" s="130" t="s">
        <v>56</v>
      </c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>
        <v>0</v>
      </c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9">
        <v>0</v>
      </c>
    </row>
    <row r="49" spans="1:56">
      <c r="A49" s="130" t="s">
        <v>174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>
        <v>0</v>
      </c>
      <c r="AU49" s="132"/>
      <c r="AV49" s="132"/>
      <c r="AW49" s="132"/>
      <c r="AX49" s="132"/>
      <c r="AY49" s="132"/>
      <c r="AZ49" s="132"/>
      <c r="BA49" s="132"/>
      <c r="BB49" s="132"/>
      <c r="BC49" s="132"/>
      <c r="BD49" s="139">
        <v>0</v>
      </c>
    </row>
    <row r="50" spans="1:56">
      <c r="A50" s="130" t="s">
        <v>8308</v>
      </c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>
        <v>0</v>
      </c>
      <c r="AV50" s="132"/>
      <c r="AW50" s="132"/>
      <c r="AX50" s="132"/>
      <c r="AY50" s="132"/>
      <c r="AZ50" s="132"/>
      <c r="BA50" s="132"/>
      <c r="BB50" s="132"/>
      <c r="BC50" s="132"/>
      <c r="BD50" s="139">
        <v>0</v>
      </c>
    </row>
    <row r="51" spans="1:56">
      <c r="A51" s="130" t="s">
        <v>236</v>
      </c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>
        <v>0</v>
      </c>
      <c r="AW51" s="132"/>
      <c r="AX51" s="132"/>
      <c r="AY51" s="132"/>
      <c r="AZ51" s="132"/>
      <c r="BA51" s="132"/>
      <c r="BB51" s="132"/>
      <c r="BC51" s="132"/>
      <c r="BD51" s="139">
        <v>0</v>
      </c>
    </row>
    <row r="52" spans="1:56">
      <c r="A52" s="130" t="s">
        <v>8309</v>
      </c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>
        <v>0</v>
      </c>
      <c r="AX52" s="132"/>
      <c r="AY52" s="132"/>
      <c r="AZ52" s="132"/>
      <c r="BA52" s="132"/>
      <c r="BB52" s="132"/>
      <c r="BC52" s="132"/>
      <c r="BD52" s="139">
        <v>0</v>
      </c>
    </row>
    <row r="53" spans="1:56">
      <c r="A53" s="130" t="s">
        <v>8310</v>
      </c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>
        <v>0</v>
      </c>
      <c r="AY53" s="132"/>
      <c r="AZ53" s="132"/>
      <c r="BA53" s="132"/>
      <c r="BB53" s="132"/>
      <c r="BC53" s="132"/>
      <c r="BD53" s="139">
        <v>0</v>
      </c>
    </row>
    <row r="54" spans="1:56">
      <c r="A54" s="130" t="s">
        <v>265</v>
      </c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>
        <v>0</v>
      </c>
      <c r="AZ54" s="132"/>
      <c r="BA54" s="132"/>
      <c r="BB54" s="132"/>
      <c r="BC54" s="132"/>
      <c r="BD54" s="139">
        <v>0</v>
      </c>
    </row>
    <row r="55" spans="1:56">
      <c r="A55" s="130" t="s">
        <v>324</v>
      </c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>
        <v>0</v>
      </c>
      <c r="BA55" s="132"/>
      <c r="BB55" s="132"/>
      <c r="BC55" s="132"/>
      <c r="BD55" s="139">
        <v>0</v>
      </c>
    </row>
    <row r="56" spans="1:56">
      <c r="A56" s="130" t="s">
        <v>336</v>
      </c>
      <c r="B56" s="13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>
        <v>0</v>
      </c>
      <c r="BB56" s="132"/>
      <c r="BC56" s="132"/>
      <c r="BD56" s="139">
        <v>0</v>
      </c>
    </row>
    <row r="57" spans="1:56">
      <c r="A57" s="130" t="s">
        <v>8311</v>
      </c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>
        <v>0</v>
      </c>
      <c r="BC57" s="132"/>
      <c r="BD57" s="139">
        <v>0</v>
      </c>
    </row>
    <row r="58" spans="1:56">
      <c r="A58" s="130" t="s">
        <v>8312</v>
      </c>
      <c r="B58" s="13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>
        <v>0</v>
      </c>
      <c r="BD58" s="139">
        <v>0</v>
      </c>
    </row>
    <row r="59" spans="1:56">
      <c r="A59" s="133" t="s">
        <v>8313</v>
      </c>
      <c r="B59" s="134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40">
        <v>0</v>
      </c>
    </row>
  </sheetData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5">
    <tabColor rgb="FFFF0000"/>
  </sheetPr>
  <dimension ref="A3:BD59"/>
  <sheetViews>
    <sheetView workbookViewId="0">
      <selection activeCell="A1" sqref="A1"/>
    </sheetView>
  </sheetViews>
  <sheetFormatPr defaultColWidth="9" defaultRowHeight="14.25"/>
  <cols>
    <col min="1" max="1" width="11.75" customWidth="1"/>
    <col min="2" max="55" width="9.125" customWidth="1"/>
    <col min="56" max="56" width="10.375" customWidth="1"/>
  </cols>
  <sheetData>
    <row r="3" spans="1:56">
      <c r="A3" s="125" t="s">
        <v>8322</v>
      </c>
      <c r="B3" s="125" t="s">
        <v>8281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36"/>
    </row>
    <row r="4" spans="1:56">
      <c r="A4" s="125" t="s">
        <v>8282</v>
      </c>
      <c r="B4" s="125" t="s">
        <v>8283</v>
      </c>
      <c r="C4" s="127" t="s">
        <v>30</v>
      </c>
      <c r="D4" s="127" t="s">
        <v>31</v>
      </c>
      <c r="E4" s="127" t="s">
        <v>8284</v>
      </c>
      <c r="F4" s="127" t="s">
        <v>8285</v>
      </c>
      <c r="G4" s="127" t="s">
        <v>178</v>
      </c>
      <c r="H4" s="127" t="s">
        <v>8286</v>
      </c>
      <c r="I4" s="127" t="s">
        <v>8287</v>
      </c>
      <c r="J4" s="127" t="s">
        <v>165</v>
      </c>
      <c r="K4" s="127" t="s">
        <v>94</v>
      </c>
      <c r="L4" s="127" t="s">
        <v>8288</v>
      </c>
      <c r="M4" s="127" t="s">
        <v>8289</v>
      </c>
      <c r="N4" s="127" t="s">
        <v>8290</v>
      </c>
      <c r="O4" s="127" t="s">
        <v>71</v>
      </c>
      <c r="P4" s="127" t="s">
        <v>8291</v>
      </c>
      <c r="Q4" s="127" t="s">
        <v>8292</v>
      </c>
      <c r="R4" s="127" t="s">
        <v>216</v>
      </c>
      <c r="S4" s="127" t="s">
        <v>8293</v>
      </c>
      <c r="T4" s="127" t="s">
        <v>8294</v>
      </c>
      <c r="U4" s="127" t="s">
        <v>212</v>
      </c>
      <c r="V4" s="127" t="s">
        <v>8295</v>
      </c>
      <c r="W4" s="127" t="s">
        <v>8296</v>
      </c>
      <c r="X4" s="127" t="s">
        <v>2492</v>
      </c>
      <c r="Y4" s="127" t="s">
        <v>8297</v>
      </c>
      <c r="Z4" s="127" t="s">
        <v>8298</v>
      </c>
      <c r="AA4" s="127" t="s">
        <v>8299</v>
      </c>
      <c r="AB4" s="127" t="s">
        <v>221</v>
      </c>
      <c r="AC4" s="127" t="s">
        <v>8300</v>
      </c>
      <c r="AD4" s="127" t="s">
        <v>8301</v>
      </c>
      <c r="AE4" s="127" t="s">
        <v>8302</v>
      </c>
      <c r="AF4" s="127" t="s">
        <v>553</v>
      </c>
      <c r="AG4" s="127" t="s">
        <v>8303</v>
      </c>
      <c r="AH4" s="127" t="s">
        <v>182</v>
      </c>
      <c r="AI4" s="127" t="s">
        <v>318</v>
      </c>
      <c r="AJ4" s="127" t="s">
        <v>201</v>
      </c>
      <c r="AK4" s="127" t="s">
        <v>188</v>
      </c>
      <c r="AL4" s="127" t="s">
        <v>59</v>
      </c>
      <c r="AM4" s="127" t="s">
        <v>8304</v>
      </c>
      <c r="AN4" s="127" t="s">
        <v>8305</v>
      </c>
      <c r="AO4" s="127" t="s">
        <v>8306</v>
      </c>
      <c r="AP4" s="127" t="s">
        <v>8307</v>
      </c>
      <c r="AQ4" s="127" t="s">
        <v>204</v>
      </c>
      <c r="AR4" s="127" t="s">
        <v>47</v>
      </c>
      <c r="AS4" s="127" t="s">
        <v>56</v>
      </c>
      <c r="AT4" s="127" t="s">
        <v>174</v>
      </c>
      <c r="AU4" s="127" t="s">
        <v>8308</v>
      </c>
      <c r="AV4" s="127" t="s">
        <v>236</v>
      </c>
      <c r="AW4" s="127" t="s">
        <v>8309</v>
      </c>
      <c r="AX4" s="127" t="s">
        <v>8310</v>
      </c>
      <c r="AY4" s="127" t="s">
        <v>265</v>
      </c>
      <c r="AZ4" s="127" t="s">
        <v>324</v>
      </c>
      <c r="BA4" s="127" t="s">
        <v>336</v>
      </c>
      <c r="BB4" s="127" t="s">
        <v>8311</v>
      </c>
      <c r="BC4" s="127" t="s">
        <v>8312</v>
      </c>
      <c r="BD4" s="137" t="s">
        <v>8313</v>
      </c>
    </row>
    <row r="5" spans="1:56">
      <c r="A5" s="125" t="s">
        <v>8283</v>
      </c>
      <c r="B5" s="128">
        <v>0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38">
        <v>0</v>
      </c>
    </row>
    <row r="6" spans="1:56">
      <c r="A6" s="130" t="s">
        <v>30</v>
      </c>
      <c r="B6" s="131"/>
      <c r="C6" s="132">
        <v>0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9">
        <v>0</v>
      </c>
    </row>
    <row r="7" spans="1:56">
      <c r="A7" s="130" t="s">
        <v>31</v>
      </c>
      <c r="B7" s="131"/>
      <c r="C7" s="132"/>
      <c r="D7" s="132">
        <v>0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9">
        <v>0</v>
      </c>
    </row>
    <row r="8" spans="1:56">
      <c r="A8" s="130" t="s">
        <v>8284</v>
      </c>
      <c r="B8" s="131"/>
      <c r="C8" s="132"/>
      <c r="D8" s="132"/>
      <c r="E8" s="132">
        <v>0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9">
        <v>0</v>
      </c>
    </row>
    <row r="9" spans="1:56">
      <c r="A9" s="130" t="s">
        <v>8285</v>
      </c>
      <c r="B9" s="131"/>
      <c r="C9" s="132"/>
      <c r="D9" s="132"/>
      <c r="E9" s="132"/>
      <c r="F9" s="132">
        <v>0</v>
      </c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9">
        <v>0</v>
      </c>
    </row>
    <row r="10" spans="1:56">
      <c r="A10" s="130" t="s">
        <v>178</v>
      </c>
      <c r="B10" s="131"/>
      <c r="C10" s="132"/>
      <c r="D10" s="132"/>
      <c r="E10" s="132"/>
      <c r="F10" s="132"/>
      <c r="G10" s="132">
        <v>0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9">
        <v>0</v>
      </c>
    </row>
    <row r="11" spans="1:56">
      <c r="A11" s="130" t="s">
        <v>8286</v>
      </c>
      <c r="B11" s="131"/>
      <c r="C11" s="132"/>
      <c r="D11" s="132"/>
      <c r="E11" s="132"/>
      <c r="F11" s="132"/>
      <c r="G11" s="132"/>
      <c r="H11" s="132">
        <v>0</v>
      </c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9">
        <v>0</v>
      </c>
    </row>
    <row r="12" spans="1:56">
      <c r="A12" s="130" t="s">
        <v>8287</v>
      </c>
      <c r="B12" s="131"/>
      <c r="C12" s="132"/>
      <c r="D12" s="132"/>
      <c r="E12" s="132"/>
      <c r="F12" s="132"/>
      <c r="G12" s="132"/>
      <c r="H12" s="132"/>
      <c r="I12" s="132"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9">
        <v>0</v>
      </c>
    </row>
    <row r="13" spans="1:56">
      <c r="A13" s="130" t="s">
        <v>165</v>
      </c>
      <c r="B13" s="131"/>
      <c r="C13" s="132"/>
      <c r="D13" s="132"/>
      <c r="E13" s="132"/>
      <c r="F13" s="132"/>
      <c r="G13" s="132"/>
      <c r="H13" s="132"/>
      <c r="I13" s="132"/>
      <c r="J13" s="132"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9">
        <v>0</v>
      </c>
    </row>
    <row r="14" spans="1:56">
      <c r="A14" s="130" t="s">
        <v>94</v>
      </c>
      <c r="B14" s="131"/>
      <c r="C14" s="132"/>
      <c r="D14" s="132"/>
      <c r="E14" s="132"/>
      <c r="F14" s="132"/>
      <c r="G14" s="132"/>
      <c r="H14" s="132"/>
      <c r="I14" s="132"/>
      <c r="J14" s="132"/>
      <c r="K14" s="132">
        <v>0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9">
        <v>0</v>
      </c>
    </row>
    <row r="15" spans="1:56">
      <c r="A15" s="130" t="s">
        <v>8288</v>
      </c>
      <c r="B15" s="131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0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9">
        <v>0</v>
      </c>
    </row>
    <row r="16" spans="1:56">
      <c r="A16" s="130" t="s">
        <v>8289</v>
      </c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>
        <v>0</v>
      </c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9">
        <v>0</v>
      </c>
    </row>
    <row r="17" spans="1:56">
      <c r="A17" s="130" t="s">
        <v>8290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>
        <v>0</v>
      </c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9">
        <v>0</v>
      </c>
    </row>
    <row r="18" spans="1:56">
      <c r="A18" s="130" t="s">
        <v>71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9">
        <v>0</v>
      </c>
    </row>
    <row r="19" spans="1:56">
      <c r="A19" s="130" t="s">
        <v>8291</v>
      </c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>
        <v>0</v>
      </c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9">
        <v>0</v>
      </c>
    </row>
    <row r="20" spans="1:56">
      <c r="A20" s="130" t="s">
        <v>8292</v>
      </c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>
        <v>0</v>
      </c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9">
        <v>0</v>
      </c>
    </row>
    <row r="21" spans="1:56">
      <c r="A21" s="130" t="s">
        <v>216</v>
      </c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>
        <v>0</v>
      </c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9">
        <v>0</v>
      </c>
    </row>
    <row r="22" spans="1:56">
      <c r="A22" s="130" t="s">
        <v>8293</v>
      </c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>
        <v>0</v>
      </c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9">
        <v>0</v>
      </c>
    </row>
    <row r="23" spans="1:56">
      <c r="A23" s="130" t="s">
        <v>8294</v>
      </c>
      <c r="B23" s="13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>
        <v>0</v>
      </c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9">
        <v>0</v>
      </c>
    </row>
    <row r="24" spans="1:56">
      <c r="A24" s="130" t="s">
        <v>212</v>
      </c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0</v>
      </c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9">
        <v>0</v>
      </c>
    </row>
    <row r="25" spans="1:56">
      <c r="A25" s="130" t="s">
        <v>8295</v>
      </c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>
        <v>0</v>
      </c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9">
        <v>0</v>
      </c>
    </row>
    <row r="26" spans="1:56">
      <c r="A26" s="130" t="s">
        <v>8296</v>
      </c>
      <c r="B26" s="13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9">
        <v>0</v>
      </c>
    </row>
    <row r="27" spans="1:56">
      <c r="A27" s="130" t="s">
        <v>2492</v>
      </c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>
        <v>0</v>
      </c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9">
        <v>0</v>
      </c>
    </row>
    <row r="28" spans="1:56">
      <c r="A28" s="130" t="s">
        <v>8297</v>
      </c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9">
        <v>0</v>
      </c>
    </row>
    <row r="29" spans="1:56">
      <c r="A29" s="130" t="s">
        <v>8298</v>
      </c>
      <c r="B29" s="13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>
        <v>0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9">
        <v>0</v>
      </c>
    </row>
    <row r="30" spans="1:56">
      <c r="A30" s="130" t="s">
        <v>8299</v>
      </c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>
        <v>0</v>
      </c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9">
        <v>0</v>
      </c>
    </row>
    <row r="31" spans="1:56">
      <c r="A31" s="130" t="s">
        <v>221</v>
      </c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>
        <v>0</v>
      </c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9">
        <v>0</v>
      </c>
    </row>
    <row r="32" spans="1:56">
      <c r="A32" s="130" t="s">
        <v>8300</v>
      </c>
      <c r="B32" s="13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>
        <v>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9">
        <v>0</v>
      </c>
    </row>
    <row r="33" spans="1:56">
      <c r="A33" s="130" t="s">
        <v>8301</v>
      </c>
      <c r="B33" s="13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>
        <v>0</v>
      </c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9">
        <v>0</v>
      </c>
    </row>
    <row r="34" spans="1:56">
      <c r="A34" s="130" t="s">
        <v>8302</v>
      </c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>
        <v>0</v>
      </c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9">
        <v>0</v>
      </c>
    </row>
    <row r="35" spans="1:56">
      <c r="A35" s="130" t="s">
        <v>553</v>
      </c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>
        <v>0</v>
      </c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9">
        <v>0</v>
      </c>
    </row>
    <row r="36" spans="1:56">
      <c r="A36" s="130" t="s">
        <v>8303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>
        <v>0</v>
      </c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9">
        <v>0</v>
      </c>
    </row>
    <row r="37" spans="1:56">
      <c r="A37" s="130" t="s">
        <v>182</v>
      </c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>
        <v>0</v>
      </c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9">
        <v>0</v>
      </c>
    </row>
    <row r="38" spans="1:56">
      <c r="A38" s="130" t="s">
        <v>318</v>
      </c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>
        <v>0</v>
      </c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9">
        <v>0</v>
      </c>
    </row>
    <row r="39" spans="1:56">
      <c r="A39" s="130" t="s">
        <v>201</v>
      </c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>
        <v>0</v>
      </c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9">
        <v>0</v>
      </c>
    </row>
    <row r="40" spans="1:56">
      <c r="A40" s="130" t="s">
        <v>188</v>
      </c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>
        <v>0</v>
      </c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9">
        <v>0</v>
      </c>
    </row>
    <row r="41" spans="1:56">
      <c r="A41" s="130" t="s">
        <v>59</v>
      </c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>
        <v>0</v>
      </c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9">
        <v>0</v>
      </c>
    </row>
    <row r="42" spans="1:56">
      <c r="A42" s="130" t="s">
        <v>8304</v>
      </c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>
        <v>0</v>
      </c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9">
        <v>0</v>
      </c>
    </row>
    <row r="43" spans="1:56">
      <c r="A43" s="130" t="s">
        <v>8305</v>
      </c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9">
        <v>0</v>
      </c>
    </row>
    <row r="44" spans="1:56">
      <c r="A44" s="130" t="s">
        <v>8306</v>
      </c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9">
        <v>0</v>
      </c>
    </row>
    <row r="45" spans="1:56">
      <c r="A45" s="130" t="s">
        <v>8307</v>
      </c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>
        <v>0</v>
      </c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9">
        <v>0</v>
      </c>
    </row>
    <row r="46" spans="1:56">
      <c r="A46" s="130" t="s">
        <v>204</v>
      </c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>
        <v>0</v>
      </c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9">
        <v>0</v>
      </c>
    </row>
    <row r="47" spans="1:56">
      <c r="A47" s="130" t="s">
        <v>47</v>
      </c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>
        <v>0</v>
      </c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9">
        <v>0</v>
      </c>
    </row>
    <row r="48" spans="1:56">
      <c r="A48" s="130" t="s">
        <v>56</v>
      </c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>
        <v>0</v>
      </c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9">
        <v>0</v>
      </c>
    </row>
    <row r="49" spans="1:56">
      <c r="A49" s="130" t="s">
        <v>174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>
        <v>0</v>
      </c>
      <c r="AU49" s="132"/>
      <c r="AV49" s="132"/>
      <c r="AW49" s="132"/>
      <c r="AX49" s="132"/>
      <c r="AY49" s="132"/>
      <c r="AZ49" s="132"/>
      <c r="BA49" s="132"/>
      <c r="BB49" s="132"/>
      <c r="BC49" s="132"/>
      <c r="BD49" s="139">
        <v>0</v>
      </c>
    </row>
    <row r="50" spans="1:56">
      <c r="A50" s="130" t="s">
        <v>8308</v>
      </c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>
        <v>0</v>
      </c>
      <c r="AV50" s="132"/>
      <c r="AW50" s="132"/>
      <c r="AX50" s="132"/>
      <c r="AY50" s="132"/>
      <c r="AZ50" s="132"/>
      <c r="BA50" s="132"/>
      <c r="BB50" s="132"/>
      <c r="BC50" s="132"/>
      <c r="BD50" s="139">
        <v>0</v>
      </c>
    </row>
    <row r="51" spans="1:56">
      <c r="A51" s="130" t="s">
        <v>236</v>
      </c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>
        <v>0</v>
      </c>
      <c r="AW51" s="132"/>
      <c r="AX51" s="132"/>
      <c r="AY51" s="132"/>
      <c r="AZ51" s="132"/>
      <c r="BA51" s="132"/>
      <c r="BB51" s="132"/>
      <c r="BC51" s="132"/>
      <c r="BD51" s="139">
        <v>0</v>
      </c>
    </row>
    <row r="52" spans="1:56">
      <c r="A52" s="130" t="s">
        <v>8309</v>
      </c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>
        <v>0</v>
      </c>
      <c r="AX52" s="132"/>
      <c r="AY52" s="132"/>
      <c r="AZ52" s="132"/>
      <c r="BA52" s="132"/>
      <c r="BB52" s="132"/>
      <c r="BC52" s="132"/>
      <c r="BD52" s="139">
        <v>0</v>
      </c>
    </row>
    <row r="53" spans="1:56">
      <c r="A53" s="130" t="s">
        <v>8310</v>
      </c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>
        <v>0</v>
      </c>
      <c r="AY53" s="132"/>
      <c r="AZ53" s="132"/>
      <c r="BA53" s="132"/>
      <c r="BB53" s="132"/>
      <c r="BC53" s="132"/>
      <c r="BD53" s="139">
        <v>0</v>
      </c>
    </row>
    <row r="54" spans="1:56">
      <c r="A54" s="130" t="s">
        <v>265</v>
      </c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>
        <v>0</v>
      </c>
      <c r="AZ54" s="132"/>
      <c r="BA54" s="132"/>
      <c r="BB54" s="132"/>
      <c r="BC54" s="132"/>
      <c r="BD54" s="139">
        <v>0</v>
      </c>
    </row>
    <row r="55" spans="1:56">
      <c r="A55" s="130" t="s">
        <v>324</v>
      </c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>
        <v>0</v>
      </c>
      <c r="BA55" s="132"/>
      <c r="BB55" s="132"/>
      <c r="BC55" s="132"/>
      <c r="BD55" s="139">
        <v>0</v>
      </c>
    </row>
    <row r="56" spans="1:56">
      <c r="A56" s="130" t="s">
        <v>336</v>
      </c>
      <c r="B56" s="13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>
        <v>0</v>
      </c>
      <c r="BB56" s="132"/>
      <c r="BC56" s="132"/>
      <c r="BD56" s="139">
        <v>0</v>
      </c>
    </row>
    <row r="57" spans="1:56">
      <c r="A57" s="130" t="s">
        <v>8311</v>
      </c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>
        <v>0</v>
      </c>
      <c r="BC57" s="132"/>
      <c r="BD57" s="139">
        <v>0</v>
      </c>
    </row>
    <row r="58" spans="1:56">
      <c r="A58" s="130" t="s">
        <v>8312</v>
      </c>
      <c r="B58" s="13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>
        <v>0</v>
      </c>
      <c r="BD58" s="139">
        <v>0</v>
      </c>
    </row>
    <row r="59" spans="1:56">
      <c r="A59" s="133" t="s">
        <v>8313</v>
      </c>
      <c r="B59" s="134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40">
        <v>0</v>
      </c>
    </row>
  </sheetData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6">
    <tabColor rgb="FFFF0000"/>
  </sheetPr>
  <dimension ref="A3:BD59"/>
  <sheetViews>
    <sheetView workbookViewId="0">
      <selection activeCell="A1" sqref="A1"/>
    </sheetView>
  </sheetViews>
  <sheetFormatPr defaultColWidth="9" defaultRowHeight="14.25"/>
  <cols>
    <col min="1" max="1" width="12" customWidth="1"/>
    <col min="2" max="55" width="9.125" customWidth="1"/>
    <col min="56" max="56" width="10.375" customWidth="1"/>
  </cols>
  <sheetData>
    <row r="3" spans="1:56">
      <c r="A3" s="125" t="s">
        <v>8323</v>
      </c>
      <c r="B3" s="125" t="s">
        <v>8281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36"/>
    </row>
    <row r="4" spans="1:56">
      <c r="A4" s="125" t="s">
        <v>8282</v>
      </c>
      <c r="B4" s="125" t="s">
        <v>8283</v>
      </c>
      <c r="C4" s="127" t="s">
        <v>30</v>
      </c>
      <c r="D4" s="127" t="s">
        <v>31</v>
      </c>
      <c r="E4" s="127" t="s">
        <v>8284</v>
      </c>
      <c r="F4" s="127" t="s">
        <v>8285</v>
      </c>
      <c r="G4" s="127" t="s">
        <v>178</v>
      </c>
      <c r="H4" s="127" t="s">
        <v>8286</v>
      </c>
      <c r="I4" s="127" t="s">
        <v>8287</v>
      </c>
      <c r="J4" s="127" t="s">
        <v>165</v>
      </c>
      <c r="K4" s="127" t="s">
        <v>94</v>
      </c>
      <c r="L4" s="127" t="s">
        <v>8288</v>
      </c>
      <c r="M4" s="127" t="s">
        <v>8289</v>
      </c>
      <c r="N4" s="127" t="s">
        <v>8290</v>
      </c>
      <c r="O4" s="127" t="s">
        <v>71</v>
      </c>
      <c r="P4" s="127" t="s">
        <v>8291</v>
      </c>
      <c r="Q4" s="127" t="s">
        <v>8292</v>
      </c>
      <c r="R4" s="127" t="s">
        <v>216</v>
      </c>
      <c r="S4" s="127" t="s">
        <v>8293</v>
      </c>
      <c r="T4" s="127" t="s">
        <v>8294</v>
      </c>
      <c r="U4" s="127" t="s">
        <v>212</v>
      </c>
      <c r="V4" s="127" t="s">
        <v>8295</v>
      </c>
      <c r="W4" s="127" t="s">
        <v>8296</v>
      </c>
      <c r="X4" s="127" t="s">
        <v>2492</v>
      </c>
      <c r="Y4" s="127" t="s">
        <v>8297</v>
      </c>
      <c r="Z4" s="127" t="s">
        <v>8298</v>
      </c>
      <c r="AA4" s="127" t="s">
        <v>8299</v>
      </c>
      <c r="AB4" s="127" t="s">
        <v>221</v>
      </c>
      <c r="AC4" s="127" t="s">
        <v>8300</v>
      </c>
      <c r="AD4" s="127" t="s">
        <v>8301</v>
      </c>
      <c r="AE4" s="127" t="s">
        <v>8302</v>
      </c>
      <c r="AF4" s="127" t="s">
        <v>553</v>
      </c>
      <c r="AG4" s="127" t="s">
        <v>8303</v>
      </c>
      <c r="AH4" s="127" t="s">
        <v>182</v>
      </c>
      <c r="AI4" s="127" t="s">
        <v>318</v>
      </c>
      <c r="AJ4" s="127" t="s">
        <v>201</v>
      </c>
      <c r="AK4" s="127" t="s">
        <v>188</v>
      </c>
      <c r="AL4" s="127" t="s">
        <v>59</v>
      </c>
      <c r="AM4" s="127" t="s">
        <v>8304</v>
      </c>
      <c r="AN4" s="127" t="s">
        <v>8305</v>
      </c>
      <c r="AO4" s="127" t="s">
        <v>8306</v>
      </c>
      <c r="AP4" s="127" t="s">
        <v>8307</v>
      </c>
      <c r="AQ4" s="127" t="s">
        <v>204</v>
      </c>
      <c r="AR4" s="127" t="s">
        <v>47</v>
      </c>
      <c r="AS4" s="127" t="s">
        <v>56</v>
      </c>
      <c r="AT4" s="127" t="s">
        <v>174</v>
      </c>
      <c r="AU4" s="127" t="s">
        <v>8308</v>
      </c>
      <c r="AV4" s="127" t="s">
        <v>236</v>
      </c>
      <c r="AW4" s="127" t="s">
        <v>8309</v>
      </c>
      <c r="AX4" s="127" t="s">
        <v>8310</v>
      </c>
      <c r="AY4" s="127" t="s">
        <v>265</v>
      </c>
      <c r="AZ4" s="127" t="s">
        <v>324</v>
      </c>
      <c r="BA4" s="127" t="s">
        <v>336</v>
      </c>
      <c r="BB4" s="127" t="s">
        <v>8311</v>
      </c>
      <c r="BC4" s="127" t="s">
        <v>8312</v>
      </c>
      <c r="BD4" s="137" t="s">
        <v>8313</v>
      </c>
    </row>
    <row r="5" spans="1:56">
      <c r="A5" s="125" t="s">
        <v>8283</v>
      </c>
      <c r="B5" s="128">
        <v>0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38">
        <v>0</v>
      </c>
    </row>
    <row r="6" spans="1:56">
      <c r="A6" s="130" t="s">
        <v>30</v>
      </c>
      <c r="B6" s="131"/>
      <c r="C6" s="132">
        <v>0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9">
        <v>0</v>
      </c>
    </row>
    <row r="7" spans="1:56">
      <c r="A7" s="130" t="s">
        <v>31</v>
      </c>
      <c r="B7" s="131"/>
      <c r="C7" s="132"/>
      <c r="D7" s="132">
        <v>0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9">
        <v>0</v>
      </c>
    </row>
    <row r="8" spans="1:56">
      <c r="A8" s="130" t="s">
        <v>8284</v>
      </c>
      <c r="B8" s="131"/>
      <c r="C8" s="132"/>
      <c r="D8" s="132"/>
      <c r="E8" s="132">
        <v>0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9">
        <v>0</v>
      </c>
    </row>
    <row r="9" spans="1:56">
      <c r="A9" s="130" t="s">
        <v>8285</v>
      </c>
      <c r="B9" s="131"/>
      <c r="C9" s="132"/>
      <c r="D9" s="132"/>
      <c r="E9" s="132"/>
      <c r="F9" s="132">
        <v>0</v>
      </c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9">
        <v>0</v>
      </c>
    </row>
    <row r="10" spans="1:56">
      <c r="A10" s="130" t="s">
        <v>178</v>
      </c>
      <c r="B10" s="131"/>
      <c r="C10" s="132"/>
      <c r="D10" s="132"/>
      <c r="E10" s="132"/>
      <c r="F10" s="132"/>
      <c r="G10" s="132">
        <v>0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9">
        <v>0</v>
      </c>
    </row>
    <row r="11" spans="1:56">
      <c r="A11" s="130" t="s">
        <v>8286</v>
      </c>
      <c r="B11" s="131"/>
      <c r="C11" s="132"/>
      <c r="D11" s="132"/>
      <c r="E11" s="132"/>
      <c r="F11" s="132"/>
      <c r="G11" s="132"/>
      <c r="H11" s="132">
        <v>0</v>
      </c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9">
        <v>0</v>
      </c>
    </row>
    <row r="12" spans="1:56">
      <c r="A12" s="130" t="s">
        <v>8287</v>
      </c>
      <c r="B12" s="131"/>
      <c r="C12" s="132"/>
      <c r="D12" s="132"/>
      <c r="E12" s="132"/>
      <c r="F12" s="132"/>
      <c r="G12" s="132"/>
      <c r="H12" s="132"/>
      <c r="I12" s="132"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9">
        <v>0</v>
      </c>
    </row>
    <row r="13" spans="1:56">
      <c r="A13" s="130" t="s">
        <v>165</v>
      </c>
      <c r="B13" s="131"/>
      <c r="C13" s="132"/>
      <c r="D13" s="132"/>
      <c r="E13" s="132"/>
      <c r="F13" s="132"/>
      <c r="G13" s="132"/>
      <c r="H13" s="132"/>
      <c r="I13" s="132"/>
      <c r="J13" s="132"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9">
        <v>0</v>
      </c>
    </row>
    <row r="14" spans="1:56">
      <c r="A14" s="130" t="s">
        <v>94</v>
      </c>
      <c r="B14" s="131"/>
      <c r="C14" s="132"/>
      <c r="D14" s="132"/>
      <c r="E14" s="132"/>
      <c r="F14" s="132"/>
      <c r="G14" s="132"/>
      <c r="H14" s="132"/>
      <c r="I14" s="132"/>
      <c r="J14" s="132"/>
      <c r="K14" s="132">
        <v>0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9">
        <v>0</v>
      </c>
    </row>
    <row r="15" spans="1:56">
      <c r="A15" s="130" t="s">
        <v>8288</v>
      </c>
      <c r="B15" s="131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0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9">
        <v>0</v>
      </c>
    </row>
    <row r="16" spans="1:56">
      <c r="A16" s="130" t="s">
        <v>8289</v>
      </c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>
        <v>0</v>
      </c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9">
        <v>0</v>
      </c>
    </row>
    <row r="17" spans="1:56">
      <c r="A17" s="130" t="s">
        <v>8290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>
        <v>0</v>
      </c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9">
        <v>0</v>
      </c>
    </row>
    <row r="18" spans="1:56">
      <c r="A18" s="130" t="s">
        <v>71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9">
        <v>0</v>
      </c>
    </row>
    <row r="19" spans="1:56">
      <c r="A19" s="130" t="s">
        <v>8291</v>
      </c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>
        <v>0</v>
      </c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9">
        <v>0</v>
      </c>
    </row>
    <row r="20" spans="1:56">
      <c r="A20" s="130" t="s">
        <v>8292</v>
      </c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>
        <v>0</v>
      </c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9">
        <v>0</v>
      </c>
    </row>
    <row r="21" spans="1:56">
      <c r="A21" s="130" t="s">
        <v>216</v>
      </c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>
        <v>0</v>
      </c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9">
        <v>0</v>
      </c>
    </row>
    <row r="22" spans="1:56">
      <c r="A22" s="130" t="s">
        <v>8293</v>
      </c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>
        <v>0</v>
      </c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9">
        <v>0</v>
      </c>
    </row>
    <row r="23" spans="1:56">
      <c r="A23" s="130" t="s">
        <v>8294</v>
      </c>
      <c r="B23" s="13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>
        <v>0</v>
      </c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9">
        <v>0</v>
      </c>
    </row>
    <row r="24" spans="1:56">
      <c r="A24" s="130" t="s">
        <v>212</v>
      </c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0</v>
      </c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9">
        <v>0</v>
      </c>
    </row>
    <row r="25" spans="1:56">
      <c r="A25" s="130" t="s">
        <v>8295</v>
      </c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>
        <v>0</v>
      </c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9">
        <v>0</v>
      </c>
    </row>
    <row r="26" spans="1:56">
      <c r="A26" s="130" t="s">
        <v>8296</v>
      </c>
      <c r="B26" s="13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9">
        <v>0</v>
      </c>
    </row>
    <row r="27" spans="1:56">
      <c r="A27" s="130" t="s">
        <v>2492</v>
      </c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>
        <v>0</v>
      </c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9">
        <v>0</v>
      </c>
    </row>
    <row r="28" spans="1:56">
      <c r="A28" s="130" t="s">
        <v>8297</v>
      </c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9">
        <v>0</v>
      </c>
    </row>
    <row r="29" spans="1:56">
      <c r="A29" s="130" t="s">
        <v>8298</v>
      </c>
      <c r="B29" s="13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>
        <v>0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9">
        <v>0</v>
      </c>
    </row>
    <row r="30" spans="1:56">
      <c r="A30" s="130" t="s">
        <v>8299</v>
      </c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>
        <v>0</v>
      </c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9">
        <v>0</v>
      </c>
    </row>
    <row r="31" spans="1:56">
      <c r="A31" s="130" t="s">
        <v>221</v>
      </c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>
        <v>0</v>
      </c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9">
        <v>0</v>
      </c>
    </row>
    <row r="32" spans="1:56">
      <c r="A32" s="130" t="s">
        <v>8300</v>
      </c>
      <c r="B32" s="13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>
        <v>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9">
        <v>0</v>
      </c>
    </row>
    <row r="33" spans="1:56">
      <c r="A33" s="130" t="s">
        <v>8301</v>
      </c>
      <c r="B33" s="13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>
        <v>0</v>
      </c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9">
        <v>0</v>
      </c>
    </row>
    <row r="34" spans="1:56">
      <c r="A34" s="130" t="s">
        <v>8302</v>
      </c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>
        <v>0</v>
      </c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9">
        <v>0</v>
      </c>
    </row>
    <row r="35" spans="1:56">
      <c r="A35" s="130" t="s">
        <v>553</v>
      </c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>
        <v>0</v>
      </c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9">
        <v>0</v>
      </c>
    </row>
    <row r="36" spans="1:56">
      <c r="A36" s="130" t="s">
        <v>8303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>
        <v>0</v>
      </c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9">
        <v>0</v>
      </c>
    </row>
    <row r="37" spans="1:56">
      <c r="A37" s="130" t="s">
        <v>182</v>
      </c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>
        <v>0</v>
      </c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9">
        <v>0</v>
      </c>
    </row>
    <row r="38" spans="1:56">
      <c r="A38" s="130" t="s">
        <v>318</v>
      </c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>
        <v>0</v>
      </c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9">
        <v>0</v>
      </c>
    </row>
    <row r="39" spans="1:56">
      <c r="A39" s="130" t="s">
        <v>201</v>
      </c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>
        <v>0</v>
      </c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9">
        <v>0</v>
      </c>
    </row>
    <row r="40" spans="1:56">
      <c r="A40" s="130" t="s">
        <v>188</v>
      </c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>
        <v>0</v>
      </c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9">
        <v>0</v>
      </c>
    </row>
    <row r="41" spans="1:56">
      <c r="A41" s="130" t="s">
        <v>59</v>
      </c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>
        <v>0</v>
      </c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9">
        <v>0</v>
      </c>
    </row>
    <row r="42" spans="1:56">
      <c r="A42" s="130" t="s">
        <v>8304</v>
      </c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>
        <v>0</v>
      </c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9">
        <v>0</v>
      </c>
    </row>
    <row r="43" spans="1:56">
      <c r="A43" s="130" t="s">
        <v>8305</v>
      </c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9">
        <v>0</v>
      </c>
    </row>
    <row r="44" spans="1:56">
      <c r="A44" s="130" t="s">
        <v>8306</v>
      </c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9">
        <v>0</v>
      </c>
    </row>
    <row r="45" spans="1:56">
      <c r="A45" s="130" t="s">
        <v>8307</v>
      </c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>
        <v>0</v>
      </c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9">
        <v>0</v>
      </c>
    </row>
    <row r="46" spans="1:56">
      <c r="A46" s="130" t="s">
        <v>204</v>
      </c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>
        <v>0</v>
      </c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9">
        <v>0</v>
      </c>
    </row>
    <row r="47" spans="1:56">
      <c r="A47" s="130" t="s">
        <v>47</v>
      </c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>
        <v>0</v>
      </c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9">
        <v>0</v>
      </c>
    </row>
    <row r="48" spans="1:56">
      <c r="A48" s="130" t="s">
        <v>56</v>
      </c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>
        <v>0</v>
      </c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9">
        <v>0</v>
      </c>
    </row>
    <row r="49" spans="1:56">
      <c r="A49" s="130" t="s">
        <v>174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>
        <v>0</v>
      </c>
      <c r="AU49" s="132"/>
      <c r="AV49" s="132"/>
      <c r="AW49" s="132"/>
      <c r="AX49" s="132"/>
      <c r="AY49" s="132"/>
      <c r="AZ49" s="132"/>
      <c r="BA49" s="132"/>
      <c r="BB49" s="132"/>
      <c r="BC49" s="132"/>
      <c r="BD49" s="139">
        <v>0</v>
      </c>
    </row>
    <row r="50" spans="1:56">
      <c r="A50" s="130" t="s">
        <v>8308</v>
      </c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>
        <v>0</v>
      </c>
      <c r="AV50" s="132"/>
      <c r="AW50" s="132"/>
      <c r="AX50" s="132"/>
      <c r="AY50" s="132"/>
      <c r="AZ50" s="132"/>
      <c r="BA50" s="132"/>
      <c r="BB50" s="132"/>
      <c r="BC50" s="132"/>
      <c r="BD50" s="139">
        <v>0</v>
      </c>
    </row>
    <row r="51" spans="1:56">
      <c r="A51" s="130" t="s">
        <v>236</v>
      </c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>
        <v>0</v>
      </c>
      <c r="AW51" s="132"/>
      <c r="AX51" s="132"/>
      <c r="AY51" s="132"/>
      <c r="AZ51" s="132"/>
      <c r="BA51" s="132"/>
      <c r="BB51" s="132"/>
      <c r="BC51" s="132"/>
      <c r="BD51" s="139">
        <v>0</v>
      </c>
    </row>
    <row r="52" spans="1:56">
      <c r="A52" s="130" t="s">
        <v>8309</v>
      </c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>
        <v>0</v>
      </c>
      <c r="AX52" s="132"/>
      <c r="AY52" s="132"/>
      <c r="AZ52" s="132"/>
      <c r="BA52" s="132"/>
      <c r="BB52" s="132"/>
      <c r="BC52" s="132"/>
      <c r="BD52" s="139">
        <v>0</v>
      </c>
    </row>
    <row r="53" spans="1:56">
      <c r="A53" s="130" t="s">
        <v>8310</v>
      </c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>
        <v>0</v>
      </c>
      <c r="AY53" s="132"/>
      <c r="AZ53" s="132"/>
      <c r="BA53" s="132"/>
      <c r="BB53" s="132"/>
      <c r="BC53" s="132"/>
      <c r="BD53" s="139">
        <v>0</v>
      </c>
    </row>
    <row r="54" spans="1:56">
      <c r="A54" s="130" t="s">
        <v>265</v>
      </c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>
        <v>0</v>
      </c>
      <c r="AZ54" s="132"/>
      <c r="BA54" s="132"/>
      <c r="BB54" s="132"/>
      <c r="BC54" s="132"/>
      <c r="BD54" s="139">
        <v>0</v>
      </c>
    </row>
    <row r="55" spans="1:56">
      <c r="A55" s="130" t="s">
        <v>324</v>
      </c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>
        <v>0</v>
      </c>
      <c r="BA55" s="132"/>
      <c r="BB55" s="132"/>
      <c r="BC55" s="132"/>
      <c r="BD55" s="139">
        <v>0</v>
      </c>
    </row>
    <row r="56" spans="1:56">
      <c r="A56" s="130" t="s">
        <v>336</v>
      </c>
      <c r="B56" s="13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>
        <v>0</v>
      </c>
      <c r="BB56" s="132"/>
      <c r="BC56" s="132"/>
      <c r="BD56" s="139">
        <v>0</v>
      </c>
    </row>
    <row r="57" spans="1:56">
      <c r="A57" s="130" t="s">
        <v>8311</v>
      </c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>
        <v>0</v>
      </c>
      <c r="BC57" s="132"/>
      <c r="BD57" s="139">
        <v>0</v>
      </c>
    </row>
    <row r="58" spans="1:56">
      <c r="A58" s="130" t="s">
        <v>8312</v>
      </c>
      <c r="B58" s="13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>
        <v>0</v>
      </c>
      <c r="BD58" s="139">
        <v>0</v>
      </c>
    </row>
    <row r="59" spans="1:56">
      <c r="A59" s="133" t="s">
        <v>8313</v>
      </c>
      <c r="B59" s="134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40">
        <v>0</v>
      </c>
    </row>
  </sheetData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7">
    <tabColor rgb="FFFF0000"/>
  </sheetPr>
  <dimension ref="A3:BD59"/>
  <sheetViews>
    <sheetView workbookViewId="0">
      <selection activeCell="A1" sqref="A1"/>
    </sheetView>
  </sheetViews>
  <sheetFormatPr defaultColWidth="9" defaultRowHeight="14.25"/>
  <cols>
    <col min="1" max="1" width="11.875" customWidth="1"/>
    <col min="2" max="55" width="9.125" customWidth="1"/>
    <col min="56" max="56" width="10.375" customWidth="1"/>
  </cols>
  <sheetData>
    <row r="3" spans="1:56">
      <c r="A3" s="125" t="s">
        <v>8324</v>
      </c>
      <c r="B3" s="125" t="s">
        <v>8281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36"/>
    </row>
    <row r="4" spans="1:56">
      <c r="A4" s="125" t="s">
        <v>8282</v>
      </c>
      <c r="B4" s="125" t="s">
        <v>8283</v>
      </c>
      <c r="C4" s="127" t="s">
        <v>30</v>
      </c>
      <c r="D4" s="127" t="s">
        <v>31</v>
      </c>
      <c r="E4" s="127" t="s">
        <v>8284</v>
      </c>
      <c r="F4" s="127" t="s">
        <v>8285</v>
      </c>
      <c r="G4" s="127" t="s">
        <v>178</v>
      </c>
      <c r="H4" s="127" t="s">
        <v>8286</v>
      </c>
      <c r="I4" s="127" t="s">
        <v>8287</v>
      </c>
      <c r="J4" s="127" t="s">
        <v>165</v>
      </c>
      <c r="K4" s="127" t="s">
        <v>94</v>
      </c>
      <c r="L4" s="127" t="s">
        <v>8288</v>
      </c>
      <c r="M4" s="127" t="s">
        <v>8289</v>
      </c>
      <c r="N4" s="127" t="s">
        <v>8290</v>
      </c>
      <c r="O4" s="127" t="s">
        <v>71</v>
      </c>
      <c r="P4" s="127" t="s">
        <v>8291</v>
      </c>
      <c r="Q4" s="127" t="s">
        <v>8292</v>
      </c>
      <c r="R4" s="127" t="s">
        <v>216</v>
      </c>
      <c r="S4" s="127" t="s">
        <v>8293</v>
      </c>
      <c r="T4" s="127" t="s">
        <v>8294</v>
      </c>
      <c r="U4" s="127" t="s">
        <v>212</v>
      </c>
      <c r="V4" s="127" t="s">
        <v>8295</v>
      </c>
      <c r="W4" s="127" t="s">
        <v>8296</v>
      </c>
      <c r="X4" s="127" t="s">
        <v>2492</v>
      </c>
      <c r="Y4" s="127" t="s">
        <v>8297</v>
      </c>
      <c r="Z4" s="127" t="s">
        <v>8298</v>
      </c>
      <c r="AA4" s="127" t="s">
        <v>8299</v>
      </c>
      <c r="AB4" s="127" t="s">
        <v>221</v>
      </c>
      <c r="AC4" s="127" t="s">
        <v>8300</v>
      </c>
      <c r="AD4" s="127" t="s">
        <v>8301</v>
      </c>
      <c r="AE4" s="127" t="s">
        <v>8302</v>
      </c>
      <c r="AF4" s="127" t="s">
        <v>553</v>
      </c>
      <c r="AG4" s="127" t="s">
        <v>8303</v>
      </c>
      <c r="AH4" s="127" t="s">
        <v>182</v>
      </c>
      <c r="AI4" s="127" t="s">
        <v>318</v>
      </c>
      <c r="AJ4" s="127" t="s">
        <v>201</v>
      </c>
      <c r="AK4" s="127" t="s">
        <v>188</v>
      </c>
      <c r="AL4" s="127" t="s">
        <v>59</v>
      </c>
      <c r="AM4" s="127" t="s">
        <v>8304</v>
      </c>
      <c r="AN4" s="127" t="s">
        <v>8305</v>
      </c>
      <c r="AO4" s="127" t="s">
        <v>8306</v>
      </c>
      <c r="AP4" s="127" t="s">
        <v>8307</v>
      </c>
      <c r="AQ4" s="127" t="s">
        <v>204</v>
      </c>
      <c r="AR4" s="127" t="s">
        <v>47</v>
      </c>
      <c r="AS4" s="127" t="s">
        <v>56</v>
      </c>
      <c r="AT4" s="127" t="s">
        <v>174</v>
      </c>
      <c r="AU4" s="127" t="s">
        <v>8308</v>
      </c>
      <c r="AV4" s="127" t="s">
        <v>236</v>
      </c>
      <c r="AW4" s="127" t="s">
        <v>8309</v>
      </c>
      <c r="AX4" s="127" t="s">
        <v>8310</v>
      </c>
      <c r="AY4" s="127" t="s">
        <v>265</v>
      </c>
      <c r="AZ4" s="127" t="s">
        <v>324</v>
      </c>
      <c r="BA4" s="127" t="s">
        <v>336</v>
      </c>
      <c r="BB4" s="127" t="s">
        <v>8311</v>
      </c>
      <c r="BC4" s="127" t="s">
        <v>8312</v>
      </c>
      <c r="BD4" s="137" t="s">
        <v>8313</v>
      </c>
    </row>
    <row r="5" spans="1:56">
      <c r="A5" s="125" t="s">
        <v>8283</v>
      </c>
      <c r="B5" s="128">
        <v>0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38">
        <v>0</v>
      </c>
    </row>
    <row r="6" spans="1:56">
      <c r="A6" s="130" t="s">
        <v>30</v>
      </c>
      <c r="B6" s="131"/>
      <c r="C6" s="132">
        <v>0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9">
        <v>0</v>
      </c>
    </row>
    <row r="7" spans="1:56">
      <c r="A7" s="130" t="s">
        <v>31</v>
      </c>
      <c r="B7" s="131"/>
      <c r="C7" s="132"/>
      <c r="D7" s="132">
        <v>0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9">
        <v>0</v>
      </c>
    </row>
    <row r="8" spans="1:56">
      <c r="A8" s="130" t="s">
        <v>8284</v>
      </c>
      <c r="B8" s="131"/>
      <c r="C8" s="132"/>
      <c r="D8" s="132"/>
      <c r="E8" s="132">
        <v>0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9">
        <v>0</v>
      </c>
    </row>
    <row r="9" spans="1:56">
      <c r="A9" s="130" t="s">
        <v>8285</v>
      </c>
      <c r="B9" s="131"/>
      <c r="C9" s="132"/>
      <c r="D9" s="132"/>
      <c r="E9" s="132"/>
      <c r="F9" s="132">
        <v>0</v>
      </c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9">
        <v>0</v>
      </c>
    </row>
    <row r="10" spans="1:56">
      <c r="A10" s="130" t="s">
        <v>178</v>
      </c>
      <c r="B10" s="131"/>
      <c r="C10" s="132"/>
      <c r="D10" s="132"/>
      <c r="E10" s="132"/>
      <c r="F10" s="132"/>
      <c r="G10" s="132">
        <v>0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9">
        <v>0</v>
      </c>
    </row>
    <row r="11" spans="1:56">
      <c r="A11" s="130" t="s">
        <v>8286</v>
      </c>
      <c r="B11" s="131"/>
      <c r="C11" s="132"/>
      <c r="D11" s="132"/>
      <c r="E11" s="132"/>
      <c r="F11" s="132"/>
      <c r="G11" s="132"/>
      <c r="H11" s="132">
        <v>0</v>
      </c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9">
        <v>0</v>
      </c>
    </row>
    <row r="12" spans="1:56">
      <c r="A12" s="130" t="s">
        <v>8287</v>
      </c>
      <c r="B12" s="131"/>
      <c r="C12" s="132"/>
      <c r="D12" s="132"/>
      <c r="E12" s="132"/>
      <c r="F12" s="132"/>
      <c r="G12" s="132"/>
      <c r="H12" s="132"/>
      <c r="I12" s="132"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9">
        <v>0</v>
      </c>
    </row>
    <row r="13" spans="1:56">
      <c r="A13" s="130" t="s">
        <v>165</v>
      </c>
      <c r="B13" s="131"/>
      <c r="C13" s="132"/>
      <c r="D13" s="132"/>
      <c r="E13" s="132"/>
      <c r="F13" s="132"/>
      <c r="G13" s="132"/>
      <c r="H13" s="132"/>
      <c r="I13" s="132"/>
      <c r="J13" s="132"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9">
        <v>0</v>
      </c>
    </row>
    <row r="14" spans="1:56">
      <c r="A14" s="130" t="s">
        <v>94</v>
      </c>
      <c r="B14" s="131"/>
      <c r="C14" s="132"/>
      <c r="D14" s="132"/>
      <c r="E14" s="132"/>
      <c r="F14" s="132"/>
      <c r="G14" s="132"/>
      <c r="H14" s="132"/>
      <c r="I14" s="132"/>
      <c r="J14" s="132"/>
      <c r="K14" s="132">
        <v>0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9">
        <v>0</v>
      </c>
    </row>
    <row r="15" spans="1:56">
      <c r="A15" s="130" t="s">
        <v>8288</v>
      </c>
      <c r="B15" s="131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0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9">
        <v>0</v>
      </c>
    </row>
    <row r="16" spans="1:56">
      <c r="A16" s="130" t="s">
        <v>8289</v>
      </c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>
        <v>0</v>
      </c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9">
        <v>0</v>
      </c>
    </row>
    <row r="17" spans="1:56">
      <c r="A17" s="130" t="s">
        <v>8290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>
        <v>0</v>
      </c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9">
        <v>0</v>
      </c>
    </row>
    <row r="18" spans="1:56">
      <c r="A18" s="130" t="s">
        <v>71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9">
        <v>0</v>
      </c>
    </row>
    <row r="19" spans="1:56">
      <c r="A19" s="130" t="s">
        <v>8291</v>
      </c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>
        <v>0</v>
      </c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9">
        <v>0</v>
      </c>
    </row>
    <row r="20" spans="1:56">
      <c r="A20" s="130" t="s">
        <v>8292</v>
      </c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>
        <v>0</v>
      </c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9">
        <v>0</v>
      </c>
    </row>
    <row r="21" spans="1:56">
      <c r="A21" s="130" t="s">
        <v>216</v>
      </c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>
        <v>0</v>
      </c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9">
        <v>0</v>
      </c>
    </row>
    <row r="22" spans="1:56">
      <c r="A22" s="130" t="s">
        <v>8293</v>
      </c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>
        <v>0</v>
      </c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9">
        <v>0</v>
      </c>
    </row>
    <row r="23" spans="1:56">
      <c r="A23" s="130" t="s">
        <v>8294</v>
      </c>
      <c r="B23" s="13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>
        <v>0</v>
      </c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9">
        <v>0</v>
      </c>
    </row>
    <row r="24" spans="1:56">
      <c r="A24" s="130" t="s">
        <v>212</v>
      </c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0</v>
      </c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9">
        <v>0</v>
      </c>
    </row>
    <row r="25" spans="1:56">
      <c r="A25" s="130" t="s">
        <v>8295</v>
      </c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>
        <v>0</v>
      </c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9">
        <v>0</v>
      </c>
    </row>
    <row r="26" spans="1:56">
      <c r="A26" s="130" t="s">
        <v>8296</v>
      </c>
      <c r="B26" s="13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9">
        <v>0</v>
      </c>
    </row>
    <row r="27" spans="1:56">
      <c r="A27" s="130" t="s">
        <v>2492</v>
      </c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>
        <v>0</v>
      </c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9">
        <v>0</v>
      </c>
    </row>
    <row r="28" spans="1:56">
      <c r="A28" s="130" t="s">
        <v>8297</v>
      </c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9">
        <v>0</v>
      </c>
    </row>
    <row r="29" spans="1:56">
      <c r="A29" s="130" t="s">
        <v>8298</v>
      </c>
      <c r="B29" s="13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>
        <v>0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9">
        <v>0</v>
      </c>
    </row>
    <row r="30" spans="1:56">
      <c r="A30" s="130" t="s">
        <v>8299</v>
      </c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>
        <v>0</v>
      </c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9">
        <v>0</v>
      </c>
    </row>
    <row r="31" spans="1:56">
      <c r="A31" s="130" t="s">
        <v>221</v>
      </c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>
        <v>0</v>
      </c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9">
        <v>0</v>
      </c>
    </row>
    <row r="32" spans="1:56">
      <c r="A32" s="130" t="s">
        <v>8300</v>
      </c>
      <c r="B32" s="13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>
        <v>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9">
        <v>0</v>
      </c>
    </row>
    <row r="33" spans="1:56">
      <c r="A33" s="130" t="s">
        <v>8301</v>
      </c>
      <c r="B33" s="13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>
        <v>0</v>
      </c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9">
        <v>0</v>
      </c>
    </row>
    <row r="34" spans="1:56">
      <c r="A34" s="130" t="s">
        <v>8302</v>
      </c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>
        <v>0</v>
      </c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9">
        <v>0</v>
      </c>
    </row>
    <row r="35" spans="1:56">
      <c r="A35" s="130" t="s">
        <v>553</v>
      </c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>
        <v>0</v>
      </c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9">
        <v>0</v>
      </c>
    </row>
    <row r="36" spans="1:56">
      <c r="A36" s="130" t="s">
        <v>8303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>
        <v>0</v>
      </c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9">
        <v>0</v>
      </c>
    </row>
    <row r="37" spans="1:56">
      <c r="A37" s="130" t="s">
        <v>182</v>
      </c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>
        <v>0</v>
      </c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9">
        <v>0</v>
      </c>
    </row>
    <row r="38" spans="1:56">
      <c r="A38" s="130" t="s">
        <v>318</v>
      </c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>
        <v>0</v>
      </c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9">
        <v>0</v>
      </c>
    </row>
    <row r="39" spans="1:56">
      <c r="A39" s="130" t="s">
        <v>201</v>
      </c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>
        <v>0</v>
      </c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9">
        <v>0</v>
      </c>
    </row>
    <row r="40" spans="1:56">
      <c r="A40" s="130" t="s">
        <v>188</v>
      </c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>
        <v>0</v>
      </c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9">
        <v>0</v>
      </c>
    </row>
    <row r="41" spans="1:56">
      <c r="A41" s="130" t="s">
        <v>59</v>
      </c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>
        <v>0</v>
      </c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9">
        <v>0</v>
      </c>
    </row>
    <row r="42" spans="1:56">
      <c r="A42" s="130" t="s">
        <v>8304</v>
      </c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>
        <v>0</v>
      </c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9">
        <v>0</v>
      </c>
    </row>
    <row r="43" spans="1:56">
      <c r="A43" s="130" t="s">
        <v>8305</v>
      </c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9">
        <v>0</v>
      </c>
    </row>
    <row r="44" spans="1:56">
      <c r="A44" s="130" t="s">
        <v>8306</v>
      </c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9">
        <v>0</v>
      </c>
    </row>
    <row r="45" spans="1:56">
      <c r="A45" s="130" t="s">
        <v>8307</v>
      </c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>
        <v>0</v>
      </c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9">
        <v>0</v>
      </c>
    </row>
    <row r="46" spans="1:56">
      <c r="A46" s="130" t="s">
        <v>204</v>
      </c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>
        <v>0</v>
      </c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9">
        <v>0</v>
      </c>
    </row>
    <row r="47" spans="1:56">
      <c r="A47" s="130" t="s">
        <v>47</v>
      </c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>
        <v>0</v>
      </c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9">
        <v>0</v>
      </c>
    </row>
    <row r="48" spans="1:56">
      <c r="A48" s="130" t="s">
        <v>56</v>
      </c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>
        <v>0</v>
      </c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9">
        <v>0</v>
      </c>
    </row>
    <row r="49" spans="1:56">
      <c r="A49" s="130" t="s">
        <v>174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>
        <v>0</v>
      </c>
      <c r="AU49" s="132"/>
      <c r="AV49" s="132"/>
      <c r="AW49" s="132"/>
      <c r="AX49" s="132"/>
      <c r="AY49" s="132"/>
      <c r="AZ49" s="132"/>
      <c r="BA49" s="132"/>
      <c r="BB49" s="132"/>
      <c r="BC49" s="132"/>
      <c r="BD49" s="139">
        <v>0</v>
      </c>
    </row>
    <row r="50" spans="1:56">
      <c r="A50" s="130" t="s">
        <v>8308</v>
      </c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>
        <v>0</v>
      </c>
      <c r="AV50" s="132"/>
      <c r="AW50" s="132"/>
      <c r="AX50" s="132"/>
      <c r="AY50" s="132"/>
      <c r="AZ50" s="132"/>
      <c r="BA50" s="132"/>
      <c r="BB50" s="132"/>
      <c r="BC50" s="132"/>
      <c r="BD50" s="139">
        <v>0</v>
      </c>
    </row>
    <row r="51" spans="1:56">
      <c r="A51" s="130" t="s">
        <v>236</v>
      </c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>
        <v>0</v>
      </c>
      <c r="AW51" s="132"/>
      <c r="AX51" s="132"/>
      <c r="AY51" s="132"/>
      <c r="AZ51" s="132"/>
      <c r="BA51" s="132"/>
      <c r="BB51" s="132"/>
      <c r="BC51" s="132"/>
      <c r="BD51" s="139">
        <v>0</v>
      </c>
    </row>
    <row r="52" spans="1:56">
      <c r="A52" s="130" t="s">
        <v>8309</v>
      </c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>
        <v>0</v>
      </c>
      <c r="AX52" s="132"/>
      <c r="AY52" s="132"/>
      <c r="AZ52" s="132"/>
      <c r="BA52" s="132"/>
      <c r="BB52" s="132"/>
      <c r="BC52" s="132"/>
      <c r="BD52" s="139">
        <v>0</v>
      </c>
    </row>
    <row r="53" spans="1:56">
      <c r="A53" s="130" t="s">
        <v>8310</v>
      </c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>
        <v>0</v>
      </c>
      <c r="AY53" s="132"/>
      <c r="AZ53" s="132"/>
      <c r="BA53" s="132"/>
      <c r="BB53" s="132"/>
      <c r="BC53" s="132"/>
      <c r="BD53" s="139">
        <v>0</v>
      </c>
    </row>
    <row r="54" spans="1:56">
      <c r="A54" s="130" t="s">
        <v>265</v>
      </c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>
        <v>0</v>
      </c>
      <c r="AZ54" s="132"/>
      <c r="BA54" s="132"/>
      <c r="BB54" s="132"/>
      <c r="BC54" s="132"/>
      <c r="BD54" s="139">
        <v>0</v>
      </c>
    </row>
    <row r="55" spans="1:56">
      <c r="A55" s="130" t="s">
        <v>324</v>
      </c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>
        <v>0</v>
      </c>
      <c r="BA55" s="132"/>
      <c r="BB55" s="132"/>
      <c r="BC55" s="132"/>
      <c r="BD55" s="139">
        <v>0</v>
      </c>
    </row>
    <row r="56" spans="1:56">
      <c r="A56" s="130" t="s">
        <v>336</v>
      </c>
      <c r="B56" s="13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>
        <v>0</v>
      </c>
      <c r="BB56" s="132"/>
      <c r="BC56" s="132"/>
      <c r="BD56" s="139">
        <v>0</v>
      </c>
    </row>
    <row r="57" spans="1:56">
      <c r="A57" s="130" t="s">
        <v>8311</v>
      </c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>
        <v>0</v>
      </c>
      <c r="BC57" s="132"/>
      <c r="BD57" s="139">
        <v>0</v>
      </c>
    </row>
    <row r="58" spans="1:56">
      <c r="A58" s="130" t="s">
        <v>8312</v>
      </c>
      <c r="B58" s="13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>
        <v>0</v>
      </c>
      <c r="BD58" s="139">
        <v>0</v>
      </c>
    </row>
    <row r="59" spans="1:56">
      <c r="A59" s="133" t="s">
        <v>8313</v>
      </c>
      <c r="B59" s="134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40">
        <v>0</v>
      </c>
    </row>
  </sheetData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8">
    <tabColor rgb="FFFF0000"/>
  </sheetPr>
  <dimension ref="A3:BD59"/>
  <sheetViews>
    <sheetView workbookViewId="0">
      <selection activeCell="A1" sqref="A1"/>
    </sheetView>
  </sheetViews>
  <sheetFormatPr defaultColWidth="9" defaultRowHeight="14.25"/>
  <cols>
    <col min="1" max="1" width="11.875" customWidth="1"/>
    <col min="2" max="55" width="9.125" customWidth="1"/>
    <col min="56" max="56" width="10.375" customWidth="1"/>
  </cols>
  <sheetData>
    <row r="3" spans="1:56">
      <c r="A3" s="125" t="s">
        <v>8325</v>
      </c>
      <c r="B3" s="125" t="s">
        <v>8281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36"/>
    </row>
    <row r="4" spans="1:56">
      <c r="A4" s="125" t="s">
        <v>8282</v>
      </c>
      <c r="B4" s="125" t="s">
        <v>8283</v>
      </c>
      <c r="C4" s="127" t="s">
        <v>30</v>
      </c>
      <c r="D4" s="127" t="s">
        <v>31</v>
      </c>
      <c r="E4" s="127" t="s">
        <v>8284</v>
      </c>
      <c r="F4" s="127" t="s">
        <v>8285</v>
      </c>
      <c r="G4" s="127" t="s">
        <v>178</v>
      </c>
      <c r="H4" s="127" t="s">
        <v>8286</v>
      </c>
      <c r="I4" s="127" t="s">
        <v>8287</v>
      </c>
      <c r="J4" s="127" t="s">
        <v>165</v>
      </c>
      <c r="K4" s="127" t="s">
        <v>94</v>
      </c>
      <c r="L4" s="127" t="s">
        <v>8288</v>
      </c>
      <c r="M4" s="127" t="s">
        <v>8289</v>
      </c>
      <c r="N4" s="127" t="s">
        <v>8290</v>
      </c>
      <c r="O4" s="127" t="s">
        <v>71</v>
      </c>
      <c r="P4" s="127" t="s">
        <v>8291</v>
      </c>
      <c r="Q4" s="127" t="s">
        <v>8292</v>
      </c>
      <c r="R4" s="127" t="s">
        <v>216</v>
      </c>
      <c r="S4" s="127" t="s">
        <v>8293</v>
      </c>
      <c r="T4" s="127" t="s">
        <v>8294</v>
      </c>
      <c r="U4" s="127" t="s">
        <v>212</v>
      </c>
      <c r="V4" s="127" t="s">
        <v>8295</v>
      </c>
      <c r="W4" s="127" t="s">
        <v>8296</v>
      </c>
      <c r="X4" s="127" t="s">
        <v>2492</v>
      </c>
      <c r="Y4" s="127" t="s">
        <v>8297</v>
      </c>
      <c r="Z4" s="127" t="s">
        <v>8298</v>
      </c>
      <c r="AA4" s="127" t="s">
        <v>8299</v>
      </c>
      <c r="AB4" s="127" t="s">
        <v>221</v>
      </c>
      <c r="AC4" s="127" t="s">
        <v>8300</v>
      </c>
      <c r="AD4" s="127" t="s">
        <v>8301</v>
      </c>
      <c r="AE4" s="127" t="s">
        <v>8302</v>
      </c>
      <c r="AF4" s="127" t="s">
        <v>553</v>
      </c>
      <c r="AG4" s="127" t="s">
        <v>8303</v>
      </c>
      <c r="AH4" s="127" t="s">
        <v>182</v>
      </c>
      <c r="AI4" s="127" t="s">
        <v>318</v>
      </c>
      <c r="AJ4" s="127" t="s">
        <v>201</v>
      </c>
      <c r="AK4" s="127" t="s">
        <v>188</v>
      </c>
      <c r="AL4" s="127" t="s">
        <v>59</v>
      </c>
      <c r="AM4" s="127" t="s">
        <v>8304</v>
      </c>
      <c r="AN4" s="127" t="s">
        <v>8305</v>
      </c>
      <c r="AO4" s="127" t="s">
        <v>8306</v>
      </c>
      <c r="AP4" s="127" t="s">
        <v>8307</v>
      </c>
      <c r="AQ4" s="127" t="s">
        <v>204</v>
      </c>
      <c r="AR4" s="127" t="s">
        <v>47</v>
      </c>
      <c r="AS4" s="127" t="s">
        <v>56</v>
      </c>
      <c r="AT4" s="127" t="s">
        <v>174</v>
      </c>
      <c r="AU4" s="127" t="s">
        <v>8308</v>
      </c>
      <c r="AV4" s="127" t="s">
        <v>236</v>
      </c>
      <c r="AW4" s="127" t="s">
        <v>8309</v>
      </c>
      <c r="AX4" s="127" t="s">
        <v>8310</v>
      </c>
      <c r="AY4" s="127" t="s">
        <v>265</v>
      </c>
      <c r="AZ4" s="127" t="s">
        <v>324</v>
      </c>
      <c r="BA4" s="127" t="s">
        <v>336</v>
      </c>
      <c r="BB4" s="127" t="s">
        <v>8311</v>
      </c>
      <c r="BC4" s="127" t="s">
        <v>8312</v>
      </c>
      <c r="BD4" s="137" t="s">
        <v>8313</v>
      </c>
    </row>
    <row r="5" spans="1:56">
      <c r="A5" s="125" t="s">
        <v>8283</v>
      </c>
      <c r="B5" s="128">
        <v>0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38">
        <v>0</v>
      </c>
    </row>
    <row r="6" spans="1:56">
      <c r="A6" s="130" t="s">
        <v>30</v>
      </c>
      <c r="B6" s="131"/>
      <c r="C6" s="132">
        <v>0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9">
        <v>0</v>
      </c>
    </row>
    <row r="7" spans="1:56">
      <c r="A7" s="130" t="s">
        <v>31</v>
      </c>
      <c r="B7" s="131"/>
      <c r="C7" s="132"/>
      <c r="D7" s="132">
        <v>0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9">
        <v>0</v>
      </c>
    </row>
    <row r="8" spans="1:56">
      <c r="A8" s="130" t="s">
        <v>8284</v>
      </c>
      <c r="B8" s="131"/>
      <c r="C8" s="132"/>
      <c r="D8" s="132"/>
      <c r="E8" s="132">
        <v>0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9">
        <v>0</v>
      </c>
    </row>
    <row r="9" spans="1:56">
      <c r="A9" s="130" t="s">
        <v>8285</v>
      </c>
      <c r="B9" s="131"/>
      <c r="C9" s="132"/>
      <c r="D9" s="132"/>
      <c r="E9" s="132"/>
      <c r="F9" s="132">
        <v>0</v>
      </c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9">
        <v>0</v>
      </c>
    </row>
    <row r="10" spans="1:56">
      <c r="A10" s="130" t="s">
        <v>178</v>
      </c>
      <c r="B10" s="131"/>
      <c r="C10" s="132"/>
      <c r="D10" s="132"/>
      <c r="E10" s="132"/>
      <c r="F10" s="132"/>
      <c r="G10" s="132">
        <v>0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9">
        <v>0</v>
      </c>
    </row>
    <row r="11" spans="1:56">
      <c r="A11" s="130" t="s">
        <v>8286</v>
      </c>
      <c r="B11" s="131"/>
      <c r="C11" s="132"/>
      <c r="D11" s="132"/>
      <c r="E11" s="132"/>
      <c r="F11" s="132"/>
      <c r="G11" s="132"/>
      <c r="H11" s="132">
        <v>0</v>
      </c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9">
        <v>0</v>
      </c>
    </row>
    <row r="12" spans="1:56">
      <c r="A12" s="130" t="s">
        <v>8287</v>
      </c>
      <c r="B12" s="131"/>
      <c r="C12" s="132"/>
      <c r="D12" s="132"/>
      <c r="E12" s="132"/>
      <c r="F12" s="132"/>
      <c r="G12" s="132"/>
      <c r="H12" s="132"/>
      <c r="I12" s="132"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9">
        <v>0</v>
      </c>
    </row>
    <row r="13" spans="1:56">
      <c r="A13" s="130" t="s">
        <v>165</v>
      </c>
      <c r="B13" s="131"/>
      <c r="C13" s="132"/>
      <c r="D13" s="132"/>
      <c r="E13" s="132"/>
      <c r="F13" s="132"/>
      <c r="G13" s="132"/>
      <c r="H13" s="132"/>
      <c r="I13" s="132"/>
      <c r="J13" s="132"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9">
        <v>0</v>
      </c>
    </row>
    <row r="14" spans="1:56">
      <c r="A14" s="130" t="s">
        <v>94</v>
      </c>
      <c r="B14" s="131"/>
      <c r="C14" s="132"/>
      <c r="D14" s="132"/>
      <c r="E14" s="132"/>
      <c r="F14" s="132"/>
      <c r="G14" s="132"/>
      <c r="H14" s="132"/>
      <c r="I14" s="132"/>
      <c r="J14" s="132"/>
      <c r="K14" s="132">
        <v>0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9">
        <v>0</v>
      </c>
    </row>
    <row r="15" spans="1:56">
      <c r="A15" s="130" t="s">
        <v>8288</v>
      </c>
      <c r="B15" s="131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0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9">
        <v>0</v>
      </c>
    </row>
    <row r="16" spans="1:56">
      <c r="A16" s="130" t="s">
        <v>8289</v>
      </c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>
        <v>0</v>
      </c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9">
        <v>0</v>
      </c>
    </row>
    <row r="17" spans="1:56">
      <c r="A17" s="130" t="s">
        <v>8290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>
        <v>0</v>
      </c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9">
        <v>0</v>
      </c>
    </row>
    <row r="18" spans="1:56">
      <c r="A18" s="130" t="s">
        <v>71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9">
        <v>0</v>
      </c>
    </row>
    <row r="19" spans="1:56">
      <c r="A19" s="130" t="s">
        <v>8291</v>
      </c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>
        <v>0</v>
      </c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9">
        <v>0</v>
      </c>
    </row>
    <row r="20" spans="1:56">
      <c r="A20" s="130" t="s">
        <v>8292</v>
      </c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>
        <v>0</v>
      </c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9">
        <v>0</v>
      </c>
    </row>
    <row r="21" spans="1:56">
      <c r="A21" s="130" t="s">
        <v>216</v>
      </c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>
        <v>0</v>
      </c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9">
        <v>0</v>
      </c>
    </row>
    <row r="22" spans="1:56">
      <c r="A22" s="130" t="s">
        <v>8293</v>
      </c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>
        <v>0</v>
      </c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9">
        <v>0</v>
      </c>
    </row>
    <row r="23" spans="1:56">
      <c r="A23" s="130" t="s">
        <v>8294</v>
      </c>
      <c r="B23" s="13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>
        <v>0</v>
      </c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9">
        <v>0</v>
      </c>
    </row>
    <row r="24" spans="1:56">
      <c r="A24" s="130" t="s">
        <v>212</v>
      </c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0</v>
      </c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9">
        <v>0</v>
      </c>
    </row>
    <row r="25" spans="1:56">
      <c r="A25" s="130" t="s">
        <v>8295</v>
      </c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>
        <v>0</v>
      </c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9">
        <v>0</v>
      </c>
    </row>
    <row r="26" spans="1:56">
      <c r="A26" s="130" t="s">
        <v>8296</v>
      </c>
      <c r="B26" s="13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9">
        <v>0</v>
      </c>
    </row>
    <row r="27" spans="1:56">
      <c r="A27" s="130" t="s">
        <v>2492</v>
      </c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>
        <v>0</v>
      </c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9">
        <v>0</v>
      </c>
    </row>
    <row r="28" spans="1:56">
      <c r="A28" s="130" t="s">
        <v>8297</v>
      </c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9">
        <v>0</v>
      </c>
    </row>
    <row r="29" spans="1:56">
      <c r="A29" s="130" t="s">
        <v>8298</v>
      </c>
      <c r="B29" s="13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>
        <v>0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9">
        <v>0</v>
      </c>
    </row>
    <row r="30" spans="1:56">
      <c r="A30" s="130" t="s">
        <v>8299</v>
      </c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>
        <v>0</v>
      </c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9">
        <v>0</v>
      </c>
    </row>
    <row r="31" spans="1:56">
      <c r="A31" s="130" t="s">
        <v>221</v>
      </c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>
        <v>0</v>
      </c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9">
        <v>0</v>
      </c>
    </row>
    <row r="32" spans="1:56">
      <c r="A32" s="130" t="s">
        <v>8300</v>
      </c>
      <c r="B32" s="13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>
        <v>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9">
        <v>0</v>
      </c>
    </row>
    <row r="33" spans="1:56">
      <c r="A33" s="130" t="s">
        <v>8301</v>
      </c>
      <c r="B33" s="13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>
        <v>0</v>
      </c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9">
        <v>0</v>
      </c>
    </row>
    <row r="34" spans="1:56">
      <c r="A34" s="130" t="s">
        <v>8302</v>
      </c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>
        <v>0</v>
      </c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9">
        <v>0</v>
      </c>
    </row>
    <row r="35" spans="1:56">
      <c r="A35" s="130" t="s">
        <v>553</v>
      </c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>
        <v>0</v>
      </c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9">
        <v>0</v>
      </c>
    </row>
    <row r="36" spans="1:56">
      <c r="A36" s="130" t="s">
        <v>8303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>
        <v>0</v>
      </c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9">
        <v>0</v>
      </c>
    </row>
    <row r="37" spans="1:56">
      <c r="A37" s="130" t="s">
        <v>182</v>
      </c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>
        <v>0</v>
      </c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9">
        <v>0</v>
      </c>
    </row>
    <row r="38" spans="1:56">
      <c r="A38" s="130" t="s">
        <v>318</v>
      </c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>
        <v>0</v>
      </c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9">
        <v>0</v>
      </c>
    </row>
    <row r="39" spans="1:56">
      <c r="A39" s="130" t="s">
        <v>201</v>
      </c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>
        <v>0</v>
      </c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9">
        <v>0</v>
      </c>
    </row>
    <row r="40" spans="1:56">
      <c r="A40" s="130" t="s">
        <v>188</v>
      </c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>
        <v>0</v>
      </c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9">
        <v>0</v>
      </c>
    </row>
    <row r="41" spans="1:56">
      <c r="A41" s="130" t="s">
        <v>59</v>
      </c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>
        <v>0</v>
      </c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9">
        <v>0</v>
      </c>
    </row>
    <row r="42" spans="1:56">
      <c r="A42" s="130" t="s">
        <v>8304</v>
      </c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>
        <v>0</v>
      </c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9">
        <v>0</v>
      </c>
    </row>
    <row r="43" spans="1:56">
      <c r="A43" s="130" t="s">
        <v>8305</v>
      </c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9">
        <v>0</v>
      </c>
    </row>
    <row r="44" spans="1:56">
      <c r="A44" s="130" t="s">
        <v>8306</v>
      </c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9">
        <v>0</v>
      </c>
    </row>
    <row r="45" spans="1:56">
      <c r="A45" s="130" t="s">
        <v>8307</v>
      </c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>
        <v>0</v>
      </c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9">
        <v>0</v>
      </c>
    </row>
    <row r="46" spans="1:56">
      <c r="A46" s="130" t="s">
        <v>204</v>
      </c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>
        <v>0</v>
      </c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9">
        <v>0</v>
      </c>
    </row>
    <row r="47" spans="1:56">
      <c r="A47" s="130" t="s">
        <v>47</v>
      </c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>
        <v>0</v>
      </c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9">
        <v>0</v>
      </c>
    </row>
    <row r="48" spans="1:56">
      <c r="A48" s="130" t="s">
        <v>56</v>
      </c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>
        <v>0</v>
      </c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9">
        <v>0</v>
      </c>
    </row>
    <row r="49" spans="1:56">
      <c r="A49" s="130" t="s">
        <v>174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>
        <v>0</v>
      </c>
      <c r="AU49" s="132"/>
      <c r="AV49" s="132"/>
      <c r="AW49" s="132"/>
      <c r="AX49" s="132"/>
      <c r="AY49" s="132"/>
      <c r="AZ49" s="132"/>
      <c r="BA49" s="132"/>
      <c r="BB49" s="132"/>
      <c r="BC49" s="132"/>
      <c r="BD49" s="139">
        <v>0</v>
      </c>
    </row>
    <row r="50" spans="1:56">
      <c r="A50" s="130" t="s">
        <v>8308</v>
      </c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>
        <v>0</v>
      </c>
      <c r="AV50" s="132"/>
      <c r="AW50" s="132"/>
      <c r="AX50" s="132"/>
      <c r="AY50" s="132"/>
      <c r="AZ50" s="132"/>
      <c r="BA50" s="132"/>
      <c r="BB50" s="132"/>
      <c r="BC50" s="132"/>
      <c r="BD50" s="139">
        <v>0</v>
      </c>
    </row>
    <row r="51" spans="1:56">
      <c r="A51" s="130" t="s">
        <v>236</v>
      </c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>
        <v>0</v>
      </c>
      <c r="AW51" s="132"/>
      <c r="AX51" s="132"/>
      <c r="AY51" s="132"/>
      <c r="AZ51" s="132"/>
      <c r="BA51" s="132"/>
      <c r="BB51" s="132"/>
      <c r="BC51" s="132"/>
      <c r="BD51" s="139">
        <v>0</v>
      </c>
    </row>
    <row r="52" spans="1:56">
      <c r="A52" s="130" t="s">
        <v>8309</v>
      </c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>
        <v>0</v>
      </c>
      <c r="AX52" s="132"/>
      <c r="AY52" s="132"/>
      <c r="AZ52" s="132"/>
      <c r="BA52" s="132"/>
      <c r="BB52" s="132"/>
      <c r="BC52" s="132"/>
      <c r="BD52" s="139">
        <v>0</v>
      </c>
    </row>
    <row r="53" spans="1:56">
      <c r="A53" s="130" t="s">
        <v>8310</v>
      </c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>
        <v>0</v>
      </c>
      <c r="AY53" s="132"/>
      <c r="AZ53" s="132"/>
      <c r="BA53" s="132"/>
      <c r="BB53" s="132"/>
      <c r="BC53" s="132"/>
      <c r="BD53" s="139">
        <v>0</v>
      </c>
    </row>
    <row r="54" spans="1:56">
      <c r="A54" s="130" t="s">
        <v>265</v>
      </c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>
        <v>0</v>
      </c>
      <c r="AZ54" s="132"/>
      <c r="BA54" s="132"/>
      <c r="BB54" s="132"/>
      <c r="BC54" s="132"/>
      <c r="BD54" s="139">
        <v>0</v>
      </c>
    </row>
    <row r="55" spans="1:56">
      <c r="A55" s="130" t="s">
        <v>324</v>
      </c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>
        <v>0</v>
      </c>
      <c r="BA55" s="132"/>
      <c r="BB55" s="132"/>
      <c r="BC55" s="132"/>
      <c r="BD55" s="139">
        <v>0</v>
      </c>
    </row>
    <row r="56" spans="1:56">
      <c r="A56" s="130" t="s">
        <v>336</v>
      </c>
      <c r="B56" s="13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>
        <v>0</v>
      </c>
      <c r="BB56" s="132"/>
      <c r="BC56" s="132"/>
      <c r="BD56" s="139">
        <v>0</v>
      </c>
    </row>
    <row r="57" spans="1:56">
      <c r="A57" s="130" t="s">
        <v>8311</v>
      </c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>
        <v>0</v>
      </c>
      <c r="BC57" s="132"/>
      <c r="BD57" s="139">
        <v>0</v>
      </c>
    </row>
    <row r="58" spans="1:56">
      <c r="A58" s="130" t="s">
        <v>8312</v>
      </c>
      <c r="B58" s="13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>
        <v>0</v>
      </c>
      <c r="BD58" s="139">
        <v>0</v>
      </c>
    </row>
    <row r="59" spans="1:56">
      <c r="A59" s="133" t="s">
        <v>8313</v>
      </c>
      <c r="B59" s="134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40">
        <v>0</v>
      </c>
    </row>
  </sheetData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9">
    <tabColor rgb="FFFF0000"/>
  </sheetPr>
  <dimension ref="A3:BD59"/>
  <sheetViews>
    <sheetView workbookViewId="0">
      <selection activeCell="A1" sqref="A1"/>
    </sheetView>
  </sheetViews>
  <sheetFormatPr defaultColWidth="9" defaultRowHeight="14.25"/>
  <cols>
    <col min="1" max="1" width="12" customWidth="1"/>
    <col min="2" max="55" width="9.125" customWidth="1"/>
    <col min="56" max="56" width="10.375" customWidth="1"/>
  </cols>
  <sheetData>
    <row r="3" spans="1:56">
      <c r="A3" s="125" t="s">
        <v>8326</v>
      </c>
      <c r="B3" s="125" t="s">
        <v>8281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36"/>
    </row>
    <row r="4" spans="1:56">
      <c r="A4" s="125" t="s">
        <v>8282</v>
      </c>
      <c r="B4" s="125" t="s">
        <v>8283</v>
      </c>
      <c r="C4" s="127" t="s">
        <v>30</v>
      </c>
      <c r="D4" s="127" t="s">
        <v>31</v>
      </c>
      <c r="E4" s="127" t="s">
        <v>8284</v>
      </c>
      <c r="F4" s="127" t="s">
        <v>8285</v>
      </c>
      <c r="G4" s="127" t="s">
        <v>178</v>
      </c>
      <c r="H4" s="127" t="s">
        <v>8286</v>
      </c>
      <c r="I4" s="127" t="s">
        <v>8287</v>
      </c>
      <c r="J4" s="127" t="s">
        <v>165</v>
      </c>
      <c r="K4" s="127" t="s">
        <v>94</v>
      </c>
      <c r="L4" s="127" t="s">
        <v>8288</v>
      </c>
      <c r="M4" s="127" t="s">
        <v>8289</v>
      </c>
      <c r="N4" s="127" t="s">
        <v>8290</v>
      </c>
      <c r="O4" s="127" t="s">
        <v>71</v>
      </c>
      <c r="P4" s="127" t="s">
        <v>8291</v>
      </c>
      <c r="Q4" s="127" t="s">
        <v>8292</v>
      </c>
      <c r="R4" s="127" t="s">
        <v>216</v>
      </c>
      <c r="S4" s="127" t="s">
        <v>8293</v>
      </c>
      <c r="T4" s="127" t="s">
        <v>8294</v>
      </c>
      <c r="U4" s="127" t="s">
        <v>212</v>
      </c>
      <c r="V4" s="127" t="s">
        <v>8295</v>
      </c>
      <c r="W4" s="127" t="s">
        <v>8296</v>
      </c>
      <c r="X4" s="127" t="s">
        <v>2492</v>
      </c>
      <c r="Y4" s="127" t="s">
        <v>8297</v>
      </c>
      <c r="Z4" s="127" t="s">
        <v>8298</v>
      </c>
      <c r="AA4" s="127" t="s">
        <v>8299</v>
      </c>
      <c r="AB4" s="127" t="s">
        <v>221</v>
      </c>
      <c r="AC4" s="127" t="s">
        <v>8300</v>
      </c>
      <c r="AD4" s="127" t="s">
        <v>8301</v>
      </c>
      <c r="AE4" s="127" t="s">
        <v>8302</v>
      </c>
      <c r="AF4" s="127" t="s">
        <v>553</v>
      </c>
      <c r="AG4" s="127" t="s">
        <v>8303</v>
      </c>
      <c r="AH4" s="127" t="s">
        <v>182</v>
      </c>
      <c r="AI4" s="127" t="s">
        <v>318</v>
      </c>
      <c r="AJ4" s="127" t="s">
        <v>201</v>
      </c>
      <c r="AK4" s="127" t="s">
        <v>188</v>
      </c>
      <c r="AL4" s="127" t="s">
        <v>59</v>
      </c>
      <c r="AM4" s="127" t="s">
        <v>8304</v>
      </c>
      <c r="AN4" s="127" t="s">
        <v>8305</v>
      </c>
      <c r="AO4" s="127" t="s">
        <v>8306</v>
      </c>
      <c r="AP4" s="127" t="s">
        <v>8307</v>
      </c>
      <c r="AQ4" s="127" t="s">
        <v>204</v>
      </c>
      <c r="AR4" s="127" t="s">
        <v>47</v>
      </c>
      <c r="AS4" s="127" t="s">
        <v>56</v>
      </c>
      <c r="AT4" s="127" t="s">
        <v>174</v>
      </c>
      <c r="AU4" s="127" t="s">
        <v>8308</v>
      </c>
      <c r="AV4" s="127" t="s">
        <v>236</v>
      </c>
      <c r="AW4" s="127" t="s">
        <v>8309</v>
      </c>
      <c r="AX4" s="127" t="s">
        <v>8310</v>
      </c>
      <c r="AY4" s="127" t="s">
        <v>265</v>
      </c>
      <c r="AZ4" s="127" t="s">
        <v>324</v>
      </c>
      <c r="BA4" s="127" t="s">
        <v>336</v>
      </c>
      <c r="BB4" s="127" t="s">
        <v>8311</v>
      </c>
      <c r="BC4" s="127" t="s">
        <v>8312</v>
      </c>
      <c r="BD4" s="137" t="s">
        <v>8313</v>
      </c>
    </row>
    <row r="5" spans="1:56">
      <c r="A5" s="125" t="s">
        <v>8283</v>
      </c>
      <c r="B5" s="128">
        <v>0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38">
        <v>0</v>
      </c>
    </row>
    <row r="6" spans="1:56">
      <c r="A6" s="130" t="s">
        <v>30</v>
      </c>
      <c r="B6" s="131"/>
      <c r="C6" s="132">
        <v>0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9">
        <v>0</v>
      </c>
    </row>
    <row r="7" spans="1:56">
      <c r="A7" s="130" t="s">
        <v>31</v>
      </c>
      <c r="B7" s="131"/>
      <c r="C7" s="132"/>
      <c r="D7" s="132">
        <v>0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9">
        <v>0</v>
      </c>
    </row>
    <row r="8" spans="1:56">
      <c r="A8" s="130" t="s">
        <v>8284</v>
      </c>
      <c r="B8" s="131"/>
      <c r="C8" s="132"/>
      <c r="D8" s="132"/>
      <c r="E8" s="132">
        <v>0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9">
        <v>0</v>
      </c>
    </row>
    <row r="9" spans="1:56">
      <c r="A9" s="130" t="s">
        <v>8285</v>
      </c>
      <c r="B9" s="131"/>
      <c r="C9" s="132"/>
      <c r="D9" s="132"/>
      <c r="E9" s="132"/>
      <c r="F9" s="132">
        <v>0</v>
      </c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9">
        <v>0</v>
      </c>
    </row>
    <row r="10" spans="1:56">
      <c r="A10" s="130" t="s">
        <v>178</v>
      </c>
      <c r="B10" s="131"/>
      <c r="C10" s="132"/>
      <c r="D10" s="132"/>
      <c r="E10" s="132"/>
      <c r="F10" s="132"/>
      <c r="G10" s="132">
        <v>0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9">
        <v>0</v>
      </c>
    </row>
    <row r="11" spans="1:56">
      <c r="A11" s="130" t="s">
        <v>8286</v>
      </c>
      <c r="B11" s="131"/>
      <c r="C11" s="132"/>
      <c r="D11" s="132"/>
      <c r="E11" s="132"/>
      <c r="F11" s="132"/>
      <c r="G11" s="132"/>
      <c r="H11" s="132">
        <v>0</v>
      </c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9">
        <v>0</v>
      </c>
    </row>
    <row r="12" spans="1:56">
      <c r="A12" s="130" t="s">
        <v>8287</v>
      </c>
      <c r="B12" s="131"/>
      <c r="C12" s="132"/>
      <c r="D12" s="132"/>
      <c r="E12" s="132"/>
      <c r="F12" s="132"/>
      <c r="G12" s="132"/>
      <c r="H12" s="132"/>
      <c r="I12" s="132"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9">
        <v>0</v>
      </c>
    </row>
    <row r="13" spans="1:56">
      <c r="A13" s="130" t="s">
        <v>165</v>
      </c>
      <c r="B13" s="131"/>
      <c r="C13" s="132"/>
      <c r="D13" s="132"/>
      <c r="E13" s="132"/>
      <c r="F13" s="132"/>
      <c r="G13" s="132"/>
      <c r="H13" s="132"/>
      <c r="I13" s="132"/>
      <c r="J13" s="132"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9">
        <v>0</v>
      </c>
    </row>
    <row r="14" spans="1:56">
      <c r="A14" s="130" t="s">
        <v>94</v>
      </c>
      <c r="B14" s="131"/>
      <c r="C14" s="132"/>
      <c r="D14" s="132"/>
      <c r="E14" s="132"/>
      <c r="F14" s="132"/>
      <c r="G14" s="132"/>
      <c r="H14" s="132"/>
      <c r="I14" s="132"/>
      <c r="J14" s="132"/>
      <c r="K14" s="132">
        <v>0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9">
        <v>0</v>
      </c>
    </row>
    <row r="15" spans="1:56">
      <c r="A15" s="130" t="s">
        <v>8288</v>
      </c>
      <c r="B15" s="131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0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9">
        <v>0</v>
      </c>
    </row>
    <row r="16" spans="1:56">
      <c r="A16" s="130" t="s">
        <v>8289</v>
      </c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>
        <v>0</v>
      </c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9">
        <v>0</v>
      </c>
    </row>
    <row r="17" spans="1:56">
      <c r="A17" s="130" t="s">
        <v>8290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>
        <v>0</v>
      </c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9">
        <v>0</v>
      </c>
    </row>
    <row r="18" spans="1:56">
      <c r="A18" s="130" t="s">
        <v>71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9">
        <v>0</v>
      </c>
    </row>
    <row r="19" spans="1:56">
      <c r="A19" s="130" t="s">
        <v>8291</v>
      </c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>
        <v>0</v>
      </c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9">
        <v>0</v>
      </c>
    </row>
    <row r="20" spans="1:56">
      <c r="A20" s="130" t="s">
        <v>8292</v>
      </c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>
        <v>0</v>
      </c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9">
        <v>0</v>
      </c>
    </row>
    <row r="21" spans="1:56">
      <c r="A21" s="130" t="s">
        <v>216</v>
      </c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>
        <v>0</v>
      </c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9">
        <v>0</v>
      </c>
    </row>
    <row r="22" spans="1:56">
      <c r="A22" s="130" t="s">
        <v>8293</v>
      </c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>
        <v>0</v>
      </c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9">
        <v>0</v>
      </c>
    </row>
    <row r="23" spans="1:56">
      <c r="A23" s="130" t="s">
        <v>8294</v>
      </c>
      <c r="B23" s="13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>
        <v>0</v>
      </c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9">
        <v>0</v>
      </c>
    </row>
    <row r="24" spans="1:56">
      <c r="A24" s="130" t="s">
        <v>212</v>
      </c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0</v>
      </c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9">
        <v>0</v>
      </c>
    </row>
    <row r="25" spans="1:56">
      <c r="A25" s="130" t="s">
        <v>8295</v>
      </c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>
        <v>0</v>
      </c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9">
        <v>0</v>
      </c>
    </row>
    <row r="26" spans="1:56">
      <c r="A26" s="130" t="s">
        <v>8296</v>
      </c>
      <c r="B26" s="13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9">
        <v>0</v>
      </c>
    </row>
    <row r="27" spans="1:56">
      <c r="A27" s="130" t="s">
        <v>2492</v>
      </c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>
        <v>0</v>
      </c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9">
        <v>0</v>
      </c>
    </row>
    <row r="28" spans="1:56">
      <c r="A28" s="130" t="s">
        <v>8297</v>
      </c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9">
        <v>0</v>
      </c>
    </row>
    <row r="29" spans="1:56">
      <c r="A29" s="130" t="s">
        <v>8298</v>
      </c>
      <c r="B29" s="13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>
        <v>0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9">
        <v>0</v>
      </c>
    </row>
    <row r="30" spans="1:56">
      <c r="A30" s="130" t="s">
        <v>8299</v>
      </c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>
        <v>0</v>
      </c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9">
        <v>0</v>
      </c>
    </row>
    <row r="31" spans="1:56">
      <c r="A31" s="130" t="s">
        <v>221</v>
      </c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>
        <v>0</v>
      </c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9">
        <v>0</v>
      </c>
    </row>
    <row r="32" spans="1:56">
      <c r="A32" s="130" t="s">
        <v>8300</v>
      </c>
      <c r="B32" s="13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>
        <v>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9">
        <v>0</v>
      </c>
    </row>
    <row r="33" spans="1:56">
      <c r="A33" s="130" t="s">
        <v>8301</v>
      </c>
      <c r="B33" s="13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>
        <v>0</v>
      </c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9">
        <v>0</v>
      </c>
    </row>
    <row r="34" spans="1:56">
      <c r="A34" s="130" t="s">
        <v>8302</v>
      </c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>
        <v>0</v>
      </c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9">
        <v>0</v>
      </c>
    </row>
    <row r="35" spans="1:56">
      <c r="A35" s="130" t="s">
        <v>553</v>
      </c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>
        <v>0</v>
      </c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9">
        <v>0</v>
      </c>
    </row>
    <row r="36" spans="1:56">
      <c r="A36" s="130" t="s">
        <v>8303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>
        <v>0</v>
      </c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9">
        <v>0</v>
      </c>
    </row>
    <row r="37" spans="1:56">
      <c r="A37" s="130" t="s">
        <v>182</v>
      </c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>
        <v>0</v>
      </c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9">
        <v>0</v>
      </c>
    </row>
    <row r="38" spans="1:56">
      <c r="A38" s="130" t="s">
        <v>318</v>
      </c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>
        <v>0</v>
      </c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9">
        <v>0</v>
      </c>
    </row>
    <row r="39" spans="1:56">
      <c r="A39" s="130" t="s">
        <v>201</v>
      </c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>
        <v>0</v>
      </c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9">
        <v>0</v>
      </c>
    </row>
    <row r="40" spans="1:56">
      <c r="A40" s="130" t="s">
        <v>188</v>
      </c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>
        <v>0</v>
      </c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9">
        <v>0</v>
      </c>
    </row>
    <row r="41" spans="1:56">
      <c r="A41" s="130" t="s">
        <v>59</v>
      </c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>
        <v>0</v>
      </c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9">
        <v>0</v>
      </c>
    </row>
    <row r="42" spans="1:56">
      <c r="A42" s="130" t="s">
        <v>8304</v>
      </c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>
        <v>0</v>
      </c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9">
        <v>0</v>
      </c>
    </row>
    <row r="43" spans="1:56">
      <c r="A43" s="130" t="s">
        <v>8305</v>
      </c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9">
        <v>0</v>
      </c>
    </row>
    <row r="44" spans="1:56">
      <c r="A44" s="130" t="s">
        <v>8306</v>
      </c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9">
        <v>0</v>
      </c>
    </row>
    <row r="45" spans="1:56">
      <c r="A45" s="130" t="s">
        <v>8307</v>
      </c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>
        <v>0</v>
      </c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9">
        <v>0</v>
      </c>
    </row>
    <row r="46" spans="1:56">
      <c r="A46" s="130" t="s">
        <v>204</v>
      </c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>
        <v>0</v>
      </c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9">
        <v>0</v>
      </c>
    </row>
    <row r="47" spans="1:56">
      <c r="A47" s="130" t="s">
        <v>47</v>
      </c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>
        <v>0</v>
      </c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9">
        <v>0</v>
      </c>
    </row>
    <row r="48" spans="1:56">
      <c r="A48" s="130" t="s">
        <v>56</v>
      </c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>
        <v>0</v>
      </c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9">
        <v>0</v>
      </c>
    </row>
    <row r="49" spans="1:56">
      <c r="A49" s="130" t="s">
        <v>174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>
        <v>0</v>
      </c>
      <c r="AU49" s="132"/>
      <c r="AV49" s="132"/>
      <c r="AW49" s="132"/>
      <c r="AX49" s="132"/>
      <c r="AY49" s="132"/>
      <c r="AZ49" s="132"/>
      <c r="BA49" s="132"/>
      <c r="BB49" s="132"/>
      <c r="BC49" s="132"/>
      <c r="BD49" s="139">
        <v>0</v>
      </c>
    </row>
    <row r="50" spans="1:56">
      <c r="A50" s="130" t="s">
        <v>8308</v>
      </c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>
        <v>0</v>
      </c>
      <c r="AV50" s="132"/>
      <c r="AW50" s="132"/>
      <c r="AX50" s="132"/>
      <c r="AY50" s="132"/>
      <c r="AZ50" s="132"/>
      <c r="BA50" s="132"/>
      <c r="BB50" s="132"/>
      <c r="BC50" s="132"/>
      <c r="BD50" s="139">
        <v>0</v>
      </c>
    </row>
    <row r="51" spans="1:56">
      <c r="A51" s="130" t="s">
        <v>236</v>
      </c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>
        <v>0</v>
      </c>
      <c r="AW51" s="132"/>
      <c r="AX51" s="132"/>
      <c r="AY51" s="132"/>
      <c r="AZ51" s="132"/>
      <c r="BA51" s="132"/>
      <c r="BB51" s="132"/>
      <c r="BC51" s="132"/>
      <c r="BD51" s="139">
        <v>0</v>
      </c>
    </row>
    <row r="52" spans="1:56">
      <c r="A52" s="130" t="s">
        <v>8309</v>
      </c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>
        <v>0</v>
      </c>
      <c r="AX52" s="132"/>
      <c r="AY52" s="132"/>
      <c r="AZ52" s="132"/>
      <c r="BA52" s="132"/>
      <c r="BB52" s="132"/>
      <c r="BC52" s="132"/>
      <c r="BD52" s="139">
        <v>0</v>
      </c>
    </row>
    <row r="53" spans="1:56">
      <c r="A53" s="130" t="s">
        <v>8310</v>
      </c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>
        <v>0</v>
      </c>
      <c r="AY53" s="132"/>
      <c r="AZ53" s="132"/>
      <c r="BA53" s="132"/>
      <c r="BB53" s="132"/>
      <c r="BC53" s="132"/>
      <c r="BD53" s="139">
        <v>0</v>
      </c>
    </row>
    <row r="54" spans="1:56">
      <c r="A54" s="130" t="s">
        <v>265</v>
      </c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>
        <v>0</v>
      </c>
      <c r="AZ54" s="132"/>
      <c r="BA54" s="132"/>
      <c r="BB54" s="132"/>
      <c r="BC54" s="132"/>
      <c r="BD54" s="139">
        <v>0</v>
      </c>
    </row>
    <row r="55" spans="1:56">
      <c r="A55" s="130" t="s">
        <v>324</v>
      </c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>
        <v>0</v>
      </c>
      <c r="BA55" s="132"/>
      <c r="BB55" s="132"/>
      <c r="BC55" s="132"/>
      <c r="BD55" s="139">
        <v>0</v>
      </c>
    </row>
    <row r="56" spans="1:56">
      <c r="A56" s="130" t="s">
        <v>336</v>
      </c>
      <c r="B56" s="13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>
        <v>0</v>
      </c>
      <c r="BB56" s="132"/>
      <c r="BC56" s="132"/>
      <c r="BD56" s="139">
        <v>0</v>
      </c>
    </row>
    <row r="57" spans="1:56">
      <c r="A57" s="130" t="s">
        <v>8311</v>
      </c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>
        <v>0</v>
      </c>
      <c r="BC57" s="132"/>
      <c r="BD57" s="139">
        <v>0</v>
      </c>
    </row>
    <row r="58" spans="1:56">
      <c r="A58" s="130" t="s">
        <v>8312</v>
      </c>
      <c r="B58" s="13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>
        <v>0</v>
      </c>
      <c r="BD58" s="139">
        <v>0</v>
      </c>
    </row>
    <row r="59" spans="1:56">
      <c r="A59" s="133" t="s">
        <v>8313</v>
      </c>
      <c r="B59" s="134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40">
        <v>0</v>
      </c>
    </row>
  </sheetData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0">
    <tabColor rgb="FFFF0000"/>
  </sheetPr>
  <dimension ref="A3:BD59"/>
  <sheetViews>
    <sheetView workbookViewId="0">
      <selection activeCell="A1" sqref="A1"/>
    </sheetView>
  </sheetViews>
  <sheetFormatPr defaultColWidth="9" defaultRowHeight="14.25"/>
  <cols>
    <col min="1" max="1" width="11.75" customWidth="1"/>
    <col min="2" max="55" width="9.125" customWidth="1"/>
    <col min="56" max="56" width="10.375" customWidth="1"/>
  </cols>
  <sheetData>
    <row r="3" spans="1:56">
      <c r="A3" s="125" t="s">
        <v>8327</v>
      </c>
      <c r="B3" s="125" t="s">
        <v>8281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36"/>
    </row>
    <row r="4" spans="1:56">
      <c r="A4" s="125" t="s">
        <v>8282</v>
      </c>
      <c r="B4" s="125" t="s">
        <v>8283</v>
      </c>
      <c r="C4" s="127" t="s">
        <v>30</v>
      </c>
      <c r="D4" s="127" t="s">
        <v>31</v>
      </c>
      <c r="E4" s="127" t="s">
        <v>8284</v>
      </c>
      <c r="F4" s="127" t="s">
        <v>8285</v>
      </c>
      <c r="G4" s="127" t="s">
        <v>178</v>
      </c>
      <c r="H4" s="127" t="s">
        <v>8286</v>
      </c>
      <c r="I4" s="127" t="s">
        <v>8287</v>
      </c>
      <c r="J4" s="127" t="s">
        <v>165</v>
      </c>
      <c r="K4" s="127" t="s">
        <v>94</v>
      </c>
      <c r="L4" s="127" t="s">
        <v>8288</v>
      </c>
      <c r="M4" s="127" t="s">
        <v>8289</v>
      </c>
      <c r="N4" s="127" t="s">
        <v>8290</v>
      </c>
      <c r="O4" s="127" t="s">
        <v>71</v>
      </c>
      <c r="P4" s="127" t="s">
        <v>8291</v>
      </c>
      <c r="Q4" s="127" t="s">
        <v>8292</v>
      </c>
      <c r="R4" s="127" t="s">
        <v>216</v>
      </c>
      <c r="S4" s="127" t="s">
        <v>8293</v>
      </c>
      <c r="T4" s="127" t="s">
        <v>8294</v>
      </c>
      <c r="U4" s="127" t="s">
        <v>212</v>
      </c>
      <c r="V4" s="127" t="s">
        <v>8295</v>
      </c>
      <c r="W4" s="127" t="s">
        <v>8296</v>
      </c>
      <c r="X4" s="127" t="s">
        <v>2492</v>
      </c>
      <c r="Y4" s="127" t="s">
        <v>8297</v>
      </c>
      <c r="Z4" s="127" t="s">
        <v>8298</v>
      </c>
      <c r="AA4" s="127" t="s">
        <v>8299</v>
      </c>
      <c r="AB4" s="127" t="s">
        <v>221</v>
      </c>
      <c r="AC4" s="127" t="s">
        <v>8300</v>
      </c>
      <c r="AD4" s="127" t="s">
        <v>8301</v>
      </c>
      <c r="AE4" s="127" t="s">
        <v>8302</v>
      </c>
      <c r="AF4" s="127" t="s">
        <v>553</v>
      </c>
      <c r="AG4" s="127" t="s">
        <v>8303</v>
      </c>
      <c r="AH4" s="127" t="s">
        <v>182</v>
      </c>
      <c r="AI4" s="127" t="s">
        <v>318</v>
      </c>
      <c r="AJ4" s="127" t="s">
        <v>201</v>
      </c>
      <c r="AK4" s="127" t="s">
        <v>188</v>
      </c>
      <c r="AL4" s="127" t="s">
        <v>59</v>
      </c>
      <c r="AM4" s="127" t="s">
        <v>8304</v>
      </c>
      <c r="AN4" s="127" t="s">
        <v>8305</v>
      </c>
      <c r="AO4" s="127" t="s">
        <v>8306</v>
      </c>
      <c r="AP4" s="127" t="s">
        <v>8307</v>
      </c>
      <c r="AQ4" s="127" t="s">
        <v>204</v>
      </c>
      <c r="AR4" s="127" t="s">
        <v>47</v>
      </c>
      <c r="AS4" s="127" t="s">
        <v>56</v>
      </c>
      <c r="AT4" s="127" t="s">
        <v>174</v>
      </c>
      <c r="AU4" s="127" t="s">
        <v>8308</v>
      </c>
      <c r="AV4" s="127" t="s">
        <v>236</v>
      </c>
      <c r="AW4" s="127" t="s">
        <v>8309</v>
      </c>
      <c r="AX4" s="127" t="s">
        <v>8310</v>
      </c>
      <c r="AY4" s="127" t="s">
        <v>265</v>
      </c>
      <c r="AZ4" s="127" t="s">
        <v>324</v>
      </c>
      <c r="BA4" s="127" t="s">
        <v>336</v>
      </c>
      <c r="BB4" s="127" t="s">
        <v>8311</v>
      </c>
      <c r="BC4" s="127" t="s">
        <v>8312</v>
      </c>
      <c r="BD4" s="137" t="s">
        <v>8313</v>
      </c>
    </row>
    <row r="5" spans="1:56">
      <c r="A5" s="125" t="s">
        <v>8283</v>
      </c>
      <c r="B5" s="128">
        <v>0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38">
        <v>0</v>
      </c>
    </row>
    <row r="6" spans="1:56">
      <c r="A6" s="130" t="s">
        <v>30</v>
      </c>
      <c r="B6" s="131"/>
      <c r="C6" s="132">
        <v>0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9">
        <v>0</v>
      </c>
    </row>
    <row r="7" spans="1:56">
      <c r="A7" s="130" t="s">
        <v>31</v>
      </c>
      <c r="B7" s="131"/>
      <c r="C7" s="132"/>
      <c r="D7" s="132">
        <v>0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9">
        <v>0</v>
      </c>
    </row>
    <row r="8" spans="1:56">
      <c r="A8" s="130" t="s">
        <v>8284</v>
      </c>
      <c r="B8" s="131"/>
      <c r="C8" s="132"/>
      <c r="D8" s="132"/>
      <c r="E8" s="132">
        <v>0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9">
        <v>0</v>
      </c>
    </row>
    <row r="9" spans="1:56">
      <c r="A9" s="130" t="s">
        <v>8285</v>
      </c>
      <c r="B9" s="131"/>
      <c r="C9" s="132"/>
      <c r="D9" s="132"/>
      <c r="E9" s="132"/>
      <c r="F9" s="132">
        <v>0</v>
      </c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9">
        <v>0</v>
      </c>
    </row>
    <row r="10" spans="1:56">
      <c r="A10" s="130" t="s">
        <v>178</v>
      </c>
      <c r="B10" s="131"/>
      <c r="C10" s="132"/>
      <c r="D10" s="132"/>
      <c r="E10" s="132"/>
      <c r="F10" s="132"/>
      <c r="G10" s="132">
        <v>0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9">
        <v>0</v>
      </c>
    </row>
    <row r="11" spans="1:56">
      <c r="A11" s="130" t="s">
        <v>8286</v>
      </c>
      <c r="B11" s="131"/>
      <c r="C11" s="132"/>
      <c r="D11" s="132"/>
      <c r="E11" s="132"/>
      <c r="F11" s="132"/>
      <c r="G11" s="132"/>
      <c r="H11" s="132">
        <v>0</v>
      </c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9">
        <v>0</v>
      </c>
    </row>
    <row r="12" spans="1:56">
      <c r="A12" s="130" t="s">
        <v>8287</v>
      </c>
      <c r="B12" s="131"/>
      <c r="C12" s="132"/>
      <c r="D12" s="132"/>
      <c r="E12" s="132"/>
      <c r="F12" s="132"/>
      <c r="G12" s="132"/>
      <c r="H12" s="132"/>
      <c r="I12" s="132"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9">
        <v>0</v>
      </c>
    </row>
    <row r="13" spans="1:56">
      <c r="A13" s="130" t="s">
        <v>165</v>
      </c>
      <c r="B13" s="131"/>
      <c r="C13" s="132"/>
      <c r="D13" s="132"/>
      <c r="E13" s="132"/>
      <c r="F13" s="132"/>
      <c r="G13" s="132"/>
      <c r="H13" s="132"/>
      <c r="I13" s="132"/>
      <c r="J13" s="132"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9">
        <v>0</v>
      </c>
    </row>
    <row r="14" spans="1:56">
      <c r="A14" s="130" t="s">
        <v>94</v>
      </c>
      <c r="B14" s="131"/>
      <c r="C14" s="132"/>
      <c r="D14" s="132"/>
      <c r="E14" s="132"/>
      <c r="F14" s="132"/>
      <c r="G14" s="132"/>
      <c r="H14" s="132"/>
      <c r="I14" s="132"/>
      <c r="J14" s="132"/>
      <c r="K14" s="132">
        <v>0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9">
        <v>0</v>
      </c>
    </row>
    <row r="15" spans="1:56">
      <c r="A15" s="130" t="s">
        <v>8288</v>
      </c>
      <c r="B15" s="131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0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9">
        <v>0</v>
      </c>
    </row>
    <row r="16" spans="1:56">
      <c r="A16" s="130" t="s">
        <v>8289</v>
      </c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>
        <v>0</v>
      </c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9">
        <v>0</v>
      </c>
    </row>
    <row r="17" spans="1:56">
      <c r="A17" s="130" t="s">
        <v>8290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>
        <v>0</v>
      </c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9">
        <v>0</v>
      </c>
    </row>
    <row r="18" spans="1:56">
      <c r="A18" s="130" t="s">
        <v>71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9">
        <v>0</v>
      </c>
    </row>
    <row r="19" spans="1:56">
      <c r="A19" s="130" t="s">
        <v>8291</v>
      </c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>
        <v>0</v>
      </c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9">
        <v>0</v>
      </c>
    </row>
    <row r="20" spans="1:56">
      <c r="A20" s="130" t="s">
        <v>8292</v>
      </c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>
        <v>0</v>
      </c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9">
        <v>0</v>
      </c>
    </row>
    <row r="21" spans="1:56">
      <c r="A21" s="130" t="s">
        <v>216</v>
      </c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>
        <v>0</v>
      </c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9">
        <v>0</v>
      </c>
    </row>
    <row r="22" spans="1:56">
      <c r="A22" s="130" t="s">
        <v>8293</v>
      </c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>
        <v>0</v>
      </c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9">
        <v>0</v>
      </c>
    </row>
    <row r="23" spans="1:56">
      <c r="A23" s="130" t="s">
        <v>8294</v>
      </c>
      <c r="B23" s="13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>
        <v>0</v>
      </c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9">
        <v>0</v>
      </c>
    </row>
    <row r="24" spans="1:56">
      <c r="A24" s="130" t="s">
        <v>212</v>
      </c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0</v>
      </c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9">
        <v>0</v>
      </c>
    </row>
    <row r="25" spans="1:56">
      <c r="A25" s="130" t="s">
        <v>8295</v>
      </c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>
        <v>0</v>
      </c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9">
        <v>0</v>
      </c>
    </row>
    <row r="26" spans="1:56">
      <c r="A26" s="130" t="s">
        <v>8296</v>
      </c>
      <c r="B26" s="13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9">
        <v>0</v>
      </c>
    </row>
    <row r="27" spans="1:56">
      <c r="A27" s="130" t="s">
        <v>2492</v>
      </c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>
        <v>0</v>
      </c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9">
        <v>0</v>
      </c>
    </row>
    <row r="28" spans="1:56">
      <c r="A28" s="130" t="s">
        <v>8297</v>
      </c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9">
        <v>0</v>
      </c>
    </row>
    <row r="29" spans="1:56">
      <c r="A29" s="130" t="s">
        <v>8298</v>
      </c>
      <c r="B29" s="13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>
        <v>0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9">
        <v>0</v>
      </c>
    </row>
    <row r="30" spans="1:56">
      <c r="A30" s="130" t="s">
        <v>8299</v>
      </c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>
        <v>0</v>
      </c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9">
        <v>0</v>
      </c>
    </row>
    <row r="31" spans="1:56">
      <c r="A31" s="130" t="s">
        <v>221</v>
      </c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>
        <v>0</v>
      </c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9">
        <v>0</v>
      </c>
    </row>
    <row r="32" spans="1:56">
      <c r="A32" s="130" t="s">
        <v>8300</v>
      </c>
      <c r="B32" s="13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>
        <v>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9">
        <v>0</v>
      </c>
    </row>
    <row r="33" spans="1:56">
      <c r="A33" s="130" t="s">
        <v>8301</v>
      </c>
      <c r="B33" s="13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>
        <v>0</v>
      </c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9">
        <v>0</v>
      </c>
    </row>
    <row r="34" spans="1:56">
      <c r="A34" s="130" t="s">
        <v>8302</v>
      </c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>
        <v>0</v>
      </c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9">
        <v>0</v>
      </c>
    </row>
    <row r="35" spans="1:56">
      <c r="A35" s="130" t="s">
        <v>553</v>
      </c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>
        <v>0</v>
      </c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9">
        <v>0</v>
      </c>
    </row>
    <row r="36" spans="1:56">
      <c r="A36" s="130" t="s">
        <v>8303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>
        <v>0</v>
      </c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9">
        <v>0</v>
      </c>
    </row>
    <row r="37" spans="1:56">
      <c r="A37" s="130" t="s">
        <v>182</v>
      </c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>
        <v>0</v>
      </c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9">
        <v>0</v>
      </c>
    </row>
    <row r="38" spans="1:56">
      <c r="A38" s="130" t="s">
        <v>318</v>
      </c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>
        <v>0</v>
      </c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9">
        <v>0</v>
      </c>
    </row>
    <row r="39" spans="1:56">
      <c r="A39" s="130" t="s">
        <v>201</v>
      </c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>
        <v>0</v>
      </c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9">
        <v>0</v>
      </c>
    </row>
    <row r="40" spans="1:56">
      <c r="A40" s="130" t="s">
        <v>188</v>
      </c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>
        <v>0</v>
      </c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9">
        <v>0</v>
      </c>
    </row>
    <row r="41" spans="1:56">
      <c r="A41" s="130" t="s">
        <v>59</v>
      </c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>
        <v>0</v>
      </c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9">
        <v>0</v>
      </c>
    </row>
    <row r="42" spans="1:56">
      <c r="A42" s="130" t="s">
        <v>8304</v>
      </c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>
        <v>0</v>
      </c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9">
        <v>0</v>
      </c>
    </row>
    <row r="43" spans="1:56">
      <c r="A43" s="130" t="s">
        <v>8305</v>
      </c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9">
        <v>0</v>
      </c>
    </row>
    <row r="44" spans="1:56">
      <c r="A44" s="130" t="s">
        <v>8306</v>
      </c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9">
        <v>0</v>
      </c>
    </row>
    <row r="45" spans="1:56">
      <c r="A45" s="130" t="s">
        <v>8307</v>
      </c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>
        <v>0</v>
      </c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9">
        <v>0</v>
      </c>
    </row>
    <row r="46" spans="1:56">
      <c r="A46" s="130" t="s">
        <v>204</v>
      </c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>
        <v>0</v>
      </c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9">
        <v>0</v>
      </c>
    </row>
    <row r="47" spans="1:56">
      <c r="A47" s="130" t="s">
        <v>47</v>
      </c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>
        <v>0</v>
      </c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9">
        <v>0</v>
      </c>
    </row>
    <row r="48" spans="1:56">
      <c r="A48" s="130" t="s">
        <v>56</v>
      </c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>
        <v>0</v>
      </c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9">
        <v>0</v>
      </c>
    </row>
    <row r="49" spans="1:56">
      <c r="A49" s="130" t="s">
        <v>174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>
        <v>0</v>
      </c>
      <c r="AU49" s="132"/>
      <c r="AV49" s="132"/>
      <c r="AW49" s="132"/>
      <c r="AX49" s="132"/>
      <c r="AY49" s="132"/>
      <c r="AZ49" s="132"/>
      <c r="BA49" s="132"/>
      <c r="BB49" s="132"/>
      <c r="BC49" s="132"/>
      <c r="BD49" s="139">
        <v>0</v>
      </c>
    </row>
    <row r="50" spans="1:56">
      <c r="A50" s="130" t="s">
        <v>8308</v>
      </c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>
        <v>0</v>
      </c>
      <c r="AV50" s="132"/>
      <c r="AW50" s="132"/>
      <c r="AX50" s="132"/>
      <c r="AY50" s="132"/>
      <c r="AZ50" s="132"/>
      <c r="BA50" s="132"/>
      <c r="BB50" s="132"/>
      <c r="BC50" s="132"/>
      <c r="BD50" s="139">
        <v>0</v>
      </c>
    </row>
    <row r="51" spans="1:56">
      <c r="A51" s="130" t="s">
        <v>236</v>
      </c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>
        <v>0</v>
      </c>
      <c r="AW51" s="132"/>
      <c r="AX51" s="132"/>
      <c r="AY51" s="132"/>
      <c r="AZ51" s="132"/>
      <c r="BA51" s="132"/>
      <c r="BB51" s="132"/>
      <c r="BC51" s="132"/>
      <c r="BD51" s="139">
        <v>0</v>
      </c>
    </row>
    <row r="52" spans="1:56">
      <c r="A52" s="130" t="s">
        <v>8309</v>
      </c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>
        <v>0</v>
      </c>
      <c r="AX52" s="132"/>
      <c r="AY52" s="132"/>
      <c r="AZ52" s="132"/>
      <c r="BA52" s="132"/>
      <c r="BB52" s="132"/>
      <c r="BC52" s="132"/>
      <c r="BD52" s="139">
        <v>0</v>
      </c>
    </row>
    <row r="53" spans="1:56">
      <c r="A53" s="130" t="s">
        <v>8310</v>
      </c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>
        <v>0</v>
      </c>
      <c r="AY53" s="132"/>
      <c r="AZ53" s="132"/>
      <c r="BA53" s="132"/>
      <c r="BB53" s="132"/>
      <c r="BC53" s="132"/>
      <c r="BD53" s="139">
        <v>0</v>
      </c>
    </row>
    <row r="54" spans="1:56">
      <c r="A54" s="130" t="s">
        <v>265</v>
      </c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>
        <v>0</v>
      </c>
      <c r="AZ54" s="132"/>
      <c r="BA54" s="132"/>
      <c r="BB54" s="132"/>
      <c r="BC54" s="132"/>
      <c r="BD54" s="139">
        <v>0</v>
      </c>
    </row>
    <row r="55" spans="1:56">
      <c r="A55" s="130" t="s">
        <v>324</v>
      </c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>
        <v>0</v>
      </c>
      <c r="BA55" s="132"/>
      <c r="BB55" s="132"/>
      <c r="BC55" s="132"/>
      <c r="BD55" s="139">
        <v>0</v>
      </c>
    </row>
    <row r="56" spans="1:56">
      <c r="A56" s="130" t="s">
        <v>336</v>
      </c>
      <c r="B56" s="13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>
        <v>0</v>
      </c>
      <c r="BB56" s="132"/>
      <c r="BC56" s="132"/>
      <c r="BD56" s="139">
        <v>0</v>
      </c>
    </row>
    <row r="57" spans="1:56">
      <c r="A57" s="130" t="s">
        <v>8311</v>
      </c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>
        <v>0</v>
      </c>
      <c r="BC57" s="132"/>
      <c r="BD57" s="139">
        <v>0</v>
      </c>
    </row>
    <row r="58" spans="1:56">
      <c r="A58" s="130" t="s">
        <v>8312</v>
      </c>
      <c r="B58" s="13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>
        <v>0</v>
      </c>
      <c r="BD58" s="139">
        <v>0</v>
      </c>
    </row>
    <row r="59" spans="1:56">
      <c r="A59" s="133" t="s">
        <v>8313</v>
      </c>
      <c r="B59" s="134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40">
        <v>0</v>
      </c>
    </row>
  </sheetData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1">
    <tabColor rgb="FFFF0000"/>
  </sheetPr>
  <dimension ref="A3:BD59"/>
  <sheetViews>
    <sheetView workbookViewId="0">
      <selection activeCell="A1" sqref="A1"/>
    </sheetView>
  </sheetViews>
  <sheetFormatPr defaultColWidth="9" defaultRowHeight="14.25"/>
  <cols>
    <col min="1" max="1" width="11.75" customWidth="1"/>
    <col min="2" max="55" width="9.125" customWidth="1"/>
    <col min="56" max="56" width="10.375" customWidth="1"/>
  </cols>
  <sheetData>
    <row r="3" spans="1:56">
      <c r="A3" s="125" t="s">
        <v>8328</v>
      </c>
      <c r="B3" s="125" t="s">
        <v>8281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36"/>
    </row>
    <row r="4" spans="1:56">
      <c r="A4" s="125" t="s">
        <v>8282</v>
      </c>
      <c r="B4" s="125" t="s">
        <v>8283</v>
      </c>
      <c r="C4" s="127" t="s">
        <v>30</v>
      </c>
      <c r="D4" s="127" t="s">
        <v>31</v>
      </c>
      <c r="E4" s="127" t="s">
        <v>8284</v>
      </c>
      <c r="F4" s="127" t="s">
        <v>8285</v>
      </c>
      <c r="G4" s="127" t="s">
        <v>178</v>
      </c>
      <c r="H4" s="127" t="s">
        <v>8286</v>
      </c>
      <c r="I4" s="127" t="s">
        <v>8287</v>
      </c>
      <c r="J4" s="127" t="s">
        <v>165</v>
      </c>
      <c r="K4" s="127" t="s">
        <v>94</v>
      </c>
      <c r="L4" s="127" t="s">
        <v>8288</v>
      </c>
      <c r="M4" s="127" t="s">
        <v>8289</v>
      </c>
      <c r="N4" s="127" t="s">
        <v>8290</v>
      </c>
      <c r="O4" s="127" t="s">
        <v>71</v>
      </c>
      <c r="P4" s="127" t="s">
        <v>8291</v>
      </c>
      <c r="Q4" s="127" t="s">
        <v>8292</v>
      </c>
      <c r="R4" s="127" t="s">
        <v>216</v>
      </c>
      <c r="S4" s="127" t="s">
        <v>8293</v>
      </c>
      <c r="T4" s="127" t="s">
        <v>8294</v>
      </c>
      <c r="U4" s="127" t="s">
        <v>212</v>
      </c>
      <c r="V4" s="127" t="s">
        <v>8295</v>
      </c>
      <c r="W4" s="127" t="s">
        <v>8296</v>
      </c>
      <c r="X4" s="127" t="s">
        <v>2492</v>
      </c>
      <c r="Y4" s="127" t="s">
        <v>8297</v>
      </c>
      <c r="Z4" s="127" t="s">
        <v>8298</v>
      </c>
      <c r="AA4" s="127" t="s">
        <v>8299</v>
      </c>
      <c r="AB4" s="127" t="s">
        <v>221</v>
      </c>
      <c r="AC4" s="127" t="s">
        <v>8300</v>
      </c>
      <c r="AD4" s="127" t="s">
        <v>8301</v>
      </c>
      <c r="AE4" s="127" t="s">
        <v>8302</v>
      </c>
      <c r="AF4" s="127" t="s">
        <v>553</v>
      </c>
      <c r="AG4" s="127" t="s">
        <v>8303</v>
      </c>
      <c r="AH4" s="127" t="s">
        <v>182</v>
      </c>
      <c r="AI4" s="127" t="s">
        <v>318</v>
      </c>
      <c r="AJ4" s="127" t="s">
        <v>201</v>
      </c>
      <c r="AK4" s="127" t="s">
        <v>188</v>
      </c>
      <c r="AL4" s="127" t="s">
        <v>59</v>
      </c>
      <c r="AM4" s="127" t="s">
        <v>8304</v>
      </c>
      <c r="AN4" s="127" t="s">
        <v>8305</v>
      </c>
      <c r="AO4" s="127" t="s">
        <v>8306</v>
      </c>
      <c r="AP4" s="127" t="s">
        <v>8307</v>
      </c>
      <c r="AQ4" s="127" t="s">
        <v>204</v>
      </c>
      <c r="AR4" s="127" t="s">
        <v>47</v>
      </c>
      <c r="AS4" s="127" t="s">
        <v>56</v>
      </c>
      <c r="AT4" s="127" t="s">
        <v>174</v>
      </c>
      <c r="AU4" s="127" t="s">
        <v>8308</v>
      </c>
      <c r="AV4" s="127" t="s">
        <v>236</v>
      </c>
      <c r="AW4" s="127" t="s">
        <v>8309</v>
      </c>
      <c r="AX4" s="127" t="s">
        <v>8310</v>
      </c>
      <c r="AY4" s="127" t="s">
        <v>265</v>
      </c>
      <c r="AZ4" s="127" t="s">
        <v>324</v>
      </c>
      <c r="BA4" s="127" t="s">
        <v>336</v>
      </c>
      <c r="BB4" s="127" t="s">
        <v>8311</v>
      </c>
      <c r="BC4" s="127" t="s">
        <v>8312</v>
      </c>
      <c r="BD4" s="137" t="s">
        <v>8313</v>
      </c>
    </row>
    <row r="5" spans="1:56">
      <c r="A5" s="125" t="s">
        <v>8283</v>
      </c>
      <c r="B5" s="128">
        <v>0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38">
        <v>0</v>
      </c>
    </row>
    <row r="6" spans="1:56">
      <c r="A6" s="130" t="s">
        <v>30</v>
      </c>
      <c r="B6" s="131"/>
      <c r="C6" s="132">
        <v>0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9">
        <v>0</v>
      </c>
    </row>
    <row r="7" spans="1:56">
      <c r="A7" s="130" t="s">
        <v>31</v>
      </c>
      <c r="B7" s="131"/>
      <c r="C7" s="132"/>
      <c r="D7" s="132">
        <v>0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9">
        <v>0</v>
      </c>
    </row>
    <row r="8" spans="1:56">
      <c r="A8" s="130" t="s">
        <v>8284</v>
      </c>
      <c r="B8" s="131"/>
      <c r="C8" s="132"/>
      <c r="D8" s="132"/>
      <c r="E8" s="132">
        <v>0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9">
        <v>0</v>
      </c>
    </row>
    <row r="9" spans="1:56">
      <c r="A9" s="130" t="s">
        <v>8285</v>
      </c>
      <c r="B9" s="131"/>
      <c r="C9" s="132"/>
      <c r="D9" s="132"/>
      <c r="E9" s="132"/>
      <c r="F9" s="132">
        <v>0</v>
      </c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9">
        <v>0</v>
      </c>
    </row>
    <row r="10" spans="1:56">
      <c r="A10" s="130" t="s">
        <v>178</v>
      </c>
      <c r="B10" s="131"/>
      <c r="C10" s="132"/>
      <c r="D10" s="132"/>
      <c r="E10" s="132"/>
      <c r="F10" s="132"/>
      <c r="G10" s="132">
        <v>0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9">
        <v>0</v>
      </c>
    </row>
    <row r="11" spans="1:56">
      <c r="A11" s="130" t="s">
        <v>8286</v>
      </c>
      <c r="B11" s="131"/>
      <c r="C11" s="132"/>
      <c r="D11" s="132"/>
      <c r="E11" s="132"/>
      <c r="F11" s="132"/>
      <c r="G11" s="132"/>
      <c r="H11" s="132">
        <v>0</v>
      </c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9">
        <v>0</v>
      </c>
    </row>
    <row r="12" spans="1:56">
      <c r="A12" s="130" t="s">
        <v>8287</v>
      </c>
      <c r="B12" s="131"/>
      <c r="C12" s="132"/>
      <c r="D12" s="132"/>
      <c r="E12" s="132"/>
      <c r="F12" s="132"/>
      <c r="G12" s="132"/>
      <c r="H12" s="132"/>
      <c r="I12" s="132"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9">
        <v>0</v>
      </c>
    </row>
    <row r="13" spans="1:56">
      <c r="A13" s="130" t="s">
        <v>165</v>
      </c>
      <c r="B13" s="131"/>
      <c r="C13" s="132"/>
      <c r="D13" s="132"/>
      <c r="E13" s="132"/>
      <c r="F13" s="132"/>
      <c r="G13" s="132"/>
      <c r="H13" s="132"/>
      <c r="I13" s="132"/>
      <c r="J13" s="132"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9">
        <v>0</v>
      </c>
    </row>
    <row r="14" spans="1:56">
      <c r="A14" s="130" t="s">
        <v>94</v>
      </c>
      <c r="B14" s="131"/>
      <c r="C14" s="132"/>
      <c r="D14" s="132"/>
      <c r="E14" s="132"/>
      <c r="F14" s="132"/>
      <c r="G14" s="132"/>
      <c r="H14" s="132"/>
      <c r="I14" s="132"/>
      <c r="J14" s="132"/>
      <c r="K14" s="132">
        <v>0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9">
        <v>0</v>
      </c>
    </row>
    <row r="15" spans="1:56">
      <c r="A15" s="130" t="s">
        <v>8288</v>
      </c>
      <c r="B15" s="131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0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9">
        <v>0</v>
      </c>
    </row>
    <row r="16" spans="1:56">
      <c r="A16" s="130" t="s">
        <v>8289</v>
      </c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>
        <v>0</v>
      </c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9">
        <v>0</v>
      </c>
    </row>
    <row r="17" spans="1:56">
      <c r="A17" s="130" t="s">
        <v>8290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>
        <v>0</v>
      </c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9">
        <v>0</v>
      </c>
    </row>
    <row r="18" spans="1:56">
      <c r="A18" s="130" t="s">
        <v>71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9">
        <v>0</v>
      </c>
    </row>
    <row r="19" spans="1:56">
      <c r="A19" s="130" t="s">
        <v>8291</v>
      </c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>
        <v>0</v>
      </c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9">
        <v>0</v>
      </c>
    </row>
    <row r="20" spans="1:56">
      <c r="A20" s="130" t="s">
        <v>8292</v>
      </c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>
        <v>0</v>
      </c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9">
        <v>0</v>
      </c>
    </row>
    <row r="21" spans="1:56">
      <c r="A21" s="130" t="s">
        <v>216</v>
      </c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>
        <v>0</v>
      </c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9">
        <v>0</v>
      </c>
    </row>
    <row r="22" spans="1:56">
      <c r="A22" s="130" t="s">
        <v>8293</v>
      </c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>
        <v>0</v>
      </c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9">
        <v>0</v>
      </c>
    </row>
    <row r="23" spans="1:56">
      <c r="A23" s="130" t="s">
        <v>8294</v>
      </c>
      <c r="B23" s="13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>
        <v>0</v>
      </c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9">
        <v>0</v>
      </c>
    </row>
    <row r="24" spans="1:56">
      <c r="A24" s="130" t="s">
        <v>212</v>
      </c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0</v>
      </c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9">
        <v>0</v>
      </c>
    </row>
    <row r="25" spans="1:56">
      <c r="A25" s="130" t="s">
        <v>8295</v>
      </c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>
        <v>0</v>
      </c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9">
        <v>0</v>
      </c>
    </row>
    <row r="26" spans="1:56">
      <c r="A26" s="130" t="s">
        <v>8296</v>
      </c>
      <c r="B26" s="13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9">
        <v>0</v>
      </c>
    </row>
    <row r="27" spans="1:56">
      <c r="A27" s="130" t="s">
        <v>2492</v>
      </c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>
        <v>0</v>
      </c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9">
        <v>0</v>
      </c>
    </row>
    <row r="28" spans="1:56">
      <c r="A28" s="130" t="s">
        <v>8297</v>
      </c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9">
        <v>0</v>
      </c>
    </row>
    <row r="29" spans="1:56">
      <c r="A29" s="130" t="s">
        <v>8298</v>
      </c>
      <c r="B29" s="13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>
        <v>0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9">
        <v>0</v>
      </c>
    </row>
    <row r="30" spans="1:56">
      <c r="A30" s="130" t="s">
        <v>8299</v>
      </c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>
        <v>0</v>
      </c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9">
        <v>0</v>
      </c>
    </row>
    <row r="31" spans="1:56">
      <c r="A31" s="130" t="s">
        <v>221</v>
      </c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>
        <v>0</v>
      </c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9">
        <v>0</v>
      </c>
    </row>
    <row r="32" spans="1:56">
      <c r="A32" s="130" t="s">
        <v>8300</v>
      </c>
      <c r="B32" s="13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>
        <v>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9">
        <v>0</v>
      </c>
    </row>
    <row r="33" spans="1:56">
      <c r="A33" s="130" t="s">
        <v>8301</v>
      </c>
      <c r="B33" s="13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>
        <v>0</v>
      </c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9">
        <v>0</v>
      </c>
    </row>
    <row r="34" spans="1:56">
      <c r="A34" s="130" t="s">
        <v>8302</v>
      </c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>
        <v>0</v>
      </c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9">
        <v>0</v>
      </c>
    </row>
    <row r="35" spans="1:56">
      <c r="A35" s="130" t="s">
        <v>553</v>
      </c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>
        <v>0</v>
      </c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9">
        <v>0</v>
      </c>
    </row>
    <row r="36" spans="1:56">
      <c r="A36" s="130" t="s">
        <v>8303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>
        <v>0</v>
      </c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9">
        <v>0</v>
      </c>
    </row>
    <row r="37" spans="1:56">
      <c r="A37" s="130" t="s">
        <v>182</v>
      </c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>
        <v>0</v>
      </c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9">
        <v>0</v>
      </c>
    </row>
    <row r="38" spans="1:56">
      <c r="A38" s="130" t="s">
        <v>318</v>
      </c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>
        <v>0</v>
      </c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9">
        <v>0</v>
      </c>
    </row>
    <row r="39" spans="1:56">
      <c r="A39" s="130" t="s">
        <v>201</v>
      </c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>
        <v>0</v>
      </c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9">
        <v>0</v>
      </c>
    </row>
    <row r="40" spans="1:56">
      <c r="A40" s="130" t="s">
        <v>188</v>
      </c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>
        <v>0</v>
      </c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9">
        <v>0</v>
      </c>
    </row>
    <row r="41" spans="1:56">
      <c r="A41" s="130" t="s">
        <v>59</v>
      </c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>
        <v>0</v>
      </c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9">
        <v>0</v>
      </c>
    </row>
    <row r="42" spans="1:56">
      <c r="A42" s="130" t="s">
        <v>8304</v>
      </c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>
        <v>0</v>
      </c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9">
        <v>0</v>
      </c>
    </row>
    <row r="43" spans="1:56">
      <c r="A43" s="130" t="s">
        <v>8305</v>
      </c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9">
        <v>0</v>
      </c>
    </row>
    <row r="44" spans="1:56">
      <c r="A44" s="130" t="s">
        <v>8306</v>
      </c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9">
        <v>0</v>
      </c>
    </row>
    <row r="45" spans="1:56">
      <c r="A45" s="130" t="s">
        <v>8307</v>
      </c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>
        <v>0</v>
      </c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9">
        <v>0</v>
      </c>
    </row>
    <row r="46" spans="1:56">
      <c r="A46" s="130" t="s">
        <v>204</v>
      </c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>
        <v>0</v>
      </c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9">
        <v>0</v>
      </c>
    </row>
    <row r="47" spans="1:56">
      <c r="A47" s="130" t="s">
        <v>47</v>
      </c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>
        <v>0</v>
      </c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9">
        <v>0</v>
      </c>
    </row>
    <row r="48" spans="1:56">
      <c r="A48" s="130" t="s">
        <v>56</v>
      </c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>
        <v>0</v>
      </c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9">
        <v>0</v>
      </c>
    </row>
    <row r="49" spans="1:56">
      <c r="A49" s="130" t="s">
        <v>174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>
        <v>0</v>
      </c>
      <c r="AU49" s="132"/>
      <c r="AV49" s="132"/>
      <c r="AW49" s="132"/>
      <c r="AX49" s="132"/>
      <c r="AY49" s="132"/>
      <c r="AZ49" s="132"/>
      <c r="BA49" s="132"/>
      <c r="BB49" s="132"/>
      <c r="BC49" s="132"/>
      <c r="BD49" s="139">
        <v>0</v>
      </c>
    </row>
    <row r="50" spans="1:56">
      <c r="A50" s="130" t="s">
        <v>8308</v>
      </c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>
        <v>0</v>
      </c>
      <c r="AV50" s="132"/>
      <c r="AW50" s="132"/>
      <c r="AX50" s="132"/>
      <c r="AY50" s="132"/>
      <c r="AZ50" s="132"/>
      <c r="BA50" s="132"/>
      <c r="BB50" s="132"/>
      <c r="BC50" s="132"/>
      <c r="BD50" s="139">
        <v>0</v>
      </c>
    </row>
    <row r="51" spans="1:56">
      <c r="A51" s="130" t="s">
        <v>236</v>
      </c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>
        <v>0</v>
      </c>
      <c r="AW51" s="132"/>
      <c r="AX51" s="132"/>
      <c r="AY51" s="132"/>
      <c r="AZ51" s="132"/>
      <c r="BA51" s="132"/>
      <c r="BB51" s="132"/>
      <c r="BC51" s="132"/>
      <c r="BD51" s="139">
        <v>0</v>
      </c>
    </row>
    <row r="52" spans="1:56">
      <c r="A52" s="130" t="s">
        <v>8309</v>
      </c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>
        <v>0</v>
      </c>
      <c r="AX52" s="132"/>
      <c r="AY52" s="132"/>
      <c r="AZ52" s="132"/>
      <c r="BA52" s="132"/>
      <c r="BB52" s="132"/>
      <c r="BC52" s="132"/>
      <c r="BD52" s="139">
        <v>0</v>
      </c>
    </row>
    <row r="53" spans="1:56">
      <c r="A53" s="130" t="s">
        <v>8310</v>
      </c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>
        <v>0</v>
      </c>
      <c r="AY53" s="132"/>
      <c r="AZ53" s="132"/>
      <c r="BA53" s="132"/>
      <c r="BB53" s="132"/>
      <c r="BC53" s="132"/>
      <c r="BD53" s="139">
        <v>0</v>
      </c>
    </row>
    <row r="54" spans="1:56">
      <c r="A54" s="130" t="s">
        <v>265</v>
      </c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>
        <v>0</v>
      </c>
      <c r="AZ54" s="132"/>
      <c r="BA54" s="132"/>
      <c r="BB54" s="132"/>
      <c r="BC54" s="132"/>
      <c r="BD54" s="139">
        <v>0</v>
      </c>
    </row>
    <row r="55" spans="1:56">
      <c r="A55" s="130" t="s">
        <v>324</v>
      </c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>
        <v>0</v>
      </c>
      <c r="BA55" s="132"/>
      <c r="BB55" s="132"/>
      <c r="BC55" s="132"/>
      <c r="BD55" s="139">
        <v>0</v>
      </c>
    </row>
    <row r="56" spans="1:56">
      <c r="A56" s="130" t="s">
        <v>336</v>
      </c>
      <c r="B56" s="13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>
        <v>0</v>
      </c>
      <c r="BB56" s="132"/>
      <c r="BC56" s="132"/>
      <c r="BD56" s="139">
        <v>0</v>
      </c>
    </row>
    <row r="57" spans="1:56">
      <c r="A57" s="130" t="s">
        <v>8311</v>
      </c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>
        <v>0</v>
      </c>
      <c r="BC57" s="132"/>
      <c r="BD57" s="139">
        <v>0</v>
      </c>
    </row>
    <row r="58" spans="1:56">
      <c r="A58" s="130" t="s">
        <v>8312</v>
      </c>
      <c r="B58" s="13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>
        <v>0</v>
      </c>
      <c r="BD58" s="139">
        <v>0</v>
      </c>
    </row>
    <row r="59" spans="1:56">
      <c r="A59" s="133" t="s">
        <v>8313</v>
      </c>
      <c r="B59" s="134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40">
        <v>0</v>
      </c>
    </row>
  </sheetData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2">
    <tabColor rgb="FFFF0000"/>
  </sheetPr>
  <dimension ref="A3:BD59"/>
  <sheetViews>
    <sheetView workbookViewId="0">
      <selection activeCell="A1" sqref="A1"/>
    </sheetView>
  </sheetViews>
  <sheetFormatPr defaultColWidth="9" defaultRowHeight="14.25"/>
  <cols>
    <col min="1" max="1" width="14" customWidth="1"/>
    <col min="2" max="55" width="9.125" customWidth="1"/>
    <col min="56" max="56" width="10.375" customWidth="1"/>
  </cols>
  <sheetData>
    <row r="3" spans="1:56">
      <c r="A3" s="125" t="s">
        <v>8329</v>
      </c>
      <c r="B3" s="125" t="s">
        <v>8281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36"/>
    </row>
    <row r="4" spans="1:56">
      <c r="A4" s="125" t="s">
        <v>8282</v>
      </c>
      <c r="B4" s="125" t="s">
        <v>8283</v>
      </c>
      <c r="C4" s="127" t="s">
        <v>30</v>
      </c>
      <c r="D4" s="127" t="s">
        <v>31</v>
      </c>
      <c r="E4" s="127" t="s">
        <v>8284</v>
      </c>
      <c r="F4" s="127" t="s">
        <v>8285</v>
      </c>
      <c r="G4" s="127" t="s">
        <v>178</v>
      </c>
      <c r="H4" s="127" t="s">
        <v>8286</v>
      </c>
      <c r="I4" s="127" t="s">
        <v>8287</v>
      </c>
      <c r="J4" s="127" t="s">
        <v>165</v>
      </c>
      <c r="K4" s="127" t="s">
        <v>94</v>
      </c>
      <c r="L4" s="127" t="s">
        <v>8288</v>
      </c>
      <c r="M4" s="127" t="s">
        <v>8289</v>
      </c>
      <c r="N4" s="127" t="s">
        <v>8290</v>
      </c>
      <c r="O4" s="127" t="s">
        <v>71</v>
      </c>
      <c r="P4" s="127" t="s">
        <v>8291</v>
      </c>
      <c r="Q4" s="127" t="s">
        <v>8292</v>
      </c>
      <c r="R4" s="127" t="s">
        <v>216</v>
      </c>
      <c r="S4" s="127" t="s">
        <v>8293</v>
      </c>
      <c r="T4" s="127" t="s">
        <v>8294</v>
      </c>
      <c r="U4" s="127" t="s">
        <v>212</v>
      </c>
      <c r="V4" s="127" t="s">
        <v>8295</v>
      </c>
      <c r="W4" s="127" t="s">
        <v>8296</v>
      </c>
      <c r="X4" s="127" t="s">
        <v>2492</v>
      </c>
      <c r="Y4" s="127" t="s">
        <v>8297</v>
      </c>
      <c r="Z4" s="127" t="s">
        <v>8298</v>
      </c>
      <c r="AA4" s="127" t="s">
        <v>8299</v>
      </c>
      <c r="AB4" s="127" t="s">
        <v>221</v>
      </c>
      <c r="AC4" s="127" t="s">
        <v>8300</v>
      </c>
      <c r="AD4" s="127" t="s">
        <v>8301</v>
      </c>
      <c r="AE4" s="127" t="s">
        <v>8302</v>
      </c>
      <c r="AF4" s="127" t="s">
        <v>553</v>
      </c>
      <c r="AG4" s="127" t="s">
        <v>8303</v>
      </c>
      <c r="AH4" s="127" t="s">
        <v>182</v>
      </c>
      <c r="AI4" s="127" t="s">
        <v>318</v>
      </c>
      <c r="AJ4" s="127" t="s">
        <v>201</v>
      </c>
      <c r="AK4" s="127" t="s">
        <v>188</v>
      </c>
      <c r="AL4" s="127" t="s">
        <v>59</v>
      </c>
      <c r="AM4" s="127" t="s">
        <v>8304</v>
      </c>
      <c r="AN4" s="127" t="s">
        <v>8305</v>
      </c>
      <c r="AO4" s="127" t="s">
        <v>8306</v>
      </c>
      <c r="AP4" s="127" t="s">
        <v>8307</v>
      </c>
      <c r="AQ4" s="127" t="s">
        <v>204</v>
      </c>
      <c r="AR4" s="127" t="s">
        <v>47</v>
      </c>
      <c r="AS4" s="127" t="s">
        <v>56</v>
      </c>
      <c r="AT4" s="127" t="s">
        <v>174</v>
      </c>
      <c r="AU4" s="127" t="s">
        <v>8308</v>
      </c>
      <c r="AV4" s="127" t="s">
        <v>236</v>
      </c>
      <c r="AW4" s="127" t="s">
        <v>8309</v>
      </c>
      <c r="AX4" s="127" t="s">
        <v>8310</v>
      </c>
      <c r="AY4" s="127" t="s">
        <v>265</v>
      </c>
      <c r="AZ4" s="127" t="s">
        <v>324</v>
      </c>
      <c r="BA4" s="127" t="s">
        <v>336</v>
      </c>
      <c r="BB4" s="127" t="s">
        <v>8311</v>
      </c>
      <c r="BC4" s="127" t="s">
        <v>8312</v>
      </c>
      <c r="BD4" s="137" t="s">
        <v>8313</v>
      </c>
    </row>
    <row r="5" spans="1:56">
      <c r="A5" s="125" t="s">
        <v>8283</v>
      </c>
      <c r="B5" s="128">
        <v>0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38">
        <v>0</v>
      </c>
    </row>
    <row r="6" spans="1:56">
      <c r="A6" s="130" t="s">
        <v>30</v>
      </c>
      <c r="B6" s="131"/>
      <c r="C6" s="132">
        <v>0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9">
        <v>0</v>
      </c>
    </row>
    <row r="7" spans="1:56">
      <c r="A7" s="130" t="s">
        <v>31</v>
      </c>
      <c r="B7" s="131"/>
      <c r="C7" s="132"/>
      <c r="D7" s="132">
        <v>0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9">
        <v>0</v>
      </c>
    </row>
    <row r="8" spans="1:56">
      <c r="A8" s="130" t="s">
        <v>8284</v>
      </c>
      <c r="B8" s="131"/>
      <c r="C8" s="132"/>
      <c r="D8" s="132"/>
      <c r="E8" s="132">
        <v>0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9">
        <v>0</v>
      </c>
    </row>
    <row r="9" spans="1:56">
      <c r="A9" s="130" t="s">
        <v>8285</v>
      </c>
      <c r="B9" s="131"/>
      <c r="C9" s="132"/>
      <c r="D9" s="132"/>
      <c r="E9" s="132"/>
      <c r="F9" s="132">
        <v>0</v>
      </c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9">
        <v>0</v>
      </c>
    </row>
    <row r="10" spans="1:56">
      <c r="A10" s="130" t="s">
        <v>178</v>
      </c>
      <c r="B10" s="131"/>
      <c r="C10" s="132"/>
      <c r="D10" s="132"/>
      <c r="E10" s="132"/>
      <c r="F10" s="132"/>
      <c r="G10" s="132">
        <v>0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9">
        <v>0</v>
      </c>
    </row>
    <row r="11" spans="1:56">
      <c r="A11" s="130" t="s">
        <v>8286</v>
      </c>
      <c r="B11" s="131"/>
      <c r="C11" s="132"/>
      <c r="D11" s="132"/>
      <c r="E11" s="132"/>
      <c r="F11" s="132"/>
      <c r="G11" s="132"/>
      <c r="H11" s="132">
        <v>0</v>
      </c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9">
        <v>0</v>
      </c>
    </row>
    <row r="12" spans="1:56">
      <c r="A12" s="130" t="s">
        <v>8287</v>
      </c>
      <c r="B12" s="131"/>
      <c r="C12" s="132"/>
      <c r="D12" s="132"/>
      <c r="E12" s="132"/>
      <c r="F12" s="132"/>
      <c r="G12" s="132"/>
      <c r="H12" s="132"/>
      <c r="I12" s="132"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9">
        <v>0</v>
      </c>
    </row>
    <row r="13" spans="1:56">
      <c r="A13" s="130" t="s">
        <v>165</v>
      </c>
      <c r="B13" s="131"/>
      <c r="C13" s="132"/>
      <c r="D13" s="132"/>
      <c r="E13" s="132"/>
      <c r="F13" s="132"/>
      <c r="G13" s="132"/>
      <c r="H13" s="132"/>
      <c r="I13" s="132"/>
      <c r="J13" s="132"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9">
        <v>0</v>
      </c>
    </row>
    <row r="14" spans="1:56">
      <c r="A14" s="130" t="s">
        <v>94</v>
      </c>
      <c r="B14" s="131"/>
      <c r="C14" s="132"/>
      <c r="D14" s="132"/>
      <c r="E14" s="132"/>
      <c r="F14" s="132"/>
      <c r="G14" s="132"/>
      <c r="H14" s="132"/>
      <c r="I14" s="132"/>
      <c r="J14" s="132"/>
      <c r="K14" s="132">
        <v>0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9">
        <v>0</v>
      </c>
    </row>
    <row r="15" spans="1:56">
      <c r="A15" s="130" t="s">
        <v>8288</v>
      </c>
      <c r="B15" s="131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0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9">
        <v>0</v>
      </c>
    </row>
    <row r="16" spans="1:56">
      <c r="A16" s="130" t="s">
        <v>8289</v>
      </c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>
        <v>0</v>
      </c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9">
        <v>0</v>
      </c>
    </row>
    <row r="17" spans="1:56">
      <c r="A17" s="130" t="s">
        <v>8290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>
        <v>0</v>
      </c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9">
        <v>0</v>
      </c>
    </row>
    <row r="18" spans="1:56">
      <c r="A18" s="130" t="s">
        <v>71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9">
        <v>0</v>
      </c>
    </row>
    <row r="19" spans="1:56">
      <c r="A19" s="130" t="s">
        <v>8291</v>
      </c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>
        <v>0</v>
      </c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9">
        <v>0</v>
      </c>
    </row>
    <row r="20" spans="1:56">
      <c r="A20" s="130" t="s">
        <v>8292</v>
      </c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>
        <v>0</v>
      </c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9">
        <v>0</v>
      </c>
    </row>
    <row r="21" spans="1:56">
      <c r="A21" s="130" t="s">
        <v>216</v>
      </c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>
        <v>0</v>
      </c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9">
        <v>0</v>
      </c>
    </row>
    <row r="22" spans="1:56">
      <c r="A22" s="130" t="s">
        <v>8293</v>
      </c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>
        <v>0</v>
      </c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9">
        <v>0</v>
      </c>
    </row>
    <row r="23" spans="1:56">
      <c r="A23" s="130" t="s">
        <v>8294</v>
      </c>
      <c r="B23" s="13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>
        <v>0</v>
      </c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9">
        <v>0</v>
      </c>
    </row>
    <row r="24" spans="1:56">
      <c r="A24" s="130" t="s">
        <v>212</v>
      </c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0</v>
      </c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9">
        <v>0</v>
      </c>
    </row>
    <row r="25" spans="1:56">
      <c r="A25" s="130" t="s">
        <v>8295</v>
      </c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>
        <v>0</v>
      </c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9">
        <v>0</v>
      </c>
    </row>
    <row r="26" spans="1:56">
      <c r="A26" s="130" t="s">
        <v>8296</v>
      </c>
      <c r="B26" s="13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9">
        <v>0</v>
      </c>
    </row>
    <row r="27" spans="1:56">
      <c r="A27" s="130" t="s">
        <v>2492</v>
      </c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>
        <v>0</v>
      </c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9">
        <v>0</v>
      </c>
    </row>
    <row r="28" spans="1:56">
      <c r="A28" s="130" t="s">
        <v>8297</v>
      </c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9">
        <v>0</v>
      </c>
    </row>
    <row r="29" spans="1:56">
      <c r="A29" s="130" t="s">
        <v>8298</v>
      </c>
      <c r="B29" s="13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>
        <v>0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9">
        <v>0</v>
      </c>
    </row>
    <row r="30" spans="1:56">
      <c r="A30" s="130" t="s">
        <v>8299</v>
      </c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>
        <v>0</v>
      </c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9">
        <v>0</v>
      </c>
    </row>
    <row r="31" spans="1:56">
      <c r="A31" s="130" t="s">
        <v>221</v>
      </c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>
        <v>0</v>
      </c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9">
        <v>0</v>
      </c>
    </row>
    <row r="32" spans="1:56">
      <c r="A32" s="130" t="s">
        <v>8300</v>
      </c>
      <c r="B32" s="13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>
        <v>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9">
        <v>0</v>
      </c>
    </row>
    <row r="33" spans="1:56">
      <c r="A33" s="130" t="s">
        <v>8301</v>
      </c>
      <c r="B33" s="13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>
        <v>0</v>
      </c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9">
        <v>0</v>
      </c>
    </row>
    <row r="34" spans="1:56">
      <c r="A34" s="130" t="s">
        <v>8302</v>
      </c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>
        <v>0</v>
      </c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9">
        <v>0</v>
      </c>
    </row>
    <row r="35" spans="1:56">
      <c r="A35" s="130" t="s">
        <v>553</v>
      </c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>
        <v>0</v>
      </c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9">
        <v>0</v>
      </c>
    </row>
    <row r="36" spans="1:56">
      <c r="A36" s="130" t="s">
        <v>8303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>
        <v>0</v>
      </c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9">
        <v>0</v>
      </c>
    </row>
    <row r="37" spans="1:56">
      <c r="A37" s="130" t="s">
        <v>182</v>
      </c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>
        <v>0</v>
      </c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9">
        <v>0</v>
      </c>
    </row>
    <row r="38" spans="1:56">
      <c r="A38" s="130" t="s">
        <v>318</v>
      </c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>
        <v>0</v>
      </c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9">
        <v>0</v>
      </c>
    </row>
    <row r="39" spans="1:56">
      <c r="A39" s="130" t="s">
        <v>201</v>
      </c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>
        <v>0</v>
      </c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9">
        <v>0</v>
      </c>
    </row>
    <row r="40" spans="1:56">
      <c r="A40" s="130" t="s">
        <v>188</v>
      </c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>
        <v>0</v>
      </c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9">
        <v>0</v>
      </c>
    </row>
    <row r="41" spans="1:56">
      <c r="A41" s="130" t="s">
        <v>59</v>
      </c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>
        <v>0</v>
      </c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9">
        <v>0</v>
      </c>
    </row>
    <row r="42" spans="1:56">
      <c r="A42" s="130" t="s">
        <v>8304</v>
      </c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>
        <v>0</v>
      </c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9">
        <v>0</v>
      </c>
    </row>
    <row r="43" spans="1:56">
      <c r="A43" s="130" t="s">
        <v>8305</v>
      </c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9">
        <v>0</v>
      </c>
    </row>
    <row r="44" spans="1:56">
      <c r="A44" s="130" t="s">
        <v>8306</v>
      </c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9">
        <v>0</v>
      </c>
    </row>
    <row r="45" spans="1:56">
      <c r="A45" s="130" t="s">
        <v>8307</v>
      </c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>
        <v>0</v>
      </c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9">
        <v>0</v>
      </c>
    </row>
    <row r="46" spans="1:56">
      <c r="A46" s="130" t="s">
        <v>204</v>
      </c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>
        <v>0</v>
      </c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9">
        <v>0</v>
      </c>
    </row>
    <row r="47" spans="1:56">
      <c r="A47" s="130" t="s">
        <v>47</v>
      </c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>
        <v>0</v>
      </c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9">
        <v>0</v>
      </c>
    </row>
    <row r="48" spans="1:56">
      <c r="A48" s="130" t="s">
        <v>56</v>
      </c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>
        <v>0</v>
      </c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9">
        <v>0</v>
      </c>
    </row>
    <row r="49" spans="1:56">
      <c r="A49" s="130" t="s">
        <v>174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>
        <v>0</v>
      </c>
      <c r="AU49" s="132"/>
      <c r="AV49" s="132"/>
      <c r="AW49" s="132"/>
      <c r="AX49" s="132"/>
      <c r="AY49" s="132"/>
      <c r="AZ49" s="132"/>
      <c r="BA49" s="132"/>
      <c r="BB49" s="132"/>
      <c r="BC49" s="132"/>
      <c r="BD49" s="139">
        <v>0</v>
      </c>
    </row>
    <row r="50" spans="1:56">
      <c r="A50" s="130" t="s">
        <v>8308</v>
      </c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>
        <v>0</v>
      </c>
      <c r="AV50" s="132"/>
      <c r="AW50" s="132"/>
      <c r="AX50" s="132"/>
      <c r="AY50" s="132"/>
      <c r="AZ50" s="132"/>
      <c r="BA50" s="132"/>
      <c r="BB50" s="132"/>
      <c r="BC50" s="132"/>
      <c r="BD50" s="139">
        <v>0</v>
      </c>
    </row>
    <row r="51" spans="1:56">
      <c r="A51" s="130" t="s">
        <v>236</v>
      </c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>
        <v>0</v>
      </c>
      <c r="AW51" s="132"/>
      <c r="AX51" s="132"/>
      <c r="AY51" s="132"/>
      <c r="AZ51" s="132"/>
      <c r="BA51" s="132"/>
      <c r="BB51" s="132"/>
      <c r="BC51" s="132"/>
      <c r="BD51" s="139">
        <v>0</v>
      </c>
    </row>
    <row r="52" spans="1:56">
      <c r="A52" s="130" t="s">
        <v>8309</v>
      </c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>
        <v>0</v>
      </c>
      <c r="AX52" s="132"/>
      <c r="AY52" s="132"/>
      <c r="AZ52" s="132"/>
      <c r="BA52" s="132"/>
      <c r="BB52" s="132"/>
      <c r="BC52" s="132"/>
      <c r="BD52" s="139">
        <v>0</v>
      </c>
    </row>
    <row r="53" spans="1:56">
      <c r="A53" s="130" t="s">
        <v>8310</v>
      </c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>
        <v>0</v>
      </c>
      <c r="AY53" s="132"/>
      <c r="AZ53" s="132"/>
      <c r="BA53" s="132"/>
      <c r="BB53" s="132"/>
      <c r="BC53" s="132"/>
      <c r="BD53" s="139">
        <v>0</v>
      </c>
    </row>
    <row r="54" spans="1:56">
      <c r="A54" s="130" t="s">
        <v>265</v>
      </c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>
        <v>0</v>
      </c>
      <c r="AZ54" s="132"/>
      <c r="BA54" s="132"/>
      <c r="BB54" s="132"/>
      <c r="BC54" s="132"/>
      <c r="BD54" s="139">
        <v>0</v>
      </c>
    </row>
    <row r="55" spans="1:56">
      <c r="A55" s="130" t="s">
        <v>324</v>
      </c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>
        <v>0</v>
      </c>
      <c r="BA55" s="132"/>
      <c r="BB55" s="132"/>
      <c r="BC55" s="132"/>
      <c r="BD55" s="139">
        <v>0</v>
      </c>
    </row>
    <row r="56" spans="1:56">
      <c r="A56" s="130" t="s">
        <v>336</v>
      </c>
      <c r="B56" s="13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>
        <v>0</v>
      </c>
      <c r="BB56" s="132"/>
      <c r="BC56" s="132"/>
      <c r="BD56" s="139">
        <v>0</v>
      </c>
    </row>
    <row r="57" spans="1:56">
      <c r="A57" s="130" t="s">
        <v>8311</v>
      </c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>
        <v>0</v>
      </c>
      <c r="BC57" s="132"/>
      <c r="BD57" s="139">
        <v>0</v>
      </c>
    </row>
    <row r="58" spans="1:56">
      <c r="A58" s="130" t="s">
        <v>8312</v>
      </c>
      <c r="B58" s="13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>
        <v>0</v>
      </c>
      <c r="BD58" s="139">
        <v>0</v>
      </c>
    </row>
    <row r="59" spans="1:56">
      <c r="A59" s="133" t="s">
        <v>8313</v>
      </c>
      <c r="B59" s="134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40">
        <v>0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399945066682943"/>
  </sheetPr>
  <dimension ref="A1:P5441"/>
  <sheetViews>
    <sheetView tabSelected="1" topLeftCell="A5412" workbookViewId="0">
      <selection activeCell="J5425" sqref="J5425"/>
    </sheetView>
  </sheetViews>
  <sheetFormatPr defaultColWidth="8.75" defaultRowHeight="15"/>
  <cols>
    <col min="1" max="1" width="4.5" style="144" customWidth="1"/>
    <col min="2" max="2" width="20.125" style="144" customWidth="1"/>
    <col min="3" max="3" width="10.625" style="145" customWidth="1"/>
    <col min="4" max="4" width="8.75" style="146"/>
    <col min="5" max="5" width="5.25" style="147" customWidth="1"/>
    <col min="6" max="6" width="5.125" style="144" customWidth="1"/>
    <col min="7" max="7" width="15.5" style="148" customWidth="1"/>
    <col min="8" max="8" width="10.625" style="148" customWidth="1"/>
    <col min="9" max="16384" width="8.75" style="148"/>
  </cols>
  <sheetData>
    <row r="1" s="141" customFormat="1" ht="15.75" spans="1:8">
      <c r="A1" s="149" t="s">
        <v>338</v>
      </c>
      <c r="B1" s="149"/>
      <c r="C1" s="149"/>
      <c r="D1" s="149"/>
      <c r="E1" s="149"/>
      <c r="F1" s="149"/>
      <c r="G1" s="149"/>
      <c r="H1" s="149"/>
    </row>
    <row r="2" s="141" customFormat="1" ht="28.9" customHeight="1" spans="1:8">
      <c r="A2" s="150" t="s">
        <v>339</v>
      </c>
      <c r="B2" s="150"/>
      <c r="C2" s="150"/>
      <c r="D2" s="150"/>
      <c r="E2" s="150"/>
      <c r="F2" s="150"/>
      <c r="G2" s="150"/>
      <c r="H2" s="150"/>
    </row>
    <row r="3" s="141" customFormat="1" ht="15.75" spans="1:8">
      <c r="A3" s="150" t="s">
        <v>340</v>
      </c>
      <c r="B3" s="150"/>
      <c r="C3" s="150"/>
      <c r="D3" s="150"/>
      <c r="E3" s="150"/>
      <c r="F3" s="150"/>
      <c r="G3" s="150"/>
      <c r="H3" s="150"/>
    </row>
    <row r="4" ht="14.25" spans="3:8">
      <c r="C4" s="144"/>
      <c r="E4" s="144"/>
      <c r="G4" s="144"/>
      <c r="H4" s="144"/>
    </row>
    <row r="5" ht="14.25" spans="1:8">
      <c r="A5" s="151" t="s">
        <v>3</v>
      </c>
      <c r="B5" s="152" t="s">
        <v>341</v>
      </c>
      <c r="C5" s="153" t="s">
        <v>342</v>
      </c>
      <c r="D5" s="154" t="s">
        <v>343</v>
      </c>
      <c r="E5" s="155" t="s">
        <v>344</v>
      </c>
      <c r="F5" s="156"/>
      <c r="G5" s="151" t="s">
        <v>345</v>
      </c>
      <c r="H5" s="151" t="s">
        <v>12</v>
      </c>
    </row>
    <row r="6" ht="25.5" spans="1:8">
      <c r="A6" s="157"/>
      <c r="B6" s="158"/>
      <c r="C6" s="159"/>
      <c r="D6" s="160"/>
      <c r="E6" s="161" t="s">
        <v>346</v>
      </c>
      <c r="F6" s="161" t="s">
        <v>347</v>
      </c>
      <c r="G6" s="157"/>
      <c r="H6" s="157"/>
    </row>
    <row r="7" ht="14.25" spans="1:8">
      <c r="A7" s="312" t="s">
        <v>15</v>
      </c>
      <c r="B7" s="313" t="s">
        <v>16</v>
      </c>
      <c r="C7" s="314" t="s">
        <v>17</v>
      </c>
      <c r="D7" s="315" t="s">
        <v>18</v>
      </c>
      <c r="E7" s="312" t="s">
        <v>19</v>
      </c>
      <c r="F7" s="312" t="s">
        <v>20</v>
      </c>
      <c r="G7" s="312" t="s">
        <v>21</v>
      </c>
      <c r="H7" s="312" t="s">
        <v>22</v>
      </c>
    </row>
    <row r="8" s="142" customFormat="1" ht="14.25" spans="1:8">
      <c r="A8" s="161" t="s">
        <v>348</v>
      </c>
      <c r="B8" s="166" t="s">
        <v>300</v>
      </c>
      <c r="C8" s="166"/>
      <c r="D8" s="167"/>
      <c r="E8" s="168"/>
      <c r="F8" s="169"/>
      <c r="G8" s="169"/>
      <c r="H8" s="161"/>
    </row>
    <row r="9" ht="14.25" spans="1:8">
      <c r="A9" s="170">
        <v>1</v>
      </c>
      <c r="B9" s="171" t="s">
        <v>349</v>
      </c>
      <c r="C9" s="172" t="s">
        <v>72</v>
      </c>
      <c r="D9" s="173">
        <v>0.02</v>
      </c>
      <c r="E9" s="174" t="s">
        <v>30</v>
      </c>
      <c r="F9" s="174" t="s">
        <v>188</v>
      </c>
      <c r="G9" s="172" t="s">
        <v>350</v>
      </c>
      <c r="H9" s="171"/>
    </row>
    <row r="10" ht="14.25" spans="1:8">
      <c r="A10" s="170">
        <v>2</v>
      </c>
      <c r="B10" s="171" t="s">
        <v>351</v>
      </c>
      <c r="C10" s="172" t="s">
        <v>72</v>
      </c>
      <c r="D10" s="173">
        <v>0.04</v>
      </c>
      <c r="E10" s="174" t="s">
        <v>30</v>
      </c>
      <c r="F10" s="174" t="s">
        <v>188</v>
      </c>
      <c r="G10" s="172" t="s">
        <v>352</v>
      </c>
      <c r="H10" s="171"/>
    </row>
    <row r="11" ht="14.25" spans="1:8">
      <c r="A11" s="170">
        <v>3</v>
      </c>
      <c r="B11" s="171" t="s">
        <v>353</v>
      </c>
      <c r="C11" s="172" t="s">
        <v>72</v>
      </c>
      <c r="D11" s="173">
        <v>0.02</v>
      </c>
      <c r="E11" s="174" t="s">
        <v>30</v>
      </c>
      <c r="F11" s="174" t="s">
        <v>188</v>
      </c>
      <c r="G11" s="172" t="s">
        <v>354</v>
      </c>
      <c r="H11" s="171"/>
    </row>
    <row r="12" ht="14.25" spans="1:8">
      <c r="A12" s="170">
        <v>4</v>
      </c>
      <c r="B12" s="171" t="s">
        <v>355</v>
      </c>
      <c r="C12" s="172" t="s">
        <v>72</v>
      </c>
      <c r="D12" s="173">
        <v>0.02</v>
      </c>
      <c r="E12" s="174" t="s">
        <v>30</v>
      </c>
      <c r="F12" s="174" t="s">
        <v>188</v>
      </c>
      <c r="G12" s="172" t="s">
        <v>356</v>
      </c>
      <c r="H12" s="171"/>
    </row>
    <row r="13" ht="14.25" spans="1:8">
      <c r="A13" s="170">
        <v>5</v>
      </c>
      <c r="B13" s="171" t="s">
        <v>357</v>
      </c>
      <c r="C13" s="172" t="s">
        <v>72</v>
      </c>
      <c r="D13" s="173">
        <v>0.02</v>
      </c>
      <c r="E13" s="174" t="s">
        <v>30</v>
      </c>
      <c r="F13" s="174" t="s">
        <v>188</v>
      </c>
      <c r="G13" s="172" t="s">
        <v>358</v>
      </c>
      <c r="H13" s="171"/>
    </row>
    <row r="14" ht="14.25" spans="1:8">
      <c r="A14" s="170">
        <v>6</v>
      </c>
      <c r="B14" s="171" t="s">
        <v>359</v>
      </c>
      <c r="C14" s="172" t="s">
        <v>72</v>
      </c>
      <c r="D14" s="173">
        <v>0.03</v>
      </c>
      <c r="E14" s="174" t="s">
        <v>30</v>
      </c>
      <c r="F14" s="174" t="s">
        <v>188</v>
      </c>
      <c r="G14" s="172" t="s">
        <v>360</v>
      </c>
      <c r="H14" s="171"/>
    </row>
    <row r="15" ht="14.25" spans="1:8">
      <c r="A15" s="170">
        <v>7</v>
      </c>
      <c r="B15" s="171" t="s">
        <v>361</v>
      </c>
      <c r="C15" s="172" t="s">
        <v>72</v>
      </c>
      <c r="D15" s="173">
        <v>0.03</v>
      </c>
      <c r="E15" s="174" t="s">
        <v>30</v>
      </c>
      <c r="F15" s="174" t="s">
        <v>188</v>
      </c>
      <c r="G15" s="172" t="s">
        <v>362</v>
      </c>
      <c r="H15" s="171"/>
    </row>
    <row r="16" ht="14.25" spans="1:8">
      <c r="A16" s="170">
        <v>8</v>
      </c>
      <c r="B16" s="171" t="s">
        <v>363</v>
      </c>
      <c r="C16" s="172" t="s">
        <v>72</v>
      </c>
      <c r="D16" s="173">
        <v>0.01</v>
      </c>
      <c r="E16" s="174" t="s">
        <v>30</v>
      </c>
      <c r="F16" s="174" t="s">
        <v>188</v>
      </c>
      <c r="G16" s="172" t="s">
        <v>364</v>
      </c>
      <c r="H16" s="171"/>
    </row>
    <row r="17" ht="25.5" spans="1:8">
      <c r="A17" s="170">
        <v>9</v>
      </c>
      <c r="B17" s="171" t="s">
        <v>365</v>
      </c>
      <c r="C17" s="172" t="s">
        <v>72</v>
      </c>
      <c r="D17" s="173">
        <v>0.02</v>
      </c>
      <c r="E17" s="174" t="s">
        <v>30</v>
      </c>
      <c r="F17" s="174" t="s">
        <v>188</v>
      </c>
      <c r="G17" s="172" t="s">
        <v>366</v>
      </c>
      <c r="H17" s="171"/>
    </row>
    <row r="18" ht="25.5" spans="1:8">
      <c r="A18" s="170">
        <v>10</v>
      </c>
      <c r="B18" s="171" t="s">
        <v>367</v>
      </c>
      <c r="C18" s="172" t="s">
        <v>72</v>
      </c>
      <c r="D18" s="173">
        <v>0.04</v>
      </c>
      <c r="E18" s="174" t="s">
        <v>30</v>
      </c>
      <c r="F18" s="174" t="s">
        <v>188</v>
      </c>
      <c r="G18" s="172" t="s">
        <v>368</v>
      </c>
      <c r="H18" s="171"/>
    </row>
    <row r="19" ht="25.5" spans="1:8">
      <c r="A19" s="170">
        <v>11</v>
      </c>
      <c r="B19" s="171" t="s">
        <v>369</v>
      </c>
      <c r="C19" s="172" t="s">
        <v>72</v>
      </c>
      <c r="D19" s="173">
        <v>0.04</v>
      </c>
      <c r="E19" s="174" t="s">
        <v>30</v>
      </c>
      <c r="F19" s="174" t="s">
        <v>188</v>
      </c>
      <c r="G19" s="172" t="s">
        <v>370</v>
      </c>
      <c r="H19" s="171"/>
    </row>
    <row r="20" ht="14.25" spans="1:8">
      <c r="A20" s="170">
        <v>12</v>
      </c>
      <c r="B20" s="171" t="s">
        <v>371</v>
      </c>
      <c r="C20" s="172" t="s">
        <v>72</v>
      </c>
      <c r="D20" s="173">
        <v>0.04</v>
      </c>
      <c r="E20" s="174" t="s">
        <v>30</v>
      </c>
      <c r="F20" s="174" t="s">
        <v>188</v>
      </c>
      <c r="G20" s="172" t="s">
        <v>372</v>
      </c>
      <c r="H20" s="171"/>
    </row>
    <row r="21" ht="14.25" spans="1:8">
      <c r="A21" s="170">
        <v>13</v>
      </c>
      <c r="B21" s="171" t="s">
        <v>373</v>
      </c>
      <c r="C21" s="172" t="s">
        <v>72</v>
      </c>
      <c r="D21" s="173">
        <v>0.02</v>
      </c>
      <c r="E21" s="174" t="s">
        <v>30</v>
      </c>
      <c r="F21" s="174" t="s">
        <v>188</v>
      </c>
      <c r="G21" s="172" t="s">
        <v>374</v>
      </c>
      <c r="H21" s="171"/>
    </row>
    <row r="22" ht="14.25" spans="1:8">
      <c r="A22" s="170">
        <v>14</v>
      </c>
      <c r="B22" s="171" t="s">
        <v>373</v>
      </c>
      <c r="C22" s="172" t="s">
        <v>72</v>
      </c>
      <c r="D22" s="173">
        <v>0.01</v>
      </c>
      <c r="E22" s="174" t="s">
        <v>30</v>
      </c>
      <c r="F22" s="174" t="s">
        <v>188</v>
      </c>
      <c r="G22" s="172" t="s">
        <v>375</v>
      </c>
      <c r="H22" s="171"/>
    </row>
    <row r="23" ht="14.25" spans="1:8">
      <c r="A23" s="170">
        <v>15</v>
      </c>
      <c r="B23" s="171" t="s">
        <v>376</v>
      </c>
      <c r="C23" s="172" t="s">
        <v>72</v>
      </c>
      <c r="D23" s="173">
        <v>0.04</v>
      </c>
      <c r="E23" s="174" t="s">
        <v>30</v>
      </c>
      <c r="F23" s="174" t="s">
        <v>188</v>
      </c>
      <c r="G23" s="172" t="s">
        <v>377</v>
      </c>
      <c r="H23" s="171"/>
    </row>
    <row r="24" ht="14.25" spans="1:8">
      <c r="A24" s="170">
        <v>16</v>
      </c>
      <c r="B24" s="175" t="s">
        <v>378</v>
      </c>
      <c r="C24" s="175" t="s">
        <v>72</v>
      </c>
      <c r="D24" s="173">
        <v>0.02</v>
      </c>
      <c r="E24" s="170" t="s">
        <v>30</v>
      </c>
      <c r="F24" s="170" t="s">
        <v>188</v>
      </c>
      <c r="G24" s="175" t="s">
        <v>379</v>
      </c>
      <c r="H24" s="175"/>
    </row>
    <row r="25" ht="14.25" spans="1:8">
      <c r="A25" s="170">
        <v>17</v>
      </c>
      <c r="B25" s="175" t="s">
        <v>380</v>
      </c>
      <c r="C25" s="175" t="s">
        <v>72</v>
      </c>
      <c r="D25" s="173">
        <v>0.01</v>
      </c>
      <c r="E25" s="170" t="s">
        <v>30</v>
      </c>
      <c r="F25" s="170" t="s">
        <v>188</v>
      </c>
      <c r="G25" s="175" t="s">
        <v>381</v>
      </c>
      <c r="H25" s="175"/>
    </row>
    <row r="26" ht="14.25" spans="1:8">
      <c r="A26" s="170">
        <v>18</v>
      </c>
      <c r="B26" s="171" t="s">
        <v>382</v>
      </c>
      <c r="C26" s="175" t="s">
        <v>72</v>
      </c>
      <c r="D26" s="173">
        <v>0.03</v>
      </c>
      <c r="E26" s="176" t="s">
        <v>30</v>
      </c>
      <c r="F26" s="170" t="s">
        <v>188</v>
      </c>
      <c r="G26" s="171" t="s">
        <v>383</v>
      </c>
      <c r="H26" s="175"/>
    </row>
    <row r="27" ht="14.25" spans="1:8">
      <c r="A27" s="170">
        <v>19</v>
      </c>
      <c r="B27" s="171" t="s">
        <v>384</v>
      </c>
      <c r="C27" s="175" t="s">
        <v>72</v>
      </c>
      <c r="D27" s="173">
        <v>0.01</v>
      </c>
      <c r="E27" s="170" t="s">
        <v>30</v>
      </c>
      <c r="F27" s="170" t="s">
        <v>188</v>
      </c>
      <c r="G27" s="175" t="s">
        <v>385</v>
      </c>
      <c r="H27" s="175"/>
    </row>
    <row r="28" ht="14.25" spans="1:8">
      <c r="A28" s="170">
        <v>20</v>
      </c>
      <c r="B28" s="171" t="s">
        <v>386</v>
      </c>
      <c r="C28" s="175" t="s">
        <v>72</v>
      </c>
      <c r="D28" s="173">
        <v>0.04</v>
      </c>
      <c r="E28" s="170" t="s">
        <v>30</v>
      </c>
      <c r="F28" s="170" t="s">
        <v>188</v>
      </c>
      <c r="G28" s="175" t="s">
        <v>387</v>
      </c>
      <c r="H28" s="175"/>
    </row>
    <row r="29" ht="14.25" spans="1:8">
      <c r="A29" s="170">
        <v>21</v>
      </c>
      <c r="B29" s="171" t="s">
        <v>388</v>
      </c>
      <c r="C29" s="175" t="s">
        <v>72</v>
      </c>
      <c r="D29" s="173">
        <v>0.04</v>
      </c>
      <c r="E29" s="170" t="s">
        <v>30</v>
      </c>
      <c r="F29" s="170" t="s">
        <v>188</v>
      </c>
      <c r="G29" s="175" t="s">
        <v>389</v>
      </c>
      <c r="H29" s="175"/>
    </row>
    <row r="30" ht="14.25" spans="1:8">
      <c r="A30" s="170">
        <v>22</v>
      </c>
      <c r="B30" s="171" t="s">
        <v>382</v>
      </c>
      <c r="C30" s="175" t="s">
        <v>72</v>
      </c>
      <c r="D30" s="173">
        <v>0.02</v>
      </c>
      <c r="E30" s="170" t="s">
        <v>30</v>
      </c>
      <c r="F30" s="170" t="s">
        <v>188</v>
      </c>
      <c r="G30" s="175" t="s">
        <v>390</v>
      </c>
      <c r="H30" s="175"/>
    </row>
    <row r="31" ht="14.25" spans="1:8">
      <c r="A31" s="170">
        <v>23</v>
      </c>
      <c r="B31" s="171" t="s">
        <v>391</v>
      </c>
      <c r="C31" s="175" t="s">
        <v>72</v>
      </c>
      <c r="D31" s="173">
        <v>0.04</v>
      </c>
      <c r="E31" s="170" t="s">
        <v>30</v>
      </c>
      <c r="F31" s="170" t="s">
        <v>188</v>
      </c>
      <c r="G31" s="175" t="s">
        <v>392</v>
      </c>
      <c r="H31" s="175"/>
    </row>
    <row r="32" ht="14.25" spans="1:8">
      <c r="A32" s="170">
        <v>24</v>
      </c>
      <c r="B32" s="171" t="s">
        <v>393</v>
      </c>
      <c r="C32" s="175" t="s">
        <v>72</v>
      </c>
      <c r="D32" s="173">
        <v>0.04</v>
      </c>
      <c r="E32" s="170" t="s">
        <v>30</v>
      </c>
      <c r="F32" s="170" t="s">
        <v>188</v>
      </c>
      <c r="G32" s="175" t="s">
        <v>394</v>
      </c>
      <c r="H32" s="175"/>
    </row>
    <row r="33" ht="14.25" spans="1:8">
      <c r="A33" s="170">
        <v>25</v>
      </c>
      <c r="B33" s="171" t="s">
        <v>395</v>
      </c>
      <c r="C33" s="175" t="s">
        <v>72</v>
      </c>
      <c r="D33" s="173">
        <v>0.04</v>
      </c>
      <c r="E33" s="170" t="s">
        <v>30</v>
      </c>
      <c r="F33" s="170" t="s">
        <v>188</v>
      </c>
      <c r="G33" s="175" t="s">
        <v>396</v>
      </c>
      <c r="H33" s="175"/>
    </row>
    <row r="34" ht="14.25" spans="1:8">
      <c r="A34" s="170">
        <v>26</v>
      </c>
      <c r="B34" s="171" t="s">
        <v>397</v>
      </c>
      <c r="C34" s="175" t="s">
        <v>72</v>
      </c>
      <c r="D34" s="173">
        <v>0.05</v>
      </c>
      <c r="E34" s="170" t="s">
        <v>30</v>
      </c>
      <c r="F34" s="170" t="s">
        <v>188</v>
      </c>
      <c r="G34" s="175" t="s">
        <v>398</v>
      </c>
      <c r="H34" s="175"/>
    </row>
    <row r="35" ht="14.25" spans="1:8">
      <c r="A35" s="170">
        <v>27</v>
      </c>
      <c r="B35" s="171" t="s">
        <v>399</v>
      </c>
      <c r="C35" s="175" t="s">
        <v>72</v>
      </c>
      <c r="D35" s="173">
        <v>0.04</v>
      </c>
      <c r="E35" s="170" t="s">
        <v>30</v>
      </c>
      <c r="F35" s="170" t="s">
        <v>188</v>
      </c>
      <c r="G35" s="175" t="s">
        <v>400</v>
      </c>
      <c r="H35" s="175"/>
    </row>
    <row r="36" ht="14.25" spans="1:8">
      <c r="A36" s="170">
        <v>28</v>
      </c>
      <c r="B36" s="177" t="s">
        <v>401</v>
      </c>
      <c r="C36" s="177" t="s">
        <v>72</v>
      </c>
      <c r="D36" s="178">
        <v>0.1</v>
      </c>
      <c r="E36" s="179" t="s">
        <v>30</v>
      </c>
      <c r="F36" s="179" t="s">
        <v>188</v>
      </c>
      <c r="G36" s="177" t="s">
        <v>402</v>
      </c>
      <c r="H36" s="177"/>
    </row>
    <row r="37" ht="14.25" spans="1:8">
      <c r="A37" s="170">
        <v>29</v>
      </c>
      <c r="B37" s="177" t="s">
        <v>403</v>
      </c>
      <c r="C37" s="177" t="s">
        <v>72</v>
      </c>
      <c r="D37" s="178">
        <v>0.01</v>
      </c>
      <c r="E37" s="179" t="s">
        <v>30</v>
      </c>
      <c r="F37" s="179" t="s">
        <v>188</v>
      </c>
      <c r="G37" s="177" t="s">
        <v>404</v>
      </c>
      <c r="H37" s="177"/>
    </row>
    <row r="38" ht="14.25" spans="1:8">
      <c r="A38" s="170">
        <v>30</v>
      </c>
      <c r="B38" s="180" t="s">
        <v>405</v>
      </c>
      <c r="C38" s="177" t="s">
        <v>72</v>
      </c>
      <c r="D38" s="178">
        <v>0.04</v>
      </c>
      <c r="E38" s="179" t="s">
        <v>30</v>
      </c>
      <c r="F38" s="179" t="s">
        <v>188</v>
      </c>
      <c r="G38" s="181" t="s">
        <v>406</v>
      </c>
      <c r="H38" s="177"/>
    </row>
    <row r="39" ht="14.25" spans="1:8">
      <c r="A39" s="170">
        <v>31</v>
      </c>
      <c r="B39" s="182" t="s">
        <v>407</v>
      </c>
      <c r="C39" s="177" t="s">
        <v>72</v>
      </c>
      <c r="D39" s="173">
        <v>0.02</v>
      </c>
      <c r="E39" s="179" t="s">
        <v>30</v>
      </c>
      <c r="F39" s="179" t="s">
        <v>188</v>
      </c>
      <c r="G39" s="183" t="s">
        <v>408</v>
      </c>
      <c r="H39" s="177"/>
    </row>
    <row r="40" ht="14.25" spans="1:8">
      <c r="A40" s="170">
        <v>32</v>
      </c>
      <c r="B40" s="184" t="s">
        <v>409</v>
      </c>
      <c r="C40" s="177" t="s">
        <v>72</v>
      </c>
      <c r="D40" s="173">
        <v>0.06</v>
      </c>
      <c r="E40" s="179" t="s">
        <v>30</v>
      </c>
      <c r="F40" s="179" t="s">
        <v>188</v>
      </c>
      <c r="G40" s="184" t="s">
        <v>410</v>
      </c>
      <c r="H40" s="177"/>
    </row>
    <row r="41" ht="14.25" spans="1:8">
      <c r="A41" s="170">
        <v>33</v>
      </c>
      <c r="B41" s="180" t="s">
        <v>411</v>
      </c>
      <c r="C41" s="177" t="s">
        <v>72</v>
      </c>
      <c r="D41" s="173">
        <v>0.02</v>
      </c>
      <c r="E41" s="179" t="s">
        <v>30</v>
      </c>
      <c r="F41" s="179" t="s">
        <v>188</v>
      </c>
      <c r="G41" s="183" t="s">
        <v>412</v>
      </c>
      <c r="H41" s="177"/>
    </row>
    <row r="42" ht="14.25" spans="1:8">
      <c r="A42" s="170">
        <v>34</v>
      </c>
      <c r="B42" s="185" t="s">
        <v>413</v>
      </c>
      <c r="C42" s="177" t="s">
        <v>72</v>
      </c>
      <c r="D42" s="173">
        <v>0.01</v>
      </c>
      <c r="E42" s="179" t="s">
        <v>30</v>
      </c>
      <c r="F42" s="179" t="s">
        <v>188</v>
      </c>
      <c r="G42" s="185" t="s">
        <v>414</v>
      </c>
      <c r="H42" s="177"/>
    </row>
    <row r="43" ht="14.25" spans="1:8">
      <c r="A43" s="170">
        <v>35</v>
      </c>
      <c r="B43" s="185" t="s">
        <v>415</v>
      </c>
      <c r="C43" s="177" t="s">
        <v>72</v>
      </c>
      <c r="D43" s="173">
        <v>0.0162</v>
      </c>
      <c r="E43" s="179" t="s">
        <v>30</v>
      </c>
      <c r="F43" s="179" t="s">
        <v>188</v>
      </c>
      <c r="G43" s="185" t="s">
        <v>416</v>
      </c>
      <c r="H43" s="177"/>
    </row>
    <row r="44" ht="14.25" spans="1:8">
      <c r="A44" s="170">
        <v>36</v>
      </c>
      <c r="B44" s="185" t="s">
        <v>417</v>
      </c>
      <c r="C44" s="177" t="s">
        <v>72</v>
      </c>
      <c r="D44" s="173">
        <v>0.01</v>
      </c>
      <c r="E44" s="179" t="s">
        <v>30</v>
      </c>
      <c r="F44" s="179" t="s">
        <v>188</v>
      </c>
      <c r="G44" s="185" t="s">
        <v>418</v>
      </c>
      <c r="H44" s="177"/>
    </row>
    <row r="45" ht="14.25" spans="1:8">
      <c r="A45" s="170">
        <v>37</v>
      </c>
      <c r="B45" s="185" t="s">
        <v>419</v>
      </c>
      <c r="C45" s="177" t="s">
        <v>72</v>
      </c>
      <c r="D45" s="173">
        <v>0.01</v>
      </c>
      <c r="E45" s="179" t="s">
        <v>30</v>
      </c>
      <c r="F45" s="179" t="s">
        <v>188</v>
      </c>
      <c r="G45" s="185" t="s">
        <v>420</v>
      </c>
      <c r="H45" s="177"/>
    </row>
    <row r="46" ht="14.25" spans="1:8">
      <c r="A46" s="170">
        <v>38</v>
      </c>
      <c r="B46" s="185" t="s">
        <v>421</v>
      </c>
      <c r="C46" s="177" t="s">
        <v>72</v>
      </c>
      <c r="D46" s="173">
        <v>0.01</v>
      </c>
      <c r="E46" s="179" t="s">
        <v>30</v>
      </c>
      <c r="F46" s="179" t="s">
        <v>188</v>
      </c>
      <c r="G46" s="185" t="s">
        <v>422</v>
      </c>
      <c r="H46" s="177"/>
    </row>
    <row r="47" spans="1:13">
      <c r="A47" s="170">
        <v>39</v>
      </c>
      <c r="B47" s="180" t="s">
        <v>423</v>
      </c>
      <c r="C47" s="177" t="s">
        <v>72</v>
      </c>
      <c r="D47" s="173">
        <v>0.03</v>
      </c>
      <c r="E47" s="179" t="s">
        <v>30</v>
      </c>
      <c r="F47" s="179" t="s">
        <v>188</v>
      </c>
      <c r="G47" s="183" t="s">
        <v>424</v>
      </c>
      <c r="H47" s="177"/>
      <c r="M47" s="188">
        <f>SUM(D5407)+SUM(D2520:D2521)+SUM(D512:D516)+SUM(D732:D734)+SUM(D758:D760)+SUM(D1156)+SUM(D1166)+SUM(D1686:D1687)+SUM(D2019:D2021)+SUM(D2027:D2029)+SUM(D2503:D2509)+SUM(D3802:D3807)+SUM(D4080:D4085)+SUM(D4111)+SUM(D4116:D4120)+SUM(D4584:D4587)+SUM(D4602)+SUM(D5166:D5171)+SUM(D5219:D5221)+SUM(D5413:D5414)+SUM(D5422)</f>
        <v>7.635</v>
      </c>
    </row>
    <row r="48" ht="14.25" spans="1:8">
      <c r="A48" s="170">
        <v>40</v>
      </c>
      <c r="B48" s="180" t="s">
        <v>425</v>
      </c>
      <c r="C48" s="177" t="s">
        <v>72</v>
      </c>
      <c r="D48" s="173">
        <v>0.02</v>
      </c>
      <c r="E48" s="179" t="s">
        <v>30</v>
      </c>
      <c r="F48" s="179" t="s">
        <v>188</v>
      </c>
      <c r="G48" s="183" t="s">
        <v>426</v>
      </c>
      <c r="H48" s="177"/>
    </row>
    <row r="49" ht="14.25" spans="1:8">
      <c r="A49" s="170">
        <v>41</v>
      </c>
      <c r="B49" s="180" t="s">
        <v>427</v>
      </c>
      <c r="C49" s="177" t="s">
        <v>72</v>
      </c>
      <c r="D49" s="173">
        <v>0.01</v>
      </c>
      <c r="E49" s="179" t="s">
        <v>30</v>
      </c>
      <c r="F49" s="179" t="s">
        <v>188</v>
      </c>
      <c r="G49" s="183" t="s">
        <v>428</v>
      </c>
      <c r="H49" s="177"/>
    </row>
    <row r="50" ht="14.25" spans="1:8">
      <c r="A50" s="170">
        <v>42</v>
      </c>
      <c r="B50" s="180" t="s">
        <v>429</v>
      </c>
      <c r="C50" s="177" t="s">
        <v>72</v>
      </c>
      <c r="D50" s="173">
        <v>0.01</v>
      </c>
      <c r="E50" s="179" t="s">
        <v>30</v>
      </c>
      <c r="F50" s="179" t="s">
        <v>188</v>
      </c>
      <c r="G50" s="183" t="s">
        <v>430</v>
      </c>
      <c r="H50" s="177"/>
    </row>
    <row r="51" ht="14.25" spans="1:8">
      <c r="A51" s="170">
        <v>43</v>
      </c>
      <c r="B51" s="185" t="s">
        <v>431</v>
      </c>
      <c r="C51" s="177" t="s">
        <v>72</v>
      </c>
      <c r="D51" s="173">
        <v>0.02</v>
      </c>
      <c r="E51" s="179" t="s">
        <v>30</v>
      </c>
      <c r="F51" s="179" t="s">
        <v>188</v>
      </c>
      <c r="G51" s="185" t="s">
        <v>432</v>
      </c>
      <c r="H51" s="177"/>
    </row>
    <row r="52" ht="14.25" spans="1:8">
      <c r="A52" s="170">
        <v>44</v>
      </c>
      <c r="B52" s="185" t="s">
        <v>433</v>
      </c>
      <c r="C52" s="177" t="s">
        <v>72</v>
      </c>
      <c r="D52" s="173">
        <v>0.04</v>
      </c>
      <c r="E52" s="179" t="s">
        <v>30</v>
      </c>
      <c r="F52" s="179" t="s">
        <v>188</v>
      </c>
      <c r="G52" s="185" t="s">
        <v>434</v>
      </c>
      <c r="H52" s="177"/>
    </row>
    <row r="53" ht="14.25" spans="1:8">
      <c r="A53" s="170">
        <v>45</v>
      </c>
      <c r="B53" s="185" t="s">
        <v>435</v>
      </c>
      <c r="C53" s="177" t="s">
        <v>72</v>
      </c>
      <c r="D53" s="173">
        <v>0.01</v>
      </c>
      <c r="E53" s="179" t="s">
        <v>30</v>
      </c>
      <c r="F53" s="179" t="s">
        <v>188</v>
      </c>
      <c r="G53" s="185" t="s">
        <v>436</v>
      </c>
      <c r="H53" s="177"/>
    </row>
    <row r="54" ht="14.25" spans="1:8">
      <c r="A54" s="170">
        <v>46</v>
      </c>
      <c r="B54" s="185" t="s">
        <v>437</v>
      </c>
      <c r="C54" s="177" t="s">
        <v>72</v>
      </c>
      <c r="D54" s="173">
        <v>0.04</v>
      </c>
      <c r="E54" s="179" t="s">
        <v>30</v>
      </c>
      <c r="F54" s="179" t="s">
        <v>188</v>
      </c>
      <c r="G54" s="185" t="s">
        <v>438</v>
      </c>
      <c r="H54" s="177"/>
    </row>
    <row r="55" ht="14.25" spans="1:8">
      <c r="A55" s="170">
        <v>47</v>
      </c>
      <c r="B55" s="185" t="s">
        <v>439</v>
      </c>
      <c r="C55" s="177" t="s">
        <v>72</v>
      </c>
      <c r="D55" s="173">
        <v>0.01</v>
      </c>
      <c r="E55" s="179" t="s">
        <v>30</v>
      </c>
      <c r="F55" s="179" t="s">
        <v>188</v>
      </c>
      <c r="G55" s="185" t="s">
        <v>440</v>
      </c>
      <c r="H55" s="177"/>
    </row>
    <row r="56" ht="14.25" spans="1:8">
      <c r="A56" s="170">
        <v>48</v>
      </c>
      <c r="B56" s="185" t="s">
        <v>441</v>
      </c>
      <c r="C56" s="177" t="s">
        <v>72</v>
      </c>
      <c r="D56" s="173">
        <v>0.04</v>
      </c>
      <c r="E56" s="179" t="s">
        <v>30</v>
      </c>
      <c r="F56" s="179" t="s">
        <v>188</v>
      </c>
      <c r="G56" s="185" t="s">
        <v>442</v>
      </c>
      <c r="H56" s="177"/>
    </row>
    <row r="57" ht="14.25" spans="1:8">
      <c r="A57" s="170">
        <v>49</v>
      </c>
      <c r="B57" s="185" t="s">
        <v>443</v>
      </c>
      <c r="C57" s="177" t="s">
        <v>72</v>
      </c>
      <c r="D57" s="173">
        <v>0.03</v>
      </c>
      <c r="E57" s="179" t="s">
        <v>30</v>
      </c>
      <c r="F57" s="179" t="s">
        <v>188</v>
      </c>
      <c r="G57" s="185" t="s">
        <v>444</v>
      </c>
      <c r="H57" s="177"/>
    </row>
    <row r="58" ht="14.25" spans="1:8">
      <c r="A58" s="170">
        <v>50</v>
      </c>
      <c r="B58" s="185" t="s">
        <v>445</v>
      </c>
      <c r="C58" s="177" t="s">
        <v>72</v>
      </c>
      <c r="D58" s="173">
        <v>0.02</v>
      </c>
      <c r="E58" s="179" t="s">
        <v>30</v>
      </c>
      <c r="F58" s="179" t="s">
        <v>188</v>
      </c>
      <c r="G58" s="185" t="s">
        <v>446</v>
      </c>
      <c r="H58" s="177"/>
    </row>
    <row r="59" ht="14.25" spans="1:8">
      <c r="A59" s="170">
        <v>51</v>
      </c>
      <c r="B59" s="185" t="s">
        <v>447</v>
      </c>
      <c r="C59" s="177" t="s">
        <v>72</v>
      </c>
      <c r="D59" s="173">
        <v>0.01</v>
      </c>
      <c r="E59" s="179" t="s">
        <v>30</v>
      </c>
      <c r="F59" s="179" t="s">
        <v>188</v>
      </c>
      <c r="G59" s="185" t="s">
        <v>448</v>
      </c>
      <c r="H59" s="177"/>
    </row>
    <row r="60" ht="14.25" spans="1:8">
      <c r="A60" s="170">
        <v>52</v>
      </c>
      <c r="B60" s="185" t="s">
        <v>449</v>
      </c>
      <c r="C60" s="177" t="s">
        <v>72</v>
      </c>
      <c r="D60" s="173">
        <v>0.02</v>
      </c>
      <c r="E60" s="179" t="s">
        <v>30</v>
      </c>
      <c r="F60" s="179" t="s">
        <v>188</v>
      </c>
      <c r="G60" s="185" t="s">
        <v>450</v>
      </c>
      <c r="H60" s="177"/>
    </row>
    <row r="61" ht="14.25" spans="1:8">
      <c r="A61" s="170">
        <v>53</v>
      </c>
      <c r="B61" s="185" t="s">
        <v>451</v>
      </c>
      <c r="C61" s="177" t="s">
        <v>72</v>
      </c>
      <c r="D61" s="173">
        <v>0.02</v>
      </c>
      <c r="E61" s="179" t="s">
        <v>30</v>
      </c>
      <c r="F61" s="179" t="s">
        <v>188</v>
      </c>
      <c r="G61" s="185" t="s">
        <v>452</v>
      </c>
      <c r="H61" s="177"/>
    </row>
    <row r="62" ht="14.25" spans="1:8">
      <c r="A62" s="170">
        <v>54</v>
      </c>
      <c r="B62" s="186" t="s">
        <v>453</v>
      </c>
      <c r="C62" s="177" t="s">
        <v>72</v>
      </c>
      <c r="D62" s="173">
        <v>0.04</v>
      </c>
      <c r="E62" s="179" t="s">
        <v>30</v>
      </c>
      <c r="F62" s="179" t="s">
        <v>188</v>
      </c>
      <c r="G62" s="184" t="s">
        <v>454</v>
      </c>
      <c r="H62" s="177"/>
    </row>
    <row r="63" ht="14.25" spans="1:8">
      <c r="A63" s="170">
        <v>55</v>
      </c>
      <c r="B63" s="187" t="s">
        <v>455</v>
      </c>
      <c r="C63" s="177" t="s">
        <v>72</v>
      </c>
      <c r="D63" s="173">
        <v>0.01</v>
      </c>
      <c r="E63" s="179" t="s">
        <v>30</v>
      </c>
      <c r="F63" s="179" t="s">
        <v>188</v>
      </c>
      <c r="G63" s="183" t="s">
        <v>456</v>
      </c>
      <c r="H63" s="177"/>
    </row>
    <row r="64" ht="14.25" spans="1:8">
      <c r="A64" s="170">
        <v>56</v>
      </c>
      <c r="B64" s="187" t="s">
        <v>457</v>
      </c>
      <c r="C64" s="177" t="s">
        <v>72</v>
      </c>
      <c r="D64" s="173">
        <v>0.01</v>
      </c>
      <c r="E64" s="179" t="s">
        <v>30</v>
      </c>
      <c r="F64" s="179" t="s">
        <v>188</v>
      </c>
      <c r="G64" s="183" t="s">
        <v>458</v>
      </c>
      <c r="H64" s="177"/>
    </row>
    <row r="65" ht="14.25" spans="1:8">
      <c r="A65" s="170">
        <v>57</v>
      </c>
      <c r="B65" s="187" t="s">
        <v>459</v>
      </c>
      <c r="C65" s="177" t="s">
        <v>72</v>
      </c>
      <c r="D65" s="173">
        <v>0.01</v>
      </c>
      <c r="E65" s="179" t="s">
        <v>30</v>
      </c>
      <c r="F65" s="179" t="s">
        <v>188</v>
      </c>
      <c r="G65" s="183" t="s">
        <v>460</v>
      </c>
      <c r="H65" s="177"/>
    </row>
    <row r="66" ht="14.25" spans="1:8">
      <c r="A66" s="170">
        <v>58</v>
      </c>
      <c r="B66" s="186" t="s">
        <v>453</v>
      </c>
      <c r="C66" s="177" t="s">
        <v>72</v>
      </c>
      <c r="D66" s="173">
        <v>0.01</v>
      </c>
      <c r="E66" s="179" t="s">
        <v>30</v>
      </c>
      <c r="F66" s="179" t="s">
        <v>188</v>
      </c>
      <c r="G66" s="183" t="s">
        <v>461</v>
      </c>
      <c r="H66" s="177"/>
    </row>
    <row r="67" ht="14.25" spans="1:8">
      <c r="A67" s="170">
        <v>59</v>
      </c>
      <c r="B67" s="186" t="s">
        <v>453</v>
      </c>
      <c r="C67" s="177" t="s">
        <v>72</v>
      </c>
      <c r="D67" s="173">
        <v>0.01</v>
      </c>
      <c r="E67" s="179" t="s">
        <v>30</v>
      </c>
      <c r="F67" s="179" t="s">
        <v>188</v>
      </c>
      <c r="G67" s="183" t="s">
        <v>462</v>
      </c>
      <c r="H67" s="177"/>
    </row>
    <row r="68" ht="14.25" spans="1:8">
      <c r="A68" s="170">
        <v>60</v>
      </c>
      <c r="B68" s="186" t="s">
        <v>463</v>
      </c>
      <c r="C68" s="177" t="s">
        <v>72</v>
      </c>
      <c r="D68" s="173">
        <v>0.02</v>
      </c>
      <c r="E68" s="179" t="s">
        <v>30</v>
      </c>
      <c r="F68" s="179" t="s">
        <v>188</v>
      </c>
      <c r="G68" s="183" t="s">
        <v>464</v>
      </c>
      <c r="H68" s="177"/>
    </row>
    <row r="69" ht="14.25" spans="1:8">
      <c r="A69" s="170">
        <v>61</v>
      </c>
      <c r="B69" s="185" t="s">
        <v>433</v>
      </c>
      <c r="C69" s="177" t="s">
        <v>72</v>
      </c>
      <c r="D69" s="173">
        <v>0.04</v>
      </c>
      <c r="E69" s="179" t="s">
        <v>30</v>
      </c>
      <c r="F69" s="179" t="s">
        <v>188</v>
      </c>
      <c r="G69" s="185" t="s">
        <v>465</v>
      </c>
      <c r="H69" s="177"/>
    </row>
    <row r="70" ht="14.25" spans="1:8">
      <c r="A70" s="170">
        <v>62</v>
      </c>
      <c r="B70" s="185" t="s">
        <v>466</v>
      </c>
      <c r="C70" s="177" t="s">
        <v>72</v>
      </c>
      <c r="D70" s="173">
        <v>0.03</v>
      </c>
      <c r="E70" s="179" t="s">
        <v>30</v>
      </c>
      <c r="F70" s="179" t="s">
        <v>188</v>
      </c>
      <c r="G70" s="185" t="s">
        <v>467</v>
      </c>
      <c r="H70" s="177"/>
    </row>
    <row r="71" ht="14.25" spans="1:8">
      <c r="A71" s="170">
        <v>63</v>
      </c>
      <c r="B71" s="186" t="s">
        <v>468</v>
      </c>
      <c r="C71" s="177" t="s">
        <v>72</v>
      </c>
      <c r="D71" s="173">
        <v>0.015</v>
      </c>
      <c r="E71" s="179" t="s">
        <v>30</v>
      </c>
      <c r="F71" s="179" t="s">
        <v>188</v>
      </c>
      <c r="G71" s="183" t="s">
        <v>469</v>
      </c>
      <c r="H71" s="177"/>
    </row>
    <row r="72" ht="14.25" spans="1:8">
      <c r="A72" s="170">
        <v>64</v>
      </c>
      <c r="B72" s="186" t="s">
        <v>470</v>
      </c>
      <c r="C72" s="177" t="s">
        <v>72</v>
      </c>
      <c r="D72" s="173">
        <v>0.02</v>
      </c>
      <c r="E72" s="179" t="s">
        <v>30</v>
      </c>
      <c r="F72" s="179" t="s">
        <v>188</v>
      </c>
      <c r="G72" s="183" t="s">
        <v>471</v>
      </c>
      <c r="H72" s="177"/>
    </row>
    <row r="73" ht="14.25" spans="1:8">
      <c r="A73" s="170">
        <v>65</v>
      </c>
      <c r="B73" s="186" t="s">
        <v>472</v>
      </c>
      <c r="C73" s="177" t="s">
        <v>72</v>
      </c>
      <c r="D73" s="173">
        <v>0.12</v>
      </c>
      <c r="E73" s="179" t="s">
        <v>30</v>
      </c>
      <c r="F73" s="179" t="s">
        <v>188</v>
      </c>
      <c r="G73" s="183" t="s">
        <v>473</v>
      </c>
      <c r="H73" s="177"/>
    </row>
    <row r="74" ht="14.25" spans="1:8">
      <c r="A74" s="170">
        <v>66</v>
      </c>
      <c r="B74" s="186" t="s">
        <v>472</v>
      </c>
      <c r="C74" s="177" t="s">
        <v>72</v>
      </c>
      <c r="D74" s="173">
        <v>0.15</v>
      </c>
      <c r="E74" s="179" t="s">
        <v>30</v>
      </c>
      <c r="F74" s="179" t="s">
        <v>188</v>
      </c>
      <c r="G74" s="183" t="s">
        <v>474</v>
      </c>
      <c r="H74" s="177"/>
    </row>
    <row r="75" ht="14.25" spans="1:8">
      <c r="A75" s="170">
        <v>67</v>
      </c>
      <c r="B75" s="186" t="s">
        <v>475</v>
      </c>
      <c r="C75" s="177" t="s">
        <v>72</v>
      </c>
      <c r="D75" s="173">
        <v>0.02</v>
      </c>
      <c r="E75" s="179" t="s">
        <v>30</v>
      </c>
      <c r="F75" s="179" t="s">
        <v>188</v>
      </c>
      <c r="G75" s="183" t="s">
        <v>476</v>
      </c>
      <c r="H75" s="177"/>
    </row>
    <row r="76" ht="14.25" spans="1:8">
      <c r="A76" s="170">
        <v>68</v>
      </c>
      <c r="B76" s="186" t="s">
        <v>477</v>
      </c>
      <c r="C76" s="177" t="s">
        <v>72</v>
      </c>
      <c r="D76" s="173">
        <v>0.03</v>
      </c>
      <c r="E76" s="179" t="s">
        <v>30</v>
      </c>
      <c r="F76" s="179" t="s">
        <v>188</v>
      </c>
      <c r="G76" s="183" t="s">
        <v>478</v>
      </c>
      <c r="H76" s="177"/>
    </row>
    <row r="77" ht="14.25" spans="1:8">
      <c r="A77" s="170">
        <v>69</v>
      </c>
      <c r="B77" s="186" t="s">
        <v>479</v>
      </c>
      <c r="C77" s="177" t="s">
        <v>72</v>
      </c>
      <c r="D77" s="173">
        <v>0.6</v>
      </c>
      <c r="E77" s="179" t="s">
        <v>30</v>
      </c>
      <c r="F77" s="179" t="s">
        <v>188</v>
      </c>
      <c r="G77" s="183" t="s">
        <v>480</v>
      </c>
      <c r="H77" s="177"/>
    </row>
    <row r="78" ht="14.25" spans="1:8">
      <c r="A78" s="170">
        <v>70</v>
      </c>
      <c r="B78" s="186" t="s">
        <v>481</v>
      </c>
      <c r="C78" s="177" t="s">
        <v>72</v>
      </c>
      <c r="D78" s="173">
        <v>0.04</v>
      </c>
      <c r="E78" s="179" t="s">
        <v>30</v>
      </c>
      <c r="F78" s="179" t="s">
        <v>188</v>
      </c>
      <c r="G78" s="183" t="s">
        <v>482</v>
      </c>
      <c r="H78" s="177"/>
    </row>
    <row r="79" ht="14.25" spans="1:8">
      <c r="A79" s="170">
        <v>71</v>
      </c>
      <c r="B79" s="186" t="s">
        <v>483</v>
      </c>
      <c r="C79" s="177" t="s">
        <v>72</v>
      </c>
      <c r="D79" s="173">
        <v>0.13</v>
      </c>
      <c r="E79" s="179" t="s">
        <v>30</v>
      </c>
      <c r="F79" s="179" t="s">
        <v>188</v>
      </c>
      <c r="G79" s="183" t="s">
        <v>484</v>
      </c>
      <c r="H79" s="177"/>
    </row>
    <row r="80" ht="14.25" spans="1:8">
      <c r="A80" s="170">
        <v>72</v>
      </c>
      <c r="B80" s="184" t="s">
        <v>485</v>
      </c>
      <c r="C80" s="177" t="s">
        <v>72</v>
      </c>
      <c r="D80" s="173">
        <v>0.02</v>
      </c>
      <c r="E80" s="179" t="s">
        <v>30</v>
      </c>
      <c r="F80" s="179" t="s">
        <v>188</v>
      </c>
      <c r="G80" s="183" t="s">
        <v>486</v>
      </c>
      <c r="H80" s="177"/>
    </row>
    <row r="81" ht="14.25" spans="1:8">
      <c r="A81" s="170">
        <v>73</v>
      </c>
      <c r="B81" s="183" t="s">
        <v>487</v>
      </c>
      <c r="C81" s="177" t="s">
        <v>72</v>
      </c>
      <c r="D81" s="173">
        <v>0.01</v>
      </c>
      <c r="E81" s="179" t="s">
        <v>30</v>
      </c>
      <c r="F81" s="179" t="s">
        <v>188</v>
      </c>
      <c r="G81" s="183" t="s">
        <v>488</v>
      </c>
      <c r="H81" s="177"/>
    </row>
    <row r="82" ht="14.25" spans="1:8">
      <c r="A82" s="170">
        <v>74</v>
      </c>
      <c r="B82" s="184" t="s">
        <v>489</v>
      </c>
      <c r="C82" s="177" t="s">
        <v>72</v>
      </c>
      <c r="D82" s="173">
        <v>0.04</v>
      </c>
      <c r="E82" s="179" t="s">
        <v>30</v>
      </c>
      <c r="F82" s="179" t="s">
        <v>188</v>
      </c>
      <c r="G82" s="183" t="s">
        <v>377</v>
      </c>
      <c r="H82" s="177"/>
    </row>
    <row r="83" ht="14.25" spans="1:8">
      <c r="A83" s="170">
        <v>75</v>
      </c>
      <c r="B83" s="184" t="s">
        <v>489</v>
      </c>
      <c r="C83" s="177" t="s">
        <v>72</v>
      </c>
      <c r="D83" s="173">
        <v>0.04</v>
      </c>
      <c r="E83" s="179" t="s">
        <v>30</v>
      </c>
      <c r="F83" s="179" t="s">
        <v>188</v>
      </c>
      <c r="G83" s="183" t="s">
        <v>490</v>
      </c>
      <c r="H83" s="177"/>
    </row>
    <row r="84" ht="14.25" spans="1:8">
      <c r="A84" s="170">
        <v>76</v>
      </c>
      <c r="B84" s="189" t="s">
        <v>491</v>
      </c>
      <c r="C84" s="177" t="s">
        <v>72</v>
      </c>
      <c r="D84" s="173">
        <v>0.02</v>
      </c>
      <c r="E84" s="179" t="s">
        <v>30</v>
      </c>
      <c r="F84" s="179" t="s">
        <v>188</v>
      </c>
      <c r="G84" s="183" t="s">
        <v>379</v>
      </c>
      <c r="H84" s="177"/>
    </row>
    <row r="85" ht="14.25" spans="1:8">
      <c r="A85" s="170">
        <v>77</v>
      </c>
      <c r="B85" s="189" t="s">
        <v>492</v>
      </c>
      <c r="C85" s="177" t="s">
        <v>72</v>
      </c>
      <c r="D85" s="190">
        <v>0.04</v>
      </c>
      <c r="E85" s="179" t="s">
        <v>30</v>
      </c>
      <c r="F85" s="179" t="s">
        <v>188</v>
      </c>
      <c r="G85" s="183" t="s">
        <v>493</v>
      </c>
      <c r="H85" s="177"/>
    </row>
    <row r="86" ht="14.25" spans="1:8">
      <c r="A86" s="170">
        <v>78</v>
      </c>
      <c r="B86" s="184" t="s">
        <v>494</v>
      </c>
      <c r="C86" s="177" t="s">
        <v>72</v>
      </c>
      <c r="D86" s="173">
        <v>0.02</v>
      </c>
      <c r="E86" s="179" t="s">
        <v>30</v>
      </c>
      <c r="F86" s="179" t="s">
        <v>188</v>
      </c>
      <c r="G86" s="183" t="s">
        <v>495</v>
      </c>
      <c r="H86" s="177"/>
    </row>
    <row r="87" ht="14.25" spans="1:8">
      <c r="A87" s="170">
        <v>79</v>
      </c>
      <c r="B87" s="189" t="s">
        <v>496</v>
      </c>
      <c r="C87" s="177" t="s">
        <v>72</v>
      </c>
      <c r="D87" s="173">
        <v>0.04</v>
      </c>
      <c r="E87" s="179" t="s">
        <v>30</v>
      </c>
      <c r="F87" s="179" t="s">
        <v>188</v>
      </c>
      <c r="G87" s="183" t="s">
        <v>497</v>
      </c>
      <c r="H87" s="177"/>
    </row>
    <row r="88" ht="14.25" spans="1:8">
      <c r="A88" s="170">
        <v>80</v>
      </c>
      <c r="B88" s="184" t="s">
        <v>453</v>
      </c>
      <c r="C88" s="177" t="s">
        <v>72</v>
      </c>
      <c r="D88" s="173">
        <v>0.01</v>
      </c>
      <c r="E88" s="179" t="s">
        <v>30</v>
      </c>
      <c r="F88" s="179" t="s">
        <v>188</v>
      </c>
      <c r="G88" s="183" t="s">
        <v>498</v>
      </c>
      <c r="H88" s="177"/>
    </row>
    <row r="89" ht="14.25" spans="1:8">
      <c r="A89" s="170">
        <v>81</v>
      </c>
      <c r="B89" s="189" t="s">
        <v>499</v>
      </c>
      <c r="C89" s="177" t="s">
        <v>72</v>
      </c>
      <c r="D89" s="173">
        <v>0.01</v>
      </c>
      <c r="E89" s="179" t="s">
        <v>30</v>
      </c>
      <c r="F89" s="179" t="s">
        <v>188</v>
      </c>
      <c r="G89" s="183" t="s">
        <v>500</v>
      </c>
      <c r="H89" s="177"/>
    </row>
    <row r="90" ht="14.25" spans="1:8">
      <c r="A90" s="170">
        <v>82</v>
      </c>
      <c r="B90" s="189" t="s">
        <v>501</v>
      </c>
      <c r="C90" s="177" t="s">
        <v>72</v>
      </c>
      <c r="D90" s="173">
        <v>0.01</v>
      </c>
      <c r="E90" s="179" t="s">
        <v>30</v>
      </c>
      <c r="F90" s="179" t="s">
        <v>188</v>
      </c>
      <c r="G90" s="183" t="s">
        <v>502</v>
      </c>
      <c r="H90" s="177"/>
    </row>
    <row r="91" ht="14.25" spans="1:8">
      <c r="A91" s="170">
        <v>83</v>
      </c>
      <c r="B91" s="189" t="s">
        <v>503</v>
      </c>
      <c r="C91" s="177" t="s">
        <v>72</v>
      </c>
      <c r="D91" s="173">
        <v>0.04</v>
      </c>
      <c r="E91" s="179" t="s">
        <v>30</v>
      </c>
      <c r="F91" s="179" t="s">
        <v>188</v>
      </c>
      <c r="G91" s="183" t="s">
        <v>504</v>
      </c>
      <c r="H91" s="177"/>
    </row>
    <row r="92" ht="14.25" spans="1:8">
      <c r="A92" s="170">
        <v>84</v>
      </c>
      <c r="B92" s="189" t="s">
        <v>405</v>
      </c>
      <c r="C92" s="177" t="s">
        <v>72</v>
      </c>
      <c r="D92" s="173">
        <v>0.01</v>
      </c>
      <c r="E92" s="179" t="s">
        <v>30</v>
      </c>
      <c r="F92" s="179" t="s">
        <v>188</v>
      </c>
      <c r="G92" s="183" t="s">
        <v>505</v>
      </c>
      <c r="H92" s="177"/>
    </row>
    <row r="93" ht="25.5" spans="1:8">
      <c r="A93" s="170">
        <v>85</v>
      </c>
      <c r="B93" s="189" t="s">
        <v>506</v>
      </c>
      <c r="C93" s="177" t="s">
        <v>72</v>
      </c>
      <c r="D93" s="173">
        <v>0.02</v>
      </c>
      <c r="E93" s="179" t="s">
        <v>30</v>
      </c>
      <c r="F93" s="179" t="s">
        <v>188</v>
      </c>
      <c r="G93" s="183" t="s">
        <v>507</v>
      </c>
      <c r="H93" s="177"/>
    </row>
    <row r="94" ht="14.25" spans="1:8">
      <c r="A94" s="170">
        <v>86</v>
      </c>
      <c r="B94" s="189" t="s">
        <v>508</v>
      </c>
      <c r="C94" s="177" t="s">
        <v>72</v>
      </c>
      <c r="D94" s="173">
        <v>0.03</v>
      </c>
      <c r="E94" s="179" t="s">
        <v>30</v>
      </c>
      <c r="F94" s="179" t="s">
        <v>188</v>
      </c>
      <c r="G94" s="183" t="s">
        <v>509</v>
      </c>
      <c r="H94" s="177"/>
    </row>
    <row r="95" ht="14.25" spans="1:8">
      <c r="A95" s="170">
        <v>87</v>
      </c>
      <c r="B95" s="189" t="s">
        <v>510</v>
      </c>
      <c r="C95" s="177" t="s">
        <v>72</v>
      </c>
      <c r="D95" s="173">
        <v>0.01</v>
      </c>
      <c r="E95" s="179" t="s">
        <v>30</v>
      </c>
      <c r="F95" s="179" t="s">
        <v>188</v>
      </c>
      <c r="G95" s="183" t="s">
        <v>511</v>
      </c>
      <c r="H95" s="177"/>
    </row>
    <row r="96" ht="14.25" spans="1:8">
      <c r="A96" s="170">
        <v>88</v>
      </c>
      <c r="B96" s="175" t="s">
        <v>512</v>
      </c>
      <c r="C96" s="177" t="s">
        <v>72</v>
      </c>
      <c r="D96" s="173">
        <v>0.01</v>
      </c>
      <c r="E96" s="179" t="s">
        <v>30</v>
      </c>
      <c r="F96" s="179" t="s">
        <v>188</v>
      </c>
      <c r="G96" s="183" t="s">
        <v>513</v>
      </c>
      <c r="H96" s="177"/>
    </row>
    <row r="97" ht="14.25" spans="1:8">
      <c r="A97" s="170">
        <v>89</v>
      </c>
      <c r="B97" s="175" t="s">
        <v>512</v>
      </c>
      <c r="C97" s="177" t="s">
        <v>72</v>
      </c>
      <c r="D97" s="173">
        <v>0.01</v>
      </c>
      <c r="E97" s="179" t="s">
        <v>30</v>
      </c>
      <c r="F97" s="179" t="s">
        <v>188</v>
      </c>
      <c r="G97" s="183" t="s">
        <v>514</v>
      </c>
      <c r="H97" s="177"/>
    </row>
    <row r="98" ht="14.25" spans="1:8">
      <c r="A98" s="170">
        <v>90</v>
      </c>
      <c r="B98" s="175" t="s">
        <v>515</v>
      </c>
      <c r="C98" s="177" t="s">
        <v>72</v>
      </c>
      <c r="D98" s="173">
        <v>0.01</v>
      </c>
      <c r="E98" s="179" t="s">
        <v>30</v>
      </c>
      <c r="F98" s="179" t="s">
        <v>188</v>
      </c>
      <c r="G98" s="183" t="s">
        <v>516</v>
      </c>
      <c r="H98" s="177"/>
    </row>
    <row r="99" ht="14.25" spans="1:8">
      <c r="A99" s="170">
        <v>91</v>
      </c>
      <c r="B99" s="175" t="s">
        <v>517</v>
      </c>
      <c r="C99" s="177" t="s">
        <v>72</v>
      </c>
      <c r="D99" s="173">
        <v>0.04</v>
      </c>
      <c r="E99" s="179" t="s">
        <v>30</v>
      </c>
      <c r="F99" s="179" t="s">
        <v>188</v>
      </c>
      <c r="G99" s="183" t="s">
        <v>518</v>
      </c>
      <c r="H99" s="177"/>
    </row>
    <row r="100" ht="14.25" spans="1:8">
      <c r="A100" s="170">
        <v>92</v>
      </c>
      <c r="B100" s="175" t="s">
        <v>515</v>
      </c>
      <c r="C100" s="177" t="s">
        <v>72</v>
      </c>
      <c r="D100" s="173">
        <v>0.01</v>
      </c>
      <c r="E100" s="179" t="s">
        <v>30</v>
      </c>
      <c r="F100" s="179" t="s">
        <v>188</v>
      </c>
      <c r="G100" s="183" t="s">
        <v>519</v>
      </c>
      <c r="H100" s="177"/>
    </row>
    <row r="101" ht="14.25" spans="1:8">
      <c r="A101" s="170">
        <v>93</v>
      </c>
      <c r="B101" s="175" t="s">
        <v>512</v>
      </c>
      <c r="C101" s="177" t="s">
        <v>72</v>
      </c>
      <c r="D101" s="173">
        <v>0.01</v>
      </c>
      <c r="E101" s="179" t="s">
        <v>30</v>
      </c>
      <c r="F101" s="179" t="s">
        <v>188</v>
      </c>
      <c r="G101" s="183" t="s">
        <v>520</v>
      </c>
      <c r="H101" s="177"/>
    </row>
    <row r="102" ht="14.25" spans="1:8">
      <c r="A102" s="170">
        <v>94</v>
      </c>
      <c r="B102" s="175" t="s">
        <v>521</v>
      </c>
      <c r="C102" s="177" t="s">
        <v>72</v>
      </c>
      <c r="D102" s="173">
        <v>0.03</v>
      </c>
      <c r="E102" s="179" t="s">
        <v>30</v>
      </c>
      <c r="F102" s="179" t="s">
        <v>188</v>
      </c>
      <c r="G102" s="183" t="s">
        <v>522</v>
      </c>
      <c r="H102" s="177"/>
    </row>
    <row r="103" ht="14.25" spans="1:8">
      <c r="A103" s="170">
        <v>95</v>
      </c>
      <c r="B103" s="175" t="s">
        <v>523</v>
      </c>
      <c r="C103" s="177" t="s">
        <v>72</v>
      </c>
      <c r="D103" s="173">
        <v>0.01</v>
      </c>
      <c r="E103" s="179" t="s">
        <v>30</v>
      </c>
      <c r="F103" s="179" t="s">
        <v>188</v>
      </c>
      <c r="G103" s="183" t="s">
        <v>524</v>
      </c>
      <c r="H103" s="177"/>
    </row>
    <row r="104" ht="25.5" spans="1:8">
      <c r="A104" s="170">
        <v>96</v>
      </c>
      <c r="B104" s="175" t="s">
        <v>525</v>
      </c>
      <c r="C104" s="177" t="s">
        <v>72</v>
      </c>
      <c r="D104" s="173">
        <v>0.05</v>
      </c>
      <c r="E104" s="179" t="s">
        <v>30</v>
      </c>
      <c r="F104" s="179" t="s">
        <v>188</v>
      </c>
      <c r="G104" s="183" t="s">
        <v>526</v>
      </c>
      <c r="H104" s="177"/>
    </row>
    <row r="105" ht="14.25" spans="1:8">
      <c r="A105" s="170">
        <v>97</v>
      </c>
      <c r="B105" s="175" t="s">
        <v>527</v>
      </c>
      <c r="C105" s="177" t="s">
        <v>72</v>
      </c>
      <c r="D105" s="173">
        <v>0.04</v>
      </c>
      <c r="E105" s="179" t="s">
        <v>30</v>
      </c>
      <c r="F105" s="179" t="s">
        <v>188</v>
      </c>
      <c r="G105" s="183" t="s">
        <v>528</v>
      </c>
      <c r="H105" s="177"/>
    </row>
    <row r="106" ht="14.25" spans="1:8">
      <c r="A106" s="170">
        <v>98</v>
      </c>
      <c r="B106" s="175" t="s">
        <v>403</v>
      </c>
      <c r="C106" s="177" t="s">
        <v>72</v>
      </c>
      <c r="D106" s="173">
        <v>0.04</v>
      </c>
      <c r="E106" s="179" t="s">
        <v>30</v>
      </c>
      <c r="F106" s="179" t="s">
        <v>188</v>
      </c>
      <c r="G106" s="183" t="s">
        <v>404</v>
      </c>
      <c r="H106" s="177"/>
    </row>
    <row r="107" ht="14.25" spans="1:8">
      <c r="A107" s="170">
        <v>99</v>
      </c>
      <c r="B107" s="175" t="s">
        <v>529</v>
      </c>
      <c r="C107" s="177" t="s">
        <v>72</v>
      </c>
      <c r="D107" s="173">
        <v>0.01</v>
      </c>
      <c r="E107" s="179" t="s">
        <v>30</v>
      </c>
      <c r="F107" s="179" t="s">
        <v>188</v>
      </c>
      <c r="G107" s="183" t="s">
        <v>530</v>
      </c>
      <c r="H107" s="177"/>
    </row>
    <row r="108" ht="14.25" spans="1:8">
      <c r="A108" s="170">
        <v>100</v>
      </c>
      <c r="B108" s="175" t="s">
        <v>531</v>
      </c>
      <c r="C108" s="177" t="s">
        <v>72</v>
      </c>
      <c r="D108" s="173">
        <v>0.01</v>
      </c>
      <c r="E108" s="179" t="s">
        <v>30</v>
      </c>
      <c r="F108" s="179" t="s">
        <v>188</v>
      </c>
      <c r="G108" s="183" t="s">
        <v>532</v>
      </c>
      <c r="H108" s="177"/>
    </row>
    <row r="109" ht="14.25" spans="1:8">
      <c r="A109" s="170">
        <v>101</v>
      </c>
      <c r="B109" s="186" t="s">
        <v>533</v>
      </c>
      <c r="C109" s="177" t="s">
        <v>72</v>
      </c>
      <c r="D109" s="173">
        <v>0.04</v>
      </c>
      <c r="E109" s="179" t="s">
        <v>30</v>
      </c>
      <c r="F109" s="179" t="s">
        <v>188</v>
      </c>
      <c r="G109" s="186" t="s">
        <v>534</v>
      </c>
      <c r="H109" s="177"/>
    </row>
    <row r="110" ht="14.25" spans="1:8">
      <c r="A110" s="170">
        <v>102</v>
      </c>
      <c r="B110" s="187" t="s">
        <v>535</v>
      </c>
      <c r="C110" s="177" t="s">
        <v>72</v>
      </c>
      <c r="D110" s="173">
        <v>0.03</v>
      </c>
      <c r="E110" s="179" t="s">
        <v>30</v>
      </c>
      <c r="F110" s="179" t="s">
        <v>188</v>
      </c>
      <c r="G110" s="181" t="s">
        <v>536</v>
      </c>
      <c r="H110" s="177"/>
    </row>
    <row r="111" ht="14.25" spans="1:8">
      <c r="A111" s="170">
        <v>103</v>
      </c>
      <c r="B111" s="187" t="s">
        <v>357</v>
      </c>
      <c r="C111" s="177" t="s">
        <v>72</v>
      </c>
      <c r="D111" s="173">
        <v>0.03</v>
      </c>
      <c r="E111" s="179" t="s">
        <v>30</v>
      </c>
      <c r="F111" s="179" t="s">
        <v>188</v>
      </c>
      <c r="G111" s="181" t="s">
        <v>358</v>
      </c>
      <c r="H111" s="177"/>
    </row>
    <row r="112" ht="14.25" spans="1:8">
      <c r="A112" s="170">
        <v>104</v>
      </c>
      <c r="B112" s="187" t="s">
        <v>483</v>
      </c>
      <c r="C112" s="177" t="s">
        <v>72</v>
      </c>
      <c r="D112" s="173">
        <v>0.02</v>
      </c>
      <c r="E112" s="179" t="s">
        <v>30</v>
      </c>
      <c r="F112" s="179" t="s">
        <v>188</v>
      </c>
      <c r="G112" s="181" t="s">
        <v>537</v>
      </c>
      <c r="H112" s="177"/>
    </row>
    <row r="113" ht="14.25" spans="1:8">
      <c r="A113" s="170">
        <v>105</v>
      </c>
      <c r="B113" s="187" t="s">
        <v>483</v>
      </c>
      <c r="C113" s="177" t="s">
        <v>72</v>
      </c>
      <c r="D113" s="173">
        <v>0.04</v>
      </c>
      <c r="E113" s="179" t="s">
        <v>30</v>
      </c>
      <c r="F113" s="179" t="s">
        <v>188</v>
      </c>
      <c r="G113" s="181" t="s">
        <v>538</v>
      </c>
      <c r="H113" s="177"/>
    </row>
    <row r="114" ht="14.25" spans="1:8">
      <c r="A114" s="170">
        <v>106</v>
      </c>
      <c r="B114" s="187" t="s">
        <v>483</v>
      </c>
      <c r="C114" s="177" t="s">
        <v>72</v>
      </c>
      <c r="D114" s="173">
        <v>0.02</v>
      </c>
      <c r="E114" s="179" t="s">
        <v>30</v>
      </c>
      <c r="F114" s="179" t="s">
        <v>188</v>
      </c>
      <c r="G114" s="181" t="s">
        <v>539</v>
      </c>
      <c r="H114" s="177"/>
    </row>
    <row r="115" ht="14.25" spans="1:8">
      <c r="A115" s="170">
        <v>107</v>
      </c>
      <c r="B115" s="187" t="s">
        <v>483</v>
      </c>
      <c r="C115" s="177" t="s">
        <v>72</v>
      </c>
      <c r="D115" s="173">
        <v>0.04</v>
      </c>
      <c r="E115" s="179" t="s">
        <v>30</v>
      </c>
      <c r="F115" s="179" t="s">
        <v>188</v>
      </c>
      <c r="G115" s="181" t="s">
        <v>540</v>
      </c>
      <c r="H115" s="177"/>
    </row>
    <row r="116" ht="14.25" spans="1:8">
      <c r="A116" s="170">
        <v>108</v>
      </c>
      <c r="B116" s="187" t="s">
        <v>483</v>
      </c>
      <c r="C116" s="177" t="s">
        <v>72</v>
      </c>
      <c r="D116" s="173">
        <v>0.04</v>
      </c>
      <c r="E116" s="179" t="s">
        <v>30</v>
      </c>
      <c r="F116" s="179" t="s">
        <v>188</v>
      </c>
      <c r="G116" s="181" t="s">
        <v>541</v>
      </c>
      <c r="H116" s="177"/>
    </row>
    <row r="117" ht="14.25" spans="1:8">
      <c r="A117" s="170">
        <v>109</v>
      </c>
      <c r="B117" s="187" t="s">
        <v>483</v>
      </c>
      <c r="C117" s="177" t="s">
        <v>72</v>
      </c>
      <c r="D117" s="173">
        <v>0.04</v>
      </c>
      <c r="E117" s="179" t="s">
        <v>30</v>
      </c>
      <c r="F117" s="179" t="s">
        <v>188</v>
      </c>
      <c r="G117" s="181" t="s">
        <v>542</v>
      </c>
      <c r="H117" s="177"/>
    </row>
    <row r="118" ht="14.25" spans="1:8">
      <c r="A118" s="170">
        <v>110</v>
      </c>
      <c r="B118" s="187" t="s">
        <v>399</v>
      </c>
      <c r="C118" s="177" t="s">
        <v>72</v>
      </c>
      <c r="D118" s="173">
        <v>0.04</v>
      </c>
      <c r="E118" s="179" t="s">
        <v>30</v>
      </c>
      <c r="F118" s="179" t="s">
        <v>188</v>
      </c>
      <c r="G118" s="181" t="s">
        <v>400</v>
      </c>
      <c r="H118" s="177"/>
    </row>
    <row r="119" ht="14.25" spans="1:8">
      <c r="A119" s="170">
        <v>111</v>
      </c>
      <c r="B119" s="187" t="s">
        <v>543</v>
      </c>
      <c r="C119" s="177" t="s">
        <v>72</v>
      </c>
      <c r="D119" s="173">
        <v>0.04</v>
      </c>
      <c r="E119" s="179" t="s">
        <v>30</v>
      </c>
      <c r="F119" s="179" t="s">
        <v>188</v>
      </c>
      <c r="G119" s="181" t="s">
        <v>544</v>
      </c>
      <c r="H119" s="177"/>
    </row>
    <row r="120" ht="14.25" spans="1:8">
      <c r="A120" s="170">
        <v>112</v>
      </c>
      <c r="B120" s="187" t="s">
        <v>489</v>
      </c>
      <c r="C120" s="177" t="s">
        <v>72</v>
      </c>
      <c r="D120" s="173">
        <v>0.03</v>
      </c>
      <c r="E120" s="179" t="s">
        <v>30</v>
      </c>
      <c r="F120" s="179" t="s">
        <v>188</v>
      </c>
      <c r="G120" s="181" t="s">
        <v>368</v>
      </c>
      <c r="H120" s="177"/>
    </row>
    <row r="121" ht="14.25" spans="1:8">
      <c r="A121" s="170">
        <v>113</v>
      </c>
      <c r="B121" s="187" t="s">
        <v>472</v>
      </c>
      <c r="C121" s="177" t="s">
        <v>72</v>
      </c>
      <c r="D121" s="173">
        <v>0.02</v>
      </c>
      <c r="E121" s="179" t="s">
        <v>30</v>
      </c>
      <c r="F121" s="179" t="s">
        <v>188</v>
      </c>
      <c r="G121" s="181" t="s">
        <v>473</v>
      </c>
      <c r="H121" s="177"/>
    </row>
    <row r="122" ht="14.25" spans="1:8">
      <c r="A122" s="170">
        <v>114</v>
      </c>
      <c r="B122" s="187" t="s">
        <v>545</v>
      </c>
      <c r="C122" s="177" t="s">
        <v>72</v>
      </c>
      <c r="D122" s="173">
        <v>0.02</v>
      </c>
      <c r="E122" s="179" t="s">
        <v>30</v>
      </c>
      <c r="F122" s="179" t="s">
        <v>188</v>
      </c>
      <c r="G122" s="181" t="s">
        <v>546</v>
      </c>
      <c r="H122" s="177"/>
    </row>
    <row r="123" ht="14.25" spans="1:8">
      <c r="A123" s="170">
        <v>115</v>
      </c>
      <c r="B123" s="187" t="s">
        <v>547</v>
      </c>
      <c r="C123" s="177" t="s">
        <v>72</v>
      </c>
      <c r="D123" s="173">
        <v>0.01</v>
      </c>
      <c r="E123" s="179" t="s">
        <v>30</v>
      </c>
      <c r="F123" s="179" t="s">
        <v>188</v>
      </c>
      <c r="G123" s="181" t="s">
        <v>548</v>
      </c>
      <c r="H123" s="177"/>
    </row>
    <row r="124" ht="14.25" spans="1:8">
      <c r="A124" s="170">
        <v>116</v>
      </c>
      <c r="B124" s="187" t="s">
        <v>549</v>
      </c>
      <c r="C124" s="177" t="s">
        <v>72</v>
      </c>
      <c r="D124" s="173">
        <v>0.1</v>
      </c>
      <c r="E124" s="179" t="s">
        <v>30</v>
      </c>
      <c r="F124" s="179" t="s">
        <v>188</v>
      </c>
      <c r="G124" s="181" t="s">
        <v>550</v>
      </c>
      <c r="H124" s="177"/>
    </row>
    <row r="125" ht="14.25" spans="1:8">
      <c r="A125" s="170">
        <v>117</v>
      </c>
      <c r="B125" s="187" t="s">
        <v>551</v>
      </c>
      <c r="C125" s="177" t="s">
        <v>72</v>
      </c>
      <c r="D125" s="173">
        <v>0.18</v>
      </c>
      <c r="E125" s="179" t="s">
        <v>30</v>
      </c>
      <c r="F125" s="179" t="s">
        <v>188</v>
      </c>
      <c r="G125" s="181" t="s">
        <v>552</v>
      </c>
      <c r="H125" s="177"/>
    </row>
    <row r="126" ht="14.25" spans="1:8">
      <c r="A126" s="170">
        <v>118</v>
      </c>
      <c r="B126" s="187" t="s">
        <v>531</v>
      </c>
      <c r="C126" s="177" t="s">
        <v>72</v>
      </c>
      <c r="D126" s="173">
        <v>0.05</v>
      </c>
      <c r="E126" s="179" t="s">
        <v>30</v>
      </c>
      <c r="F126" s="179" t="s">
        <v>59</v>
      </c>
      <c r="G126" s="181" t="s">
        <v>532</v>
      </c>
      <c r="H126" s="177"/>
    </row>
    <row r="127" ht="14.25" spans="1:8">
      <c r="A127" s="170">
        <v>119</v>
      </c>
      <c r="B127" s="187" t="s">
        <v>531</v>
      </c>
      <c r="C127" s="177" t="s">
        <v>72</v>
      </c>
      <c r="D127" s="173">
        <v>0.05</v>
      </c>
      <c r="E127" s="179" t="s">
        <v>30</v>
      </c>
      <c r="F127" s="179" t="s">
        <v>553</v>
      </c>
      <c r="G127" s="181" t="s">
        <v>532</v>
      </c>
      <c r="H127" s="177"/>
    </row>
    <row r="128" ht="14.25" spans="1:8">
      <c r="A128" s="170">
        <v>120</v>
      </c>
      <c r="B128" s="187" t="s">
        <v>529</v>
      </c>
      <c r="C128" s="177" t="s">
        <v>72</v>
      </c>
      <c r="D128" s="173">
        <v>0.05</v>
      </c>
      <c r="E128" s="179" t="s">
        <v>30</v>
      </c>
      <c r="F128" s="179" t="s">
        <v>59</v>
      </c>
      <c r="G128" s="181" t="s">
        <v>530</v>
      </c>
      <c r="H128" s="177"/>
    </row>
    <row r="129" ht="14.25" spans="1:8">
      <c r="A129" s="170">
        <v>121</v>
      </c>
      <c r="B129" s="187" t="s">
        <v>529</v>
      </c>
      <c r="C129" s="177" t="s">
        <v>72</v>
      </c>
      <c r="D129" s="173">
        <v>0.05</v>
      </c>
      <c r="E129" s="179" t="s">
        <v>30</v>
      </c>
      <c r="F129" s="179" t="s">
        <v>553</v>
      </c>
      <c r="G129" s="181" t="s">
        <v>530</v>
      </c>
      <c r="H129" s="177"/>
    </row>
    <row r="130" ht="14.25" spans="1:8">
      <c r="A130" s="170">
        <v>122</v>
      </c>
      <c r="B130" s="187" t="s">
        <v>554</v>
      </c>
      <c r="C130" s="177" t="s">
        <v>72</v>
      </c>
      <c r="D130" s="173">
        <v>0.03</v>
      </c>
      <c r="E130" s="179" t="s">
        <v>30</v>
      </c>
      <c r="F130" s="179" t="s">
        <v>188</v>
      </c>
      <c r="G130" s="181" t="s">
        <v>555</v>
      </c>
      <c r="H130" s="177"/>
    </row>
    <row r="131" ht="14.25" spans="1:8">
      <c r="A131" s="170">
        <v>123</v>
      </c>
      <c r="B131" s="187" t="s">
        <v>399</v>
      </c>
      <c r="C131" s="177" t="s">
        <v>72</v>
      </c>
      <c r="D131" s="173">
        <v>0.1</v>
      </c>
      <c r="E131" s="179" t="s">
        <v>30</v>
      </c>
      <c r="F131" s="179" t="s">
        <v>188</v>
      </c>
      <c r="G131" s="181" t="s">
        <v>400</v>
      </c>
      <c r="H131" s="177"/>
    </row>
    <row r="132" ht="14.25" spans="1:8">
      <c r="A132" s="170">
        <v>124</v>
      </c>
      <c r="B132" s="187" t="s">
        <v>556</v>
      </c>
      <c r="C132" s="177" t="s">
        <v>72</v>
      </c>
      <c r="D132" s="173">
        <v>0.03</v>
      </c>
      <c r="E132" s="179" t="s">
        <v>30</v>
      </c>
      <c r="F132" s="179" t="s">
        <v>188</v>
      </c>
      <c r="G132" s="181" t="s">
        <v>557</v>
      </c>
      <c r="H132" s="177"/>
    </row>
    <row r="133" ht="14.25" spans="1:8">
      <c r="A133" s="170">
        <v>125</v>
      </c>
      <c r="B133" s="177" t="s">
        <v>558</v>
      </c>
      <c r="C133" s="177" t="s">
        <v>72</v>
      </c>
      <c r="D133" s="173">
        <v>0.02</v>
      </c>
      <c r="E133" s="179" t="s">
        <v>30</v>
      </c>
      <c r="F133" s="179" t="s">
        <v>188</v>
      </c>
      <c r="G133" s="181" t="s">
        <v>559</v>
      </c>
      <c r="H133" s="177"/>
    </row>
    <row r="134" ht="14.25" spans="1:8">
      <c r="A134" s="170">
        <v>126</v>
      </c>
      <c r="B134" s="177" t="s">
        <v>560</v>
      </c>
      <c r="C134" s="177" t="s">
        <v>72</v>
      </c>
      <c r="D134" s="173">
        <v>0.02</v>
      </c>
      <c r="E134" s="179" t="s">
        <v>30</v>
      </c>
      <c r="F134" s="179" t="s">
        <v>188</v>
      </c>
      <c r="G134" s="181" t="s">
        <v>561</v>
      </c>
      <c r="H134" s="177"/>
    </row>
    <row r="135" ht="14.25" spans="1:8">
      <c r="A135" s="170">
        <v>127</v>
      </c>
      <c r="B135" s="177" t="s">
        <v>562</v>
      </c>
      <c r="C135" s="177" t="s">
        <v>72</v>
      </c>
      <c r="D135" s="173">
        <v>0.03</v>
      </c>
      <c r="E135" s="179" t="s">
        <v>30</v>
      </c>
      <c r="F135" s="179" t="s">
        <v>188</v>
      </c>
      <c r="G135" s="181" t="s">
        <v>563</v>
      </c>
      <c r="H135" s="177"/>
    </row>
    <row r="136" ht="14.25" spans="1:8">
      <c r="A136" s="170">
        <v>128</v>
      </c>
      <c r="B136" s="177" t="s">
        <v>562</v>
      </c>
      <c r="C136" s="177" t="s">
        <v>72</v>
      </c>
      <c r="D136" s="173">
        <v>0.03</v>
      </c>
      <c r="E136" s="179" t="s">
        <v>30</v>
      </c>
      <c r="F136" s="179" t="s">
        <v>188</v>
      </c>
      <c r="G136" s="181" t="s">
        <v>564</v>
      </c>
      <c r="H136" s="177"/>
    </row>
    <row r="137" ht="14.25" spans="1:8">
      <c r="A137" s="170">
        <v>129</v>
      </c>
      <c r="B137" s="191" t="s">
        <v>565</v>
      </c>
      <c r="C137" s="177" t="s">
        <v>72</v>
      </c>
      <c r="D137" s="173">
        <v>0.02</v>
      </c>
      <c r="E137" s="179" t="s">
        <v>30</v>
      </c>
      <c r="F137" s="179" t="s">
        <v>188</v>
      </c>
      <c r="G137" s="191" t="s">
        <v>566</v>
      </c>
      <c r="H137" s="177"/>
    </row>
    <row r="138" ht="14.25" spans="1:8">
      <c r="A138" s="170">
        <v>130</v>
      </c>
      <c r="B138" s="184" t="s">
        <v>567</v>
      </c>
      <c r="C138" s="177" t="s">
        <v>72</v>
      </c>
      <c r="D138" s="173">
        <v>0.02</v>
      </c>
      <c r="E138" s="179" t="s">
        <v>30</v>
      </c>
      <c r="F138" s="179" t="s">
        <v>188</v>
      </c>
      <c r="G138" s="184" t="s">
        <v>568</v>
      </c>
      <c r="H138" s="177"/>
    </row>
    <row r="139" ht="14.25" spans="1:8">
      <c r="A139" s="170">
        <v>131</v>
      </c>
      <c r="B139" s="182" t="s">
        <v>569</v>
      </c>
      <c r="C139" s="177" t="s">
        <v>72</v>
      </c>
      <c r="D139" s="173">
        <v>0.02</v>
      </c>
      <c r="E139" s="179" t="s">
        <v>30</v>
      </c>
      <c r="F139" s="179" t="s">
        <v>188</v>
      </c>
      <c r="G139" s="184" t="s">
        <v>570</v>
      </c>
      <c r="H139" s="177"/>
    </row>
    <row r="140" ht="14.25" spans="1:8">
      <c r="A140" s="170">
        <v>132</v>
      </c>
      <c r="B140" s="182" t="s">
        <v>569</v>
      </c>
      <c r="C140" s="177" t="s">
        <v>72</v>
      </c>
      <c r="D140" s="173">
        <v>0.02</v>
      </c>
      <c r="E140" s="179" t="s">
        <v>30</v>
      </c>
      <c r="F140" s="179" t="s">
        <v>188</v>
      </c>
      <c r="G140" s="184" t="s">
        <v>571</v>
      </c>
      <c r="H140" s="177"/>
    </row>
    <row r="141" ht="14.25" spans="1:8">
      <c r="A141" s="170">
        <v>133</v>
      </c>
      <c r="B141" s="182" t="s">
        <v>572</v>
      </c>
      <c r="C141" s="177" t="s">
        <v>72</v>
      </c>
      <c r="D141" s="173">
        <v>0.04</v>
      </c>
      <c r="E141" s="179" t="s">
        <v>30</v>
      </c>
      <c r="F141" s="179" t="s">
        <v>188</v>
      </c>
      <c r="G141" s="184" t="s">
        <v>573</v>
      </c>
      <c r="H141" s="177"/>
    </row>
    <row r="142" ht="14.25" spans="1:8">
      <c r="A142" s="170">
        <v>134</v>
      </c>
      <c r="B142" s="182" t="s">
        <v>470</v>
      </c>
      <c r="C142" s="177" t="s">
        <v>72</v>
      </c>
      <c r="D142" s="173">
        <v>0.02</v>
      </c>
      <c r="E142" s="179" t="s">
        <v>30</v>
      </c>
      <c r="F142" s="179" t="s">
        <v>188</v>
      </c>
      <c r="G142" s="184" t="s">
        <v>574</v>
      </c>
      <c r="H142" s="177"/>
    </row>
    <row r="143" ht="14.25" spans="1:8">
      <c r="A143" s="170">
        <v>135</v>
      </c>
      <c r="B143" s="182" t="s">
        <v>575</v>
      </c>
      <c r="C143" s="177" t="s">
        <v>72</v>
      </c>
      <c r="D143" s="173">
        <v>0.03</v>
      </c>
      <c r="E143" s="179" t="s">
        <v>30</v>
      </c>
      <c r="F143" s="179" t="s">
        <v>188</v>
      </c>
      <c r="G143" s="184" t="s">
        <v>576</v>
      </c>
      <c r="H143" s="177"/>
    </row>
    <row r="144" ht="14.25" spans="1:8">
      <c r="A144" s="170">
        <v>136</v>
      </c>
      <c r="B144" s="182" t="s">
        <v>577</v>
      </c>
      <c r="C144" s="177" t="s">
        <v>72</v>
      </c>
      <c r="D144" s="173">
        <v>0.02</v>
      </c>
      <c r="E144" s="179" t="s">
        <v>30</v>
      </c>
      <c r="F144" s="179" t="s">
        <v>188</v>
      </c>
      <c r="G144" s="184" t="s">
        <v>578</v>
      </c>
      <c r="H144" s="177"/>
    </row>
    <row r="145" ht="14.25" spans="1:8">
      <c r="A145" s="170">
        <v>137</v>
      </c>
      <c r="B145" s="182" t="s">
        <v>579</v>
      </c>
      <c r="C145" s="177" t="s">
        <v>72</v>
      </c>
      <c r="D145" s="173">
        <v>0.02</v>
      </c>
      <c r="E145" s="179" t="s">
        <v>30</v>
      </c>
      <c r="F145" s="179" t="s">
        <v>188</v>
      </c>
      <c r="G145" s="184" t="s">
        <v>580</v>
      </c>
      <c r="H145" s="177"/>
    </row>
    <row r="146" ht="14.25" spans="1:8">
      <c r="A146" s="170">
        <v>138</v>
      </c>
      <c r="B146" s="182" t="s">
        <v>581</v>
      </c>
      <c r="C146" s="177" t="s">
        <v>72</v>
      </c>
      <c r="D146" s="173">
        <v>0.03</v>
      </c>
      <c r="E146" s="179" t="s">
        <v>30</v>
      </c>
      <c r="F146" s="179" t="s">
        <v>188</v>
      </c>
      <c r="G146" s="184" t="s">
        <v>582</v>
      </c>
      <c r="H146" s="177"/>
    </row>
    <row r="147" ht="14.25" spans="1:8">
      <c r="A147" s="170">
        <v>139</v>
      </c>
      <c r="B147" s="182" t="s">
        <v>583</v>
      </c>
      <c r="C147" s="177" t="s">
        <v>72</v>
      </c>
      <c r="D147" s="173">
        <v>0.01</v>
      </c>
      <c r="E147" s="179" t="s">
        <v>30</v>
      </c>
      <c r="F147" s="179" t="s">
        <v>188</v>
      </c>
      <c r="G147" s="184" t="s">
        <v>584</v>
      </c>
      <c r="H147" s="177"/>
    </row>
    <row r="148" ht="14.25" spans="1:8">
      <c r="A148" s="170">
        <v>140</v>
      </c>
      <c r="B148" s="182" t="s">
        <v>585</v>
      </c>
      <c r="C148" s="177" t="s">
        <v>72</v>
      </c>
      <c r="D148" s="173">
        <v>0.06</v>
      </c>
      <c r="E148" s="179" t="s">
        <v>30</v>
      </c>
      <c r="F148" s="179" t="s">
        <v>188</v>
      </c>
      <c r="G148" s="184" t="s">
        <v>586</v>
      </c>
      <c r="H148" s="177"/>
    </row>
    <row r="149" ht="14.25" spans="1:8">
      <c r="A149" s="170">
        <v>141</v>
      </c>
      <c r="B149" s="182" t="s">
        <v>587</v>
      </c>
      <c r="C149" s="177" t="s">
        <v>72</v>
      </c>
      <c r="D149" s="173">
        <v>0.02</v>
      </c>
      <c r="E149" s="179" t="s">
        <v>30</v>
      </c>
      <c r="F149" s="179" t="s">
        <v>188</v>
      </c>
      <c r="G149" s="184" t="s">
        <v>588</v>
      </c>
      <c r="H149" s="177"/>
    </row>
    <row r="150" ht="14.25" spans="1:8">
      <c r="A150" s="170">
        <v>142</v>
      </c>
      <c r="B150" s="182" t="s">
        <v>359</v>
      </c>
      <c r="C150" s="177" t="s">
        <v>72</v>
      </c>
      <c r="D150" s="173">
        <v>0.03</v>
      </c>
      <c r="E150" s="179" t="s">
        <v>30</v>
      </c>
      <c r="F150" s="179" t="s">
        <v>188</v>
      </c>
      <c r="G150" s="184" t="s">
        <v>360</v>
      </c>
      <c r="H150" s="177"/>
    </row>
    <row r="151" ht="14.25" spans="1:8">
      <c r="A151" s="170">
        <v>143</v>
      </c>
      <c r="B151" s="182" t="s">
        <v>459</v>
      </c>
      <c r="C151" s="177" t="s">
        <v>72</v>
      </c>
      <c r="D151" s="173">
        <v>0.03</v>
      </c>
      <c r="E151" s="179" t="s">
        <v>30</v>
      </c>
      <c r="F151" s="179" t="s">
        <v>188</v>
      </c>
      <c r="G151" s="184" t="s">
        <v>589</v>
      </c>
      <c r="H151" s="177"/>
    </row>
    <row r="152" ht="14.25" spans="1:8">
      <c r="A152" s="170">
        <v>144</v>
      </c>
      <c r="B152" s="182" t="s">
        <v>590</v>
      </c>
      <c r="C152" s="177" t="s">
        <v>72</v>
      </c>
      <c r="D152" s="173">
        <v>0.02</v>
      </c>
      <c r="E152" s="179" t="s">
        <v>30</v>
      </c>
      <c r="F152" s="179" t="s">
        <v>188</v>
      </c>
      <c r="G152" s="184" t="s">
        <v>396</v>
      </c>
      <c r="H152" s="177"/>
    </row>
    <row r="153" ht="14.25" spans="1:8">
      <c r="A153" s="170">
        <v>145</v>
      </c>
      <c r="B153" s="182" t="s">
        <v>591</v>
      </c>
      <c r="C153" s="177" t="s">
        <v>72</v>
      </c>
      <c r="D153" s="173">
        <v>0.02</v>
      </c>
      <c r="E153" s="179" t="s">
        <v>30</v>
      </c>
      <c r="F153" s="179" t="s">
        <v>188</v>
      </c>
      <c r="G153" s="184" t="s">
        <v>592</v>
      </c>
      <c r="H153" s="177" t="s">
        <v>593</v>
      </c>
    </row>
    <row r="154" ht="14.25" spans="1:8">
      <c r="A154" s="170">
        <v>146</v>
      </c>
      <c r="B154" s="182" t="s">
        <v>409</v>
      </c>
      <c r="C154" s="177" t="s">
        <v>72</v>
      </c>
      <c r="D154" s="173">
        <v>0.02</v>
      </c>
      <c r="E154" s="179" t="s">
        <v>30</v>
      </c>
      <c r="F154" s="179" t="s">
        <v>188</v>
      </c>
      <c r="G154" s="184" t="s">
        <v>410</v>
      </c>
      <c r="H154" s="177"/>
    </row>
    <row r="155" ht="14.25" spans="1:8">
      <c r="A155" s="170">
        <v>147</v>
      </c>
      <c r="B155" s="182" t="s">
        <v>594</v>
      </c>
      <c r="C155" s="177" t="s">
        <v>72</v>
      </c>
      <c r="D155" s="173">
        <v>0.01</v>
      </c>
      <c r="E155" s="179" t="s">
        <v>30</v>
      </c>
      <c r="F155" s="179" t="s">
        <v>188</v>
      </c>
      <c r="G155" s="184" t="s">
        <v>511</v>
      </c>
      <c r="H155" s="177"/>
    </row>
    <row r="156" ht="14.25" spans="1:8">
      <c r="A156" s="170">
        <v>148</v>
      </c>
      <c r="B156" s="182" t="s">
        <v>595</v>
      </c>
      <c r="C156" s="177" t="s">
        <v>72</v>
      </c>
      <c r="D156" s="173">
        <v>0.01</v>
      </c>
      <c r="E156" s="179" t="s">
        <v>30</v>
      </c>
      <c r="F156" s="179" t="s">
        <v>188</v>
      </c>
      <c r="G156" s="184" t="s">
        <v>596</v>
      </c>
      <c r="H156" s="177"/>
    </row>
    <row r="157" ht="14.25" spans="1:8">
      <c r="A157" s="170">
        <v>149</v>
      </c>
      <c r="B157" s="182" t="s">
        <v>597</v>
      </c>
      <c r="C157" s="177" t="s">
        <v>72</v>
      </c>
      <c r="D157" s="173">
        <v>0.01</v>
      </c>
      <c r="E157" s="179" t="s">
        <v>30</v>
      </c>
      <c r="F157" s="179" t="s">
        <v>188</v>
      </c>
      <c r="G157" s="184" t="s">
        <v>598</v>
      </c>
      <c r="H157" s="177"/>
    </row>
    <row r="158" ht="14.25" spans="1:8">
      <c r="A158" s="170">
        <v>150</v>
      </c>
      <c r="B158" s="182" t="s">
        <v>599</v>
      </c>
      <c r="C158" s="177" t="s">
        <v>72</v>
      </c>
      <c r="D158" s="173">
        <v>0.02</v>
      </c>
      <c r="E158" s="179" t="s">
        <v>30</v>
      </c>
      <c r="F158" s="179" t="s">
        <v>188</v>
      </c>
      <c r="G158" s="184" t="s">
        <v>600</v>
      </c>
      <c r="H158" s="177"/>
    </row>
    <row r="159" ht="14.25" spans="1:8">
      <c r="A159" s="170">
        <v>151</v>
      </c>
      <c r="B159" s="182" t="s">
        <v>601</v>
      </c>
      <c r="C159" s="177" t="s">
        <v>72</v>
      </c>
      <c r="D159" s="173">
        <v>0.03</v>
      </c>
      <c r="E159" s="179" t="s">
        <v>30</v>
      </c>
      <c r="F159" s="179" t="s">
        <v>188</v>
      </c>
      <c r="G159" s="184" t="s">
        <v>602</v>
      </c>
      <c r="H159" s="177"/>
    </row>
    <row r="160" ht="14.25" spans="1:8">
      <c r="A160" s="170">
        <v>152</v>
      </c>
      <c r="B160" s="182" t="s">
        <v>603</v>
      </c>
      <c r="C160" s="177" t="s">
        <v>72</v>
      </c>
      <c r="D160" s="173">
        <v>0.04</v>
      </c>
      <c r="E160" s="179" t="s">
        <v>30</v>
      </c>
      <c r="F160" s="179" t="s">
        <v>188</v>
      </c>
      <c r="G160" s="184" t="s">
        <v>604</v>
      </c>
      <c r="H160" s="177"/>
    </row>
    <row r="161" ht="14.25" spans="1:8">
      <c r="A161" s="170">
        <v>153</v>
      </c>
      <c r="B161" s="182" t="s">
        <v>605</v>
      </c>
      <c r="C161" s="177" t="s">
        <v>72</v>
      </c>
      <c r="D161" s="173">
        <v>0.02</v>
      </c>
      <c r="E161" s="179" t="s">
        <v>30</v>
      </c>
      <c r="F161" s="179" t="s">
        <v>188</v>
      </c>
      <c r="G161" s="184" t="s">
        <v>606</v>
      </c>
      <c r="H161" s="177"/>
    </row>
    <row r="162" ht="38.25" spans="1:8">
      <c r="A162" s="170">
        <v>154</v>
      </c>
      <c r="B162" s="182" t="s">
        <v>607</v>
      </c>
      <c r="C162" s="177" t="s">
        <v>72</v>
      </c>
      <c r="D162" s="173">
        <v>0.03</v>
      </c>
      <c r="E162" s="179" t="s">
        <v>30</v>
      </c>
      <c r="F162" s="179" t="s">
        <v>188</v>
      </c>
      <c r="G162" s="184" t="s">
        <v>608</v>
      </c>
      <c r="H162" s="177"/>
    </row>
    <row r="163" ht="14.25" spans="1:8">
      <c r="A163" s="170">
        <v>155</v>
      </c>
      <c r="B163" s="182" t="s">
        <v>609</v>
      </c>
      <c r="C163" s="177" t="s">
        <v>72</v>
      </c>
      <c r="D163" s="173">
        <v>0.02</v>
      </c>
      <c r="E163" s="179" t="s">
        <v>30</v>
      </c>
      <c r="F163" s="179" t="s">
        <v>188</v>
      </c>
      <c r="G163" s="184" t="s">
        <v>610</v>
      </c>
      <c r="H163" s="177"/>
    </row>
    <row r="164" ht="14.25" spans="1:8">
      <c r="A164" s="170">
        <v>156</v>
      </c>
      <c r="B164" s="182" t="s">
        <v>611</v>
      </c>
      <c r="C164" s="177" t="s">
        <v>72</v>
      </c>
      <c r="D164" s="173">
        <v>0.01</v>
      </c>
      <c r="E164" s="179" t="s">
        <v>30</v>
      </c>
      <c r="F164" s="179" t="s">
        <v>188</v>
      </c>
      <c r="G164" s="184" t="s">
        <v>612</v>
      </c>
      <c r="H164" s="177"/>
    </row>
    <row r="165" ht="14.25" spans="1:8">
      <c r="A165" s="170">
        <v>157</v>
      </c>
      <c r="B165" s="182" t="s">
        <v>613</v>
      </c>
      <c r="C165" s="177" t="s">
        <v>72</v>
      </c>
      <c r="D165" s="173">
        <v>0.13</v>
      </c>
      <c r="E165" s="179" t="s">
        <v>30</v>
      </c>
      <c r="F165" s="179" t="s">
        <v>188</v>
      </c>
      <c r="G165" s="184" t="s">
        <v>614</v>
      </c>
      <c r="H165" s="177"/>
    </row>
    <row r="166" ht="14.25" spans="1:8">
      <c r="A166" s="170">
        <v>158</v>
      </c>
      <c r="B166" s="182" t="s">
        <v>615</v>
      </c>
      <c r="C166" s="177" t="s">
        <v>72</v>
      </c>
      <c r="D166" s="173">
        <v>0.01</v>
      </c>
      <c r="E166" s="179" t="s">
        <v>30</v>
      </c>
      <c r="F166" s="179" t="s">
        <v>188</v>
      </c>
      <c r="G166" s="184" t="s">
        <v>616</v>
      </c>
      <c r="H166" s="177"/>
    </row>
    <row r="167" ht="14.25" spans="1:8">
      <c r="A167" s="170">
        <v>159</v>
      </c>
      <c r="B167" s="182" t="s">
        <v>615</v>
      </c>
      <c r="C167" s="177" t="s">
        <v>72</v>
      </c>
      <c r="D167" s="173">
        <v>0.01</v>
      </c>
      <c r="E167" s="179" t="s">
        <v>30</v>
      </c>
      <c r="F167" s="179" t="s">
        <v>188</v>
      </c>
      <c r="G167" s="184" t="s">
        <v>617</v>
      </c>
      <c r="H167" s="177"/>
    </row>
    <row r="168" ht="14.25" spans="1:8">
      <c r="A168" s="170">
        <v>160</v>
      </c>
      <c r="B168" s="182" t="s">
        <v>615</v>
      </c>
      <c r="C168" s="177" t="s">
        <v>72</v>
      </c>
      <c r="D168" s="173">
        <v>0.01</v>
      </c>
      <c r="E168" s="179" t="s">
        <v>30</v>
      </c>
      <c r="F168" s="179" t="s">
        <v>188</v>
      </c>
      <c r="G168" s="184" t="s">
        <v>618</v>
      </c>
      <c r="H168" s="177"/>
    </row>
    <row r="169" ht="14.25" spans="1:8">
      <c r="A169" s="170">
        <v>161</v>
      </c>
      <c r="B169" s="182" t="s">
        <v>615</v>
      </c>
      <c r="C169" s="177" t="s">
        <v>72</v>
      </c>
      <c r="D169" s="173">
        <v>0.01</v>
      </c>
      <c r="E169" s="179" t="s">
        <v>30</v>
      </c>
      <c r="F169" s="179" t="s">
        <v>188</v>
      </c>
      <c r="G169" s="184" t="s">
        <v>619</v>
      </c>
      <c r="H169" s="177"/>
    </row>
    <row r="170" ht="14.25" spans="1:8">
      <c r="A170" s="170">
        <v>162</v>
      </c>
      <c r="B170" s="182" t="s">
        <v>615</v>
      </c>
      <c r="C170" s="177" t="s">
        <v>72</v>
      </c>
      <c r="D170" s="173">
        <v>0.01</v>
      </c>
      <c r="E170" s="179" t="s">
        <v>30</v>
      </c>
      <c r="F170" s="179" t="s">
        <v>188</v>
      </c>
      <c r="G170" s="184" t="s">
        <v>620</v>
      </c>
      <c r="H170" s="177"/>
    </row>
    <row r="171" ht="14.25" spans="1:8">
      <c r="A171" s="170">
        <v>163</v>
      </c>
      <c r="B171" s="182" t="s">
        <v>615</v>
      </c>
      <c r="C171" s="177" t="s">
        <v>72</v>
      </c>
      <c r="D171" s="173">
        <v>0.01</v>
      </c>
      <c r="E171" s="179" t="s">
        <v>30</v>
      </c>
      <c r="F171" s="179" t="s">
        <v>188</v>
      </c>
      <c r="G171" s="184" t="s">
        <v>621</v>
      </c>
      <c r="H171" s="177"/>
    </row>
    <row r="172" ht="14.25" spans="1:8">
      <c r="A172" s="170">
        <v>164</v>
      </c>
      <c r="B172" s="182" t="s">
        <v>615</v>
      </c>
      <c r="C172" s="177" t="s">
        <v>72</v>
      </c>
      <c r="D172" s="173">
        <v>0.01</v>
      </c>
      <c r="E172" s="179" t="s">
        <v>30</v>
      </c>
      <c r="F172" s="179" t="s">
        <v>188</v>
      </c>
      <c r="G172" s="184" t="s">
        <v>622</v>
      </c>
      <c r="H172" s="177"/>
    </row>
    <row r="173" ht="14.25" spans="1:8">
      <c r="A173" s="170">
        <v>165</v>
      </c>
      <c r="B173" s="182" t="s">
        <v>615</v>
      </c>
      <c r="C173" s="177" t="s">
        <v>72</v>
      </c>
      <c r="D173" s="173">
        <v>0.01</v>
      </c>
      <c r="E173" s="179" t="s">
        <v>30</v>
      </c>
      <c r="F173" s="179" t="s">
        <v>188</v>
      </c>
      <c r="G173" s="184" t="s">
        <v>623</v>
      </c>
      <c r="H173" s="177"/>
    </row>
    <row r="174" ht="14.25" spans="1:8">
      <c r="A174" s="170">
        <v>166</v>
      </c>
      <c r="B174" s="182" t="s">
        <v>615</v>
      </c>
      <c r="C174" s="177" t="s">
        <v>72</v>
      </c>
      <c r="D174" s="173">
        <v>0.01</v>
      </c>
      <c r="E174" s="179" t="s">
        <v>30</v>
      </c>
      <c r="F174" s="179" t="s">
        <v>188</v>
      </c>
      <c r="G174" s="184" t="s">
        <v>624</v>
      </c>
      <c r="H174" s="177"/>
    </row>
    <row r="175" ht="14.25" spans="1:8">
      <c r="A175" s="170">
        <v>167</v>
      </c>
      <c r="B175" s="182" t="s">
        <v>615</v>
      </c>
      <c r="C175" s="177" t="s">
        <v>72</v>
      </c>
      <c r="D175" s="173">
        <v>0.01</v>
      </c>
      <c r="E175" s="179" t="s">
        <v>30</v>
      </c>
      <c r="F175" s="179" t="s">
        <v>188</v>
      </c>
      <c r="G175" s="184" t="s">
        <v>625</v>
      </c>
      <c r="H175" s="177"/>
    </row>
    <row r="176" ht="14.25" spans="1:8">
      <c r="A176" s="170">
        <v>168</v>
      </c>
      <c r="B176" s="182" t="s">
        <v>626</v>
      </c>
      <c r="C176" s="177" t="s">
        <v>72</v>
      </c>
      <c r="D176" s="173">
        <v>0.03</v>
      </c>
      <c r="E176" s="179" t="s">
        <v>30</v>
      </c>
      <c r="F176" s="179" t="s">
        <v>188</v>
      </c>
      <c r="G176" s="184" t="s">
        <v>627</v>
      </c>
      <c r="H176" s="177"/>
    </row>
    <row r="177" ht="14.25" spans="1:8">
      <c r="A177" s="170">
        <v>169</v>
      </c>
      <c r="B177" s="182" t="s">
        <v>628</v>
      </c>
      <c r="C177" s="177" t="s">
        <v>72</v>
      </c>
      <c r="D177" s="173">
        <v>0.04</v>
      </c>
      <c r="E177" s="179" t="s">
        <v>30</v>
      </c>
      <c r="F177" s="179" t="s">
        <v>188</v>
      </c>
      <c r="G177" s="184" t="s">
        <v>629</v>
      </c>
      <c r="H177" s="177"/>
    </row>
    <row r="178" ht="14.25" spans="1:8">
      <c r="A178" s="170">
        <v>170</v>
      </c>
      <c r="B178" s="182" t="s">
        <v>630</v>
      </c>
      <c r="C178" s="177" t="s">
        <v>72</v>
      </c>
      <c r="D178" s="173">
        <v>0.02</v>
      </c>
      <c r="E178" s="179" t="s">
        <v>30</v>
      </c>
      <c r="F178" s="179" t="s">
        <v>188</v>
      </c>
      <c r="G178" s="184" t="s">
        <v>631</v>
      </c>
      <c r="H178" s="177"/>
    </row>
    <row r="179" ht="14.25" spans="1:8">
      <c r="A179" s="170">
        <v>171</v>
      </c>
      <c r="B179" s="182" t="s">
        <v>615</v>
      </c>
      <c r="C179" s="177" t="s">
        <v>72</v>
      </c>
      <c r="D179" s="173">
        <v>0.01</v>
      </c>
      <c r="E179" s="179" t="s">
        <v>30</v>
      </c>
      <c r="F179" s="179" t="s">
        <v>188</v>
      </c>
      <c r="G179" s="184" t="s">
        <v>632</v>
      </c>
      <c r="H179" s="177"/>
    </row>
    <row r="180" ht="25.5" spans="1:8">
      <c r="A180" s="170">
        <v>172</v>
      </c>
      <c r="B180" s="182" t="s">
        <v>397</v>
      </c>
      <c r="C180" s="177" t="s">
        <v>72</v>
      </c>
      <c r="D180" s="173">
        <v>0.06</v>
      </c>
      <c r="E180" s="179" t="s">
        <v>30</v>
      </c>
      <c r="F180" s="179" t="s">
        <v>188</v>
      </c>
      <c r="G180" s="184" t="s">
        <v>633</v>
      </c>
      <c r="H180" s="177" t="s">
        <v>634</v>
      </c>
    </row>
    <row r="181" ht="14.25" spans="1:8">
      <c r="A181" s="170">
        <v>173</v>
      </c>
      <c r="B181" s="175" t="s">
        <v>635</v>
      </c>
      <c r="C181" s="177" t="s">
        <v>72</v>
      </c>
      <c r="D181" s="173">
        <v>0.04</v>
      </c>
      <c r="E181" s="179" t="s">
        <v>30</v>
      </c>
      <c r="F181" s="179" t="s">
        <v>188</v>
      </c>
      <c r="G181" s="189" t="s">
        <v>636</v>
      </c>
      <c r="H181" s="177"/>
    </row>
    <row r="182" ht="14.25" spans="1:8">
      <c r="A182" s="170">
        <v>174</v>
      </c>
      <c r="B182" s="175" t="s">
        <v>637</v>
      </c>
      <c r="C182" s="177" t="s">
        <v>72</v>
      </c>
      <c r="D182" s="173">
        <v>0.1</v>
      </c>
      <c r="E182" s="179" t="s">
        <v>30</v>
      </c>
      <c r="F182" s="179" t="s">
        <v>188</v>
      </c>
      <c r="G182" s="189" t="s">
        <v>638</v>
      </c>
      <c r="H182" s="177"/>
    </row>
    <row r="183" ht="25.5" spans="1:8">
      <c r="A183" s="170">
        <v>175</v>
      </c>
      <c r="B183" s="175" t="s">
        <v>554</v>
      </c>
      <c r="C183" s="177" t="s">
        <v>72</v>
      </c>
      <c r="D183" s="173">
        <v>0.33</v>
      </c>
      <c r="E183" s="179" t="s">
        <v>30</v>
      </c>
      <c r="F183" s="179" t="s">
        <v>188</v>
      </c>
      <c r="G183" s="189" t="s">
        <v>639</v>
      </c>
      <c r="H183" s="177" t="s">
        <v>640</v>
      </c>
    </row>
    <row r="184" ht="14.25" spans="1:8">
      <c r="A184" s="170">
        <v>176</v>
      </c>
      <c r="B184" s="175" t="s">
        <v>554</v>
      </c>
      <c r="C184" s="177" t="s">
        <v>72</v>
      </c>
      <c r="D184" s="173">
        <v>0.09</v>
      </c>
      <c r="E184" s="179" t="s">
        <v>30</v>
      </c>
      <c r="F184" s="179" t="s">
        <v>188</v>
      </c>
      <c r="G184" s="189" t="s">
        <v>641</v>
      </c>
      <c r="H184" s="177"/>
    </row>
    <row r="185" ht="14.25" spans="1:8">
      <c r="A185" s="170">
        <v>177</v>
      </c>
      <c r="B185" s="175" t="s">
        <v>554</v>
      </c>
      <c r="C185" s="177" t="s">
        <v>72</v>
      </c>
      <c r="D185" s="173">
        <v>0.09</v>
      </c>
      <c r="E185" s="179" t="s">
        <v>30</v>
      </c>
      <c r="F185" s="179" t="s">
        <v>188</v>
      </c>
      <c r="G185" s="189" t="s">
        <v>642</v>
      </c>
      <c r="H185" s="177"/>
    </row>
    <row r="186" ht="14.25" spans="1:8">
      <c r="A186" s="170">
        <v>178</v>
      </c>
      <c r="B186" s="175" t="s">
        <v>554</v>
      </c>
      <c r="C186" s="177" t="s">
        <v>72</v>
      </c>
      <c r="D186" s="173">
        <v>0.09</v>
      </c>
      <c r="E186" s="179" t="s">
        <v>30</v>
      </c>
      <c r="F186" s="179" t="s">
        <v>188</v>
      </c>
      <c r="G186" s="189" t="s">
        <v>643</v>
      </c>
      <c r="H186" s="177"/>
    </row>
    <row r="187" ht="14.25" spans="1:8">
      <c r="A187" s="170">
        <v>179</v>
      </c>
      <c r="B187" s="175" t="s">
        <v>554</v>
      </c>
      <c r="C187" s="177" t="s">
        <v>72</v>
      </c>
      <c r="D187" s="173">
        <v>0.09</v>
      </c>
      <c r="E187" s="179" t="s">
        <v>30</v>
      </c>
      <c r="F187" s="179" t="s">
        <v>188</v>
      </c>
      <c r="G187" s="189" t="s">
        <v>644</v>
      </c>
      <c r="H187" s="177"/>
    </row>
    <row r="188" ht="14.25" spans="1:8">
      <c r="A188" s="170">
        <v>180</v>
      </c>
      <c r="B188" s="175" t="s">
        <v>554</v>
      </c>
      <c r="C188" s="177" t="s">
        <v>72</v>
      </c>
      <c r="D188" s="173">
        <v>0.09</v>
      </c>
      <c r="E188" s="179" t="s">
        <v>30</v>
      </c>
      <c r="F188" s="179" t="s">
        <v>188</v>
      </c>
      <c r="G188" s="189" t="s">
        <v>645</v>
      </c>
      <c r="H188" s="177"/>
    </row>
    <row r="189" ht="14.25" spans="1:8">
      <c r="A189" s="170">
        <v>181</v>
      </c>
      <c r="B189" s="175" t="s">
        <v>554</v>
      </c>
      <c r="C189" s="177" t="s">
        <v>72</v>
      </c>
      <c r="D189" s="173">
        <v>0.09</v>
      </c>
      <c r="E189" s="179" t="s">
        <v>30</v>
      </c>
      <c r="F189" s="179" t="s">
        <v>188</v>
      </c>
      <c r="G189" s="189" t="s">
        <v>646</v>
      </c>
      <c r="H189" s="177"/>
    </row>
    <row r="190" ht="14.25" spans="1:8">
      <c r="A190" s="170">
        <v>182</v>
      </c>
      <c r="B190" s="175" t="s">
        <v>554</v>
      </c>
      <c r="C190" s="177" t="s">
        <v>72</v>
      </c>
      <c r="D190" s="173">
        <v>0.09</v>
      </c>
      <c r="E190" s="179" t="s">
        <v>30</v>
      </c>
      <c r="F190" s="179" t="s">
        <v>188</v>
      </c>
      <c r="G190" s="189" t="s">
        <v>647</v>
      </c>
      <c r="H190" s="177"/>
    </row>
    <row r="191" ht="14.25" spans="1:8">
      <c r="A191" s="170">
        <v>183</v>
      </c>
      <c r="B191" s="175" t="s">
        <v>554</v>
      </c>
      <c r="C191" s="177" t="s">
        <v>72</v>
      </c>
      <c r="D191" s="173">
        <v>0.09</v>
      </c>
      <c r="E191" s="179" t="s">
        <v>30</v>
      </c>
      <c r="F191" s="179" t="s">
        <v>188</v>
      </c>
      <c r="G191" s="189" t="s">
        <v>648</v>
      </c>
      <c r="H191" s="177"/>
    </row>
    <row r="192" ht="14.25" spans="1:8">
      <c r="A192" s="170">
        <v>184</v>
      </c>
      <c r="B192" s="175" t="s">
        <v>649</v>
      </c>
      <c r="C192" s="177" t="s">
        <v>72</v>
      </c>
      <c r="D192" s="173">
        <v>0.03</v>
      </c>
      <c r="E192" s="179" t="s">
        <v>30</v>
      </c>
      <c r="F192" s="179" t="s">
        <v>188</v>
      </c>
      <c r="G192" s="189" t="s">
        <v>650</v>
      </c>
      <c r="H192" s="177"/>
    </row>
    <row r="193" ht="14.25" spans="1:8">
      <c r="A193" s="170">
        <v>185</v>
      </c>
      <c r="B193" s="175" t="s">
        <v>651</v>
      </c>
      <c r="C193" s="177" t="s">
        <v>72</v>
      </c>
      <c r="D193" s="173">
        <v>0.025</v>
      </c>
      <c r="E193" s="179" t="s">
        <v>30</v>
      </c>
      <c r="F193" s="179" t="s">
        <v>188</v>
      </c>
      <c r="G193" s="189" t="s">
        <v>652</v>
      </c>
      <c r="H193" s="177"/>
    </row>
    <row r="194" ht="14.25" spans="1:8">
      <c r="A194" s="170">
        <v>186</v>
      </c>
      <c r="B194" s="175" t="s">
        <v>653</v>
      </c>
      <c r="C194" s="177" t="s">
        <v>72</v>
      </c>
      <c r="D194" s="173">
        <v>0.05</v>
      </c>
      <c r="E194" s="179" t="s">
        <v>30</v>
      </c>
      <c r="F194" s="179" t="s">
        <v>188</v>
      </c>
      <c r="G194" s="189" t="s">
        <v>654</v>
      </c>
      <c r="H194" s="177"/>
    </row>
    <row r="195" ht="14.25" spans="1:8">
      <c r="A195" s="170">
        <v>187</v>
      </c>
      <c r="B195" s="175" t="s">
        <v>655</v>
      </c>
      <c r="C195" s="177" t="s">
        <v>72</v>
      </c>
      <c r="D195" s="173">
        <v>0.1</v>
      </c>
      <c r="E195" s="179" t="s">
        <v>30</v>
      </c>
      <c r="F195" s="179" t="s">
        <v>188</v>
      </c>
      <c r="G195" s="189" t="s">
        <v>656</v>
      </c>
      <c r="H195" s="177"/>
    </row>
    <row r="196" ht="14.25" spans="1:8">
      <c r="A196" s="170">
        <v>188</v>
      </c>
      <c r="B196" s="184" t="s">
        <v>575</v>
      </c>
      <c r="C196" s="177" t="s">
        <v>72</v>
      </c>
      <c r="D196" s="173">
        <v>0.03</v>
      </c>
      <c r="E196" s="179" t="s">
        <v>30</v>
      </c>
      <c r="F196" s="179" t="s">
        <v>188</v>
      </c>
      <c r="G196" s="184" t="s">
        <v>576</v>
      </c>
      <c r="H196" s="177"/>
    </row>
    <row r="197" ht="14.25" spans="1:8">
      <c r="A197" s="170">
        <v>189</v>
      </c>
      <c r="B197" s="182" t="s">
        <v>630</v>
      </c>
      <c r="C197" s="177" t="s">
        <v>72</v>
      </c>
      <c r="D197" s="173">
        <v>0.05</v>
      </c>
      <c r="E197" s="179" t="s">
        <v>30</v>
      </c>
      <c r="F197" s="179" t="s">
        <v>188</v>
      </c>
      <c r="G197" s="184" t="s">
        <v>657</v>
      </c>
      <c r="H197" s="177"/>
    </row>
    <row r="198" ht="14.25" spans="1:8">
      <c r="A198" s="170">
        <v>190</v>
      </c>
      <c r="B198" s="182" t="s">
        <v>658</v>
      </c>
      <c r="C198" s="177" t="s">
        <v>72</v>
      </c>
      <c r="D198" s="173">
        <v>0.03</v>
      </c>
      <c r="E198" s="179" t="s">
        <v>30</v>
      </c>
      <c r="F198" s="179" t="s">
        <v>188</v>
      </c>
      <c r="G198" s="184" t="s">
        <v>659</v>
      </c>
      <c r="H198" s="177"/>
    </row>
    <row r="199" ht="14.25" spans="1:8">
      <c r="A199" s="170">
        <v>191</v>
      </c>
      <c r="B199" s="182" t="s">
        <v>660</v>
      </c>
      <c r="C199" s="177" t="s">
        <v>72</v>
      </c>
      <c r="D199" s="173">
        <v>0.02</v>
      </c>
      <c r="E199" s="179" t="s">
        <v>30</v>
      </c>
      <c r="F199" s="179" t="s">
        <v>188</v>
      </c>
      <c r="G199" s="184" t="s">
        <v>661</v>
      </c>
      <c r="H199" s="177"/>
    </row>
    <row r="200" ht="14.25" spans="1:8">
      <c r="A200" s="170">
        <v>192</v>
      </c>
      <c r="B200" s="182" t="s">
        <v>662</v>
      </c>
      <c r="C200" s="177" t="s">
        <v>72</v>
      </c>
      <c r="D200" s="173">
        <v>0.04</v>
      </c>
      <c r="E200" s="179" t="s">
        <v>30</v>
      </c>
      <c r="F200" s="179" t="s">
        <v>188</v>
      </c>
      <c r="G200" s="184" t="s">
        <v>663</v>
      </c>
      <c r="H200" s="177"/>
    </row>
    <row r="201" ht="14.25" spans="1:8">
      <c r="A201" s="170">
        <v>193</v>
      </c>
      <c r="B201" s="182" t="s">
        <v>664</v>
      </c>
      <c r="C201" s="177" t="s">
        <v>72</v>
      </c>
      <c r="D201" s="173">
        <v>0.03</v>
      </c>
      <c r="E201" s="179" t="s">
        <v>30</v>
      </c>
      <c r="F201" s="179" t="s">
        <v>188</v>
      </c>
      <c r="G201" s="184" t="s">
        <v>665</v>
      </c>
      <c r="H201" s="177"/>
    </row>
    <row r="202" ht="14.25" spans="1:8">
      <c r="A202" s="170">
        <v>194</v>
      </c>
      <c r="B202" s="182" t="s">
        <v>613</v>
      </c>
      <c r="C202" s="177" t="s">
        <v>72</v>
      </c>
      <c r="D202" s="173">
        <v>0.25</v>
      </c>
      <c r="E202" s="179" t="s">
        <v>30</v>
      </c>
      <c r="F202" s="179" t="s">
        <v>188</v>
      </c>
      <c r="G202" s="184" t="s">
        <v>666</v>
      </c>
      <c r="H202" s="177"/>
    </row>
    <row r="203" ht="25.5" spans="1:8">
      <c r="A203" s="170">
        <v>195</v>
      </c>
      <c r="B203" s="182" t="s">
        <v>667</v>
      </c>
      <c r="C203" s="177" t="s">
        <v>72</v>
      </c>
      <c r="D203" s="173">
        <v>0.1</v>
      </c>
      <c r="E203" s="179" t="s">
        <v>30</v>
      </c>
      <c r="F203" s="179" t="s">
        <v>188</v>
      </c>
      <c r="G203" s="184" t="s">
        <v>668</v>
      </c>
      <c r="H203" s="177" t="s">
        <v>669</v>
      </c>
    </row>
    <row r="204" ht="14.25" spans="1:8">
      <c r="A204" s="170">
        <v>196</v>
      </c>
      <c r="B204" s="182" t="s">
        <v>670</v>
      </c>
      <c r="C204" s="177" t="s">
        <v>72</v>
      </c>
      <c r="D204" s="173">
        <v>0.11</v>
      </c>
      <c r="E204" s="179" t="s">
        <v>30</v>
      </c>
      <c r="F204" s="179" t="s">
        <v>188</v>
      </c>
      <c r="G204" s="184" t="s">
        <v>671</v>
      </c>
      <c r="H204" s="177" t="s">
        <v>672</v>
      </c>
    </row>
    <row r="205" ht="25.5" spans="1:8">
      <c r="A205" s="170">
        <v>197</v>
      </c>
      <c r="B205" s="182" t="s">
        <v>487</v>
      </c>
      <c r="C205" s="177" t="s">
        <v>72</v>
      </c>
      <c r="D205" s="173">
        <v>0.3</v>
      </c>
      <c r="E205" s="179" t="s">
        <v>30</v>
      </c>
      <c r="F205" s="179" t="s">
        <v>188</v>
      </c>
      <c r="G205" s="184" t="s">
        <v>673</v>
      </c>
      <c r="H205" s="177" t="s">
        <v>674</v>
      </c>
    </row>
    <row r="206" ht="25.5" spans="1:8">
      <c r="A206" s="170">
        <v>198</v>
      </c>
      <c r="B206" s="182" t="s">
        <v>487</v>
      </c>
      <c r="C206" s="177" t="s">
        <v>72</v>
      </c>
      <c r="D206" s="173">
        <v>0.2</v>
      </c>
      <c r="E206" s="179" t="s">
        <v>30</v>
      </c>
      <c r="F206" s="179" t="s">
        <v>188</v>
      </c>
      <c r="G206" s="184" t="s">
        <v>675</v>
      </c>
      <c r="H206" s="177" t="s">
        <v>676</v>
      </c>
    </row>
    <row r="207" ht="14.25" spans="1:8">
      <c r="A207" s="170">
        <v>199</v>
      </c>
      <c r="B207" s="182" t="s">
        <v>677</v>
      </c>
      <c r="C207" s="177" t="s">
        <v>72</v>
      </c>
      <c r="D207" s="173">
        <v>0.16</v>
      </c>
      <c r="E207" s="179" t="s">
        <v>30</v>
      </c>
      <c r="F207" s="179" t="s">
        <v>188</v>
      </c>
      <c r="G207" s="184" t="s">
        <v>678</v>
      </c>
      <c r="H207" s="177" t="s">
        <v>672</v>
      </c>
    </row>
    <row r="208" ht="14.25" spans="1:8">
      <c r="A208" s="170">
        <v>200</v>
      </c>
      <c r="B208" s="182" t="s">
        <v>679</v>
      </c>
      <c r="C208" s="177" t="s">
        <v>72</v>
      </c>
      <c r="D208" s="173">
        <v>0.04</v>
      </c>
      <c r="E208" s="179" t="s">
        <v>30</v>
      </c>
      <c r="F208" s="179" t="s">
        <v>188</v>
      </c>
      <c r="G208" s="184" t="s">
        <v>366</v>
      </c>
      <c r="H208" s="177"/>
    </row>
    <row r="209" ht="25.5" spans="1:8">
      <c r="A209" s="170">
        <v>201</v>
      </c>
      <c r="B209" s="182" t="s">
        <v>680</v>
      </c>
      <c r="C209" s="177" t="s">
        <v>72</v>
      </c>
      <c r="D209" s="173">
        <v>0.28</v>
      </c>
      <c r="E209" s="179" t="s">
        <v>30</v>
      </c>
      <c r="F209" s="179" t="s">
        <v>188</v>
      </c>
      <c r="G209" s="184" t="s">
        <v>681</v>
      </c>
      <c r="H209" s="177" t="s">
        <v>682</v>
      </c>
    </row>
    <row r="210" ht="14.25" spans="1:8">
      <c r="A210" s="170">
        <v>202</v>
      </c>
      <c r="B210" s="182" t="s">
        <v>683</v>
      </c>
      <c r="C210" s="177" t="s">
        <v>72</v>
      </c>
      <c r="D210" s="173">
        <v>0.05</v>
      </c>
      <c r="E210" s="179" t="s">
        <v>30</v>
      </c>
      <c r="F210" s="179" t="s">
        <v>188</v>
      </c>
      <c r="G210" s="184" t="s">
        <v>684</v>
      </c>
      <c r="H210" s="177" t="s">
        <v>672</v>
      </c>
    </row>
    <row r="211" ht="14.25" spans="1:8">
      <c r="A211" s="170">
        <v>203</v>
      </c>
      <c r="B211" s="189" t="s">
        <v>685</v>
      </c>
      <c r="C211" s="177" t="s">
        <v>72</v>
      </c>
      <c r="D211" s="173">
        <v>0.2</v>
      </c>
      <c r="E211" s="179" t="s">
        <v>30</v>
      </c>
      <c r="F211" s="179" t="s">
        <v>188</v>
      </c>
      <c r="G211" s="184" t="s">
        <v>686</v>
      </c>
      <c r="H211" s="177"/>
    </row>
    <row r="212" ht="14.25" spans="1:8">
      <c r="A212" s="170">
        <v>204</v>
      </c>
      <c r="B212" s="189" t="s">
        <v>685</v>
      </c>
      <c r="C212" s="177" t="s">
        <v>72</v>
      </c>
      <c r="D212" s="173">
        <v>0.08</v>
      </c>
      <c r="E212" s="179" t="s">
        <v>30</v>
      </c>
      <c r="F212" s="179" t="s">
        <v>188</v>
      </c>
      <c r="G212" s="184" t="s">
        <v>687</v>
      </c>
      <c r="H212" s="177"/>
    </row>
    <row r="213" ht="25.5" spans="1:8">
      <c r="A213" s="170">
        <v>205</v>
      </c>
      <c r="B213" s="189" t="s">
        <v>688</v>
      </c>
      <c r="C213" s="177" t="s">
        <v>72</v>
      </c>
      <c r="D213" s="173">
        <v>0.25</v>
      </c>
      <c r="E213" s="179" t="s">
        <v>30</v>
      </c>
      <c r="F213" s="179" t="s">
        <v>188</v>
      </c>
      <c r="G213" s="184" t="s">
        <v>689</v>
      </c>
      <c r="H213" s="177"/>
    </row>
    <row r="214" ht="25.5" spans="1:8">
      <c r="A214" s="170">
        <v>206</v>
      </c>
      <c r="B214" s="189" t="s">
        <v>688</v>
      </c>
      <c r="C214" s="177" t="s">
        <v>72</v>
      </c>
      <c r="D214" s="173">
        <v>0.3</v>
      </c>
      <c r="E214" s="179" t="s">
        <v>30</v>
      </c>
      <c r="F214" s="179" t="s">
        <v>188</v>
      </c>
      <c r="G214" s="184" t="s">
        <v>690</v>
      </c>
      <c r="H214" s="177"/>
    </row>
    <row r="215" ht="14.25" spans="1:8">
      <c r="A215" s="170">
        <v>207</v>
      </c>
      <c r="B215" s="186" t="s">
        <v>691</v>
      </c>
      <c r="C215" s="177" t="s">
        <v>72</v>
      </c>
      <c r="D215" s="173">
        <v>0.05</v>
      </c>
      <c r="E215" s="179" t="s">
        <v>30</v>
      </c>
      <c r="F215" s="179" t="s">
        <v>188</v>
      </c>
      <c r="G215" s="184" t="s">
        <v>692</v>
      </c>
      <c r="H215" s="177"/>
    </row>
    <row r="216" ht="14.25" spans="1:8">
      <c r="A216" s="170">
        <v>208</v>
      </c>
      <c r="B216" s="186" t="s">
        <v>693</v>
      </c>
      <c r="C216" s="177" t="s">
        <v>72</v>
      </c>
      <c r="D216" s="173">
        <v>0.09</v>
      </c>
      <c r="E216" s="179" t="s">
        <v>30</v>
      </c>
      <c r="F216" s="179" t="s">
        <v>188</v>
      </c>
      <c r="G216" s="184" t="s">
        <v>694</v>
      </c>
      <c r="H216" s="177"/>
    </row>
    <row r="217" ht="14.25" spans="1:8">
      <c r="A217" s="170">
        <v>209</v>
      </c>
      <c r="B217" s="186" t="s">
        <v>695</v>
      </c>
      <c r="C217" s="177" t="s">
        <v>72</v>
      </c>
      <c r="D217" s="173">
        <v>0.03</v>
      </c>
      <c r="E217" s="179" t="s">
        <v>30</v>
      </c>
      <c r="F217" s="179" t="s">
        <v>188</v>
      </c>
      <c r="G217" s="184" t="s">
        <v>696</v>
      </c>
      <c r="H217" s="177"/>
    </row>
    <row r="218" ht="14.25" spans="1:8">
      <c r="A218" s="170">
        <v>210</v>
      </c>
      <c r="B218" s="186" t="s">
        <v>697</v>
      </c>
      <c r="C218" s="177" t="s">
        <v>72</v>
      </c>
      <c r="D218" s="173">
        <v>0.04</v>
      </c>
      <c r="E218" s="179" t="s">
        <v>30</v>
      </c>
      <c r="F218" s="179" t="s">
        <v>188</v>
      </c>
      <c r="G218" s="184" t="s">
        <v>698</v>
      </c>
      <c r="H218" s="177"/>
    </row>
    <row r="219" ht="25.5" spans="1:8">
      <c r="A219" s="170">
        <v>211</v>
      </c>
      <c r="B219" s="186" t="s">
        <v>699</v>
      </c>
      <c r="C219" s="177" t="s">
        <v>72</v>
      </c>
      <c r="D219" s="173">
        <v>0.05</v>
      </c>
      <c r="E219" s="179" t="s">
        <v>30</v>
      </c>
      <c r="F219" s="179" t="s">
        <v>188</v>
      </c>
      <c r="G219" s="184" t="s">
        <v>700</v>
      </c>
      <c r="H219" s="177" t="s">
        <v>701</v>
      </c>
    </row>
    <row r="220" ht="14.25" spans="1:8">
      <c r="A220" s="170">
        <v>212</v>
      </c>
      <c r="B220" s="186" t="s">
        <v>397</v>
      </c>
      <c r="C220" s="177" t="s">
        <v>72</v>
      </c>
      <c r="D220" s="173">
        <v>0.02</v>
      </c>
      <c r="E220" s="179" t="s">
        <v>30</v>
      </c>
      <c r="F220" s="179" t="s">
        <v>188</v>
      </c>
      <c r="G220" s="184" t="s">
        <v>702</v>
      </c>
      <c r="H220" s="177" t="s">
        <v>593</v>
      </c>
    </row>
    <row r="221" ht="14.25" spans="1:8">
      <c r="A221" s="170">
        <v>213</v>
      </c>
      <c r="B221" s="186" t="s">
        <v>397</v>
      </c>
      <c r="C221" s="177" t="s">
        <v>72</v>
      </c>
      <c r="D221" s="173">
        <v>0.03</v>
      </c>
      <c r="E221" s="179" t="s">
        <v>30</v>
      </c>
      <c r="F221" s="179" t="s">
        <v>188</v>
      </c>
      <c r="G221" s="184" t="s">
        <v>703</v>
      </c>
      <c r="H221" s="177" t="s">
        <v>593</v>
      </c>
    </row>
    <row r="222" ht="14.25" spans="1:8">
      <c r="A222" s="170">
        <v>214</v>
      </c>
      <c r="B222" s="186" t="s">
        <v>397</v>
      </c>
      <c r="C222" s="177" t="s">
        <v>72</v>
      </c>
      <c r="D222" s="173">
        <v>0.03</v>
      </c>
      <c r="E222" s="179" t="s">
        <v>30</v>
      </c>
      <c r="F222" s="179" t="s">
        <v>188</v>
      </c>
      <c r="G222" s="184" t="s">
        <v>704</v>
      </c>
      <c r="H222" s="177" t="s">
        <v>672</v>
      </c>
    </row>
    <row r="223" ht="14.25" spans="1:8">
      <c r="A223" s="170">
        <v>215</v>
      </c>
      <c r="B223" s="186" t="s">
        <v>397</v>
      </c>
      <c r="C223" s="177" t="s">
        <v>72</v>
      </c>
      <c r="D223" s="173">
        <v>0.03</v>
      </c>
      <c r="E223" s="179" t="s">
        <v>30</v>
      </c>
      <c r="F223" s="179" t="s">
        <v>188</v>
      </c>
      <c r="G223" s="184" t="s">
        <v>705</v>
      </c>
      <c r="H223" s="177" t="s">
        <v>672</v>
      </c>
    </row>
    <row r="224" ht="14.25" spans="1:8">
      <c r="A224" s="170">
        <v>216</v>
      </c>
      <c r="B224" s="186" t="s">
        <v>397</v>
      </c>
      <c r="C224" s="177" t="s">
        <v>72</v>
      </c>
      <c r="D224" s="173">
        <v>0.03</v>
      </c>
      <c r="E224" s="179" t="s">
        <v>30</v>
      </c>
      <c r="F224" s="179" t="s">
        <v>188</v>
      </c>
      <c r="G224" s="184" t="s">
        <v>706</v>
      </c>
      <c r="H224" s="177" t="s">
        <v>672</v>
      </c>
    </row>
    <row r="225" ht="14.25" spans="1:8">
      <c r="A225" s="170">
        <v>217</v>
      </c>
      <c r="B225" s="186" t="s">
        <v>397</v>
      </c>
      <c r="C225" s="177" t="s">
        <v>72</v>
      </c>
      <c r="D225" s="173">
        <v>0.04</v>
      </c>
      <c r="E225" s="179" t="s">
        <v>30</v>
      </c>
      <c r="F225" s="179" t="s">
        <v>188</v>
      </c>
      <c r="G225" s="184" t="s">
        <v>707</v>
      </c>
      <c r="H225" s="177" t="s">
        <v>672</v>
      </c>
    </row>
    <row r="226" ht="14.25" spans="1:8">
      <c r="A226" s="170">
        <v>218</v>
      </c>
      <c r="B226" s="186" t="s">
        <v>708</v>
      </c>
      <c r="C226" s="177" t="s">
        <v>72</v>
      </c>
      <c r="D226" s="173">
        <v>0.05</v>
      </c>
      <c r="E226" s="179" t="s">
        <v>30</v>
      </c>
      <c r="F226" s="179" t="s">
        <v>188</v>
      </c>
      <c r="G226" s="184" t="s">
        <v>709</v>
      </c>
      <c r="H226" s="177" t="s">
        <v>672</v>
      </c>
    </row>
    <row r="227" ht="14.25" spans="1:8">
      <c r="A227" s="170">
        <v>219</v>
      </c>
      <c r="B227" s="186" t="s">
        <v>710</v>
      </c>
      <c r="C227" s="177" t="s">
        <v>72</v>
      </c>
      <c r="D227" s="173">
        <v>0.2</v>
      </c>
      <c r="E227" s="179" t="s">
        <v>30</v>
      </c>
      <c r="F227" s="179" t="s">
        <v>188</v>
      </c>
      <c r="G227" s="184" t="s">
        <v>711</v>
      </c>
      <c r="H227" s="177"/>
    </row>
    <row r="228" ht="14.25" spans="1:8">
      <c r="A228" s="170">
        <v>220</v>
      </c>
      <c r="B228" s="186" t="s">
        <v>712</v>
      </c>
      <c r="C228" s="177" t="s">
        <v>72</v>
      </c>
      <c r="D228" s="173">
        <v>0.03</v>
      </c>
      <c r="E228" s="179" t="s">
        <v>30</v>
      </c>
      <c r="F228" s="179" t="s">
        <v>188</v>
      </c>
      <c r="G228" s="184" t="s">
        <v>713</v>
      </c>
      <c r="H228" s="177"/>
    </row>
    <row r="229" ht="14.25" spans="1:8">
      <c r="A229" s="170">
        <v>221</v>
      </c>
      <c r="B229" s="184" t="s">
        <v>714</v>
      </c>
      <c r="C229" s="177" t="s">
        <v>72</v>
      </c>
      <c r="D229" s="173">
        <v>0.01</v>
      </c>
      <c r="E229" s="179" t="s">
        <v>30</v>
      </c>
      <c r="F229" s="179" t="s">
        <v>188</v>
      </c>
      <c r="G229" s="184" t="s">
        <v>715</v>
      </c>
      <c r="H229" s="177"/>
    </row>
    <row r="230" ht="14.25" spans="1:8">
      <c r="A230" s="170">
        <v>222</v>
      </c>
      <c r="B230" s="182" t="s">
        <v>485</v>
      </c>
      <c r="C230" s="177" t="s">
        <v>72</v>
      </c>
      <c r="D230" s="173">
        <v>0.01</v>
      </c>
      <c r="E230" s="179" t="s">
        <v>30</v>
      </c>
      <c r="F230" s="179" t="s">
        <v>188</v>
      </c>
      <c r="G230" s="184" t="s">
        <v>716</v>
      </c>
      <c r="H230" s="177"/>
    </row>
    <row r="231" ht="14.25" spans="1:8">
      <c r="A231" s="170">
        <v>223</v>
      </c>
      <c r="B231" s="182" t="s">
        <v>485</v>
      </c>
      <c r="C231" s="177" t="s">
        <v>72</v>
      </c>
      <c r="D231" s="173">
        <v>0.03</v>
      </c>
      <c r="E231" s="179" t="s">
        <v>30</v>
      </c>
      <c r="F231" s="179" t="s">
        <v>188</v>
      </c>
      <c r="G231" s="184" t="s">
        <v>717</v>
      </c>
      <c r="H231" s="177"/>
    </row>
    <row r="232" ht="14.25" spans="1:8">
      <c r="A232" s="170">
        <v>224</v>
      </c>
      <c r="B232" s="182" t="s">
        <v>718</v>
      </c>
      <c r="C232" s="177" t="s">
        <v>72</v>
      </c>
      <c r="D232" s="173">
        <v>0.1</v>
      </c>
      <c r="E232" s="179" t="s">
        <v>30</v>
      </c>
      <c r="F232" s="179" t="s">
        <v>188</v>
      </c>
      <c r="G232" s="184" t="s">
        <v>719</v>
      </c>
      <c r="H232" s="177"/>
    </row>
    <row r="233" ht="14.25" spans="1:8">
      <c r="A233" s="170">
        <v>225</v>
      </c>
      <c r="B233" s="182" t="s">
        <v>720</v>
      </c>
      <c r="C233" s="177" t="s">
        <v>72</v>
      </c>
      <c r="D233" s="173">
        <v>0.01</v>
      </c>
      <c r="E233" s="179" t="s">
        <v>30</v>
      </c>
      <c r="F233" s="179" t="s">
        <v>188</v>
      </c>
      <c r="G233" s="184" t="s">
        <v>721</v>
      </c>
      <c r="H233" s="177"/>
    </row>
    <row r="234" ht="14.25" spans="1:8">
      <c r="A234" s="170">
        <v>226</v>
      </c>
      <c r="B234" s="182" t="s">
        <v>722</v>
      </c>
      <c r="C234" s="177" t="s">
        <v>72</v>
      </c>
      <c r="D234" s="173">
        <v>0.01</v>
      </c>
      <c r="E234" s="179" t="s">
        <v>30</v>
      </c>
      <c r="F234" s="179" t="s">
        <v>188</v>
      </c>
      <c r="G234" s="184" t="s">
        <v>723</v>
      </c>
      <c r="H234" s="177"/>
    </row>
    <row r="235" ht="14.25" spans="1:8">
      <c r="A235" s="170">
        <v>227</v>
      </c>
      <c r="B235" s="182" t="s">
        <v>724</v>
      </c>
      <c r="C235" s="177" t="s">
        <v>72</v>
      </c>
      <c r="D235" s="173">
        <v>0.01</v>
      </c>
      <c r="E235" s="179" t="s">
        <v>30</v>
      </c>
      <c r="F235" s="179" t="s">
        <v>188</v>
      </c>
      <c r="G235" s="184" t="s">
        <v>725</v>
      </c>
      <c r="H235" s="177" t="s">
        <v>672</v>
      </c>
    </row>
    <row r="236" ht="14.25" spans="1:8">
      <c r="A236" s="170">
        <v>228</v>
      </c>
      <c r="B236" s="182" t="s">
        <v>726</v>
      </c>
      <c r="C236" s="177" t="s">
        <v>72</v>
      </c>
      <c r="D236" s="173">
        <v>0.01</v>
      </c>
      <c r="E236" s="179" t="s">
        <v>30</v>
      </c>
      <c r="F236" s="179" t="s">
        <v>188</v>
      </c>
      <c r="G236" s="184" t="s">
        <v>727</v>
      </c>
      <c r="H236" s="177"/>
    </row>
    <row r="237" ht="14.25" spans="1:8">
      <c r="A237" s="170">
        <v>229</v>
      </c>
      <c r="B237" s="182" t="s">
        <v>728</v>
      </c>
      <c r="C237" s="177" t="s">
        <v>72</v>
      </c>
      <c r="D237" s="173">
        <v>0.05</v>
      </c>
      <c r="E237" s="179" t="s">
        <v>30</v>
      </c>
      <c r="F237" s="179" t="s">
        <v>188</v>
      </c>
      <c r="G237" s="184" t="s">
        <v>729</v>
      </c>
      <c r="H237" s="177"/>
    </row>
    <row r="238" ht="14.25" spans="1:8">
      <c r="A238" s="170">
        <v>230</v>
      </c>
      <c r="B238" s="182" t="s">
        <v>615</v>
      </c>
      <c r="C238" s="177" t="s">
        <v>72</v>
      </c>
      <c r="D238" s="173">
        <v>0.02</v>
      </c>
      <c r="E238" s="179" t="s">
        <v>30</v>
      </c>
      <c r="F238" s="179" t="s">
        <v>188</v>
      </c>
      <c r="G238" s="184" t="s">
        <v>730</v>
      </c>
      <c r="H238" s="177"/>
    </row>
    <row r="239" ht="14.25" spans="1:8">
      <c r="A239" s="170">
        <v>231</v>
      </c>
      <c r="B239" s="182" t="s">
        <v>615</v>
      </c>
      <c r="C239" s="177" t="s">
        <v>72</v>
      </c>
      <c r="D239" s="173">
        <v>0.02</v>
      </c>
      <c r="E239" s="179" t="s">
        <v>30</v>
      </c>
      <c r="F239" s="179" t="s">
        <v>188</v>
      </c>
      <c r="G239" s="184" t="s">
        <v>731</v>
      </c>
      <c r="H239" s="177"/>
    </row>
    <row r="240" ht="14.25" spans="1:8">
      <c r="A240" s="170">
        <v>232</v>
      </c>
      <c r="B240" s="182" t="s">
        <v>615</v>
      </c>
      <c r="C240" s="177" t="s">
        <v>72</v>
      </c>
      <c r="D240" s="173">
        <v>0.02</v>
      </c>
      <c r="E240" s="179" t="s">
        <v>30</v>
      </c>
      <c r="F240" s="179" t="s">
        <v>188</v>
      </c>
      <c r="G240" s="184" t="s">
        <v>732</v>
      </c>
      <c r="H240" s="177"/>
    </row>
    <row r="241" ht="14.25" spans="1:8">
      <c r="A241" s="170">
        <v>233</v>
      </c>
      <c r="B241" s="182" t="s">
        <v>615</v>
      </c>
      <c r="C241" s="177" t="s">
        <v>72</v>
      </c>
      <c r="D241" s="173">
        <v>0.02</v>
      </c>
      <c r="E241" s="179" t="s">
        <v>30</v>
      </c>
      <c r="F241" s="179" t="s">
        <v>188</v>
      </c>
      <c r="G241" s="184" t="s">
        <v>733</v>
      </c>
      <c r="H241" s="177"/>
    </row>
    <row r="242" ht="14.25" spans="1:8">
      <c r="A242" s="170">
        <v>234</v>
      </c>
      <c r="B242" s="182" t="s">
        <v>615</v>
      </c>
      <c r="C242" s="177" t="s">
        <v>72</v>
      </c>
      <c r="D242" s="173">
        <v>0.02</v>
      </c>
      <c r="E242" s="179" t="s">
        <v>30</v>
      </c>
      <c r="F242" s="179" t="s">
        <v>188</v>
      </c>
      <c r="G242" s="184" t="s">
        <v>734</v>
      </c>
      <c r="H242" s="177"/>
    </row>
    <row r="243" ht="14.25" spans="1:8">
      <c r="A243" s="170">
        <v>235</v>
      </c>
      <c r="B243" s="182" t="s">
        <v>615</v>
      </c>
      <c r="C243" s="177" t="s">
        <v>72</v>
      </c>
      <c r="D243" s="173">
        <v>0.02</v>
      </c>
      <c r="E243" s="179" t="s">
        <v>30</v>
      </c>
      <c r="F243" s="179" t="s">
        <v>188</v>
      </c>
      <c r="G243" s="184" t="s">
        <v>735</v>
      </c>
      <c r="H243" s="177"/>
    </row>
    <row r="244" ht="14.25" spans="1:8">
      <c r="A244" s="170">
        <v>236</v>
      </c>
      <c r="B244" s="182" t="s">
        <v>615</v>
      </c>
      <c r="C244" s="177" t="s">
        <v>72</v>
      </c>
      <c r="D244" s="173">
        <v>0.02</v>
      </c>
      <c r="E244" s="179" t="s">
        <v>30</v>
      </c>
      <c r="F244" s="179" t="s">
        <v>188</v>
      </c>
      <c r="G244" s="184" t="s">
        <v>736</v>
      </c>
      <c r="H244" s="177"/>
    </row>
    <row r="245" ht="14.25" spans="1:8">
      <c r="A245" s="170">
        <v>237</v>
      </c>
      <c r="B245" s="182" t="s">
        <v>615</v>
      </c>
      <c r="C245" s="177" t="s">
        <v>72</v>
      </c>
      <c r="D245" s="173">
        <v>0.02</v>
      </c>
      <c r="E245" s="179" t="s">
        <v>30</v>
      </c>
      <c r="F245" s="179" t="s">
        <v>188</v>
      </c>
      <c r="G245" s="184" t="s">
        <v>737</v>
      </c>
      <c r="H245" s="177"/>
    </row>
    <row r="246" ht="14.25" spans="1:8">
      <c r="A246" s="170">
        <v>238</v>
      </c>
      <c r="B246" s="182" t="s">
        <v>615</v>
      </c>
      <c r="C246" s="177" t="s">
        <v>72</v>
      </c>
      <c r="D246" s="173">
        <v>0.02</v>
      </c>
      <c r="E246" s="179" t="s">
        <v>30</v>
      </c>
      <c r="F246" s="179" t="s">
        <v>188</v>
      </c>
      <c r="G246" s="184" t="s">
        <v>738</v>
      </c>
      <c r="H246" s="177"/>
    </row>
    <row r="247" ht="14.25" spans="1:8">
      <c r="A247" s="170">
        <v>239</v>
      </c>
      <c r="B247" s="182" t="s">
        <v>615</v>
      </c>
      <c r="C247" s="177" t="s">
        <v>72</v>
      </c>
      <c r="D247" s="173">
        <v>0.02</v>
      </c>
      <c r="E247" s="179" t="s">
        <v>30</v>
      </c>
      <c r="F247" s="179" t="s">
        <v>188</v>
      </c>
      <c r="G247" s="184" t="s">
        <v>739</v>
      </c>
      <c r="H247" s="177"/>
    </row>
    <row r="248" ht="14.25" spans="1:8">
      <c r="A248" s="170">
        <v>240</v>
      </c>
      <c r="B248" s="182" t="s">
        <v>615</v>
      </c>
      <c r="C248" s="177" t="s">
        <v>72</v>
      </c>
      <c r="D248" s="173">
        <v>0.02</v>
      </c>
      <c r="E248" s="179" t="s">
        <v>30</v>
      </c>
      <c r="F248" s="179" t="s">
        <v>188</v>
      </c>
      <c r="G248" s="184" t="s">
        <v>740</v>
      </c>
      <c r="H248" s="177"/>
    </row>
    <row r="249" ht="14.25" spans="1:8">
      <c r="A249" s="170">
        <v>241</v>
      </c>
      <c r="B249" s="182" t="s">
        <v>628</v>
      </c>
      <c r="C249" s="177" t="s">
        <v>72</v>
      </c>
      <c r="D249" s="173">
        <v>0.09</v>
      </c>
      <c r="E249" s="179" t="s">
        <v>30</v>
      </c>
      <c r="F249" s="179" t="s">
        <v>188</v>
      </c>
      <c r="G249" s="184" t="s">
        <v>629</v>
      </c>
      <c r="H249" s="177"/>
    </row>
    <row r="250" ht="14.25" spans="1:8">
      <c r="A250" s="170">
        <v>242</v>
      </c>
      <c r="B250" s="182" t="s">
        <v>741</v>
      </c>
      <c r="C250" s="177" t="s">
        <v>72</v>
      </c>
      <c r="D250" s="173">
        <v>0.07</v>
      </c>
      <c r="E250" s="179" t="s">
        <v>30</v>
      </c>
      <c r="F250" s="179" t="s">
        <v>188</v>
      </c>
      <c r="G250" s="184" t="s">
        <v>742</v>
      </c>
      <c r="H250" s="177" t="s">
        <v>672</v>
      </c>
    </row>
    <row r="251" ht="25.5" spans="1:8">
      <c r="A251" s="170">
        <v>243</v>
      </c>
      <c r="B251" s="182" t="s">
        <v>743</v>
      </c>
      <c r="C251" s="177" t="s">
        <v>72</v>
      </c>
      <c r="D251" s="173">
        <v>0.04</v>
      </c>
      <c r="E251" s="179" t="s">
        <v>30</v>
      </c>
      <c r="F251" s="179" t="s">
        <v>188</v>
      </c>
      <c r="G251" s="184" t="s">
        <v>744</v>
      </c>
      <c r="H251" s="177" t="s">
        <v>634</v>
      </c>
    </row>
    <row r="252" ht="14.25" spans="1:8">
      <c r="A252" s="170">
        <v>244</v>
      </c>
      <c r="B252" s="182" t="s">
        <v>609</v>
      </c>
      <c r="C252" s="177" t="s">
        <v>72</v>
      </c>
      <c r="D252" s="173">
        <v>0.04</v>
      </c>
      <c r="E252" s="179" t="s">
        <v>30</v>
      </c>
      <c r="F252" s="179" t="s">
        <v>188</v>
      </c>
      <c r="G252" s="184" t="s">
        <v>610</v>
      </c>
      <c r="H252" s="177"/>
    </row>
    <row r="253" ht="14.25" spans="1:8">
      <c r="A253" s="170">
        <v>245</v>
      </c>
      <c r="B253" s="189" t="s">
        <v>554</v>
      </c>
      <c r="C253" s="177" t="s">
        <v>72</v>
      </c>
      <c r="D253" s="173">
        <v>0.09</v>
      </c>
      <c r="E253" s="179" t="s">
        <v>30</v>
      </c>
      <c r="F253" s="179" t="s">
        <v>188</v>
      </c>
      <c r="G253" s="189" t="s">
        <v>356</v>
      </c>
      <c r="H253" s="177"/>
    </row>
    <row r="254" ht="14.25" spans="1:8">
      <c r="A254" s="170">
        <v>246</v>
      </c>
      <c r="B254" s="182" t="s">
        <v>745</v>
      </c>
      <c r="C254" s="177" t="s">
        <v>72</v>
      </c>
      <c r="D254" s="173">
        <v>0.05</v>
      </c>
      <c r="E254" s="179" t="s">
        <v>30</v>
      </c>
      <c r="F254" s="179" t="s">
        <v>188</v>
      </c>
      <c r="G254" s="189" t="s">
        <v>746</v>
      </c>
      <c r="H254" s="177"/>
    </row>
    <row r="255" ht="14.25" spans="1:8">
      <c r="A255" s="170">
        <v>247</v>
      </c>
      <c r="B255" s="182" t="s">
        <v>747</v>
      </c>
      <c r="C255" s="177" t="s">
        <v>72</v>
      </c>
      <c r="D255" s="173">
        <v>0.1</v>
      </c>
      <c r="E255" s="179" t="s">
        <v>30</v>
      </c>
      <c r="F255" s="179" t="s">
        <v>188</v>
      </c>
      <c r="G255" s="189" t="s">
        <v>748</v>
      </c>
      <c r="H255" s="177"/>
    </row>
    <row r="256" ht="14.25" spans="1:8">
      <c r="A256" s="170">
        <v>248</v>
      </c>
      <c r="B256" s="182" t="s">
        <v>718</v>
      </c>
      <c r="C256" s="177" t="s">
        <v>72</v>
      </c>
      <c r="D256" s="173">
        <v>0.05</v>
      </c>
      <c r="E256" s="179" t="s">
        <v>30</v>
      </c>
      <c r="F256" s="179" t="s">
        <v>188</v>
      </c>
      <c r="G256" s="189" t="s">
        <v>719</v>
      </c>
      <c r="H256" s="177"/>
    </row>
    <row r="257" ht="14.25" spans="1:8">
      <c r="A257" s="170">
        <v>249</v>
      </c>
      <c r="B257" s="182" t="s">
        <v>749</v>
      </c>
      <c r="C257" s="177" t="s">
        <v>72</v>
      </c>
      <c r="D257" s="173">
        <v>0.02</v>
      </c>
      <c r="E257" s="179" t="s">
        <v>30</v>
      </c>
      <c r="F257" s="179" t="s">
        <v>188</v>
      </c>
      <c r="G257" s="189" t="s">
        <v>750</v>
      </c>
      <c r="H257" s="177"/>
    </row>
    <row r="258" ht="14.25" spans="1:8">
      <c r="A258" s="170">
        <v>250</v>
      </c>
      <c r="B258" s="192" t="s">
        <v>751</v>
      </c>
      <c r="C258" s="177" t="s">
        <v>72</v>
      </c>
      <c r="D258" s="173">
        <v>0.02</v>
      </c>
      <c r="E258" s="193" t="s">
        <v>30</v>
      </c>
      <c r="F258" s="193" t="s">
        <v>188</v>
      </c>
      <c r="G258" s="189" t="s">
        <v>752</v>
      </c>
      <c r="H258" s="177"/>
    </row>
    <row r="259" ht="14.25" spans="1:8">
      <c r="A259" s="170">
        <v>251</v>
      </c>
      <c r="B259" s="192" t="s">
        <v>753</v>
      </c>
      <c r="C259" s="177" t="s">
        <v>72</v>
      </c>
      <c r="D259" s="173">
        <v>0.03</v>
      </c>
      <c r="E259" s="193" t="s">
        <v>30</v>
      </c>
      <c r="F259" s="193" t="s">
        <v>188</v>
      </c>
      <c r="G259" s="189" t="s">
        <v>754</v>
      </c>
      <c r="H259" s="177"/>
    </row>
    <row r="260" ht="14.25" spans="1:8">
      <c r="A260" s="170">
        <v>252</v>
      </c>
      <c r="B260" s="192" t="s">
        <v>720</v>
      </c>
      <c r="C260" s="177" t="s">
        <v>72</v>
      </c>
      <c r="D260" s="173">
        <v>0.01</v>
      </c>
      <c r="E260" s="193" t="s">
        <v>30</v>
      </c>
      <c r="F260" s="193" t="s">
        <v>188</v>
      </c>
      <c r="G260" s="189" t="s">
        <v>755</v>
      </c>
      <c r="H260" s="177"/>
    </row>
    <row r="261" ht="14.25" spans="1:8">
      <c r="A261" s="170">
        <v>253</v>
      </c>
      <c r="B261" s="192" t="s">
        <v>756</v>
      </c>
      <c r="C261" s="177" t="s">
        <v>72</v>
      </c>
      <c r="D261" s="173">
        <v>0.04</v>
      </c>
      <c r="E261" s="193" t="s">
        <v>30</v>
      </c>
      <c r="F261" s="193" t="s">
        <v>188</v>
      </c>
      <c r="G261" s="189" t="s">
        <v>757</v>
      </c>
      <c r="H261" s="177"/>
    </row>
    <row r="262" ht="14.25" spans="1:8">
      <c r="A262" s="170">
        <v>254</v>
      </c>
      <c r="B262" s="192" t="s">
        <v>758</v>
      </c>
      <c r="C262" s="177" t="s">
        <v>72</v>
      </c>
      <c r="D262" s="173">
        <v>0.01</v>
      </c>
      <c r="E262" s="193" t="s">
        <v>30</v>
      </c>
      <c r="F262" s="193" t="s">
        <v>188</v>
      </c>
      <c r="G262" s="189" t="s">
        <v>759</v>
      </c>
      <c r="H262" s="177"/>
    </row>
    <row r="263" ht="14.25" spans="1:8">
      <c r="A263" s="170">
        <v>255</v>
      </c>
      <c r="B263" s="192" t="s">
        <v>760</v>
      </c>
      <c r="C263" s="177" t="s">
        <v>72</v>
      </c>
      <c r="D263" s="173">
        <v>0.01</v>
      </c>
      <c r="E263" s="193" t="s">
        <v>761</v>
      </c>
      <c r="F263" s="193" t="s">
        <v>188</v>
      </c>
      <c r="G263" s="189" t="s">
        <v>762</v>
      </c>
      <c r="H263" s="177"/>
    </row>
    <row r="264" ht="14.25" spans="1:8">
      <c r="A264" s="170">
        <v>256</v>
      </c>
      <c r="B264" s="192" t="s">
        <v>763</v>
      </c>
      <c r="C264" s="177" t="s">
        <v>72</v>
      </c>
      <c r="D264" s="173">
        <v>0.02</v>
      </c>
      <c r="E264" s="193" t="s">
        <v>30</v>
      </c>
      <c r="F264" s="193" t="s">
        <v>188</v>
      </c>
      <c r="G264" s="189" t="s">
        <v>764</v>
      </c>
      <c r="H264" s="177"/>
    </row>
    <row r="265" ht="14.25" spans="1:8">
      <c r="A265" s="170">
        <v>257</v>
      </c>
      <c r="B265" s="192" t="s">
        <v>630</v>
      </c>
      <c r="C265" s="177" t="s">
        <v>72</v>
      </c>
      <c r="D265" s="173">
        <v>0.02</v>
      </c>
      <c r="E265" s="193" t="s">
        <v>30</v>
      </c>
      <c r="F265" s="193" t="s">
        <v>188</v>
      </c>
      <c r="G265" s="189" t="s">
        <v>765</v>
      </c>
      <c r="H265" s="177"/>
    </row>
    <row r="266" ht="14.25" spans="1:8">
      <c r="A266" s="170">
        <v>258</v>
      </c>
      <c r="B266" s="192" t="s">
        <v>760</v>
      </c>
      <c r="C266" s="177" t="s">
        <v>72</v>
      </c>
      <c r="D266" s="173">
        <v>0.01</v>
      </c>
      <c r="E266" s="193" t="s">
        <v>30</v>
      </c>
      <c r="F266" s="193" t="s">
        <v>188</v>
      </c>
      <c r="G266" s="189" t="s">
        <v>766</v>
      </c>
      <c r="H266" s="177"/>
    </row>
    <row r="267" ht="14.25" spans="1:8">
      <c r="A267" s="170">
        <v>259</v>
      </c>
      <c r="B267" s="192" t="s">
        <v>767</v>
      </c>
      <c r="C267" s="177" t="s">
        <v>72</v>
      </c>
      <c r="D267" s="173">
        <v>0.03</v>
      </c>
      <c r="E267" s="193" t="s">
        <v>30</v>
      </c>
      <c r="F267" s="193" t="s">
        <v>188</v>
      </c>
      <c r="G267" s="189" t="s">
        <v>768</v>
      </c>
      <c r="H267" s="177"/>
    </row>
    <row r="268" ht="14.25" spans="1:8">
      <c r="A268" s="170">
        <v>260</v>
      </c>
      <c r="B268" s="192" t="s">
        <v>769</v>
      </c>
      <c r="C268" s="177" t="s">
        <v>72</v>
      </c>
      <c r="D268" s="173">
        <v>0.03</v>
      </c>
      <c r="E268" s="193" t="s">
        <v>30</v>
      </c>
      <c r="F268" s="193" t="s">
        <v>188</v>
      </c>
      <c r="G268" s="189" t="s">
        <v>770</v>
      </c>
      <c r="H268" s="177"/>
    </row>
    <row r="269" ht="14.25" spans="1:8">
      <c r="A269" s="170">
        <v>261</v>
      </c>
      <c r="B269" s="192" t="s">
        <v>769</v>
      </c>
      <c r="C269" s="177" t="s">
        <v>72</v>
      </c>
      <c r="D269" s="173">
        <v>0.02</v>
      </c>
      <c r="E269" s="193" t="s">
        <v>30</v>
      </c>
      <c r="F269" s="193" t="s">
        <v>188</v>
      </c>
      <c r="G269" s="189" t="s">
        <v>771</v>
      </c>
      <c r="H269" s="177"/>
    </row>
    <row r="270" ht="14.25" spans="1:8">
      <c r="A270" s="170">
        <v>262</v>
      </c>
      <c r="B270" s="192" t="s">
        <v>772</v>
      </c>
      <c r="C270" s="177" t="s">
        <v>72</v>
      </c>
      <c r="D270" s="173">
        <v>0.04</v>
      </c>
      <c r="E270" s="193" t="s">
        <v>30</v>
      </c>
      <c r="F270" s="193" t="s">
        <v>188</v>
      </c>
      <c r="G270" s="189" t="s">
        <v>773</v>
      </c>
      <c r="H270" s="177"/>
    </row>
    <row r="271" ht="14.25" spans="1:8">
      <c r="A271" s="170">
        <v>263</v>
      </c>
      <c r="B271" s="192" t="s">
        <v>774</v>
      </c>
      <c r="C271" s="177" t="s">
        <v>72</v>
      </c>
      <c r="D271" s="173">
        <v>0.04</v>
      </c>
      <c r="E271" s="193" t="s">
        <v>30</v>
      </c>
      <c r="F271" s="193" t="s">
        <v>188</v>
      </c>
      <c r="G271" s="189" t="s">
        <v>775</v>
      </c>
      <c r="H271" s="177"/>
    </row>
    <row r="272" ht="14.25" spans="1:8">
      <c r="A272" s="170">
        <v>264</v>
      </c>
      <c r="B272" s="192" t="s">
        <v>774</v>
      </c>
      <c r="C272" s="177" t="s">
        <v>72</v>
      </c>
      <c r="D272" s="173">
        <v>0.04</v>
      </c>
      <c r="E272" s="193" t="s">
        <v>30</v>
      </c>
      <c r="F272" s="193" t="s">
        <v>188</v>
      </c>
      <c r="G272" s="189" t="s">
        <v>776</v>
      </c>
      <c r="H272" s="177"/>
    </row>
    <row r="273" ht="14.25" spans="1:8">
      <c r="A273" s="170">
        <v>265</v>
      </c>
      <c r="B273" s="192" t="s">
        <v>777</v>
      </c>
      <c r="C273" s="177" t="s">
        <v>72</v>
      </c>
      <c r="D273" s="173">
        <v>0.02</v>
      </c>
      <c r="E273" s="193" t="s">
        <v>30</v>
      </c>
      <c r="F273" s="193" t="s">
        <v>188</v>
      </c>
      <c r="G273" s="189" t="s">
        <v>778</v>
      </c>
      <c r="H273" s="177"/>
    </row>
    <row r="274" ht="14.25" spans="1:8">
      <c r="A274" s="170">
        <v>266</v>
      </c>
      <c r="B274" s="192" t="s">
        <v>779</v>
      </c>
      <c r="C274" s="177" t="s">
        <v>72</v>
      </c>
      <c r="D274" s="173">
        <v>0.01</v>
      </c>
      <c r="E274" s="193" t="s">
        <v>30</v>
      </c>
      <c r="F274" s="193" t="s">
        <v>188</v>
      </c>
      <c r="G274" s="189" t="s">
        <v>780</v>
      </c>
      <c r="H274" s="177"/>
    </row>
    <row r="275" ht="14.25" spans="1:8">
      <c r="A275" s="170">
        <v>267</v>
      </c>
      <c r="B275" s="192" t="s">
        <v>781</v>
      </c>
      <c r="C275" s="177" t="s">
        <v>72</v>
      </c>
      <c r="D275" s="173">
        <v>0.05</v>
      </c>
      <c r="E275" s="193" t="s">
        <v>30</v>
      </c>
      <c r="F275" s="193" t="s">
        <v>188</v>
      </c>
      <c r="G275" s="189" t="s">
        <v>782</v>
      </c>
      <c r="H275" s="177"/>
    </row>
    <row r="276" ht="14.25" spans="1:8">
      <c r="A276" s="170">
        <v>268</v>
      </c>
      <c r="B276" s="192" t="s">
        <v>783</v>
      </c>
      <c r="C276" s="177" t="s">
        <v>72</v>
      </c>
      <c r="D276" s="173">
        <v>0.04</v>
      </c>
      <c r="E276" s="193" t="s">
        <v>30</v>
      </c>
      <c r="F276" s="193" t="s">
        <v>188</v>
      </c>
      <c r="G276" s="189" t="s">
        <v>784</v>
      </c>
      <c r="H276" s="177"/>
    </row>
    <row r="277" ht="14.25" spans="1:8">
      <c r="A277" s="170">
        <v>269</v>
      </c>
      <c r="B277" s="192" t="s">
        <v>785</v>
      </c>
      <c r="C277" s="177" t="s">
        <v>72</v>
      </c>
      <c r="D277" s="173">
        <v>0.06</v>
      </c>
      <c r="E277" s="193" t="s">
        <v>30</v>
      </c>
      <c r="F277" s="193" t="s">
        <v>188</v>
      </c>
      <c r="G277" s="189" t="s">
        <v>786</v>
      </c>
      <c r="H277" s="177"/>
    </row>
    <row r="278" ht="14.25" spans="1:8">
      <c r="A278" s="170">
        <v>270</v>
      </c>
      <c r="B278" s="192" t="s">
        <v>787</v>
      </c>
      <c r="C278" s="177" t="s">
        <v>72</v>
      </c>
      <c r="D278" s="173">
        <v>0.22</v>
      </c>
      <c r="E278" s="193" t="s">
        <v>30</v>
      </c>
      <c r="F278" s="193" t="s">
        <v>188</v>
      </c>
      <c r="G278" s="189" t="s">
        <v>788</v>
      </c>
      <c r="H278" s="177"/>
    </row>
    <row r="279" ht="14.25" spans="1:8">
      <c r="A279" s="170">
        <v>271</v>
      </c>
      <c r="B279" s="192" t="s">
        <v>789</v>
      </c>
      <c r="C279" s="177" t="s">
        <v>72</v>
      </c>
      <c r="D279" s="173">
        <v>0.01</v>
      </c>
      <c r="E279" s="193" t="s">
        <v>30</v>
      </c>
      <c r="F279" s="193" t="s">
        <v>188</v>
      </c>
      <c r="G279" s="189" t="s">
        <v>790</v>
      </c>
      <c r="H279" s="177"/>
    </row>
    <row r="280" ht="14.25" spans="1:8">
      <c r="A280" s="170">
        <v>272</v>
      </c>
      <c r="B280" s="192" t="s">
        <v>789</v>
      </c>
      <c r="C280" s="177" t="s">
        <v>72</v>
      </c>
      <c r="D280" s="173">
        <v>0.01</v>
      </c>
      <c r="E280" s="193" t="s">
        <v>30</v>
      </c>
      <c r="F280" s="193" t="s">
        <v>188</v>
      </c>
      <c r="G280" s="189" t="s">
        <v>791</v>
      </c>
      <c r="H280" s="177"/>
    </row>
    <row r="281" ht="14.25" spans="1:8">
      <c r="A281" s="170">
        <v>273</v>
      </c>
      <c r="B281" s="192" t="s">
        <v>789</v>
      </c>
      <c r="C281" s="177" t="s">
        <v>72</v>
      </c>
      <c r="D281" s="173">
        <v>0.01</v>
      </c>
      <c r="E281" s="193" t="s">
        <v>30</v>
      </c>
      <c r="F281" s="193" t="s">
        <v>188</v>
      </c>
      <c r="G281" s="189" t="s">
        <v>792</v>
      </c>
      <c r="H281" s="177"/>
    </row>
    <row r="282" ht="14.25" spans="1:8">
      <c r="A282" s="170">
        <v>274</v>
      </c>
      <c r="B282" s="192" t="s">
        <v>789</v>
      </c>
      <c r="C282" s="177" t="s">
        <v>72</v>
      </c>
      <c r="D282" s="173">
        <v>0.01</v>
      </c>
      <c r="E282" s="193" t="s">
        <v>30</v>
      </c>
      <c r="F282" s="193" t="s">
        <v>188</v>
      </c>
      <c r="G282" s="189" t="s">
        <v>793</v>
      </c>
      <c r="H282" s="177"/>
    </row>
    <row r="283" ht="14.25" spans="1:8">
      <c r="A283" s="170">
        <v>275</v>
      </c>
      <c r="B283" s="192" t="s">
        <v>794</v>
      </c>
      <c r="C283" s="177" t="s">
        <v>72</v>
      </c>
      <c r="D283" s="173">
        <v>0.03</v>
      </c>
      <c r="E283" s="193" t="s">
        <v>30</v>
      </c>
      <c r="F283" s="193" t="s">
        <v>188</v>
      </c>
      <c r="G283" s="189" t="s">
        <v>795</v>
      </c>
      <c r="H283" s="177"/>
    </row>
    <row r="284" ht="14.25" spans="1:8">
      <c r="A284" s="170">
        <v>276</v>
      </c>
      <c r="B284" s="192" t="s">
        <v>796</v>
      </c>
      <c r="C284" s="177" t="s">
        <v>72</v>
      </c>
      <c r="D284" s="173">
        <v>0.07</v>
      </c>
      <c r="E284" s="193" t="s">
        <v>30</v>
      </c>
      <c r="F284" s="193" t="s">
        <v>188</v>
      </c>
      <c r="G284" s="189" t="s">
        <v>797</v>
      </c>
      <c r="H284" s="177"/>
    </row>
    <row r="285" ht="14.25" spans="1:8">
      <c r="A285" s="170">
        <v>277</v>
      </c>
      <c r="B285" s="192" t="s">
        <v>798</v>
      </c>
      <c r="C285" s="177" t="s">
        <v>72</v>
      </c>
      <c r="D285" s="173">
        <v>0.02</v>
      </c>
      <c r="E285" s="193" t="s">
        <v>30</v>
      </c>
      <c r="F285" s="193" t="s">
        <v>188</v>
      </c>
      <c r="G285" s="189" t="s">
        <v>799</v>
      </c>
      <c r="H285" s="177"/>
    </row>
    <row r="286" ht="14.25" spans="1:8">
      <c r="A286" s="170">
        <v>278</v>
      </c>
      <c r="B286" s="192" t="s">
        <v>800</v>
      </c>
      <c r="C286" s="177" t="s">
        <v>72</v>
      </c>
      <c r="D286" s="173">
        <v>0.02</v>
      </c>
      <c r="E286" s="193" t="s">
        <v>30</v>
      </c>
      <c r="F286" s="193" t="s">
        <v>188</v>
      </c>
      <c r="G286" s="189" t="s">
        <v>801</v>
      </c>
      <c r="H286" s="177"/>
    </row>
    <row r="287" ht="14.25" spans="1:8">
      <c r="A287" s="170">
        <v>279</v>
      </c>
      <c r="B287" s="192" t="s">
        <v>802</v>
      </c>
      <c r="C287" s="177" t="s">
        <v>72</v>
      </c>
      <c r="D287" s="173">
        <v>0.01</v>
      </c>
      <c r="E287" s="193" t="s">
        <v>30</v>
      </c>
      <c r="F287" s="193" t="s">
        <v>188</v>
      </c>
      <c r="G287" s="189" t="s">
        <v>803</v>
      </c>
      <c r="H287" s="177"/>
    </row>
    <row r="288" ht="14.25" spans="1:8">
      <c r="A288" s="170">
        <v>280</v>
      </c>
      <c r="B288" s="192" t="s">
        <v>804</v>
      </c>
      <c r="C288" s="177" t="s">
        <v>72</v>
      </c>
      <c r="D288" s="173">
        <v>0.04</v>
      </c>
      <c r="E288" s="193" t="s">
        <v>30</v>
      </c>
      <c r="F288" s="193" t="s">
        <v>188</v>
      </c>
      <c r="G288" s="189" t="s">
        <v>805</v>
      </c>
      <c r="H288" s="177"/>
    </row>
    <row r="289" ht="14.25" spans="1:8">
      <c r="A289" s="170">
        <v>281</v>
      </c>
      <c r="B289" s="192" t="s">
        <v>804</v>
      </c>
      <c r="C289" s="177" t="s">
        <v>72</v>
      </c>
      <c r="D289" s="173">
        <v>0.04</v>
      </c>
      <c r="E289" s="193" t="s">
        <v>30</v>
      </c>
      <c r="F289" s="193" t="s">
        <v>188</v>
      </c>
      <c r="G289" s="189" t="s">
        <v>806</v>
      </c>
      <c r="H289" s="177"/>
    </row>
    <row r="290" ht="14.25" spans="1:8">
      <c r="A290" s="170">
        <v>282</v>
      </c>
      <c r="B290" s="192" t="s">
        <v>807</v>
      </c>
      <c r="C290" s="177" t="s">
        <v>72</v>
      </c>
      <c r="D290" s="173">
        <v>0.2</v>
      </c>
      <c r="E290" s="193" t="s">
        <v>30</v>
      </c>
      <c r="F290" s="193" t="s">
        <v>188</v>
      </c>
      <c r="G290" s="189" t="s">
        <v>808</v>
      </c>
      <c r="H290" s="177"/>
    </row>
    <row r="291" ht="14.25" spans="1:8">
      <c r="A291" s="170">
        <v>283</v>
      </c>
      <c r="B291" s="192" t="s">
        <v>809</v>
      </c>
      <c r="C291" s="177" t="s">
        <v>72</v>
      </c>
      <c r="D291" s="173">
        <v>0.04</v>
      </c>
      <c r="E291" s="193" t="s">
        <v>30</v>
      </c>
      <c r="F291" s="193" t="s">
        <v>188</v>
      </c>
      <c r="G291" s="189" t="s">
        <v>810</v>
      </c>
      <c r="H291" s="177"/>
    </row>
    <row r="292" ht="14.25" spans="1:8">
      <c r="A292" s="170">
        <v>284</v>
      </c>
      <c r="B292" s="192" t="s">
        <v>470</v>
      </c>
      <c r="C292" s="177" t="s">
        <v>72</v>
      </c>
      <c r="D292" s="173">
        <v>0.04</v>
      </c>
      <c r="E292" s="193" t="s">
        <v>30</v>
      </c>
      <c r="F292" s="193" t="s">
        <v>188</v>
      </c>
      <c r="G292" s="189" t="s">
        <v>811</v>
      </c>
      <c r="H292" s="177"/>
    </row>
    <row r="293" ht="14.25" spans="1:8">
      <c r="A293" s="170">
        <v>285</v>
      </c>
      <c r="B293" s="192" t="s">
        <v>812</v>
      </c>
      <c r="C293" s="177" t="s">
        <v>72</v>
      </c>
      <c r="D293" s="173">
        <v>0.04</v>
      </c>
      <c r="E293" s="193" t="s">
        <v>30</v>
      </c>
      <c r="F293" s="193" t="s">
        <v>188</v>
      </c>
      <c r="G293" s="189" t="s">
        <v>813</v>
      </c>
      <c r="H293" s="177"/>
    </row>
    <row r="294" ht="14.25" spans="1:8">
      <c r="A294" s="170">
        <v>286</v>
      </c>
      <c r="B294" s="192" t="s">
        <v>814</v>
      </c>
      <c r="C294" s="177" t="s">
        <v>72</v>
      </c>
      <c r="D294" s="173">
        <v>0.04</v>
      </c>
      <c r="E294" s="193" t="s">
        <v>30</v>
      </c>
      <c r="F294" s="193" t="s">
        <v>188</v>
      </c>
      <c r="G294" s="189" t="s">
        <v>815</v>
      </c>
      <c r="H294" s="177"/>
    </row>
    <row r="295" ht="14.25" spans="1:8">
      <c r="A295" s="170">
        <v>287</v>
      </c>
      <c r="B295" s="192" t="s">
        <v>772</v>
      </c>
      <c r="C295" s="177" t="s">
        <v>72</v>
      </c>
      <c r="D295" s="173">
        <v>0.04</v>
      </c>
      <c r="E295" s="193" t="s">
        <v>30</v>
      </c>
      <c r="F295" s="193" t="s">
        <v>188</v>
      </c>
      <c r="G295" s="189" t="s">
        <v>773</v>
      </c>
      <c r="H295" s="177"/>
    </row>
    <row r="296" ht="14.25" spans="1:8">
      <c r="A296" s="170">
        <v>288</v>
      </c>
      <c r="B296" s="192" t="s">
        <v>774</v>
      </c>
      <c r="C296" s="177" t="s">
        <v>72</v>
      </c>
      <c r="D296" s="173">
        <v>0.04</v>
      </c>
      <c r="E296" s="193" t="s">
        <v>30</v>
      </c>
      <c r="F296" s="193" t="s">
        <v>188</v>
      </c>
      <c r="G296" s="189" t="s">
        <v>775</v>
      </c>
      <c r="H296" s="177"/>
    </row>
    <row r="297" ht="14.25" spans="1:8">
      <c r="A297" s="170">
        <v>289</v>
      </c>
      <c r="B297" s="192" t="s">
        <v>774</v>
      </c>
      <c r="C297" s="177" t="s">
        <v>72</v>
      </c>
      <c r="D297" s="173">
        <v>0.04</v>
      </c>
      <c r="E297" s="193" t="s">
        <v>30</v>
      </c>
      <c r="F297" s="193" t="s">
        <v>188</v>
      </c>
      <c r="G297" s="189" t="s">
        <v>816</v>
      </c>
      <c r="H297" s="177"/>
    </row>
    <row r="298" ht="14.25" spans="1:8">
      <c r="A298" s="170">
        <v>290</v>
      </c>
      <c r="B298" s="192" t="s">
        <v>817</v>
      </c>
      <c r="C298" s="177" t="s">
        <v>72</v>
      </c>
      <c r="D298" s="173">
        <v>0.05</v>
      </c>
      <c r="E298" s="193" t="s">
        <v>30</v>
      </c>
      <c r="F298" s="193" t="s">
        <v>188</v>
      </c>
      <c r="G298" s="189" t="s">
        <v>818</v>
      </c>
      <c r="H298" s="177"/>
    </row>
    <row r="299" ht="14.25" spans="1:8">
      <c r="A299" s="170">
        <v>291</v>
      </c>
      <c r="B299" s="192" t="s">
        <v>819</v>
      </c>
      <c r="C299" s="177" t="s">
        <v>72</v>
      </c>
      <c r="D299" s="173">
        <v>0.02</v>
      </c>
      <c r="E299" s="193" t="s">
        <v>30</v>
      </c>
      <c r="F299" s="193" t="s">
        <v>188</v>
      </c>
      <c r="G299" s="189" t="s">
        <v>820</v>
      </c>
      <c r="H299" s="177"/>
    </row>
    <row r="300" ht="14.25" spans="1:8">
      <c r="A300" s="170">
        <v>292</v>
      </c>
      <c r="B300" s="192" t="s">
        <v>373</v>
      </c>
      <c r="C300" s="177" t="s">
        <v>72</v>
      </c>
      <c r="D300" s="173">
        <v>0.02</v>
      </c>
      <c r="E300" s="193" t="s">
        <v>30</v>
      </c>
      <c r="F300" s="193" t="s">
        <v>188</v>
      </c>
      <c r="G300" s="189" t="s">
        <v>821</v>
      </c>
      <c r="H300" s="177"/>
    </row>
    <row r="301" ht="14.25" spans="1:8">
      <c r="A301" s="170">
        <v>293</v>
      </c>
      <c r="B301" s="192" t="s">
        <v>822</v>
      </c>
      <c r="C301" s="177" t="s">
        <v>72</v>
      </c>
      <c r="D301" s="173">
        <v>0.06</v>
      </c>
      <c r="E301" s="193" t="s">
        <v>30</v>
      </c>
      <c r="F301" s="193" t="s">
        <v>188</v>
      </c>
      <c r="G301" s="189" t="s">
        <v>823</v>
      </c>
      <c r="H301" s="177"/>
    </row>
    <row r="302" ht="14.25" spans="1:8">
      <c r="A302" s="170">
        <v>294</v>
      </c>
      <c r="B302" s="192" t="s">
        <v>533</v>
      </c>
      <c r="C302" s="177" t="s">
        <v>72</v>
      </c>
      <c r="D302" s="173">
        <v>0.19</v>
      </c>
      <c r="E302" s="193" t="s">
        <v>30</v>
      </c>
      <c r="F302" s="193" t="s">
        <v>188</v>
      </c>
      <c r="G302" s="189" t="s">
        <v>824</v>
      </c>
      <c r="H302" s="177"/>
    </row>
    <row r="303" ht="14.25" spans="1:8">
      <c r="A303" s="170">
        <v>295</v>
      </c>
      <c r="B303" s="192" t="s">
        <v>825</v>
      </c>
      <c r="C303" s="177" t="s">
        <v>72</v>
      </c>
      <c r="D303" s="173">
        <v>0.14</v>
      </c>
      <c r="E303" s="193" t="s">
        <v>30</v>
      </c>
      <c r="F303" s="193" t="s">
        <v>188</v>
      </c>
      <c r="G303" s="189" t="s">
        <v>826</v>
      </c>
      <c r="H303" s="177"/>
    </row>
    <row r="304" ht="14.25" spans="1:8">
      <c r="A304" s="170">
        <v>296</v>
      </c>
      <c r="B304" s="192" t="s">
        <v>825</v>
      </c>
      <c r="C304" s="177" t="s">
        <v>72</v>
      </c>
      <c r="D304" s="173">
        <v>0.12</v>
      </c>
      <c r="E304" s="193" t="s">
        <v>30</v>
      </c>
      <c r="F304" s="193" t="s">
        <v>188</v>
      </c>
      <c r="G304" s="189" t="s">
        <v>827</v>
      </c>
      <c r="H304" s="177"/>
    </row>
    <row r="305" ht="14.25" spans="1:8">
      <c r="A305" s="170">
        <v>297</v>
      </c>
      <c r="B305" s="192" t="s">
        <v>828</v>
      </c>
      <c r="C305" s="177" t="s">
        <v>72</v>
      </c>
      <c r="D305" s="173">
        <v>0.08</v>
      </c>
      <c r="E305" s="193" t="s">
        <v>30</v>
      </c>
      <c r="F305" s="193" t="s">
        <v>188</v>
      </c>
      <c r="G305" s="189" t="s">
        <v>829</v>
      </c>
      <c r="H305" s="177"/>
    </row>
    <row r="306" ht="14.25" spans="1:8">
      <c r="A306" s="170">
        <v>298</v>
      </c>
      <c r="B306" s="192" t="s">
        <v>830</v>
      </c>
      <c r="C306" s="177" t="s">
        <v>72</v>
      </c>
      <c r="D306" s="173">
        <v>0.17</v>
      </c>
      <c r="E306" s="193" t="s">
        <v>30</v>
      </c>
      <c r="F306" s="193" t="s">
        <v>188</v>
      </c>
      <c r="G306" s="189" t="s">
        <v>831</v>
      </c>
      <c r="H306" s="177"/>
    </row>
    <row r="307" ht="14.25" spans="1:8">
      <c r="A307" s="170">
        <v>299</v>
      </c>
      <c r="B307" s="192" t="s">
        <v>832</v>
      </c>
      <c r="C307" s="177" t="s">
        <v>72</v>
      </c>
      <c r="D307" s="173">
        <v>0.4</v>
      </c>
      <c r="E307" s="193" t="s">
        <v>30</v>
      </c>
      <c r="F307" s="193" t="s">
        <v>188</v>
      </c>
      <c r="G307" s="189" t="s">
        <v>833</v>
      </c>
      <c r="H307" s="177"/>
    </row>
    <row r="308" ht="14.25" spans="1:8">
      <c r="A308" s="170">
        <v>300</v>
      </c>
      <c r="B308" s="192" t="s">
        <v>834</v>
      </c>
      <c r="C308" s="177" t="s">
        <v>72</v>
      </c>
      <c r="D308" s="173">
        <v>0.25</v>
      </c>
      <c r="E308" s="193" t="s">
        <v>30</v>
      </c>
      <c r="F308" s="193" t="s">
        <v>188</v>
      </c>
      <c r="G308" s="189" t="s">
        <v>835</v>
      </c>
      <c r="H308" s="177"/>
    </row>
    <row r="309" ht="14.25" spans="1:8">
      <c r="A309" s="170">
        <v>301</v>
      </c>
      <c r="B309" s="192" t="s">
        <v>836</v>
      </c>
      <c r="C309" s="177" t="s">
        <v>72</v>
      </c>
      <c r="D309" s="173">
        <v>0.14</v>
      </c>
      <c r="E309" s="193" t="s">
        <v>30</v>
      </c>
      <c r="F309" s="193" t="s">
        <v>188</v>
      </c>
      <c r="G309" s="189" t="s">
        <v>837</v>
      </c>
      <c r="H309" s="177"/>
    </row>
    <row r="310" ht="14.25" spans="1:8">
      <c r="A310" s="170">
        <v>302</v>
      </c>
      <c r="B310" s="192" t="s">
        <v>838</v>
      </c>
      <c r="C310" s="177" t="s">
        <v>72</v>
      </c>
      <c r="D310" s="173">
        <v>0.04</v>
      </c>
      <c r="E310" s="193" t="s">
        <v>30</v>
      </c>
      <c r="F310" s="193" t="s">
        <v>188</v>
      </c>
      <c r="G310" s="189" t="s">
        <v>839</v>
      </c>
      <c r="H310" s="177"/>
    </row>
    <row r="311" ht="14.25" spans="1:8">
      <c r="A311" s="170">
        <v>303</v>
      </c>
      <c r="B311" s="192" t="s">
        <v>838</v>
      </c>
      <c r="C311" s="177" t="s">
        <v>72</v>
      </c>
      <c r="D311" s="173">
        <v>0.04</v>
      </c>
      <c r="E311" s="193" t="s">
        <v>30</v>
      </c>
      <c r="F311" s="193" t="s">
        <v>188</v>
      </c>
      <c r="G311" s="189" t="s">
        <v>840</v>
      </c>
      <c r="H311" s="177"/>
    </row>
    <row r="312" ht="14.25" spans="1:8">
      <c r="A312" s="170">
        <v>304</v>
      </c>
      <c r="B312" s="192" t="s">
        <v>489</v>
      </c>
      <c r="C312" s="177" t="s">
        <v>72</v>
      </c>
      <c r="D312" s="173">
        <v>0.3</v>
      </c>
      <c r="E312" s="193" t="s">
        <v>30</v>
      </c>
      <c r="F312" s="193" t="s">
        <v>188</v>
      </c>
      <c r="G312" s="189" t="s">
        <v>841</v>
      </c>
      <c r="H312" s="177"/>
    </row>
    <row r="313" ht="14.25" spans="1:8">
      <c r="A313" s="170">
        <v>305</v>
      </c>
      <c r="B313" s="192" t="s">
        <v>842</v>
      </c>
      <c r="C313" s="177" t="s">
        <v>72</v>
      </c>
      <c r="D313" s="173">
        <v>0.02</v>
      </c>
      <c r="E313" s="193" t="s">
        <v>30</v>
      </c>
      <c r="F313" s="193" t="s">
        <v>188</v>
      </c>
      <c r="G313" s="189" t="s">
        <v>681</v>
      </c>
      <c r="H313" s="177"/>
    </row>
    <row r="314" ht="14.25" spans="1:8">
      <c r="A314" s="170">
        <v>306</v>
      </c>
      <c r="B314" s="192" t="s">
        <v>843</v>
      </c>
      <c r="C314" s="177" t="s">
        <v>72</v>
      </c>
      <c r="D314" s="173">
        <v>0.24</v>
      </c>
      <c r="E314" s="193" t="s">
        <v>30</v>
      </c>
      <c r="F314" s="193" t="s">
        <v>188</v>
      </c>
      <c r="G314" s="189" t="s">
        <v>844</v>
      </c>
      <c r="H314" s="177"/>
    </row>
    <row r="315" ht="14.25" spans="1:8">
      <c r="A315" s="170">
        <v>307</v>
      </c>
      <c r="B315" s="192" t="s">
        <v>845</v>
      </c>
      <c r="C315" s="177" t="s">
        <v>72</v>
      </c>
      <c r="D315" s="173">
        <v>0.34</v>
      </c>
      <c r="E315" s="193" t="s">
        <v>30</v>
      </c>
      <c r="F315" s="193" t="s">
        <v>188</v>
      </c>
      <c r="G315" s="189" t="s">
        <v>846</v>
      </c>
      <c r="H315" s="177"/>
    </row>
    <row r="316" ht="14.25" spans="1:8">
      <c r="A316" s="170">
        <v>308</v>
      </c>
      <c r="B316" s="192" t="s">
        <v>843</v>
      </c>
      <c r="C316" s="177" t="s">
        <v>72</v>
      </c>
      <c r="D316" s="173">
        <v>0.28</v>
      </c>
      <c r="E316" s="193" t="s">
        <v>30</v>
      </c>
      <c r="F316" s="193" t="s">
        <v>188</v>
      </c>
      <c r="G316" s="189" t="s">
        <v>847</v>
      </c>
      <c r="H316" s="177"/>
    </row>
    <row r="317" ht="14.25" spans="1:8">
      <c r="A317" s="170">
        <v>309</v>
      </c>
      <c r="B317" s="192" t="s">
        <v>848</v>
      </c>
      <c r="C317" s="177" t="s">
        <v>72</v>
      </c>
      <c r="D317" s="173">
        <v>0.13</v>
      </c>
      <c r="E317" s="193" t="s">
        <v>30</v>
      </c>
      <c r="F317" s="193" t="s">
        <v>188</v>
      </c>
      <c r="G317" s="189" t="s">
        <v>849</v>
      </c>
      <c r="H317" s="177"/>
    </row>
    <row r="318" ht="14.25" spans="1:8">
      <c r="A318" s="170">
        <v>310</v>
      </c>
      <c r="B318" s="192" t="s">
        <v>850</v>
      </c>
      <c r="C318" s="177" t="s">
        <v>72</v>
      </c>
      <c r="D318" s="173">
        <v>0.12</v>
      </c>
      <c r="E318" s="193" t="s">
        <v>30</v>
      </c>
      <c r="F318" s="193" t="s">
        <v>188</v>
      </c>
      <c r="G318" s="189" t="s">
        <v>851</v>
      </c>
      <c r="H318" s="177"/>
    </row>
    <row r="319" ht="14.25" spans="1:8">
      <c r="A319" s="170">
        <v>311</v>
      </c>
      <c r="B319" s="192" t="s">
        <v>852</v>
      </c>
      <c r="C319" s="177" t="s">
        <v>72</v>
      </c>
      <c r="D319" s="173">
        <v>0.06</v>
      </c>
      <c r="E319" s="193" t="s">
        <v>30</v>
      </c>
      <c r="F319" s="193" t="s">
        <v>188</v>
      </c>
      <c r="G319" s="189" t="s">
        <v>853</v>
      </c>
      <c r="H319" s="177"/>
    </row>
    <row r="320" ht="14.25" spans="1:8">
      <c r="A320" s="170">
        <v>312</v>
      </c>
      <c r="B320" s="192" t="s">
        <v>854</v>
      </c>
      <c r="C320" s="177" t="s">
        <v>72</v>
      </c>
      <c r="D320" s="173">
        <v>0.27</v>
      </c>
      <c r="E320" s="193" t="s">
        <v>30</v>
      </c>
      <c r="F320" s="193" t="s">
        <v>188</v>
      </c>
      <c r="G320" s="189" t="s">
        <v>855</v>
      </c>
      <c r="H320" s="177"/>
    </row>
    <row r="321" ht="14.25" spans="1:8">
      <c r="A321" s="170">
        <v>313</v>
      </c>
      <c r="B321" s="192" t="s">
        <v>489</v>
      </c>
      <c r="C321" s="177" t="s">
        <v>72</v>
      </c>
      <c r="D321" s="173">
        <v>0.31</v>
      </c>
      <c r="E321" s="193" t="s">
        <v>30</v>
      </c>
      <c r="F321" s="193" t="s">
        <v>188</v>
      </c>
      <c r="G321" s="189" t="s">
        <v>841</v>
      </c>
      <c r="H321" s="177"/>
    </row>
    <row r="322" ht="14.25" spans="1:8">
      <c r="A322" s="170">
        <v>314</v>
      </c>
      <c r="B322" s="192" t="s">
        <v>856</v>
      </c>
      <c r="C322" s="177" t="s">
        <v>72</v>
      </c>
      <c r="D322" s="173">
        <v>0.08</v>
      </c>
      <c r="E322" s="193" t="s">
        <v>30</v>
      </c>
      <c r="F322" s="193" t="s">
        <v>188</v>
      </c>
      <c r="G322" s="189" t="s">
        <v>857</v>
      </c>
      <c r="H322" s="177"/>
    </row>
    <row r="323" ht="14.25" spans="1:8">
      <c r="A323" s="170">
        <v>315</v>
      </c>
      <c r="B323" s="189" t="s">
        <v>763</v>
      </c>
      <c r="C323" s="177" t="s">
        <v>72</v>
      </c>
      <c r="D323" s="173">
        <v>0.02</v>
      </c>
      <c r="E323" s="193" t="s">
        <v>30</v>
      </c>
      <c r="F323" s="193" t="s">
        <v>188</v>
      </c>
      <c r="G323" s="189" t="s">
        <v>764</v>
      </c>
      <c r="H323" s="177"/>
    </row>
    <row r="324" ht="14.25" spans="1:8">
      <c r="A324" s="170">
        <v>316</v>
      </c>
      <c r="B324" s="189" t="s">
        <v>858</v>
      </c>
      <c r="C324" s="177" t="s">
        <v>72</v>
      </c>
      <c r="D324" s="173">
        <v>0.04</v>
      </c>
      <c r="E324" s="193" t="s">
        <v>30</v>
      </c>
      <c r="F324" s="193" t="s">
        <v>188</v>
      </c>
      <c r="G324" s="189" t="s">
        <v>770</v>
      </c>
      <c r="H324" s="177"/>
    </row>
    <row r="325" ht="14.25" spans="1:8">
      <c r="A325" s="170">
        <v>317</v>
      </c>
      <c r="B325" s="189" t="s">
        <v>858</v>
      </c>
      <c r="C325" s="177" t="s">
        <v>72</v>
      </c>
      <c r="D325" s="173">
        <v>0.03</v>
      </c>
      <c r="E325" s="193" t="s">
        <v>30</v>
      </c>
      <c r="F325" s="193" t="s">
        <v>188</v>
      </c>
      <c r="G325" s="189" t="s">
        <v>771</v>
      </c>
      <c r="H325" s="177"/>
    </row>
    <row r="326" ht="14.25" spans="1:8">
      <c r="A326" s="170">
        <v>318</v>
      </c>
      <c r="B326" s="189" t="s">
        <v>496</v>
      </c>
      <c r="C326" s="177" t="s">
        <v>72</v>
      </c>
      <c r="D326" s="173">
        <v>0.02</v>
      </c>
      <c r="E326" s="193" t="s">
        <v>30</v>
      </c>
      <c r="F326" s="193" t="s">
        <v>188</v>
      </c>
      <c r="G326" s="189" t="s">
        <v>859</v>
      </c>
      <c r="H326" s="177"/>
    </row>
    <row r="327" ht="14.25" spans="1:8">
      <c r="A327" s="170">
        <v>319</v>
      </c>
      <c r="B327" s="189" t="s">
        <v>496</v>
      </c>
      <c r="C327" s="177" t="s">
        <v>72</v>
      </c>
      <c r="D327" s="173">
        <v>0.17</v>
      </c>
      <c r="E327" s="193" t="s">
        <v>30</v>
      </c>
      <c r="F327" s="193" t="s">
        <v>188</v>
      </c>
      <c r="G327" s="189" t="s">
        <v>860</v>
      </c>
      <c r="H327" s="177"/>
    </row>
    <row r="328" ht="14.25" spans="1:8">
      <c r="A328" s="170">
        <v>320</v>
      </c>
      <c r="B328" s="189" t="s">
        <v>861</v>
      </c>
      <c r="C328" s="177" t="s">
        <v>72</v>
      </c>
      <c r="D328" s="173">
        <v>0.13</v>
      </c>
      <c r="E328" s="193" t="s">
        <v>30</v>
      </c>
      <c r="F328" s="193" t="s">
        <v>188</v>
      </c>
      <c r="G328" s="189" t="s">
        <v>862</v>
      </c>
      <c r="H328" s="177"/>
    </row>
    <row r="329" ht="14.25" spans="1:8">
      <c r="A329" s="170">
        <v>321</v>
      </c>
      <c r="B329" s="189" t="s">
        <v>861</v>
      </c>
      <c r="C329" s="177" t="s">
        <v>72</v>
      </c>
      <c r="D329" s="173">
        <v>0.13</v>
      </c>
      <c r="E329" s="193" t="s">
        <v>30</v>
      </c>
      <c r="F329" s="193" t="s">
        <v>188</v>
      </c>
      <c r="G329" s="189" t="s">
        <v>863</v>
      </c>
      <c r="H329" s="177"/>
    </row>
    <row r="330" ht="14.25" spans="1:8">
      <c r="A330" s="170">
        <v>322</v>
      </c>
      <c r="B330" s="189" t="s">
        <v>864</v>
      </c>
      <c r="C330" s="177" t="s">
        <v>72</v>
      </c>
      <c r="D330" s="173">
        <v>0.23</v>
      </c>
      <c r="E330" s="193" t="s">
        <v>30</v>
      </c>
      <c r="F330" s="193" t="s">
        <v>188</v>
      </c>
      <c r="G330" s="189" t="s">
        <v>865</v>
      </c>
      <c r="H330" s="177"/>
    </row>
    <row r="331" ht="14.25" spans="1:8">
      <c r="A331" s="170">
        <v>323</v>
      </c>
      <c r="B331" s="184" t="s">
        <v>785</v>
      </c>
      <c r="C331" s="177" t="s">
        <v>72</v>
      </c>
      <c r="D331" s="173">
        <v>0.05</v>
      </c>
      <c r="E331" s="193" t="s">
        <v>30</v>
      </c>
      <c r="F331" s="193" t="s">
        <v>188</v>
      </c>
      <c r="G331" s="189" t="s">
        <v>866</v>
      </c>
      <c r="H331" s="177"/>
    </row>
    <row r="332" ht="14.25" spans="1:8">
      <c r="A332" s="170">
        <v>324</v>
      </c>
      <c r="B332" s="189" t="s">
        <v>867</v>
      </c>
      <c r="C332" s="177" t="s">
        <v>72</v>
      </c>
      <c r="D332" s="173">
        <v>0.14</v>
      </c>
      <c r="E332" s="193" t="s">
        <v>30</v>
      </c>
      <c r="F332" s="193" t="s">
        <v>188</v>
      </c>
      <c r="G332" s="189" t="s">
        <v>868</v>
      </c>
      <c r="H332" s="177"/>
    </row>
    <row r="333" ht="14.25" spans="1:8">
      <c r="A333" s="170">
        <v>325</v>
      </c>
      <c r="B333" s="189" t="s">
        <v>869</v>
      </c>
      <c r="C333" s="177" t="s">
        <v>72</v>
      </c>
      <c r="D333" s="173">
        <v>0.02</v>
      </c>
      <c r="E333" s="193" t="s">
        <v>30</v>
      </c>
      <c r="F333" s="193" t="s">
        <v>188</v>
      </c>
      <c r="G333" s="189" t="s">
        <v>870</v>
      </c>
      <c r="H333" s="177"/>
    </row>
    <row r="334" ht="14.25" spans="1:8">
      <c r="A334" s="170">
        <v>326</v>
      </c>
      <c r="B334" s="189" t="s">
        <v>871</v>
      </c>
      <c r="C334" s="177" t="s">
        <v>72</v>
      </c>
      <c r="D334" s="173">
        <v>0.05</v>
      </c>
      <c r="E334" s="193" t="s">
        <v>30</v>
      </c>
      <c r="F334" s="193" t="s">
        <v>188</v>
      </c>
      <c r="G334" s="189" t="s">
        <v>872</v>
      </c>
      <c r="H334" s="177"/>
    </row>
    <row r="335" ht="14.25" spans="1:8">
      <c r="A335" s="170">
        <v>327</v>
      </c>
      <c r="B335" s="189" t="s">
        <v>873</v>
      </c>
      <c r="C335" s="177" t="s">
        <v>72</v>
      </c>
      <c r="D335" s="173">
        <v>0.12</v>
      </c>
      <c r="E335" s="193" t="s">
        <v>30</v>
      </c>
      <c r="F335" s="193" t="s">
        <v>188</v>
      </c>
      <c r="G335" s="189" t="s">
        <v>874</v>
      </c>
      <c r="H335" s="177"/>
    </row>
    <row r="336" ht="14.25" spans="1:8">
      <c r="A336" s="170">
        <v>328</v>
      </c>
      <c r="B336" s="189" t="s">
        <v>875</v>
      </c>
      <c r="C336" s="177" t="s">
        <v>72</v>
      </c>
      <c r="D336" s="173">
        <v>0.2</v>
      </c>
      <c r="E336" s="193" t="s">
        <v>30</v>
      </c>
      <c r="F336" s="193" t="s">
        <v>188</v>
      </c>
      <c r="G336" s="189" t="s">
        <v>876</v>
      </c>
      <c r="H336" s="177"/>
    </row>
    <row r="337" ht="14.25" spans="1:8">
      <c r="A337" s="170">
        <v>329</v>
      </c>
      <c r="B337" s="189" t="s">
        <v>877</v>
      </c>
      <c r="C337" s="177" t="s">
        <v>72</v>
      </c>
      <c r="D337" s="173">
        <v>0.03</v>
      </c>
      <c r="E337" s="193" t="s">
        <v>30</v>
      </c>
      <c r="F337" s="193" t="s">
        <v>188</v>
      </c>
      <c r="G337" s="189" t="s">
        <v>878</v>
      </c>
      <c r="H337" s="177"/>
    </row>
    <row r="338" ht="14.25" spans="1:8">
      <c r="A338" s="170">
        <v>330</v>
      </c>
      <c r="B338" s="189" t="s">
        <v>877</v>
      </c>
      <c r="C338" s="177" t="s">
        <v>72</v>
      </c>
      <c r="D338" s="173">
        <v>0.03</v>
      </c>
      <c r="E338" s="193" t="s">
        <v>30</v>
      </c>
      <c r="F338" s="193" t="s">
        <v>188</v>
      </c>
      <c r="G338" s="189" t="s">
        <v>879</v>
      </c>
      <c r="H338" s="177"/>
    </row>
    <row r="339" ht="14.25" spans="1:8">
      <c r="A339" s="170">
        <v>331</v>
      </c>
      <c r="B339" s="189" t="s">
        <v>880</v>
      </c>
      <c r="C339" s="177" t="s">
        <v>72</v>
      </c>
      <c r="D339" s="173">
        <v>0.15</v>
      </c>
      <c r="E339" s="193" t="s">
        <v>30</v>
      </c>
      <c r="F339" s="193" t="s">
        <v>188</v>
      </c>
      <c r="G339" s="189" t="s">
        <v>881</v>
      </c>
      <c r="H339" s="177"/>
    </row>
    <row r="340" ht="14.25" spans="1:8">
      <c r="A340" s="170">
        <v>332</v>
      </c>
      <c r="B340" s="189" t="s">
        <v>880</v>
      </c>
      <c r="C340" s="177" t="s">
        <v>72</v>
      </c>
      <c r="D340" s="173">
        <v>0.3</v>
      </c>
      <c r="E340" s="193" t="s">
        <v>30</v>
      </c>
      <c r="F340" s="193" t="s">
        <v>188</v>
      </c>
      <c r="G340" s="189" t="s">
        <v>882</v>
      </c>
      <c r="H340" s="177"/>
    </row>
    <row r="341" ht="14.25" spans="1:8">
      <c r="A341" s="170">
        <v>333</v>
      </c>
      <c r="B341" s="189" t="s">
        <v>880</v>
      </c>
      <c r="C341" s="177" t="s">
        <v>72</v>
      </c>
      <c r="D341" s="173">
        <v>0.07</v>
      </c>
      <c r="E341" s="193" t="s">
        <v>30</v>
      </c>
      <c r="F341" s="193" t="s">
        <v>188</v>
      </c>
      <c r="G341" s="189" t="s">
        <v>883</v>
      </c>
      <c r="H341" s="177"/>
    </row>
    <row r="342" ht="14.25" spans="1:8">
      <c r="A342" s="170">
        <v>334</v>
      </c>
      <c r="B342" s="189" t="s">
        <v>884</v>
      </c>
      <c r="C342" s="177" t="s">
        <v>72</v>
      </c>
      <c r="D342" s="173">
        <v>0.23</v>
      </c>
      <c r="E342" s="193" t="s">
        <v>30</v>
      </c>
      <c r="F342" s="193" t="s">
        <v>188</v>
      </c>
      <c r="G342" s="189" t="s">
        <v>844</v>
      </c>
      <c r="H342" s="177"/>
    </row>
    <row r="343" ht="14.25" spans="1:8">
      <c r="A343" s="170">
        <v>335</v>
      </c>
      <c r="B343" s="189" t="s">
        <v>884</v>
      </c>
      <c r="C343" s="177" t="s">
        <v>72</v>
      </c>
      <c r="D343" s="173">
        <v>0.3</v>
      </c>
      <c r="E343" s="193" t="s">
        <v>30</v>
      </c>
      <c r="F343" s="193" t="s">
        <v>188</v>
      </c>
      <c r="G343" s="189" t="s">
        <v>847</v>
      </c>
      <c r="H343" s="177"/>
    </row>
    <row r="344" ht="14.25" spans="1:8">
      <c r="A344" s="170">
        <v>336</v>
      </c>
      <c r="B344" s="189" t="s">
        <v>885</v>
      </c>
      <c r="C344" s="177" t="s">
        <v>72</v>
      </c>
      <c r="D344" s="173">
        <v>0.14</v>
      </c>
      <c r="E344" s="193" t="s">
        <v>30</v>
      </c>
      <c r="F344" s="193" t="s">
        <v>188</v>
      </c>
      <c r="G344" s="189" t="s">
        <v>886</v>
      </c>
      <c r="H344" s="177"/>
    </row>
    <row r="345" ht="14.25" spans="1:8">
      <c r="A345" s="170">
        <v>337</v>
      </c>
      <c r="B345" s="189" t="s">
        <v>887</v>
      </c>
      <c r="C345" s="177" t="s">
        <v>72</v>
      </c>
      <c r="D345" s="173">
        <v>0.02</v>
      </c>
      <c r="E345" s="193" t="s">
        <v>30</v>
      </c>
      <c r="F345" s="193" t="s">
        <v>188</v>
      </c>
      <c r="G345" s="189" t="s">
        <v>888</v>
      </c>
      <c r="H345" s="177"/>
    </row>
    <row r="346" ht="14.25" spans="1:8">
      <c r="A346" s="170">
        <v>338</v>
      </c>
      <c r="B346" s="194" t="s">
        <v>889</v>
      </c>
      <c r="C346" s="177" t="s">
        <v>72</v>
      </c>
      <c r="D346" s="173">
        <v>0.04</v>
      </c>
      <c r="E346" s="193" t="s">
        <v>30</v>
      </c>
      <c r="F346" s="193" t="s">
        <v>188</v>
      </c>
      <c r="G346" s="189" t="s">
        <v>412</v>
      </c>
      <c r="H346" s="177"/>
    </row>
    <row r="347" ht="14.25" spans="1:8">
      <c r="A347" s="170">
        <v>339</v>
      </c>
      <c r="B347" s="194" t="s">
        <v>838</v>
      </c>
      <c r="C347" s="177" t="s">
        <v>72</v>
      </c>
      <c r="D347" s="173">
        <v>0.04</v>
      </c>
      <c r="E347" s="193" t="s">
        <v>30</v>
      </c>
      <c r="F347" s="193" t="s">
        <v>188</v>
      </c>
      <c r="G347" s="189" t="s">
        <v>839</v>
      </c>
      <c r="H347" s="177"/>
    </row>
    <row r="348" ht="14.25" spans="1:8">
      <c r="A348" s="170">
        <v>340</v>
      </c>
      <c r="B348" s="194" t="s">
        <v>838</v>
      </c>
      <c r="C348" s="177" t="s">
        <v>72</v>
      </c>
      <c r="D348" s="173">
        <v>0.04</v>
      </c>
      <c r="E348" s="193" t="s">
        <v>30</v>
      </c>
      <c r="F348" s="193" t="s">
        <v>188</v>
      </c>
      <c r="G348" s="189" t="s">
        <v>840</v>
      </c>
      <c r="H348" s="177"/>
    </row>
    <row r="349" ht="14.25" spans="1:8">
      <c r="A349" s="170">
        <v>341</v>
      </c>
      <c r="B349" s="194" t="s">
        <v>838</v>
      </c>
      <c r="C349" s="177" t="s">
        <v>72</v>
      </c>
      <c r="D349" s="173">
        <v>0.04</v>
      </c>
      <c r="E349" s="193" t="s">
        <v>30</v>
      </c>
      <c r="F349" s="193" t="s">
        <v>188</v>
      </c>
      <c r="G349" s="189" t="s">
        <v>890</v>
      </c>
      <c r="H349" s="177"/>
    </row>
    <row r="350" ht="14.25" spans="1:8">
      <c r="A350" s="170">
        <v>342</v>
      </c>
      <c r="B350" s="194" t="s">
        <v>891</v>
      </c>
      <c r="C350" s="177" t="s">
        <v>72</v>
      </c>
      <c r="D350" s="173">
        <v>0.02</v>
      </c>
      <c r="E350" s="193" t="s">
        <v>30</v>
      </c>
      <c r="F350" s="193" t="s">
        <v>188</v>
      </c>
      <c r="G350" s="189" t="s">
        <v>892</v>
      </c>
      <c r="H350" s="177"/>
    </row>
    <row r="351" ht="14.25" spans="1:8">
      <c r="A351" s="170">
        <v>343</v>
      </c>
      <c r="B351" s="194" t="s">
        <v>893</v>
      </c>
      <c r="C351" s="177" t="s">
        <v>72</v>
      </c>
      <c r="D351" s="173">
        <v>0.02</v>
      </c>
      <c r="E351" s="193" t="s">
        <v>30</v>
      </c>
      <c r="F351" s="193" t="s">
        <v>188</v>
      </c>
      <c r="G351" s="189" t="s">
        <v>894</v>
      </c>
      <c r="H351" s="177"/>
    </row>
    <row r="352" ht="14.25" spans="1:8">
      <c r="A352" s="170">
        <v>344</v>
      </c>
      <c r="B352" s="194" t="s">
        <v>895</v>
      </c>
      <c r="C352" s="177" t="s">
        <v>72</v>
      </c>
      <c r="D352" s="173">
        <v>0.02</v>
      </c>
      <c r="E352" s="193" t="s">
        <v>30</v>
      </c>
      <c r="F352" s="193" t="s">
        <v>188</v>
      </c>
      <c r="G352" s="189" t="s">
        <v>896</v>
      </c>
      <c r="H352" s="177"/>
    </row>
    <row r="353" ht="14.25" spans="1:8">
      <c r="A353" s="170">
        <v>345</v>
      </c>
      <c r="B353" s="194" t="s">
        <v>897</v>
      </c>
      <c r="C353" s="177" t="s">
        <v>72</v>
      </c>
      <c r="D353" s="173">
        <v>0.02</v>
      </c>
      <c r="E353" s="193" t="s">
        <v>30</v>
      </c>
      <c r="F353" s="193" t="s">
        <v>188</v>
      </c>
      <c r="G353" s="189" t="s">
        <v>898</v>
      </c>
      <c r="H353" s="177"/>
    </row>
    <row r="354" ht="14.25" spans="1:8">
      <c r="A354" s="170">
        <v>346</v>
      </c>
      <c r="B354" s="194" t="s">
        <v>899</v>
      </c>
      <c r="C354" s="177" t="s">
        <v>72</v>
      </c>
      <c r="D354" s="173">
        <v>0.02</v>
      </c>
      <c r="E354" s="193" t="s">
        <v>30</v>
      </c>
      <c r="F354" s="193" t="s">
        <v>188</v>
      </c>
      <c r="G354" s="189" t="s">
        <v>900</v>
      </c>
      <c r="H354" s="177"/>
    </row>
    <row r="355" ht="14.25" spans="1:8">
      <c r="A355" s="170">
        <v>347</v>
      </c>
      <c r="B355" s="194" t="s">
        <v>838</v>
      </c>
      <c r="C355" s="177" t="s">
        <v>72</v>
      </c>
      <c r="D355" s="173">
        <v>0.02</v>
      </c>
      <c r="E355" s="193" t="s">
        <v>30</v>
      </c>
      <c r="F355" s="193" t="s">
        <v>188</v>
      </c>
      <c r="G355" s="189" t="s">
        <v>901</v>
      </c>
      <c r="H355" s="177"/>
    </row>
    <row r="356" ht="14.25" spans="1:8">
      <c r="A356" s="170">
        <v>348</v>
      </c>
      <c r="B356" s="175" t="s">
        <v>902</v>
      </c>
      <c r="C356" s="177" t="s">
        <v>72</v>
      </c>
      <c r="D356" s="173">
        <v>0.04</v>
      </c>
      <c r="E356" s="193" t="s">
        <v>30</v>
      </c>
      <c r="F356" s="193" t="s">
        <v>188</v>
      </c>
      <c r="G356" s="189" t="s">
        <v>903</v>
      </c>
      <c r="H356" s="177"/>
    </row>
    <row r="357" ht="14.25" spans="1:8">
      <c r="A357" s="170">
        <v>349</v>
      </c>
      <c r="B357" s="175" t="s">
        <v>904</v>
      </c>
      <c r="C357" s="177" t="s">
        <v>72</v>
      </c>
      <c r="D357" s="173">
        <v>0.03</v>
      </c>
      <c r="E357" s="193" t="s">
        <v>30</v>
      </c>
      <c r="F357" s="193" t="s">
        <v>188</v>
      </c>
      <c r="G357" s="189" t="s">
        <v>905</v>
      </c>
      <c r="H357" s="177"/>
    </row>
    <row r="358" ht="14.25" spans="1:8">
      <c r="A358" s="170">
        <v>350</v>
      </c>
      <c r="B358" s="175" t="s">
        <v>904</v>
      </c>
      <c r="C358" s="177" t="s">
        <v>72</v>
      </c>
      <c r="D358" s="173">
        <v>0.03</v>
      </c>
      <c r="E358" s="193" t="s">
        <v>30</v>
      </c>
      <c r="F358" s="193" t="s">
        <v>188</v>
      </c>
      <c r="G358" s="189" t="s">
        <v>906</v>
      </c>
      <c r="H358" s="177"/>
    </row>
    <row r="359" ht="14.25" spans="1:8">
      <c r="A359" s="170">
        <v>351</v>
      </c>
      <c r="B359" s="175" t="s">
        <v>907</v>
      </c>
      <c r="C359" s="177" t="s">
        <v>72</v>
      </c>
      <c r="D359" s="173">
        <v>0.15</v>
      </c>
      <c r="E359" s="193" t="s">
        <v>30</v>
      </c>
      <c r="F359" s="193" t="s">
        <v>188</v>
      </c>
      <c r="G359" s="189" t="s">
        <v>908</v>
      </c>
      <c r="H359" s="177"/>
    </row>
    <row r="360" ht="14.25" spans="1:8">
      <c r="A360" s="170">
        <v>352</v>
      </c>
      <c r="B360" s="175" t="s">
        <v>909</v>
      </c>
      <c r="C360" s="177" t="s">
        <v>72</v>
      </c>
      <c r="D360" s="173">
        <v>0.1</v>
      </c>
      <c r="E360" s="193" t="s">
        <v>30</v>
      </c>
      <c r="F360" s="193" t="s">
        <v>188</v>
      </c>
      <c r="G360" s="189" t="s">
        <v>910</v>
      </c>
      <c r="H360" s="177"/>
    </row>
    <row r="361" ht="14.25" spans="1:8">
      <c r="A361" s="170">
        <v>353</v>
      </c>
      <c r="B361" s="175" t="s">
        <v>911</v>
      </c>
      <c r="C361" s="177" t="s">
        <v>72</v>
      </c>
      <c r="D361" s="173">
        <v>0.02</v>
      </c>
      <c r="E361" s="193" t="s">
        <v>30</v>
      </c>
      <c r="F361" s="193" t="s">
        <v>188</v>
      </c>
      <c r="G361" s="189" t="s">
        <v>912</v>
      </c>
      <c r="H361" s="177"/>
    </row>
    <row r="362" ht="14.25" spans="1:8">
      <c r="A362" s="170">
        <v>354</v>
      </c>
      <c r="B362" s="175" t="s">
        <v>913</v>
      </c>
      <c r="C362" s="177" t="s">
        <v>72</v>
      </c>
      <c r="D362" s="173">
        <v>0.21</v>
      </c>
      <c r="E362" s="193" t="s">
        <v>30</v>
      </c>
      <c r="F362" s="193" t="s">
        <v>188</v>
      </c>
      <c r="G362" s="189" t="s">
        <v>914</v>
      </c>
      <c r="H362" s="177"/>
    </row>
    <row r="363" ht="14.25" spans="1:8">
      <c r="A363" s="170">
        <v>355</v>
      </c>
      <c r="B363" s="175" t="s">
        <v>915</v>
      </c>
      <c r="C363" s="177" t="s">
        <v>72</v>
      </c>
      <c r="D363" s="173">
        <v>0.18</v>
      </c>
      <c r="E363" s="193" t="s">
        <v>30</v>
      </c>
      <c r="F363" s="193" t="s">
        <v>188</v>
      </c>
      <c r="G363" s="189" t="s">
        <v>916</v>
      </c>
      <c r="H363" s="177"/>
    </row>
    <row r="364" ht="14.25" spans="1:8">
      <c r="A364" s="170">
        <v>356</v>
      </c>
      <c r="B364" s="189" t="s">
        <v>807</v>
      </c>
      <c r="C364" s="177" t="s">
        <v>72</v>
      </c>
      <c r="D364" s="173">
        <v>0.17</v>
      </c>
      <c r="E364" s="193" t="s">
        <v>30</v>
      </c>
      <c r="F364" s="193" t="s">
        <v>188</v>
      </c>
      <c r="G364" s="189" t="s">
        <v>917</v>
      </c>
      <c r="H364" s="177"/>
    </row>
    <row r="365" ht="14.25" spans="1:8">
      <c r="A365" s="170">
        <v>357</v>
      </c>
      <c r="B365" s="189" t="s">
        <v>918</v>
      </c>
      <c r="C365" s="177" t="s">
        <v>72</v>
      </c>
      <c r="D365" s="173">
        <v>0.12</v>
      </c>
      <c r="E365" s="193" t="s">
        <v>30</v>
      </c>
      <c r="F365" s="193" t="s">
        <v>188</v>
      </c>
      <c r="G365" s="189" t="s">
        <v>919</v>
      </c>
      <c r="H365" s="177"/>
    </row>
    <row r="366" ht="14.25" spans="1:8">
      <c r="A366" s="170">
        <v>358</v>
      </c>
      <c r="B366" s="189" t="s">
        <v>920</v>
      </c>
      <c r="C366" s="177" t="s">
        <v>72</v>
      </c>
      <c r="D366" s="173">
        <v>0.1</v>
      </c>
      <c r="E366" s="193" t="s">
        <v>30</v>
      </c>
      <c r="F366" s="193" t="s">
        <v>188</v>
      </c>
      <c r="G366" s="189" t="s">
        <v>921</v>
      </c>
      <c r="H366" s="177"/>
    </row>
    <row r="367" ht="14.25" spans="1:8">
      <c r="A367" s="170">
        <v>359</v>
      </c>
      <c r="B367" s="189" t="s">
        <v>920</v>
      </c>
      <c r="C367" s="177" t="s">
        <v>72</v>
      </c>
      <c r="D367" s="173">
        <v>0.06</v>
      </c>
      <c r="E367" s="193" t="s">
        <v>30</v>
      </c>
      <c r="F367" s="193" t="s">
        <v>188</v>
      </c>
      <c r="G367" s="189" t="s">
        <v>922</v>
      </c>
      <c r="H367" s="177"/>
    </row>
    <row r="368" ht="14.25" spans="1:8">
      <c r="A368" s="170">
        <v>360</v>
      </c>
      <c r="B368" s="189" t="s">
        <v>923</v>
      </c>
      <c r="C368" s="177" t="s">
        <v>72</v>
      </c>
      <c r="D368" s="173">
        <v>0.03</v>
      </c>
      <c r="E368" s="193" t="s">
        <v>30</v>
      </c>
      <c r="F368" s="193" t="s">
        <v>188</v>
      </c>
      <c r="G368" s="189" t="s">
        <v>924</v>
      </c>
      <c r="H368" s="177"/>
    </row>
    <row r="369" ht="14.25" spans="1:8">
      <c r="A369" s="170">
        <v>361</v>
      </c>
      <c r="B369" s="189" t="s">
        <v>925</v>
      </c>
      <c r="C369" s="177" t="s">
        <v>72</v>
      </c>
      <c r="D369" s="173">
        <v>0.5</v>
      </c>
      <c r="E369" s="193" t="s">
        <v>30</v>
      </c>
      <c r="F369" s="193" t="s">
        <v>188</v>
      </c>
      <c r="G369" s="189" t="s">
        <v>926</v>
      </c>
      <c r="H369" s="177"/>
    </row>
    <row r="370" ht="14.25" spans="1:8">
      <c r="A370" s="170">
        <v>362</v>
      </c>
      <c r="B370" s="189" t="s">
        <v>927</v>
      </c>
      <c r="C370" s="177" t="s">
        <v>72</v>
      </c>
      <c r="D370" s="173">
        <v>0.1</v>
      </c>
      <c r="E370" s="193" t="s">
        <v>30</v>
      </c>
      <c r="F370" s="193" t="s">
        <v>188</v>
      </c>
      <c r="G370" s="189" t="s">
        <v>928</v>
      </c>
      <c r="H370" s="177"/>
    </row>
    <row r="371" ht="14.25" spans="1:8">
      <c r="A371" s="170">
        <v>363</v>
      </c>
      <c r="B371" s="189" t="s">
        <v>927</v>
      </c>
      <c r="C371" s="177" t="s">
        <v>72</v>
      </c>
      <c r="D371" s="173">
        <v>0.1</v>
      </c>
      <c r="E371" s="193" t="s">
        <v>30</v>
      </c>
      <c r="F371" s="193" t="s">
        <v>188</v>
      </c>
      <c r="G371" s="189" t="s">
        <v>929</v>
      </c>
      <c r="H371" s="177"/>
    </row>
    <row r="372" ht="14.25" spans="1:8">
      <c r="A372" s="170">
        <v>364</v>
      </c>
      <c r="B372" s="189" t="s">
        <v>930</v>
      </c>
      <c r="C372" s="177" t="s">
        <v>72</v>
      </c>
      <c r="D372" s="173">
        <v>0.07</v>
      </c>
      <c r="E372" s="193" t="s">
        <v>30</v>
      </c>
      <c r="F372" s="193" t="s">
        <v>188</v>
      </c>
      <c r="G372" s="189" t="s">
        <v>370</v>
      </c>
      <c r="H372" s="177"/>
    </row>
    <row r="373" ht="14.25" spans="1:8">
      <c r="A373" s="170">
        <v>365</v>
      </c>
      <c r="B373" s="189" t="s">
        <v>931</v>
      </c>
      <c r="C373" s="177" t="s">
        <v>72</v>
      </c>
      <c r="D373" s="173">
        <v>0.06</v>
      </c>
      <c r="E373" s="193" t="s">
        <v>30</v>
      </c>
      <c r="F373" s="193" t="s">
        <v>188</v>
      </c>
      <c r="G373" s="189" t="s">
        <v>932</v>
      </c>
      <c r="H373" s="177"/>
    </row>
    <row r="374" ht="14.25" spans="1:8">
      <c r="A374" s="170">
        <v>366</v>
      </c>
      <c r="B374" s="189" t="s">
        <v>931</v>
      </c>
      <c r="C374" s="177" t="s">
        <v>72</v>
      </c>
      <c r="D374" s="173">
        <v>0.12</v>
      </c>
      <c r="E374" s="193" t="s">
        <v>30</v>
      </c>
      <c r="F374" s="193" t="s">
        <v>188</v>
      </c>
      <c r="G374" s="189" t="s">
        <v>933</v>
      </c>
      <c r="H374" s="177"/>
    </row>
    <row r="375" ht="14.25" spans="1:8">
      <c r="A375" s="170">
        <v>367</v>
      </c>
      <c r="B375" s="189" t="s">
        <v>884</v>
      </c>
      <c r="C375" s="177" t="s">
        <v>72</v>
      </c>
      <c r="D375" s="173">
        <v>0.1</v>
      </c>
      <c r="E375" s="193" t="s">
        <v>30</v>
      </c>
      <c r="F375" s="193" t="s">
        <v>188</v>
      </c>
      <c r="G375" s="189" t="s">
        <v>934</v>
      </c>
      <c r="H375" s="177"/>
    </row>
    <row r="376" ht="14.25" spans="1:8">
      <c r="A376" s="170">
        <v>368</v>
      </c>
      <c r="B376" s="189" t="s">
        <v>515</v>
      </c>
      <c r="C376" s="177" t="s">
        <v>72</v>
      </c>
      <c r="D376" s="173">
        <v>0.09</v>
      </c>
      <c r="E376" s="193" t="s">
        <v>30</v>
      </c>
      <c r="F376" s="193" t="s">
        <v>188</v>
      </c>
      <c r="G376" s="189" t="s">
        <v>430</v>
      </c>
      <c r="H376" s="177"/>
    </row>
    <row r="377" ht="14.25" spans="1:8">
      <c r="A377" s="170">
        <v>369</v>
      </c>
      <c r="B377" s="189" t="s">
        <v>935</v>
      </c>
      <c r="C377" s="177" t="s">
        <v>72</v>
      </c>
      <c r="D377" s="173">
        <v>0.09</v>
      </c>
      <c r="E377" s="193" t="s">
        <v>30</v>
      </c>
      <c r="F377" s="193" t="s">
        <v>188</v>
      </c>
      <c r="G377" s="189" t="s">
        <v>936</v>
      </c>
      <c r="H377" s="177"/>
    </row>
    <row r="378" ht="14.25" spans="1:8">
      <c r="A378" s="170">
        <v>370</v>
      </c>
      <c r="B378" s="189" t="s">
        <v>937</v>
      </c>
      <c r="C378" s="177" t="s">
        <v>72</v>
      </c>
      <c r="D378" s="173">
        <v>0.04</v>
      </c>
      <c r="E378" s="193" t="s">
        <v>30</v>
      </c>
      <c r="F378" s="193" t="s">
        <v>188</v>
      </c>
      <c r="G378" s="189" t="s">
        <v>938</v>
      </c>
      <c r="H378" s="177"/>
    </row>
    <row r="379" ht="14.25" spans="1:8">
      <c r="A379" s="170">
        <v>371</v>
      </c>
      <c r="B379" s="189" t="s">
        <v>939</v>
      </c>
      <c r="C379" s="177" t="s">
        <v>72</v>
      </c>
      <c r="D379" s="173">
        <v>0.1</v>
      </c>
      <c r="E379" s="193" t="s">
        <v>30</v>
      </c>
      <c r="F379" s="193" t="s">
        <v>188</v>
      </c>
      <c r="G379" s="189" t="s">
        <v>940</v>
      </c>
      <c r="H379" s="177"/>
    </row>
    <row r="380" ht="14.25" spans="1:8">
      <c r="A380" s="170">
        <v>372</v>
      </c>
      <c r="B380" s="189" t="s">
        <v>941</v>
      </c>
      <c r="C380" s="177" t="s">
        <v>72</v>
      </c>
      <c r="D380" s="173">
        <v>0.1</v>
      </c>
      <c r="E380" s="193" t="s">
        <v>30</v>
      </c>
      <c r="F380" s="193" t="s">
        <v>188</v>
      </c>
      <c r="G380" s="189" t="s">
        <v>942</v>
      </c>
      <c r="H380" s="177"/>
    </row>
    <row r="381" ht="14.25" spans="1:8">
      <c r="A381" s="170">
        <v>373</v>
      </c>
      <c r="B381" s="189" t="s">
        <v>943</v>
      </c>
      <c r="C381" s="177" t="s">
        <v>72</v>
      </c>
      <c r="D381" s="173">
        <v>0.09</v>
      </c>
      <c r="E381" s="193" t="s">
        <v>30</v>
      </c>
      <c r="F381" s="193" t="s">
        <v>188</v>
      </c>
      <c r="G381" s="189" t="s">
        <v>944</v>
      </c>
      <c r="H381" s="177"/>
    </row>
    <row r="382" ht="14.25" spans="1:8">
      <c r="A382" s="170">
        <v>374</v>
      </c>
      <c r="B382" s="189" t="s">
        <v>945</v>
      </c>
      <c r="C382" s="177" t="s">
        <v>72</v>
      </c>
      <c r="D382" s="173">
        <v>0.1</v>
      </c>
      <c r="E382" s="193" t="s">
        <v>30</v>
      </c>
      <c r="F382" s="193" t="s">
        <v>188</v>
      </c>
      <c r="G382" s="189" t="s">
        <v>946</v>
      </c>
      <c r="H382" s="177"/>
    </row>
    <row r="383" ht="14.25" spans="1:8">
      <c r="A383" s="170">
        <v>375</v>
      </c>
      <c r="B383" s="192" t="s">
        <v>947</v>
      </c>
      <c r="C383" s="177" t="s">
        <v>72</v>
      </c>
      <c r="D383" s="173">
        <v>0.02</v>
      </c>
      <c r="E383" s="193" t="s">
        <v>30</v>
      </c>
      <c r="F383" s="193" t="s">
        <v>188</v>
      </c>
      <c r="G383" s="189" t="s">
        <v>948</v>
      </c>
      <c r="H383" s="177"/>
    </row>
    <row r="384" ht="14.25" spans="1:8">
      <c r="A384" s="170">
        <v>376</v>
      </c>
      <c r="B384" s="192" t="s">
        <v>949</v>
      </c>
      <c r="C384" s="177" t="s">
        <v>72</v>
      </c>
      <c r="D384" s="173">
        <v>0.02</v>
      </c>
      <c r="E384" s="193" t="s">
        <v>30</v>
      </c>
      <c r="F384" s="193" t="s">
        <v>188</v>
      </c>
      <c r="G384" s="189" t="s">
        <v>950</v>
      </c>
      <c r="H384" s="177"/>
    </row>
    <row r="385" ht="14.25" spans="1:8">
      <c r="A385" s="170">
        <v>377</v>
      </c>
      <c r="B385" s="192" t="s">
        <v>951</v>
      </c>
      <c r="C385" s="177" t="s">
        <v>72</v>
      </c>
      <c r="D385" s="173">
        <v>0.04</v>
      </c>
      <c r="E385" s="193" t="s">
        <v>30</v>
      </c>
      <c r="F385" s="193" t="s">
        <v>188</v>
      </c>
      <c r="G385" s="189" t="s">
        <v>952</v>
      </c>
      <c r="H385" s="177"/>
    </row>
    <row r="386" ht="14.25" spans="1:8">
      <c r="A386" s="170">
        <v>378</v>
      </c>
      <c r="B386" s="192" t="s">
        <v>953</v>
      </c>
      <c r="C386" s="177" t="s">
        <v>72</v>
      </c>
      <c r="D386" s="173">
        <v>0.04</v>
      </c>
      <c r="E386" s="193" t="s">
        <v>30</v>
      </c>
      <c r="F386" s="193" t="s">
        <v>188</v>
      </c>
      <c r="G386" s="189" t="s">
        <v>954</v>
      </c>
      <c r="H386" s="177"/>
    </row>
    <row r="387" ht="14.25" spans="1:8">
      <c r="A387" s="170">
        <v>379</v>
      </c>
      <c r="B387" s="192" t="s">
        <v>955</v>
      </c>
      <c r="C387" s="177" t="s">
        <v>72</v>
      </c>
      <c r="D387" s="173">
        <v>0.02</v>
      </c>
      <c r="E387" s="193" t="s">
        <v>30</v>
      </c>
      <c r="F387" s="193" t="s">
        <v>188</v>
      </c>
      <c r="G387" s="189" t="s">
        <v>956</v>
      </c>
      <c r="H387" s="177"/>
    </row>
    <row r="388" ht="14.25" spans="1:8">
      <c r="A388" s="170">
        <v>380</v>
      </c>
      <c r="B388" s="192" t="s">
        <v>937</v>
      </c>
      <c r="C388" s="177" t="s">
        <v>72</v>
      </c>
      <c r="D388" s="173">
        <v>0.02</v>
      </c>
      <c r="E388" s="193" t="s">
        <v>30</v>
      </c>
      <c r="F388" s="193" t="s">
        <v>188</v>
      </c>
      <c r="G388" s="189" t="s">
        <v>938</v>
      </c>
      <c r="H388" s="177"/>
    </row>
    <row r="389" ht="14.25" spans="1:8">
      <c r="A389" s="170">
        <v>381</v>
      </c>
      <c r="B389" s="192" t="s">
        <v>957</v>
      </c>
      <c r="C389" s="177" t="s">
        <v>72</v>
      </c>
      <c r="D389" s="173">
        <v>0.04</v>
      </c>
      <c r="E389" s="193" t="s">
        <v>30</v>
      </c>
      <c r="F389" s="193" t="s">
        <v>188</v>
      </c>
      <c r="G389" s="189" t="s">
        <v>958</v>
      </c>
      <c r="H389" s="177"/>
    </row>
    <row r="390" ht="14.25" spans="1:8">
      <c r="A390" s="170">
        <v>382</v>
      </c>
      <c r="B390" s="192" t="s">
        <v>959</v>
      </c>
      <c r="C390" s="177" t="s">
        <v>72</v>
      </c>
      <c r="D390" s="173">
        <v>0.02</v>
      </c>
      <c r="E390" s="193" t="s">
        <v>30</v>
      </c>
      <c r="F390" s="193" t="s">
        <v>188</v>
      </c>
      <c r="G390" s="189" t="s">
        <v>960</v>
      </c>
      <c r="H390" s="177"/>
    </row>
    <row r="391" ht="14.25" spans="1:8">
      <c r="A391" s="170">
        <v>383</v>
      </c>
      <c r="B391" s="192" t="s">
        <v>961</v>
      </c>
      <c r="C391" s="177" t="s">
        <v>72</v>
      </c>
      <c r="D391" s="173">
        <v>0.04</v>
      </c>
      <c r="E391" s="193" t="s">
        <v>30</v>
      </c>
      <c r="F391" s="193" t="s">
        <v>188</v>
      </c>
      <c r="G391" s="189" t="s">
        <v>962</v>
      </c>
      <c r="H391" s="177"/>
    </row>
    <row r="392" ht="14.25" spans="1:8">
      <c r="A392" s="170">
        <v>384</v>
      </c>
      <c r="B392" s="192" t="s">
        <v>961</v>
      </c>
      <c r="C392" s="177" t="s">
        <v>72</v>
      </c>
      <c r="D392" s="173">
        <v>0.04</v>
      </c>
      <c r="E392" s="193" t="s">
        <v>30</v>
      </c>
      <c r="F392" s="193" t="s">
        <v>188</v>
      </c>
      <c r="G392" s="189" t="s">
        <v>963</v>
      </c>
      <c r="H392" s="177"/>
    </row>
    <row r="393" ht="14.25" spans="1:8">
      <c r="A393" s="170">
        <v>385</v>
      </c>
      <c r="B393" s="192" t="s">
        <v>961</v>
      </c>
      <c r="C393" s="177" t="s">
        <v>72</v>
      </c>
      <c r="D393" s="173">
        <v>0.04</v>
      </c>
      <c r="E393" s="193" t="s">
        <v>30</v>
      </c>
      <c r="F393" s="193" t="s">
        <v>188</v>
      </c>
      <c r="G393" s="189" t="s">
        <v>964</v>
      </c>
      <c r="H393" s="177"/>
    </row>
    <row r="394" ht="14.25" spans="1:8">
      <c r="A394" s="170">
        <v>386</v>
      </c>
      <c r="B394" s="192" t="s">
        <v>935</v>
      </c>
      <c r="C394" s="177" t="s">
        <v>72</v>
      </c>
      <c r="D394" s="173">
        <v>0.04</v>
      </c>
      <c r="E394" s="193" t="s">
        <v>30</v>
      </c>
      <c r="F394" s="193" t="s">
        <v>188</v>
      </c>
      <c r="G394" s="189" t="s">
        <v>936</v>
      </c>
      <c r="H394" s="177"/>
    </row>
    <row r="395" ht="14.25" spans="1:8">
      <c r="A395" s="170">
        <v>387</v>
      </c>
      <c r="B395" s="192" t="s">
        <v>965</v>
      </c>
      <c r="C395" s="177" t="s">
        <v>72</v>
      </c>
      <c r="D395" s="173">
        <v>0.04</v>
      </c>
      <c r="E395" s="193" t="s">
        <v>30</v>
      </c>
      <c r="F395" s="193" t="s">
        <v>188</v>
      </c>
      <c r="G395" s="189" t="s">
        <v>966</v>
      </c>
      <c r="H395" s="177"/>
    </row>
    <row r="396" ht="14.25" spans="1:8">
      <c r="A396" s="170">
        <v>388</v>
      </c>
      <c r="B396" s="192" t="s">
        <v>967</v>
      </c>
      <c r="C396" s="177" t="s">
        <v>72</v>
      </c>
      <c r="D396" s="173">
        <v>0.04</v>
      </c>
      <c r="E396" s="193" t="s">
        <v>30</v>
      </c>
      <c r="F396" s="193" t="s">
        <v>188</v>
      </c>
      <c r="G396" s="189" t="s">
        <v>968</v>
      </c>
      <c r="H396" s="177"/>
    </row>
    <row r="397" ht="14.25" spans="1:8">
      <c r="A397" s="170">
        <v>389</v>
      </c>
      <c r="B397" s="192" t="s">
        <v>969</v>
      </c>
      <c r="C397" s="177" t="s">
        <v>72</v>
      </c>
      <c r="D397" s="173">
        <v>0.04</v>
      </c>
      <c r="E397" s="193" t="s">
        <v>30</v>
      </c>
      <c r="F397" s="193" t="s">
        <v>188</v>
      </c>
      <c r="G397" s="189" t="s">
        <v>970</v>
      </c>
      <c r="H397" s="177"/>
    </row>
    <row r="398" ht="14.25" spans="1:8">
      <c r="A398" s="170">
        <v>390</v>
      </c>
      <c r="B398" s="192" t="s">
        <v>971</v>
      </c>
      <c r="C398" s="177" t="s">
        <v>72</v>
      </c>
      <c r="D398" s="173">
        <v>0.01</v>
      </c>
      <c r="E398" s="193" t="s">
        <v>30</v>
      </c>
      <c r="F398" s="193" t="s">
        <v>188</v>
      </c>
      <c r="G398" s="189" t="s">
        <v>972</v>
      </c>
      <c r="H398" s="177"/>
    </row>
    <row r="399" ht="14.25" spans="1:8">
      <c r="A399" s="170">
        <v>391</v>
      </c>
      <c r="B399" s="192" t="s">
        <v>973</v>
      </c>
      <c r="C399" s="177" t="s">
        <v>72</v>
      </c>
      <c r="D399" s="173">
        <v>0.02</v>
      </c>
      <c r="E399" s="193" t="s">
        <v>30</v>
      </c>
      <c r="F399" s="193" t="s">
        <v>188</v>
      </c>
      <c r="G399" s="189" t="s">
        <v>974</v>
      </c>
      <c r="H399" s="177"/>
    </row>
    <row r="400" ht="14.25" spans="1:8">
      <c r="A400" s="170">
        <v>392</v>
      </c>
      <c r="B400" s="192" t="s">
        <v>975</v>
      </c>
      <c r="C400" s="177" t="s">
        <v>72</v>
      </c>
      <c r="D400" s="173">
        <v>0.02</v>
      </c>
      <c r="E400" s="193" t="s">
        <v>30</v>
      </c>
      <c r="F400" s="193" t="s">
        <v>188</v>
      </c>
      <c r="G400" s="189" t="s">
        <v>976</v>
      </c>
      <c r="H400" s="177"/>
    </row>
    <row r="401" ht="14.25" spans="1:8">
      <c r="A401" s="170">
        <v>393</v>
      </c>
      <c r="B401" s="192" t="s">
        <v>977</v>
      </c>
      <c r="C401" s="177" t="s">
        <v>72</v>
      </c>
      <c r="D401" s="173">
        <v>0.01</v>
      </c>
      <c r="E401" s="193" t="s">
        <v>30</v>
      </c>
      <c r="F401" s="193" t="s">
        <v>188</v>
      </c>
      <c r="G401" s="189" t="s">
        <v>978</v>
      </c>
      <c r="H401" s="177"/>
    </row>
    <row r="402" ht="14.25" spans="1:8">
      <c r="A402" s="170">
        <v>394</v>
      </c>
      <c r="B402" s="192" t="s">
        <v>395</v>
      </c>
      <c r="C402" s="177" t="s">
        <v>72</v>
      </c>
      <c r="D402" s="173">
        <v>0.03</v>
      </c>
      <c r="E402" s="193" t="s">
        <v>30</v>
      </c>
      <c r="F402" s="193" t="s">
        <v>188</v>
      </c>
      <c r="G402" s="189" t="s">
        <v>979</v>
      </c>
      <c r="H402" s="177"/>
    </row>
    <row r="403" ht="14.25" spans="1:8">
      <c r="A403" s="170">
        <v>395</v>
      </c>
      <c r="B403" s="192" t="s">
        <v>980</v>
      </c>
      <c r="C403" s="177" t="s">
        <v>72</v>
      </c>
      <c r="D403" s="173">
        <v>0.01</v>
      </c>
      <c r="E403" s="193" t="s">
        <v>30</v>
      </c>
      <c r="F403" s="193" t="s">
        <v>188</v>
      </c>
      <c r="G403" s="189" t="s">
        <v>981</v>
      </c>
      <c r="H403" s="177"/>
    </row>
    <row r="404" ht="14.25" spans="1:8">
      <c r="A404" s="170">
        <v>396</v>
      </c>
      <c r="B404" s="192" t="s">
        <v>982</v>
      </c>
      <c r="C404" s="177" t="s">
        <v>72</v>
      </c>
      <c r="D404" s="173">
        <v>0.09</v>
      </c>
      <c r="E404" s="193" t="s">
        <v>30</v>
      </c>
      <c r="F404" s="193" t="s">
        <v>188</v>
      </c>
      <c r="G404" s="189" t="s">
        <v>983</v>
      </c>
      <c r="H404" s="177"/>
    </row>
    <row r="405" ht="14.25" spans="1:8">
      <c r="A405" s="170">
        <v>397</v>
      </c>
      <c r="B405" s="192" t="s">
        <v>984</v>
      </c>
      <c r="C405" s="177" t="s">
        <v>72</v>
      </c>
      <c r="D405" s="173">
        <v>0.04</v>
      </c>
      <c r="E405" s="193" t="s">
        <v>30</v>
      </c>
      <c r="F405" s="193" t="s">
        <v>188</v>
      </c>
      <c r="G405" s="189" t="s">
        <v>985</v>
      </c>
      <c r="H405" s="177"/>
    </row>
    <row r="406" ht="14.25" spans="1:8">
      <c r="A406" s="170">
        <v>398</v>
      </c>
      <c r="B406" s="192" t="s">
        <v>543</v>
      </c>
      <c r="C406" s="177" t="s">
        <v>72</v>
      </c>
      <c r="D406" s="173">
        <v>0.02</v>
      </c>
      <c r="E406" s="193" t="s">
        <v>30</v>
      </c>
      <c r="F406" s="193" t="s">
        <v>188</v>
      </c>
      <c r="G406" s="189" t="s">
        <v>986</v>
      </c>
      <c r="H406" s="177"/>
    </row>
    <row r="407" ht="14.25" spans="1:8">
      <c r="A407" s="170">
        <v>399</v>
      </c>
      <c r="B407" s="192" t="s">
        <v>987</v>
      </c>
      <c r="C407" s="177" t="s">
        <v>72</v>
      </c>
      <c r="D407" s="173">
        <v>0.02</v>
      </c>
      <c r="E407" s="193" t="s">
        <v>30</v>
      </c>
      <c r="F407" s="193" t="s">
        <v>188</v>
      </c>
      <c r="G407" s="189" t="s">
        <v>988</v>
      </c>
      <c r="H407" s="177"/>
    </row>
    <row r="408" ht="14.25" spans="1:8">
      <c r="A408" s="170">
        <v>400</v>
      </c>
      <c r="B408" s="192" t="s">
        <v>989</v>
      </c>
      <c r="C408" s="177" t="s">
        <v>72</v>
      </c>
      <c r="D408" s="173">
        <v>0.02</v>
      </c>
      <c r="E408" s="193" t="s">
        <v>30</v>
      </c>
      <c r="F408" s="193" t="s">
        <v>188</v>
      </c>
      <c r="G408" s="189" t="s">
        <v>990</v>
      </c>
      <c r="H408" s="177"/>
    </row>
    <row r="409" ht="14.25" spans="1:8">
      <c r="A409" s="170">
        <v>401</v>
      </c>
      <c r="B409" s="192" t="s">
        <v>991</v>
      </c>
      <c r="C409" s="177" t="s">
        <v>72</v>
      </c>
      <c r="D409" s="173">
        <v>0.03</v>
      </c>
      <c r="E409" s="193" t="s">
        <v>30</v>
      </c>
      <c r="F409" s="193" t="s">
        <v>188</v>
      </c>
      <c r="G409" s="189" t="s">
        <v>992</v>
      </c>
      <c r="H409" s="177"/>
    </row>
    <row r="410" ht="14.25" spans="1:8">
      <c r="A410" s="170">
        <v>402</v>
      </c>
      <c r="B410" s="192" t="s">
        <v>991</v>
      </c>
      <c r="C410" s="177" t="s">
        <v>72</v>
      </c>
      <c r="D410" s="173">
        <v>0.02</v>
      </c>
      <c r="E410" s="193" t="s">
        <v>30</v>
      </c>
      <c r="F410" s="193" t="s">
        <v>188</v>
      </c>
      <c r="G410" s="189" t="s">
        <v>993</v>
      </c>
      <c r="H410" s="177"/>
    </row>
    <row r="411" ht="14.25" spans="1:8">
      <c r="A411" s="170">
        <v>403</v>
      </c>
      <c r="B411" s="192" t="s">
        <v>994</v>
      </c>
      <c r="C411" s="177" t="s">
        <v>72</v>
      </c>
      <c r="D411" s="173">
        <v>0.02</v>
      </c>
      <c r="E411" s="193" t="s">
        <v>30</v>
      </c>
      <c r="F411" s="193" t="s">
        <v>188</v>
      </c>
      <c r="G411" s="189" t="s">
        <v>995</v>
      </c>
      <c r="H411" s="177"/>
    </row>
    <row r="412" ht="14.25" spans="1:8">
      <c r="A412" s="170">
        <v>404</v>
      </c>
      <c r="B412" s="192" t="s">
        <v>996</v>
      </c>
      <c r="C412" s="177" t="s">
        <v>72</v>
      </c>
      <c r="D412" s="173">
        <v>0.06</v>
      </c>
      <c r="E412" s="193" t="s">
        <v>30</v>
      </c>
      <c r="F412" s="193" t="s">
        <v>188</v>
      </c>
      <c r="G412" s="189" t="s">
        <v>997</v>
      </c>
      <c r="H412" s="177"/>
    </row>
    <row r="413" ht="14.25" spans="1:8">
      <c r="A413" s="170">
        <v>405</v>
      </c>
      <c r="B413" s="192" t="s">
        <v>998</v>
      </c>
      <c r="C413" s="177" t="s">
        <v>72</v>
      </c>
      <c r="D413" s="173">
        <v>0.03</v>
      </c>
      <c r="E413" s="193" t="s">
        <v>30</v>
      </c>
      <c r="F413" s="193" t="s">
        <v>188</v>
      </c>
      <c r="G413" s="189" t="s">
        <v>999</v>
      </c>
      <c r="H413" s="177"/>
    </row>
    <row r="414" ht="14.25" spans="1:8">
      <c r="A414" s="170">
        <v>406</v>
      </c>
      <c r="B414" s="192" t="s">
        <v>695</v>
      </c>
      <c r="C414" s="177" t="s">
        <v>72</v>
      </c>
      <c r="D414" s="173">
        <v>0.01</v>
      </c>
      <c r="E414" s="193" t="s">
        <v>30</v>
      </c>
      <c r="F414" s="193" t="s">
        <v>188</v>
      </c>
      <c r="G414" s="189" t="s">
        <v>780</v>
      </c>
      <c r="H414" s="177"/>
    </row>
    <row r="415" ht="14.25" spans="1:8">
      <c r="A415" s="170">
        <v>407</v>
      </c>
      <c r="B415" s="192" t="s">
        <v>1000</v>
      </c>
      <c r="C415" s="177" t="s">
        <v>72</v>
      </c>
      <c r="D415" s="173">
        <v>0.02</v>
      </c>
      <c r="E415" s="193" t="s">
        <v>30</v>
      </c>
      <c r="F415" s="193" t="s">
        <v>188</v>
      </c>
      <c r="G415" s="189" t="s">
        <v>1001</v>
      </c>
      <c r="H415" s="177"/>
    </row>
    <row r="416" ht="14.25" spans="1:8">
      <c r="A416" s="170">
        <v>408</v>
      </c>
      <c r="B416" s="175" t="s">
        <v>969</v>
      </c>
      <c r="C416" s="177" t="s">
        <v>72</v>
      </c>
      <c r="D416" s="173">
        <v>0.1</v>
      </c>
      <c r="E416" s="193" t="s">
        <v>30</v>
      </c>
      <c r="F416" s="193" t="s">
        <v>188</v>
      </c>
      <c r="G416" s="189" t="s">
        <v>1002</v>
      </c>
      <c r="H416" s="177"/>
    </row>
    <row r="417" ht="14.25" spans="1:8">
      <c r="A417" s="170">
        <v>409</v>
      </c>
      <c r="B417" s="175" t="s">
        <v>1003</v>
      </c>
      <c r="C417" s="177" t="s">
        <v>72</v>
      </c>
      <c r="D417" s="173">
        <v>0.1</v>
      </c>
      <c r="E417" s="193" t="s">
        <v>30</v>
      </c>
      <c r="F417" s="193" t="s">
        <v>188</v>
      </c>
      <c r="G417" s="189" t="s">
        <v>1004</v>
      </c>
      <c r="H417" s="177"/>
    </row>
    <row r="418" ht="14.25" spans="1:8">
      <c r="A418" s="170">
        <v>410</v>
      </c>
      <c r="B418" s="175" t="s">
        <v>1005</v>
      </c>
      <c r="C418" s="177" t="s">
        <v>72</v>
      </c>
      <c r="D418" s="173">
        <v>0.1</v>
      </c>
      <c r="E418" s="193" t="s">
        <v>30</v>
      </c>
      <c r="F418" s="193" t="s">
        <v>188</v>
      </c>
      <c r="G418" s="189" t="s">
        <v>1006</v>
      </c>
      <c r="H418" s="177"/>
    </row>
    <row r="419" ht="14.25" spans="1:8">
      <c r="A419" s="170">
        <v>411</v>
      </c>
      <c r="B419" s="171" t="s">
        <v>649</v>
      </c>
      <c r="C419" s="177" t="s">
        <v>72</v>
      </c>
      <c r="D419" s="173">
        <v>0.01</v>
      </c>
      <c r="E419" s="193" t="s">
        <v>30</v>
      </c>
      <c r="F419" s="193" t="s">
        <v>188</v>
      </c>
      <c r="G419" s="189" t="s">
        <v>1007</v>
      </c>
      <c r="H419" s="177"/>
    </row>
    <row r="420" ht="14.25" spans="1:8">
      <c r="A420" s="170">
        <v>412</v>
      </c>
      <c r="B420" s="175" t="s">
        <v>1008</v>
      </c>
      <c r="C420" s="177" t="s">
        <v>72</v>
      </c>
      <c r="D420" s="173">
        <v>0.07</v>
      </c>
      <c r="E420" s="193" t="s">
        <v>30</v>
      </c>
      <c r="F420" s="193" t="s">
        <v>188</v>
      </c>
      <c r="G420" s="189" t="s">
        <v>1009</v>
      </c>
      <c r="H420" s="177"/>
    </row>
    <row r="421" ht="14.25" spans="1:8">
      <c r="A421" s="170">
        <v>413</v>
      </c>
      <c r="B421" s="195" t="s">
        <v>1010</v>
      </c>
      <c r="C421" s="177" t="s">
        <v>72</v>
      </c>
      <c r="D421" s="173">
        <v>0.07</v>
      </c>
      <c r="E421" s="193" t="s">
        <v>30</v>
      </c>
      <c r="F421" s="193" t="s">
        <v>188</v>
      </c>
      <c r="G421" s="196" t="s">
        <v>1011</v>
      </c>
      <c r="H421" s="177"/>
    </row>
    <row r="422" ht="14.25" spans="1:8">
      <c r="A422" s="170">
        <v>414</v>
      </c>
      <c r="B422" s="195" t="s">
        <v>1012</v>
      </c>
      <c r="C422" s="177" t="s">
        <v>72</v>
      </c>
      <c r="D422" s="173">
        <v>0.07</v>
      </c>
      <c r="E422" s="193" t="s">
        <v>30</v>
      </c>
      <c r="F422" s="193" t="s">
        <v>188</v>
      </c>
      <c r="G422" s="196" t="s">
        <v>1013</v>
      </c>
      <c r="H422" s="177"/>
    </row>
    <row r="423" ht="14.25" spans="1:8">
      <c r="A423" s="170">
        <v>415</v>
      </c>
      <c r="B423" s="195" t="s">
        <v>489</v>
      </c>
      <c r="C423" s="177" t="s">
        <v>72</v>
      </c>
      <c r="D423" s="173">
        <v>0.01</v>
      </c>
      <c r="E423" s="193" t="s">
        <v>30</v>
      </c>
      <c r="F423" s="193" t="s">
        <v>188</v>
      </c>
      <c r="G423" s="196" t="s">
        <v>1014</v>
      </c>
      <c r="H423" s="177"/>
    </row>
    <row r="424" ht="14.25" spans="1:8">
      <c r="A424" s="170">
        <v>416</v>
      </c>
      <c r="B424" s="195" t="s">
        <v>489</v>
      </c>
      <c r="C424" s="177" t="s">
        <v>72</v>
      </c>
      <c r="D424" s="173">
        <v>0.01</v>
      </c>
      <c r="E424" s="193" t="s">
        <v>30</v>
      </c>
      <c r="F424" s="193" t="s">
        <v>188</v>
      </c>
      <c r="G424" s="196" t="s">
        <v>1015</v>
      </c>
      <c r="H424" s="177"/>
    </row>
    <row r="425" ht="14.25" spans="1:8">
      <c r="A425" s="170">
        <v>417</v>
      </c>
      <c r="B425" s="195" t="s">
        <v>945</v>
      </c>
      <c r="C425" s="177" t="s">
        <v>72</v>
      </c>
      <c r="D425" s="173">
        <v>0.24</v>
      </c>
      <c r="E425" s="193" t="s">
        <v>30</v>
      </c>
      <c r="F425" s="193" t="s">
        <v>188</v>
      </c>
      <c r="G425" s="196" t="s">
        <v>1016</v>
      </c>
      <c r="H425" s="177"/>
    </row>
    <row r="426" ht="14.25" spans="1:8">
      <c r="A426" s="170">
        <v>418</v>
      </c>
      <c r="B426" s="195" t="s">
        <v>489</v>
      </c>
      <c r="C426" s="177" t="s">
        <v>72</v>
      </c>
      <c r="D426" s="173">
        <v>0.02</v>
      </c>
      <c r="E426" s="193" t="s">
        <v>30</v>
      </c>
      <c r="F426" s="193" t="s">
        <v>188</v>
      </c>
      <c r="G426" s="196" t="s">
        <v>1017</v>
      </c>
      <c r="H426" s="177"/>
    </row>
    <row r="427" ht="14.25" spans="1:8">
      <c r="A427" s="170">
        <v>419</v>
      </c>
      <c r="B427" s="195" t="s">
        <v>1018</v>
      </c>
      <c r="C427" s="177" t="s">
        <v>72</v>
      </c>
      <c r="D427" s="173">
        <v>0.02</v>
      </c>
      <c r="E427" s="193" t="s">
        <v>30</v>
      </c>
      <c r="F427" s="193" t="s">
        <v>188</v>
      </c>
      <c r="G427" s="196" t="s">
        <v>1019</v>
      </c>
      <c r="H427" s="177"/>
    </row>
    <row r="428" ht="14.25" spans="1:8">
      <c r="A428" s="170">
        <v>420</v>
      </c>
      <c r="B428" s="195" t="s">
        <v>1020</v>
      </c>
      <c r="C428" s="177" t="s">
        <v>72</v>
      </c>
      <c r="D428" s="173">
        <v>0.04</v>
      </c>
      <c r="E428" s="193" t="s">
        <v>30</v>
      </c>
      <c r="F428" s="193" t="s">
        <v>188</v>
      </c>
      <c r="G428" s="196" t="s">
        <v>1021</v>
      </c>
      <c r="H428" s="177"/>
    </row>
    <row r="429" ht="14.25" spans="1:8">
      <c r="A429" s="170">
        <v>421</v>
      </c>
      <c r="B429" s="197" t="s">
        <v>1022</v>
      </c>
      <c r="C429" s="177" t="s">
        <v>72</v>
      </c>
      <c r="D429" s="173">
        <v>0.09</v>
      </c>
      <c r="E429" s="193" t="s">
        <v>30</v>
      </c>
      <c r="F429" s="193" t="s">
        <v>188</v>
      </c>
      <c r="G429" s="196" t="s">
        <v>1023</v>
      </c>
      <c r="H429" s="177"/>
    </row>
    <row r="430" ht="14.25" spans="1:8">
      <c r="A430" s="170">
        <v>422</v>
      </c>
      <c r="B430" s="197" t="s">
        <v>1024</v>
      </c>
      <c r="C430" s="177" t="s">
        <v>72</v>
      </c>
      <c r="D430" s="173">
        <v>0.09</v>
      </c>
      <c r="E430" s="193" t="s">
        <v>30</v>
      </c>
      <c r="F430" s="193" t="s">
        <v>188</v>
      </c>
      <c r="G430" s="196" t="s">
        <v>1025</v>
      </c>
      <c r="H430" s="177"/>
    </row>
    <row r="431" ht="14.25" spans="1:8">
      <c r="A431" s="170">
        <v>423</v>
      </c>
      <c r="B431" s="197" t="s">
        <v>1026</v>
      </c>
      <c r="C431" s="177" t="s">
        <v>72</v>
      </c>
      <c r="D431" s="173">
        <v>0.04</v>
      </c>
      <c r="E431" s="193" t="s">
        <v>30</v>
      </c>
      <c r="F431" s="193" t="s">
        <v>188</v>
      </c>
      <c r="G431" s="196" t="s">
        <v>665</v>
      </c>
      <c r="H431" s="177"/>
    </row>
    <row r="432" ht="14.25" spans="1:8">
      <c r="A432" s="170">
        <v>424</v>
      </c>
      <c r="B432" s="197" t="s">
        <v>1027</v>
      </c>
      <c r="C432" s="177" t="s">
        <v>72</v>
      </c>
      <c r="D432" s="173">
        <v>0.09</v>
      </c>
      <c r="E432" s="193" t="s">
        <v>30</v>
      </c>
      <c r="F432" s="193" t="s">
        <v>188</v>
      </c>
      <c r="G432" s="196" t="s">
        <v>1028</v>
      </c>
      <c r="H432" s="177"/>
    </row>
    <row r="433" ht="14.25" spans="1:8">
      <c r="A433" s="170">
        <v>425</v>
      </c>
      <c r="B433" s="197" t="s">
        <v>1027</v>
      </c>
      <c r="C433" s="177" t="s">
        <v>72</v>
      </c>
      <c r="D433" s="173">
        <v>0.09</v>
      </c>
      <c r="E433" s="193" t="s">
        <v>30</v>
      </c>
      <c r="F433" s="193" t="s">
        <v>188</v>
      </c>
      <c r="G433" s="196" t="s">
        <v>1029</v>
      </c>
      <c r="H433" s="177"/>
    </row>
    <row r="434" ht="14.25" spans="1:8">
      <c r="A434" s="170">
        <v>426</v>
      </c>
      <c r="B434" s="197" t="s">
        <v>1030</v>
      </c>
      <c r="C434" s="177" t="s">
        <v>72</v>
      </c>
      <c r="D434" s="173">
        <v>0.09</v>
      </c>
      <c r="E434" s="193" t="s">
        <v>30</v>
      </c>
      <c r="F434" s="193" t="s">
        <v>188</v>
      </c>
      <c r="G434" s="196" t="s">
        <v>1031</v>
      </c>
      <c r="H434" s="177"/>
    </row>
    <row r="435" ht="14.25" spans="1:8">
      <c r="A435" s="170">
        <v>427</v>
      </c>
      <c r="B435" s="197" t="s">
        <v>909</v>
      </c>
      <c r="C435" s="177" t="s">
        <v>72</v>
      </c>
      <c r="D435" s="173">
        <v>0.09</v>
      </c>
      <c r="E435" s="193" t="s">
        <v>30</v>
      </c>
      <c r="F435" s="193" t="s">
        <v>188</v>
      </c>
      <c r="G435" s="196" t="s">
        <v>910</v>
      </c>
      <c r="H435" s="177"/>
    </row>
    <row r="436" ht="14.25" spans="1:8">
      <c r="A436" s="170">
        <v>428</v>
      </c>
      <c r="B436" s="197" t="s">
        <v>529</v>
      </c>
      <c r="C436" s="177" t="s">
        <v>72</v>
      </c>
      <c r="D436" s="173">
        <v>0.02</v>
      </c>
      <c r="E436" s="193" t="s">
        <v>30</v>
      </c>
      <c r="F436" s="193" t="s">
        <v>188</v>
      </c>
      <c r="G436" s="196" t="s">
        <v>1032</v>
      </c>
      <c r="H436" s="177"/>
    </row>
    <row r="437" ht="14.25" spans="1:8">
      <c r="A437" s="170">
        <v>429</v>
      </c>
      <c r="B437" s="197" t="s">
        <v>529</v>
      </c>
      <c r="C437" s="177" t="s">
        <v>72</v>
      </c>
      <c r="D437" s="173">
        <v>0.02</v>
      </c>
      <c r="E437" s="193" t="s">
        <v>30</v>
      </c>
      <c r="F437" s="193" t="s">
        <v>188</v>
      </c>
      <c r="G437" s="196" t="s">
        <v>1033</v>
      </c>
      <c r="H437" s="177"/>
    </row>
    <row r="438" ht="14.25" spans="1:8">
      <c r="A438" s="170">
        <v>430</v>
      </c>
      <c r="B438" s="197" t="s">
        <v>529</v>
      </c>
      <c r="C438" s="177" t="s">
        <v>72</v>
      </c>
      <c r="D438" s="173">
        <v>0.02</v>
      </c>
      <c r="E438" s="193" t="s">
        <v>30</v>
      </c>
      <c r="F438" s="193" t="s">
        <v>188</v>
      </c>
      <c r="G438" s="196" t="s">
        <v>1034</v>
      </c>
      <c r="H438" s="177"/>
    </row>
    <row r="439" ht="14.25" spans="1:8">
      <c r="A439" s="170">
        <v>431</v>
      </c>
      <c r="B439" s="197" t="s">
        <v>529</v>
      </c>
      <c r="C439" s="177" t="s">
        <v>72</v>
      </c>
      <c r="D439" s="173">
        <v>0.02</v>
      </c>
      <c r="E439" s="193" t="s">
        <v>30</v>
      </c>
      <c r="F439" s="193" t="s">
        <v>188</v>
      </c>
      <c r="G439" s="196" t="s">
        <v>1035</v>
      </c>
      <c r="H439" s="177"/>
    </row>
    <row r="440" ht="14.25" spans="1:8">
      <c r="A440" s="170">
        <v>432</v>
      </c>
      <c r="B440" s="197" t="s">
        <v>529</v>
      </c>
      <c r="C440" s="177" t="s">
        <v>72</v>
      </c>
      <c r="D440" s="173">
        <v>0.02</v>
      </c>
      <c r="E440" s="193" t="s">
        <v>30</v>
      </c>
      <c r="F440" s="193" t="s">
        <v>188</v>
      </c>
      <c r="G440" s="196" t="s">
        <v>1036</v>
      </c>
      <c r="H440" s="177"/>
    </row>
    <row r="441" ht="14.25" spans="1:8">
      <c r="A441" s="170">
        <v>433</v>
      </c>
      <c r="B441" s="197" t="s">
        <v>529</v>
      </c>
      <c r="C441" s="177" t="s">
        <v>72</v>
      </c>
      <c r="D441" s="173">
        <v>0.02</v>
      </c>
      <c r="E441" s="193" t="s">
        <v>30</v>
      </c>
      <c r="F441" s="193" t="s">
        <v>188</v>
      </c>
      <c r="G441" s="196" t="s">
        <v>1037</v>
      </c>
      <c r="H441" s="177"/>
    </row>
    <row r="442" ht="14.25" spans="1:8">
      <c r="A442" s="170">
        <v>434</v>
      </c>
      <c r="B442" s="197" t="s">
        <v>529</v>
      </c>
      <c r="C442" s="177" t="s">
        <v>72</v>
      </c>
      <c r="D442" s="173">
        <v>0.02</v>
      </c>
      <c r="E442" s="193" t="s">
        <v>30</v>
      </c>
      <c r="F442" s="193" t="s">
        <v>188</v>
      </c>
      <c r="G442" s="196" t="s">
        <v>1038</v>
      </c>
      <c r="H442" s="177"/>
    </row>
    <row r="443" ht="14.25" spans="1:8">
      <c r="A443" s="170">
        <v>435</v>
      </c>
      <c r="B443" s="197" t="s">
        <v>529</v>
      </c>
      <c r="C443" s="177" t="s">
        <v>72</v>
      </c>
      <c r="D443" s="173">
        <v>0.02</v>
      </c>
      <c r="E443" s="193" t="s">
        <v>30</v>
      </c>
      <c r="F443" s="193" t="s">
        <v>188</v>
      </c>
      <c r="G443" s="196" t="s">
        <v>1039</v>
      </c>
      <c r="H443" s="177"/>
    </row>
    <row r="444" ht="14.25" spans="1:8">
      <c r="A444" s="170">
        <v>436</v>
      </c>
      <c r="B444" s="197" t="s">
        <v>529</v>
      </c>
      <c r="C444" s="177" t="s">
        <v>72</v>
      </c>
      <c r="D444" s="173">
        <v>0.02</v>
      </c>
      <c r="E444" s="193" t="s">
        <v>30</v>
      </c>
      <c r="F444" s="193" t="s">
        <v>188</v>
      </c>
      <c r="G444" s="196" t="s">
        <v>1040</v>
      </c>
      <c r="H444" s="177"/>
    </row>
    <row r="445" ht="14.25" spans="1:8">
      <c r="A445" s="170">
        <v>437</v>
      </c>
      <c r="B445" s="197" t="s">
        <v>529</v>
      </c>
      <c r="C445" s="177" t="s">
        <v>72</v>
      </c>
      <c r="D445" s="173">
        <v>0.02</v>
      </c>
      <c r="E445" s="193" t="s">
        <v>30</v>
      </c>
      <c r="F445" s="193" t="s">
        <v>188</v>
      </c>
      <c r="G445" s="196" t="s">
        <v>1041</v>
      </c>
      <c r="H445" s="177"/>
    </row>
    <row r="446" ht="14.25" spans="1:8">
      <c r="A446" s="170">
        <v>438</v>
      </c>
      <c r="B446" s="197" t="s">
        <v>529</v>
      </c>
      <c r="C446" s="177" t="s">
        <v>72</v>
      </c>
      <c r="D446" s="173">
        <v>0.02</v>
      </c>
      <c r="E446" s="193" t="s">
        <v>30</v>
      </c>
      <c r="F446" s="193" t="s">
        <v>188</v>
      </c>
      <c r="G446" s="196" t="s">
        <v>1042</v>
      </c>
      <c r="H446" s="177"/>
    </row>
    <row r="447" ht="14.25" spans="1:8">
      <c r="A447" s="170">
        <v>439</v>
      </c>
      <c r="B447" s="197" t="s">
        <v>529</v>
      </c>
      <c r="C447" s="177" t="s">
        <v>72</v>
      </c>
      <c r="D447" s="173">
        <v>0.02</v>
      </c>
      <c r="E447" s="193" t="s">
        <v>30</v>
      </c>
      <c r="F447" s="193" t="s">
        <v>188</v>
      </c>
      <c r="G447" s="196" t="s">
        <v>1043</v>
      </c>
      <c r="H447" s="177"/>
    </row>
    <row r="448" ht="14.25" spans="1:8">
      <c r="A448" s="170">
        <v>440</v>
      </c>
      <c r="B448" s="197" t="s">
        <v>529</v>
      </c>
      <c r="C448" s="177" t="s">
        <v>72</v>
      </c>
      <c r="D448" s="173">
        <v>0.02</v>
      </c>
      <c r="E448" s="193" t="s">
        <v>30</v>
      </c>
      <c r="F448" s="193" t="s">
        <v>188</v>
      </c>
      <c r="G448" s="196" t="s">
        <v>1044</v>
      </c>
      <c r="H448" s="177"/>
    </row>
    <row r="449" ht="14.25" spans="1:8">
      <c r="A449" s="170">
        <v>441</v>
      </c>
      <c r="B449" s="197" t="s">
        <v>529</v>
      </c>
      <c r="C449" s="177" t="s">
        <v>72</v>
      </c>
      <c r="D449" s="173">
        <v>0.02</v>
      </c>
      <c r="E449" s="193" t="s">
        <v>30</v>
      </c>
      <c r="F449" s="193" t="s">
        <v>188</v>
      </c>
      <c r="G449" s="196" t="s">
        <v>1045</v>
      </c>
      <c r="H449" s="177"/>
    </row>
    <row r="450" ht="14.25" spans="1:8">
      <c r="A450" s="170">
        <v>442</v>
      </c>
      <c r="B450" s="197" t="s">
        <v>529</v>
      </c>
      <c r="C450" s="177" t="s">
        <v>72</v>
      </c>
      <c r="D450" s="173">
        <v>0.02</v>
      </c>
      <c r="E450" s="193" t="s">
        <v>30</v>
      </c>
      <c r="F450" s="193" t="s">
        <v>188</v>
      </c>
      <c r="G450" s="196" t="s">
        <v>1046</v>
      </c>
      <c r="H450" s="177"/>
    </row>
    <row r="451" ht="14.25" spans="1:8">
      <c r="A451" s="170">
        <v>443</v>
      </c>
      <c r="B451" s="197" t="s">
        <v>529</v>
      </c>
      <c r="C451" s="177" t="s">
        <v>72</v>
      </c>
      <c r="D451" s="173">
        <v>0.02</v>
      </c>
      <c r="E451" s="193" t="s">
        <v>30</v>
      </c>
      <c r="F451" s="193" t="s">
        <v>188</v>
      </c>
      <c r="G451" s="196" t="s">
        <v>1047</v>
      </c>
      <c r="H451" s="177"/>
    </row>
    <row r="452" ht="14.25" spans="1:8">
      <c r="A452" s="170">
        <v>444</v>
      </c>
      <c r="B452" s="197" t="s">
        <v>529</v>
      </c>
      <c r="C452" s="177" t="s">
        <v>72</v>
      </c>
      <c r="D452" s="173">
        <v>0.02</v>
      </c>
      <c r="E452" s="193" t="s">
        <v>30</v>
      </c>
      <c r="F452" s="193" t="s">
        <v>188</v>
      </c>
      <c r="G452" s="196" t="s">
        <v>1048</v>
      </c>
      <c r="H452" s="177"/>
    </row>
    <row r="453" ht="14.25" spans="1:8">
      <c r="A453" s="170">
        <v>445</v>
      </c>
      <c r="B453" s="197" t="s">
        <v>529</v>
      </c>
      <c r="C453" s="177" t="s">
        <v>72</v>
      </c>
      <c r="D453" s="173">
        <v>0.02</v>
      </c>
      <c r="E453" s="193" t="s">
        <v>30</v>
      </c>
      <c r="F453" s="193" t="s">
        <v>188</v>
      </c>
      <c r="G453" s="196" t="s">
        <v>1049</v>
      </c>
      <c r="H453" s="177"/>
    </row>
    <row r="454" ht="14.25" spans="1:8">
      <c r="A454" s="170">
        <v>446</v>
      </c>
      <c r="B454" s="197" t="s">
        <v>529</v>
      </c>
      <c r="C454" s="177" t="s">
        <v>72</v>
      </c>
      <c r="D454" s="173">
        <v>0.02</v>
      </c>
      <c r="E454" s="193" t="s">
        <v>30</v>
      </c>
      <c r="F454" s="193" t="s">
        <v>188</v>
      </c>
      <c r="G454" s="196" t="s">
        <v>1050</v>
      </c>
      <c r="H454" s="177"/>
    </row>
    <row r="455" ht="14.25" spans="1:8">
      <c r="A455" s="170">
        <v>447</v>
      </c>
      <c r="B455" s="197" t="s">
        <v>529</v>
      </c>
      <c r="C455" s="177" t="s">
        <v>72</v>
      </c>
      <c r="D455" s="173">
        <v>0.02</v>
      </c>
      <c r="E455" s="193" t="s">
        <v>30</v>
      </c>
      <c r="F455" s="193" t="s">
        <v>188</v>
      </c>
      <c r="G455" s="196" t="s">
        <v>1051</v>
      </c>
      <c r="H455" s="177"/>
    </row>
    <row r="456" ht="14.25" spans="1:8">
      <c r="A456" s="170">
        <v>448</v>
      </c>
      <c r="B456" s="197" t="s">
        <v>529</v>
      </c>
      <c r="C456" s="177" t="s">
        <v>72</v>
      </c>
      <c r="D456" s="173">
        <v>0.02</v>
      </c>
      <c r="E456" s="193" t="s">
        <v>30</v>
      </c>
      <c r="F456" s="193" t="s">
        <v>188</v>
      </c>
      <c r="G456" s="196" t="s">
        <v>1052</v>
      </c>
      <c r="H456" s="177"/>
    </row>
    <row r="457" ht="14.25" spans="1:8">
      <c r="A457" s="170">
        <v>449</v>
      </c>
      <c r="B457" s="197" t="s">
        <v>529</v>
      </c>
      <c r="C457" s="177" t="s">
        <v>72</v>
      </c>
      <c r="D457" s="173">
        <v>0.02</v>
      </c>
      <c r="E457" s="193" t="s">
        <v>30</v>
      </c>
      <c r="F457" s="193" t="s">
        <v>188</v>
      </c>
      <c r="G457" s="196" t="s">
        <v>1053</v>
      </c>
      <c r="H457" s="177"/>
    </row>
    <row r="458" ht="14.25" spans="1:8">
      <c r="A458" s="170">
        <v>450</v>
      </c>
      <c r="B458" s="197" t="s">
        <v>529</v>
      </c>
      <c r="C458" s="177" t="s">
        <v>72</v>
      </c>
      <c r="D458" s="173">
        <v>0.02</v>
      </c>
      <c r="E458" s="193" t="s">
        <v>30</v>
      </c>
      <c r="F458" s="193" t="s">
        <v>188</v>
      </c>
      <c r="G458" s="196" t="s">
        <v>1054</v>
      </c>
      <c r="H458" s="177"/>
    </row>
    <row r="459" ht="14.25" spans="1:8">
      <c r="A459" s="170">
        <v>451</v>
      </c>
      <c r="B459" s="197" t="s">
        <v>529</v>
      </c>
      <c r="C459" s="177" t="s">
        <v>72</v>
      </c>
      <c r="D459" s="173">
        <v>0.09</v>
      </c>
      <c r="E459" s="193" t="s">
        <v>30</v>
      </c>
      <c r="F459" s="193" t="s">
        <v>188</v>
      </c>
      <c r="G459" s="196" t="s">
        <v>1055</v>
      </c>
      <c r="H459" s="177"/>
    </row>
    <row r="460" ht="14.25" spans="1:8">
      <c r="A460" s="170">
        <v>452</v>
      </c>
      <c r="B460" s="197" t="s">
        <v>1056</v>
      </c>
      <c r="C460" s="177" t="s">
        <v>72</v>
      </c>
      <c r="D460" s="173">
        <v>0.02</v>
      </c>
      <c r="E460" s="193" t="s">
        <v>30</v>
      </c>
      <c r="F460" s="193" t="s">
        <v>188</v>
      </c>
      <c r="G460" s="196" t="s">
        <v>1057</v>
      </c>
      <c r="H460" s="177"/>
    </row>
    <row r="461" ht="14.25" spans="1:8">
      <c r="A461" s="170">
        <v>453</v>
      </c>
      <c r="B461" s="197" t="s">
        <v>1058</v>
      </c>
      <c r="C461" s="177" t="s">
        <v>72</v>
      </c>
      <c r="D461" s="173">
        <v>0.02</v>
      </c>
      <c r="E461" s="193" t="s">
        <v>30</v>
      </c>
      <c r="F461" s="193" t="s">
        <v>188</v>
      </c>
      <c r="G461" s="196" t="s">
        <v>1059</v>
      </c>
      <c r="H461" s="177"/>
    </row>
    <row r="462" ht="14.25" spans="1:8">
      <c r="A462" s="170">
        <v>454</v>
      </c>
      <c r="B462" s="197" t="s">
        <v>1058</v>
      </c>
      <c r="C462" s="177" t="s">
        <v>72</v>
      </c>
      <c r="D462" s="173">
        <v>0.02</v>
      </c>
      <c r="E462" s="193" t="s">
        <v>30</v>
      </c>
      <c r="F462" s="193" t="s">
        <v>188</v>
      </c>
      <c r="G462" s="196" t="s">
        <v>1060</v>
      </c>
      <c r="H462" s="177"/>
    </row>
    <row r="463" ht="14.25" spans="1:8">
      <c r="A463" s="170">
        <v>455</v>
      </c>
      <c r="B463" s="197" t="s">
        <v>1061</v>
      </c>
      <c r="C463" s="177" t="s">
        <v>72</v>
      </c>
      <c r="D463" s="173">
        <v>0.02</v>
      </c>
      <c r="E463" s="193" t="s">
        <v>30</v>
      </c>
      <c r="F463" s="193" t="s">
        <v>188</v>
      </c>
      <c r="G463" s="196" t="s">
        <v>1062</v>
      </c>
      <c r="H463" s="177"/>
    </row>
    <row r="464" ht="14.25" spans="1:8">
      <c r="A464" s="170">
        <v>456</v>
      </c>
      <c r="B464" s="196" t="s">
        <v>527</v>
      </c>
      <c r="C464" s="177" t="s">
        <v>72</v>
      </c>
      <c r="D464" s="173">
        <v>0.08</v>
      </c>
      <c r="E464" s="193" t="s">
        <v>30</v>
      </c>
      <c r="F464" s="193" t="s">
        <v>188</v>
      </c>
      <c r="G464" s="196" t="s">
        <v>1063</v>
      </c>
      <c r="H464" s="177"/>
    </row>
    <row r="465" ht="14.25" spans="1:8">
      <c r="A465" s="170">
        <v>457</v>
      </c>
      <c r="B465" s="196" t="s">
        <v>441</v>
      </c>
      <c r="C465" s="177" t="s">
        <v>72</v>
      </c>
      <c r="D465" s="173">
        <v>0.03</v>
      </c>
      <c r="E465" s="193" t="s">
        <v>30</v>
      </c>
      <c r="F465" s="193" t="s">
        <v>188</v>
      </c>
      <c r="G465" s="196" t="s">
        <v>1064</v>
      </c>
      <c r="H465" s="177"/>
    </row>
    <row r="466" ht="14.25" spans="1:8">
      <c r="A466" s="170">
        <v>458</v>
      </c>
      <c r="B466" s="196" t="s">
        <v>873</v>
      </c>
      <c r="C466" s="177" t="s">
        <v>72</v>
      </c>
      <c r="D466" s="173">
        <v>0.1</v>
      </c>
      <c r="E466" s="193" t="s">
        <v>30</v>
      </c>
      <c r="F466" s="193" t="s">
        <v>188</v>
      </c>
      <c r="G466" s="196" t="s">
        <v>1065</v>
      </c>
      <c r="H466" s="177"/>
    </row>
    <row r="467" ht="14.25" spans="1:8">
      <c r="A467" s="170">
        <v>459</v>
      </c>
      <c r="B467" s="196" t="s">
        <v>1066</v>
      </c>
      <c r="C467" s="177" t="s">
        <v>72</v>
      </c>
      <c r="D467" s="173">
        <v>0.02</v>
      </c>
      <c r="E467" s="193" t="s">
        <v>30</v>
      </c>
      <c r="F467" s="193" t="s">
        <v>188</v>
      </c>
      <c r="G467" s="196" t="s">
        <v>1067</v>
      </c>
      <c r="H467" s="177"/>
    </row>
    <row r="468" ht="14.25" spans="1:8">
      <c r="A468" s="170">
        <v>460</v>
      </c>
      <c r="B468" s="196" t="s">
        <v>1066</v>
      </c>
      <c r="C468" s="177" t="s">
        <v>72</v>
      </c>
      <c r="D468" s="173">
        <v>0.02</v>
      </c>
      <c r="E468" s="193" t="s">
        <v>30</v>
      </c>
      <c r="F468" s="193" t="s">
        <v>188</v>
      </c>
      <c r="G468" s="196" t="s">
        <v>1068</v>
      </c>
      <c r="H468" s="177"/>
    </row>
    <row r="469" ht="14.25" spans="1:8">
      <c r="A469" s="170">
        <v>461</v>
      </c>
      <c r="B469" s="196" t="s">
        <v>1066</v>
      </c>
      <c r="C469" s="177" t="s">
        <v>72</v>
      </c>
      <c r="D469" s="173">
        <v>0.02</v>
      </c>
      <c r="E469" s="193" t="s">
        <v>30</v>
      </c>
      <c r="F469" s="193" t="s">
        <v>188</v>
      </c>
      <c r="G469" s="196" t="s">
        <v>1069</v>
      </c>
      <c r="H469" s="177"/>
    </row>
    <row r="470" ht="14.25" spans="1:8">
      <c r="A470" s="170">
        <v>462</v>
      </c>
      <c r="B470" s="196" t="s">
        <v>1066</v>
      </c>
      <c r="C470" s="177" t="s">
        <v>72</v>
      </c>
      <c r="D470" s="173">
        <v>0.02</v>
      </c>
      <c r="E470" s="193" t="s">
        <v>30</v>
      </c>
      <c r="F470" s="193" t="s">
        <v>188</v>
      </c>
      <c r="G470" s="196" t="s">
        <v>1070</v>
      </c>
      <c r="H470" s="177"/>
    </row>
    <row r="471" ht="14.25" spans="1:8">
      <c r="A471" s="170">
        <v>463</v>
      </c>
      <c r="B471" s="196" t="s">
        <v>1066</v>
      </c>
      <c r="C471" s="177" t="s">
        <v>72</v>
      </c>
      <c r="D471" s="173">
        <v>0.02</v>
      </c>
      <c r="E471" s="193" t="s">
        <v>30</v>
      </c>
      <c r="F471" s="193" t="s">
        <v>188</v>
      </c>
      <c r="G471" s="196" t="s">
        <v>1071</v>
      </c>
      <c r="H471" s="177"/>
    </row>
    <row r="472" ht="14.25" spans="1:8">
      <c r="A472" s="170">
        <v>464</v>
      </c>
      <c r="B472" s="196" t="s">
        <v>814</v>
      </c>
      <c r="C472" s="177" t="s">
        <v>72</v>
      </c>
      <c r="D472" s="173">
        <v>0.2</v>
      </c>
      <c r="E472" s="193" t="s">
        <v>30</v>
      </c>
      <c r="F472" s="193" t="s">
        <v>188</v>
      </c>
      <c r="G472" s="196" t="s">
        <v>1072</v>
      </c>
      <c r="H472" s="177"/>
    </row>
    <row r="473" ht="14.25" spans="1:8">
      <c r="A473" s="170">
        <v>465</v>
      </c>
      <c r="B473" s="196" t="s">
        <v>1073</v>
      </c>
      <c r="C473" s="177" t="s">
        <v>72</v>
      </c>
      <c r="D473" s="173">
        <v>0.09</v>
      </c>
      <c r="E473" s="193" t="s">
        <v>30</v>
      </c>
      <c r="F473" s="193" t="s">
        <v>188</v>
      </c>
      <c r="G473" s="196" t="s">
        <v>1074</v>
      </c>
      <c r="H473" s="177"/>
    </row>
    <row r="474" ht="14.25" spans="1:8">
      <c r="A474" s="170">
        <v>466</v>
      </c>
      <c r="B474" s="196" t="s">
        <v>1075</v>
      </c>
      <c r="C474" s="177" t="s">
        <v>72</v>
      </c>
      <c r="D474" s="173">
        <v>0.2</v>
      </c>
      <c r="E474" s="193" t="s">
        <v>30</v>
      </c>
      <c r="F474" s="193" t="s">
        <v>188</v>
      </c>
      <c r="G474" s="196" t="s">
        <v>1076</v>
      </c>
      <c r="H474" s="177"/>
    </row>
    <row r="475" ht="14.25" spans="1:8">
      <c r="A475" s="170">
        <v>467</v>
      </c>
      <c r="B475" s="196" t="s">
        <v>745</v>
      </c>
      <c r="C475" s="177" t="s">
        <v>72</v>
      </c>
      <c r="D475" s="173">
        <v>0.2</v>
      </c>
      <c r="E475" s="193" t="s">
        <v>30</v>
      </c>
      <c r="F475" s="193" t="s">
        <v>188</v>
      </c>
      <c r="G475" s="196" t="s">
        <v>746</v>
      </c>
      <c r="H475" s="177"/>
    </row>
    <row r="476" ht="14.25" spans="1:8">
      <c r="A476" s="170">
        <v>468</v>
      </c>
      <c r="B476" s="196" t="s">
        <v>1077</v>
      </c>
      <c r="C476" s="177" t="s">
        <v>72</v>
      </c>
      <c r="D476" s="173">
        <v>0.11</v>
      </c>
      <c r="E476" s="193" t="s">
        <v>30</v>
      </c>
      <c r="F476" s="193" t="s">
        <v>188</v>
      </c>
      <c r="G476" s="196" t="s">
        <v>1078</v>
      </c>
      <c r="H476" s="177"/>
    </row>
    <row r="477" ht="14.25" spans="1:8">
      <c r="A477" s="170">
        <v>469</v>
      </c>
      <c r="B477" s="196" t="s">
        <v>1077</v>
      </c>
      <c r="C477" s="177" t="s">
        <v>72</v>
      </c>
      <c r="D477" s="173">
        <v>0.02</v>
      </c>
      <c r="E477" s="193" t="s">
        <v>30</v>
      </c>
      <c r="F477" s="193" t="s">
        <v>188</v>
      </c>
      <c r="G477" s="196" t="s">
        <v>1079</v>
      </c>
      <c r="H477" s="177"/>
    </row>
    <row r="478" ht="14.25" spans="1:8">
      <c r="A478" s="170">
        <v>470</v>
      </c>
      <c r="B478" s="196" t="s">
        <v>858</v>
      </c>
      <c r="C478" s="177" t="s">
        <v>72</v>
      </c>
      <c r="D478" s="173">
        <v>0.01</v>
      </c>
      <c r="E478" s="193" t="s">
        <v>30</v>
      </c>
      <c r="F478" s="193" t="s">
        <v>188</v>
      </c>
      <c r="G478" s="196" t="s">
        <v>1080</v>
      </c>
      <c r="H478" s="177"/>
    </row>
    <row r="479" ht="14.25" spans="1:8">
      <c r="A479" s="170">
        <v>471</v>
      </c>
      <c r="B479" s="196" t="s">
        <v>1081</v>
      </c>
      <c r="C479" s="177" t="s">
        <v>72</v>
      </c>
      <c r="D479" s="173">
        <v>0.11</v>
      </c>
      <c r="E479" s="193" t="s">
        <v>30</v>
      </c>
      <c r="F479" s="193" t="s">
        <v>188</v>
      </c>
      <c r="G479" s="196" t="s">
        <v>1082</v>
      </c>
      <c r="H479" s="177"/>
    </row>
    <row r="480" ht="25.5" spans="1:8">
      <c r="A480" s="170">
        <v>472</v>
      </c>
      <c r="B480" s="196" t="s">
        <v>1083</v>
      </c>
      <c r="C480" s="177" t="s">
        <v>72</v>
      </c>
      <c r="D480" s="173">
        <v>0.2</v>
      </c>
      <c r="E480" s="193" t="s">
        <v>30</v>
      </c>
      <c r="F480" s="193" t="s">
        <v>188</v>
      </c>
      <c r="G480" s="196" t="s">
        <v>1084</v>
      </c>
      <c r="H480" s="177"/>
    </row>
    <row r="481" ht="14.25" spans="1:8">
      <c r="A481" s="170">
        <v>473</v>
      </c>
      <c r="B481" s="196" t="s">
        <v>1085</v>
      </c>
      <c r="C481" s="177" t="s">
        <v>72</v>
      </c>
      <c r="D481" s="173">
        <v>0.2</v>
      </c>
      <c r="E481" s="193" t="s">
        <v>30</v>
      </c>
      <c r="F481" s="193" t="s">
        <v>188</v>
      </c>
      <c r="G481" s="196" t="s">
        <v>926</v>
      </c>
      <c r="H481" s="177"/>
    </row>
    <row r="482" ht="14.25" spans="1:8">
      <c r="A482" s="170">
        <v>474</v>
      </c>
      <c r="B482" s="196" t="s">
        <v>785</v>
      </c>
      <c r="C482" s="177" t="s">
        <v>72</v>
      </c>
      <c r="D482" s="173">
        <v>0.05</v>
      </c>
      <c r="E482" s="193" t="s">
        <v>30</v>
      </c>
      <c r="F482" s="193" t="s">
        <v>188</v>
      </c>
      <c r="G482" s="196" t="s">
        <v>1086</v>
      </c>
      <c r="H482" s="177"/>
    </row>
    <row r="483" ht="14.25" spans="1:8">
      <c r="A483" s="170">
        <v>475</v>
      </c>
      <c r="B483" s="192" t="s">
        <v>977</v>
      </c>
      <c r="C483" s="177" t="s">
        <v>72</v>
      </c>
      <c r="D483" s="173">
        <v>0.02</v>
      </c>
      <c r="E483" s="193" t="s">
        <v>30</v>
      </c>
      <c r="F483" s="193" t="s">
        <v>188</v>
      </c>
      <c r="G483" s="196" t="s">
        <v>978</v>
      </c>
      <c r="H483" s="177"/>
    </row>
    <row r="484" ht="14.25" spans="1:8">
      <c r="A484" s="170">
        <v>476</v>
      </c>
      <c r="B484" s="192" t="s">
        <v>397</v>
      </c>
      <c r="C484" s="177" t="s">
        <v>72</v>
      </c>
      <c r="D484" s="173">
        <v>0.09</v>
      </c>
      <c r="E484" s="193" t="s">
        <v>30</v>
      </c>
      <c r="F484" s="193" t="s">
        <v>188</v>
      </c>
      <c r="G484" s="196" t="s">
        <v>1087</v>
      </c>
      <c r="H484" s="177"/>
    </row>
    <row r="485" ht="14.25" spans="1:8">
      <c r="A485" s="170">
        <v>477</v>
      </c>
      <c r="B485" s="192" t="s">
        <v>1088</v>
      </c>
      <c r="C485" s="177" t="s">
        <v>72</v>
      </c>
      <c r="D485" s="173">
        <v>0.02</v>
      </c>
      <c r="E485" s="193" t="s">
        <v>30</v>
      </c>
      <c r="F485" s="193" t="s">
        <v>188</v>
      </c>
      <c r="G485" s="196" t="s">
        <v>1089</v>
      </c>
      <c r="H485" s="177"/>
    </row>
    <row r="486" ht="14.25" spans="1:8">
      <c r="A486" s="170">
        <v>478</v>
      </c>
      <c r="B486" s="192" t="s">
        <v>1088</v>
      </c>
      <c r="C486" s="177" t="s">
        <v>72</v>
      </c>
      <c r="D486" s="173">
        <v>0.02</v>
      </c>
      <c r="E486" s="193" t="s">
        <v>30</v>
      </c>
      <c r="F486" s="193" t="s">
        <v>188</v>
      </c>
      <c r="G486" s="196" t="s">
        <v>1090</v>
      </c>
      <c r="H486" s="177"/>
    </row>
    <row r="487" ht="14.25" spans="1:8">
      <c r="A487" s="170">
        <v>479</v>
      </c>
      <c r="B487" s="192" t="s">
        <v>1088</v>
      </c>
      <c r="C487" s="177" t="s">
        <v>72</v>
      </c>
      <c r="D487" s="173">
        <v>0.02</v>
      </c>
      <c r="E487" s="193" t="s">
        <v>30</v>
      </c>
      <c r="F487" s="193" t="s">
        <v>188</v>
      </c>
      <c r="G487" s="196" t="s">
        <v>1091</v>
      </c>
      <c r="H487" s="177"/>
    </row>
    <row r="488" ht="14.25" spans="1:8">
      <c r="A488" s="170">
        <v>480</v>
      </c>
      <c r="B488" s="192" t="s">
        <v>1092</v>
      </c>
      <c r="C488" s="177" t="s">
        <v>72</v>
      </c>
      <c r="D488" s="173">
        <v>0.01</v>
      </c>
      <c r="E488" s="193" t="s">
        <v>30</v>
      </c>
      <c r="F488" s="193" t="s">
        <v>188</v>
      </c>
      <c r="G488" s="196" t="s">
        <v>1093</v>
      </c>
      <c r="H488" s="177"/>
    </row>
    <row r="489" ht="14.25" spans="1:8">
      <c r="A489" s="170">
        <v>481</v>
      </c>
      <c r="B489" s="192" t="s">
        <v>1094</v>
      </c>
      <c r="C489" s="177" t="s">
        <v>72</v>
      </c>
      <c r="D489" s="173">
        <v>0.02</v>
      </c>
      <c r="E489" s="193" t="s">
        <v>30</v>
      </c>
      <c r="F489" s="193" t="s">
        <v>188</v>
      </c>
      <c r="G489" s="196" t="s">
        <v>1095</v>
      </c>
      <c r="H489" s="177"/>
    </row>
    <row r="490" ht="14.25" spans="1:8">
      <c r="A490" s="170">
        <v>482</v>
      </c>
      <c r="B490" s="196" t="s">
        <v>558</v>
      </c>
      <c r="C490" s="177" t="s">
        <v>72</v>
      </c>
      <c r="D490" s="173">
        <v>0.02</v>
      </c>
      <c r="E490" s="193" t="s">
        <v>30</v>
      </c>
      <c r="F490" s="193" t="s">
        <v>188</v>
      </c>
      <c r="G490" s="196" t="s">
        <v>559</v>
      </c>
      <c r="H490" s="177"/>
    </row>
    <row r="491" ht="14.25" spans="1:8">
      <c r="A491" s="170">
        <v>483</v>
      </c>
      <c r="B491" s="195" t="s">
        <v>1096</v>
      </c>
      <c r="C491" s="177" t="s">
        <v>72</v>
      </c>
      <c r="D491" s="173">
        <v>0.03</v>
      </c>
      <c r="E491" s="193" t="s">
        <v>30</v>
      </c>
      <c r="F491" s="193" t="s">
        <v>188</v>
      </c>
      <c r="G491" s="196" t="s">
        <v>1097</v>
      </c>
      <c r="H491" s="177"/>
    </row>
    <row r="492" ht="14.25" spans="1:8">
      <c r="A492" s="170">
        <v>484</v>
      </c>
      <c r="B492" s="192" t="s">
        <v>572</v>
      </c>
      <c r="C492" s="177" t="s">
        <v>72</v>
      </c>
      <c r="D492" s="173">
        <v>0.04</v>
      </c>
      <c r="E492" s="193" t="s">
        <v>30</v>
      </c>
      <c r="F492" s="193" t="s">
        <v>188</v>
      </c>
      <c r="G492" s="196" t="s">
        <v>1098</v>
      </c>
      <c r="H492" s="177"/>
    </row>
    <row r="493" ht="14.25" spans="1:8">
      <c r="A493" s="170">
        <v>485</v>
      </c>
      <c r="B493" s="192" t="s">
        <v>1099</v>
      </c>
      <c r="C493" s="177" t="s">
        <v>72</v>
      </c>
      <c r="D493" s="173">
        <v>0.08</v>
      </c>
      <c r="E493" s="193" t="s">
        <v>30</v>
      </c>
      <c r="F493" s="193" t="s">
        <v>188</v>
      </c>
      <c r="G493" s="196" t="s">
        <v>1100</v>
      </c>
      <c r="H493" s="177"/>
    </row>
    <row r="494" ht="14.25" spans="1:8">
      <c r="A494" s="170">
        <v>486</v>
      </c>
      <c r="B494" s="192" t="s">
        <v>556</v>
      </c>
      <c r="C494" s="177" t="s">
        <v>72</v>
      </c>
      <c r="D494" s="173">
        <v>0.04</v>
      </c>
      <c r="E494" s="193" t="s">
        <v>30</v>
      </c>
      <c r="F494" s="193" t="s">
        <v>188</v>
      </c>
      <c r="G494" s="196" t="s">
        <v>1101</v>
      </c>
      <c r="H494" s="177"/>
    </row>
    <row r="495" ht="14.25" spans="1:8">
      <c r="A495" s="170">
        <v>487</v>
      </c>
      <c r="B495" s="192" t="s">
        <v>1102</v>
      </c>
      <c r="C495" s="177" t="s">
        <v>72</v>
      </c>
      <c r="D495" s="173">
        <v>0.04</v>
      </c>
      <c r="E495" s="193" t="s">
        <v>30</v>
      </c>
      <c r="F495" s="193" t="s">
        <v>188</v>
      </c>
      <c r="G495" s="196" t="s">
        <v>1103</v>
      </c>
      <c r="H495" s="177"/>
    </row>
    <row r="496" ht="14.25" spans="1:8">
      <c r="A496" s="170">
        <v>488</v>
      </c>
      <c r="B496" s="192" t="s">
        <v>1102</v>
      </c>
      <c r="C496" s="177" t="s">
        <v>72</v>
      </c>
      <c r="D496" s="173">
        <v>0.04</v>
      </c>
      <c r="E496" s="193" t="s">
        <v>30</v>
      </c>
      <c r="F496" s="193" t="s">
        <v>188</v>
      </c>
      <c r="G496" s="196" t="s">
        <v>1104</v>
      </c>
      <c r="H496" s="177"/>
    </row>
    <row r="497" ht="14.25" spans="1:8">
      <c r="A497" s="170">
        <v>489</v>
      </c>
      <c r="B497" s="192" t="s">
        <v>1105</v>
      </c>
      <c r="C497" s="177" t="s">
        <v>72</v>
      </c>
      <c r="D497" s="173">
        <v>0.04</v>
      </c>
      <c r="E497" s="193" t="s">
        <v>30</v>
      </c>
      <c r="F497" s="193" t="s">
        <v>188</v>
      </c>
      <c r="G497" s="196" t="s">
        <v>1067</v>
      </c>
      <c r="H497" s="177"/>
    </row>
    <row r="498" ht="14.25" spans="1:8">
      <c r="A498" s="170">
        <v>490</v>
      </c>
      <c r="B498" s="195" t="s">
        <v>1106</v>
      </c>
      <c r="C498" s="177" t="s">
        <v>72</v>
      </c>
      <c r="D498" s="173">
        <v>0.09</v>
      </c>
      <c r="E498" s="193" t="s">
        <v>30</v>
      </c>
      <c r="F498" s="193" t="s">
        <v>188</v>
      </c>
      <c r="G498" s="196" t="s">
        <v>1107</v>
      </c>
      <c r="H498" s="177"/>
    </row>
    <row r="499" ht="14.25" spans="1:8">
      <c r="A499" s="170">
        <v>491</v>
      </c>
      <c r="B499" s="195" t="s">
        <v>649</v>
      </c>
      <c r="C499" s="177" t="s">
        <v>72</v>
      </c>
      <c r="D499" s="173">
        <v>0.01</v>
      </c>
      <c r="E499" s="193" t="s">
        <v>30</v>
      </c>
      <c r="F499" s="193" t="s">
        <v>188</v>
      </c>
      <c r="G499" s="196" t="s">
        <v>1108</v>
      </c>
      <c r="H499" s="177"/>
    </row>
    <row r="500" ht="14.25" spans="1:8">
      <c r="A500" s="170">
        <v>492</v>
      </c>
      <c r="B500" s="195" t="s">
        <v>649</v>
      </c>
      <c r="C500" s="177" t="s">
        <v>72</v>
      </c>
      <c r="D500" s="173">
        <v>0.01</v>
      </c>
      <c r="E500" s="193" t="s">
        <v>30</v>
      </c>
      <c r="F500" s="193" t="s">
        <v>188</v>
      </c>
      <c r="G500" s="196" t="s">
        <v>1007</v>
      </c>
      <c r="H500" s="177"/>
    </row>
    <row r="501" ht="14.25" spans="1:8">
      <c r="A501" s="170">
        <v>493</v>
      </c>
      <c r="B501" s="195" t="s">
        <v>649</v>
      </c>
      <c r="C501" s="177" t="s">
        <v>72</v>
      </c>
      <c r="D501" s="173">
        <v>0.01</v>
      </c>
      <c r="E501" s="193" t="s">
        <v>30</v>
      </c>
      <c r="F501" s="193" t="s">
        <v>188</v>
      </c>
      <c r="G501" s="196" t="s">
        <v>1109</v>
      </c>
      <c r="H501" s="177"/>
    </row>
    <row r="502" ht="14.25" spans="1:8">
      <c r="A502" s="170">
        <v>494</v>
      </c>
      <c r="B502" s="195" t="s">
        <v>649</v>
      </c>
      <c r="C502" s="177" t="s">
        <v>72</v>
      </c>
      <c r="D502" s="173">
        <v>0.01</v>
      </c>
      <c r="E502" s="193" t="s">
        <v>30</v>
      </c>
      <c r="F502" s="193" t="s">
        <v>188</v>
      </c>
      <c r="G502" s="196" t="s">
        <v>1110</v>
      </c>
      <c r="H502" s="177"/>
    </row>
    <row r="503" ht="14.25" spans="1:8">
      <c r="A503" s="170">
        <v>495</v>
      </c>
      <c r="B503" s="195" t="s">
        <v>649</v>
      </c>
      <c r="C503" s="177" t="s">
        <v>72</v>
      </c>
      <c r="D503" s="173">
        <v>0.01</v>
      </c>
      <c r="E503" s="193" t="s">
        <v>30</v>
      </c>
      <c r="F503" s="193" t="s">
        <v>188</v>
      </c>
      <c r="G503" s="196" t="s">
        <v>1111</v>
      </c>
      <c r="H503" s="177"/>
    </row>
    <row r="504" ht="14.25" spans="1:8">
      <c r="A504" s="170">
        <v>496</v>
      </c>
      <c r="B504" s="195" t="s">
        <v>649</v>
      </c>
      <c r="C504" s="177" t="s">
        <v>72</v>
      </c>
      <c r="D504" s="173">
        <v>0.01</v>
      </c>
      <c r="E504" s="193" t="s">
        <v>30</v>
      </c>
      <c r="F504" s="193" t="s">
        <v>188</v>
      </c>
      <c r="G504" s="196" t="s">
        <v>1112</v>
      </c>
      <c r="H504" s="177"/>
    </row>
    <row r="505" ht="14.25" spans="1:8">
      <c r="A505" s="170">
        <v>497</v>
      </c>
      <c r="B505" s="195" t="s">
        <v>649</v>
      </c>
      <c r="C505" s="177" t="s">
        <v>72</v>
      </c>
      <c r="D505" s="173">
        <v>0.01</v>
      </c>
      <c r="E505" s="193" t="s">
        <v>30</v>
      </c>
      <c r="F505" s="193" t="s">
        <v>188</v>
      </c>
      <c r="G505" s="196" t="s">
        <v>1113</v>
      </c>
      <c r="H505" s="177"/>
    </row>
    <row r="506" ht="14.25" spans="1:8">
      <c r="A506" s="170">
        <v>498</v>
      </c>
      <c r="B506" s="195" t="s">
        <v>649</v>
      </c>
      <c r="C506" s="177" t="s">
        <v>72</v>
      </c>
      <c r="D506" s="173">
        <v>0.01</v>
      </c>
      <c r="E506" s="193" t="s">
        <v>30</v>
      </c>
      <c r="F506" s="193" t="s">
        <v>188</v>
      </c>
      <c r="G506" s="196" t="s">
        <v>1114</v>
      </c>
      <c r="H506" s="177"/>
    </row>
    <row r="507" ht="14.25" spans="1:8">
      <c r="A507" s="170">
        <v>499</v>
      </c>
      <c r="B507" s="195" t="s">
        <v>649</v>
      </c>
      <c r="C507" s="177" t="s">
        <v>72</v>
      </c>
      <c r="D507" s="173">
        <v>0.01</v>
      </c>
      <c r="E507" s="193" t="s">
        <v>30</v>
      </c>
      <c r="F507" s="193" t="s">
        <v>188</v>
      </c>
      <c r="G507" s="196" t="s">
        <v>1115</v>
      </c>
      <c r="H507" s="177"/>
    </row>
    <row r="508" ht="14.25" spans="1:8">
      <c r="A508" s="170">
        <v>500</v>
      </c>
      <c r="B508" s="195" t="s">
        <v>649</v>
      </c>
      <c r="C508" s="177" t="s">
        <v>72</v>
      </c>
      <c r="D508" s="173">
        <v>0.01</v>
      </c>
      <c r="E508" s="193" t="s">
        <v>30</v>
      </c>
      <c r="F508" s="193" t="s">
        <v>188</v>
      </c>
      <c r="G508" s="196" t="s">
        <v>1116</v>
      </c>
      <c r="H508" s="177"/>
    </row>
    <row r="509" ht="14.25" spans="1:8">
      <c r="A509" s="170">
        <v>501</v>
      </c>
      <c r="B509" s="195" t="s">
        <v>1117</v>
      </c>
      <c r="C509" s="177" t="s">
        <v>72</v>
      </c>
      <c r="D509" s="173">
        <v>0.03</v>
      </c>
      <c r="E509" s="193" t="s">
        <v>30</v>
      </c>
      <c r="F509" s="193" t="s">
        <v>188</v>
      </c>
      <c r="G509" s="196" t="s">
        <v>1118</v>
      </c>
      <c r="H509" s="177"/>
    </row>
    <row r="510" ht="14.25" spans="1:8">
      <c r="A510" s="170">
        <v>502</v>
      </c>
      <c r="B510" s="195" t="s">
        <v>1119</v>
      </c>
      <c r="C510" s="177" t="s">
        <v>72</v>
      </c>
      <c r="D510" s="173">
        <v>0.09</v>
      </c>
      <c r="E510" s="193" t="s">
        <v>30</v>
      </c>
      <c r="F510" s="193" t="s">
        <v>188</v>
      </c>
      <c r="G510" s="196" t="s">
        <v>1120</v>
      </c>
      <c r="H510" s="177"/>
    </row>
    <row r="511" ht="14.25" spans="1:8">
      <c r="A511" s="170">
        <v>503</v>
      </c>
      <c r="B511" s="195" t="s">
        <v>1121</v>
      </c>
      <c r="C511" s="177" t="s">
        <v>72</v>
      </c>
      <c r="D511" s="173">
        <v>0.09</v>
      </c>
      <c r="E511" s="193" t="s">
        <v>30</v>
      </c>
      <c r="F511" s="193" t="s">
        <v>188</v>
      </c>
      <c r="G511" s="196" t="s">
        <v>1122</v>
      </c>
      <c r="H511" s="177"/>
    </row>
    <row r="512" ht="14.25" spans="1:8">
      <c r="A512" s="170">
        <v>504</v>
      </c>
      <c r="B512" s="198" t="s">
        <v>1123</v>
      </c>
      <c r="C512" s="172" t="s">
        <v>72</v>
      </c>
      <c r="D512" s="173">
        <v>0.13</v>
      </c>
      <c r="E512" s="199" t="s">
        <v>30</v>
      </c>
      <c r="F512" s="199" t="s">
        <v>188</v>
      </c>
      <c r="G512" s="200" t="s">
        <v>1124</v>
      </c>
      <c r="H512" s="177"/>
    </row>
    <row r="513" ht="14.25" spans="1:8">
      <c r="A513" s="170">
        <v>505</v>
      </c>
      <c r="B513" s="198" t="s">
        <v>1066</v>
      </c>
      <c r="C513" s="172" t="s">
        <v>72</v>
      </c>
      <c r="D513" s="173">
        <v>0.08</v>
      </c>
      <c r="E513" s="199" t="s">
        <v>30</v>
      </c>
      <c r="F513" s="199" t="s">
        <v>188</v>
      </c>
      <c r="G513" s="200" t="s">
        <v>1125</v>
      </c>
      <c r="H513" s="177"/>
    </row>
    <row r="514" ht="14.25" spans="1:8">
      <c r="A514" s="170">
        <v>506</v>
      </c>
      <c r="B514" s="198" t="s">
        <v>1066</v>
      </c>
      <c r="C514" s="172" t="s">
        <v>72</v>
      </c>
      <c r="D514" s="173">
        <v>0.06</v>
      </c>
      <c r="E514" s="199" t="s">
        <v>30</v>
      </c>
      <c r="F514" s="199" t="s">
        <v>188</v>
      </c>
      <c r="G514" s="200" t="s">
        <v>1126</v>
      </c>
      <c r="H514" s="177"/>
    </row>
    <row r="515" ht="14.25" spans="1:8">
      <c r="A515" s="170">
        <v>507</v>
      </c>
      <c r="B515" s="198" t="s">
        <v>1127</v>
      </c>
      <c r="C515" s="172" t="s">
        <v>72</v>
      </c>
      <c r="D515" s="173">
        <v>0.19</v>
      </c>
      <c r="E515" s="199" t="s">
        <v>30</v>
      </c>
      <c r="F515" s="199" t="s">
        <v>188</v>
      </c>
      <c r="G515" s="200" t="s">
        <v>1128</v>
      </c>
      <c r="H515" s="177"/>
    </row>
    <row r="516" ht="14.25" spans="1:8">
      <c r="A516" s="170">
        <v>508</v>
      </c>
      <c r="B516" s="201" t="s">
        <v>1129</v>
      </c>
      <c r="C516" s="195" t="s">
        <v>72</v>
      </c>
      <c r="D516" s="173">
        <v>0.07</v>
      </c>
      <c r="E516" s="199" t="s">
        <v>30</v>
      </c>
      <c r="F516" s="199" t="s">
        <v>188</v>
      </c>
      <c r="G516" s="202" t="s">
        <v>1130</v>
      </c>
      <c r="H516" s="177"/>
    </row>
    <row r="517" ht="14.25" spans="1:8">
      <c r="A517" s="170">
        <v>509</v>
      </c>
      <c r="B517" s="192" t="s">
        <v>1131</v>
      </c>
      <c r="C517" s="177" t="s">
        <v>72</v>
      </c>
      <c r="D517" s="173">
        <v>0.09</v>
      </c>
      <c r="E517" s="193" t="s">
        <v>30</v>
      </c>
      <c r="F517" s="193" t="s">
        <v>188</v>
      </c>
      <c r="G517" s="196" t="s">
        <v>1132</v>
      </c>
      <c r="H517" s="177"/>
    </row>
    <row r="518" ht="14.25" spans="1:8">
      <c r="A518" s="170">
        <v>510</v>
      </c>
      <c r="B518" s="192" t="s">
        <v>1131</v>
      </c>
      <c r="C518" s="177" t="s">
        <v>72</v>
      </c>
      <c r="D518" s="173">
        <v>0.08</v>
      </c>
      <c r="E518" s="193" t="s">
        <v>30</v>
      </c>
      <c r="F518" s="193" t="s">
        <v>188</v>
      </c>
      <c r="G518" s="196" t="s">
        <v>1133</v>
      </c>
      <c r="H518" s="177"/>
    </row>
    <row r="519" ht="14.25" spans="1:8">
      <c r="A519" s="170">
        <v>511</v>
      </c>
      <c r="B519" s="192" t="s">
        <v>1134</v>
      </c>
      <c r="C519" s="177" t="s">
        <v>72</v>
      </c>
      <c r="D519" s="173">
        <v>0.04</v>
      </c>
      <c r="E519" s="193" t="s">
        <v>30</v>
      </c>
      <c r="F519" s="193" t="s">
        <v>188</v>
      </c>
      <c r="G519" s="196" t="s">
        <v>652</v>
      </c>
      <c r="H519" s="177"/>
    </row>
    <row r="520" ht="14.25" spans="1:8">
      <c r="A520" s="170">
        <v>512</v>
      </c>
      <c r="B520" s="192" t="s">
        <v>1135</v>
      </c>
      <c r="C520" s="177" t="s">
        <v>72</v>
      </c>
      <c r="D520" s="173">
        <v>0.04</v>
      </c>
      <c r="E520" s="193" t="s">
        <v>30</v>
      </c>
      <c r="F520" s="193" t="s">
        <v>188</v>
      </c>
      <c r="G520" s="196" t="s">
        <v>1136</v>
      </c>
      <c r="H520" s="177"/>
    </row>
    <row r="521" ht="14.25" spans="1:8">
      <c r="A521" s="170">
        <v>513</v>
      </c>
      <c r="B521" s="192" t="s">
        <v>1137</v>
      </c>
      <c r="C521" s="177" t="s">
        <v>72</v>
      </c>
      <c r="D521" s="173">
        <v>0.09</v>
      </c>
      <c r="E521" s="193" t="s">
        <v>30</v>
      </c>
      <c r="F521" s="193" t="s">
        <v>188</v>
      </c>
      <c r="G521" s="196" t="s">
        <v>1138</v>
      </c>
      <c r="H521" s="177"/>
    </row>
    <row r="522" ht="14.25" spans="1:8">
      <c r="A522" s="170">
        <v>514</v>
      </c>
      <c r="B522" s="203" t="s">
        <v>875</v>
      </c>
      <c r="C522" s="177" t="s">
        <v>72</v>
      </c>
      <c r="D522" s="173">
        <v>0.09</v>
      </c>
      <c r="E522" s="204" t="s">
        <v>30</v>
      </c>
      <c r="F522" s="176" t="s">
        <v>188</v>
      </c>
      <c r="G522" s="205" t="s">
        <v>1139</v>
      </c>
      <c r="H522" s="171"/>
    </row>
    <row r="523" ht="14.25" spans="1:8">
      <c r="A523" s="170">
        <v>515</v>
      </c>
      <c r="B523" s="203" t="s">
        <v>1140</v>
      </c>
      <c r="C523" s="177" t="s">
        <v>72</v>
      </c>
      <c r="D523" s="173">
        <v>0.07</v>
      </c>
      <c r="E523" s="204" t="s">
        <v>30</v>
      </c>
      <c r="F523" s="176" t="s">
        <v>188</v>
      </c>
      <c r="G523" s="205" t="s">
        <v>1141</v>
      </c>
      <c r="H523" s="171"/>
    </row>
    <row r="524" ht="14.25" spans="1:8">
      <c r="A524" s="170">
        <v>516</v>
      </c>
      <c r="B524" s="203" t="s">
        <v>1142</v>
      </c>
      <c r="C524" s="177" t="s">
        <v>72</v>
      </c>
      <c r="D524" s="173">
        <v>0.12</v>
      </c>
      <c r="E524" s="204" t="s">
        <v>30</v>
      </c>
      <c r="F524" s="176" t="s">
        <v>188</v>
      </c>
      <c r="G524" s="205" t="s">
        <v>1143</v>
      </c>
      <c r="H524" s="171"/>
    </row>
    <row r="525" ht="14.25" spans="1:8">
      <c r="A525" s="170">
        <v>517</v>
      </c>
      <c r="B525" s="203" t="s">
        <v>957</v>
      </c>
      <c r="C525" s="177" t="s">
        <v>72</v>
      </c>
      <c r="D525" s="173">
        <v>0.09</v>
      </c>
      <c r="E525" s="204" t="s">
        <v>30</v>
      </c>
      <c r="F525" s="176" t="s">
        <v>188</v>
      </c>
      <c r="G525" s="205" t="s">
        <v>1144</v>
      </c>
      <c r="H525" s="171"/>
    </row>
    <row r="526" ht="14.25" spans="1:8">
      <c r="A526" s="170">
        <v>518</v>
      </c>
      <c r="B526" s="203" t="s">
        <v>386</v>
      </c>
      <c r="C526" s="177" t="s">
        <v>72</v>
      </c>
      <c r="D526" s="173">
        <v>0.09</v>
      </c>
      <c r="E526" s="204" t="s">
        <v>30</v>
      </c>
      <c r="F526" s="176" t="s">
        <v>188</v>
      </c>
      <c r="G526" s="205" t="s">
        <v>1145</v>
      </c>
      <c r="H526" s="171"/>
    </row>
    <row r="527" ht="14.25" spans="1:8">
      <c r="A527" s="170">
        <v>519</v>
      </c>
      <c r="B527" s="203" t="s">
        <v>649</v>
      </c>
      <c r="C527" s="177" t="s">
        <v>72</v>
      </c>
      <c r="D527" s="173">
        <v>0.06</v>
      </c>
      <c r="E527" s="204" t="s">
        <v>30</v>
      </c>
      <c r="F527" s="176" t="s">
        <v>188</v>
      </c>
      <c r="G527" s="205" t="s">
        <v>1146</v>
      </c>
      <c r="H527" s="171"/>
    </row>
    <row r="528" ht="14.25" spans="1:8">
      <c r="A528" s="170">
        <v>520</v>
      </c>
      <c r="B528" s="203" t="s">
        <v>1147</v>
      </c>
      <c r="C528" s="177" t="s">
        <v>72</v>
      </c>
      <c r="D528" s="173">
        <v>0.06</v>
      </c>
      <c r="E528" s="204" t="s">
        <v>30</v>
      </c>
      <c r="F528" s="176" t="s">
        <v>188</v>
      </c>
      <c r="G528" s="205" t="s">
        <v>1148</v>
      </c>
      <c r="H528" s="171"/>
    </row>
    <row r="529" ht="14.25" spans="1:8">
      <c r="A529" s="170">
        <v>521</v>
      </c>
      <c r="B529" s="203" t="s">
        <v>969</v>
      </c>
      <c r="C529" s="177" t="s">
        <v>72</v>
      </c>
      <c r="D529" s="173">
        <v>0.22</v>
      </c>
      <c r="E529" s="204" t="s">
        <v>30</v>
      </c>
      <c r="F529" s="176" t="s">
        <v>188</v>
      </c>
      <c r="G529" s="205" t="s">
        <v>1002</v>
      </c>
      <c r="H529" s="171"/>
    </row>
    <row r="530" ht="14.25" spans="1:8">
      <c r="A530" s="170">
        <v>522</v>
      </c>
      <c r="B530" s="203" t="s">
        <v>982</v>
      </c>
      <c r="C530" s="177" t="s">
        <v>72</v>
      </c>
      <c r="D530" s="173">
        <v>0.09</v>
      </c>
      <c r="E530" s="204" t="s">
        <v>30</v>
      </c>
      <c r="F530" s="176" t="s">
        <v>188</v>
      </c>
      <c r="G530" s="205" t="s">
        <v>983</v>
      </c>
      <c r="H530" s="171"/>
    </row>
    <row r="531" ht="14.25" spans="1:8">
      <c r="A531" s="206" t="s">
        <v>1149</v>
      </c>
      <c r="B531" s="166" t="s">
        <v>302</v>
      </c>
      <c r="C531" s="166"/>
      <c r="D531" s="207"/>
      <c r="E531" s="208"/>
      <c r="F531" s="161"/>
      <c r="G531" s="166"/>
      <c r="H531" s="166"/>
    </row>
    <row r="532" ht="14.25" spans="1:8">
      <c r="A532" s="176">
        <v>1</v>
      </c>
      <c r="B532" s="171" t="s">
        <v>1150</v>
      </c>
      <c r="C532" s="172" t="s">
        <v>193</v>
      </c>
      <c r="D532" s="173">
        <v>0.04</v>
      </c>
      <c r="E532" s="174" t="s">
        <v>30</v>
      </c>
      <c r="F532" s="204" t="s">
        <v>188</v>
      </c>
      <c r="G532" s="172" t="s">
        <v>1151</v>
      </c>
      <c r="H532" s="209"/>
    </row>
    <row r="533" ht="14.25" spans="1:8">
      <c r="A533" s="176">
        <v>2</v>
      </c>
      <c r="B533" s="171" t="s">
        <v>1152</v>
      </c>
      <c r="C533" s="172" t="s">
        <v>193</v>
      </c>
      <c r="D533" s="173">
        <v>0.04</v>
      </c>
      <c r="E533" s="174" t="s">
        <v>30</v>
      </c>
      <c r="F533" s="204" t="s">
        <v>188</v>
      </c>
      <c r="G533" s="172" t="s">
        <v>1153</v>
      </c>
      <c r="H533" s="209"/>
    </row>
    <row r="534" ht="14.25" spans="1:8">
      <c r="A534" s="176">
        <v>3</v>
      </c>
      <c r="B534" s="171" t="s">
        <v>1154</v>
      </c>
      <c r="C534" s="172" t="s">
        <v>193</v>
      </c>
      <c r="D534" s="173">
        <v>0.02</v>
      </c>
      <c r="E534" s="174" t="s">
        <v>30</v>
      </c>
      <c r="F534" s="204" t="s">
        <v>188</v>
      </c>
      <c r="G534" s="172" t="s">
        <v>1155</v>
      </c>
      <c r="H534" s="209"/>
    </row>
    <row r="535" ht="14.25" spans="1:8">
      <c r="A535" s="176">
        <v>4</v>
      </c>
      <c r="B535" s="171" t="s">
        <v>1156</v>
      </c>
      <c r="C535" s="172" t="s">
        <v>193</v>
      </c>
      <c r="D535" s="173">
        <v>0.04</v>
      </c>
      <c r="E535" s="174" t="s">
        <v>30</v>
      </c>
      <c r="F535" s="204" t="s">
        <v>188</v>
      </c>
      <c r="G535" s="172" t="s">
        <v>1157</v>
      </c>
      <c r="H535" s="209"/>
    </row>
    <row r="536" ht="14.25" spans="1:8">
      <c r="A536" s="176">
        <v>5</v>
      </c>
      <c r="B536" s="171" t="s">
        <v>1158</v>
      </c>
      <c r="C536" s="172" t="s">
        <v>193</v>
      </c>
      <c r="D536" s="173">
        <v>0.02</v>
      </c>
      <c r="E536" s="174" t="s">
        <v>30</v>
      </c>
      <c r="F536" s="204" t="s">
        <v>188</v>
      </c>
      <c r="G536" s="172" t="s">
        <v>1159</v>
      </c>
      <c r="H536" s="209"/>
    </row>
    <row r="537" ht="14.25" spans="1:8">
      <c r="A537" s="176">
        <v>6</v>
      </c>
      <c r="B537" s="171" t="s">
        <v>1160</v>
      </c>
      <c r="C537" s="172" t="s">
        <v>193</v>
      </c>
      <c r="D537" s="173">
        <v>0.02</v>
      </c>
      <c r="E537" s="174" t="s">
        <v>30</v>
      </c>
      <c r="F537" s="204" t="s">
        <v>188</v>
      </c>
      <c r="G537" s="172" t="s">
        <v>1161</v>
      </c>
      <c r="H537" s="209"/>
    </row>
    <row r="538" ht="14.25" spans="1:8">
      <c r="A538" s="176">
        <v>7</v>
      </c>
      <c r="B538" s="171" t="s">
        <v>1162</v>
      </c>
      <c r="C538" s="172" t="s">
        <v>193</v>
      </c>
      <c r="D538" s="173">
        <v>0.04</v>
      </c>
      <c r="E538" s="174" t="s">
        <v>30</v>
      </c>
      <c r="F538" s="204" t="s">
        <v>188</v>
      </c>
      <c r="G538" s="172" t="s">
        <v>1163</v>
      </c>
      <c r="H538" s="209"/>
    </row>
    <row r="539" ht="14.25" spans="1:8">
      <c r="A539" s="176">
        <v>8</v>
      </c>
      <c r="B539" s="171" t="s">
        <v>1164</v>
      </c>
      <c r="C539" s="172" t="s">
        <v>193</v>
      </c>
      <c r="D539" s="173">
        <v>0.03</v>
      </c>
      <c r="E539" s="174" t="s">
        <v>30</v>
      </c>
      <c r="F539" s="204" t="s">
        <v>188</v>
      </c>
      <c r="G539" s="172" t="s">
        <v>1165</v>
      </c>
      <c r="H539" s="209"/>
    </row>
    <row r="540" ht="14.25" spans="1:8">
      <c r="A540" s="176">
        <v>9</v>
      </c>
      <c r="B540" s="171" t="s">
        <v>1166</v>
      </c>
      <c r="C540" s="172" t="s">
        <v>193</v>
      </c>
      <c r="D540" s="173">
        <v>0.04</v>
      </c>
      <c r="E540" s="174" t="s">
        <v>30</v>
      </c>
      <c r="F540" s="204" t="s">
        <v>188</v>
      </c>
      <c r="G540" s="172" t="s">
        <v>1167</v>
      </c>
      <c r="H540" s="209"/>
    </row>
    <row r="541" ht="14.25" spans="1:8">
      <c r="A541" s="176">
        <v>10</v>
      </c>
      <c r="B541" s="171" t="s">
        <v>1168</v>
      </c>
      <c r="C541" s="172" t="s">
        <v>193</v>
      </c>
      <c r="D541" s="173">
        <v>0.04</v>
      </c>
      <c r="E541" s="174" t="s">
        <v>30</v>
      </c>
      <c r="F541" s="204" t="s">
        <v>188</v>
      </c>
      <c r="G541" s="172" t="s">
        <v>1169</v>
      </c>
      <c r="H541" s="209"/>
    </row>
    <row r="542" ht="14.25" spans="1:8">
      <c r="A542" s="176">
        <v>11</v>
      </c>
      <c r="B542" s="171" t="s">
        <v>1170</v>
      </c>
      <c r="C542" s="172" t="s">
        <v>193</v>
      </c>
      <c r="D542" s="173">
        <v>0.04</v>
      </c>
      <c r="E542" s="174" t="s">
        <v>30</v>
      </c>
      <c r="F542" s="204" t="s">
        <v>188</v>
      </c>
      <c r="G542" s="172" t="s">
        <v>1171</v>
      </c>
      <c r="H542" s="209"/>
    </row>
    <row r="543" ht="14.25" spans="1:8">
      <c r="A543" s="176">
        <v>12</v>
      </c>
      <c r="B543" s="171" t="s">
        <v>1172</v>
      </c>
      <c r="C543" s="172" t="s">
        <v>193</v>
      </c>
      <c r="D543" s="173">
        <v>0.02</v>
      </c>
      <c r="E543" s="174" t="s">
        <v>30</v>
      </c>
      <c r="F543" s="204" t="s">
        <v>188</v>
      </c>
      <c r="G543" s="172" t="s">
        <v>1173</v>
      </c>
      <c r="H543" s="209"/>
    </row>
    <row r="544" ht="14.25" spans="1:8">
      <c r="A544" s="176">
        <v>13</v>
      </c>
      <c r="B544" s="182" t="s">
        <v>1174</v>
      </c>
      <c r="C544" s="210" t="s">
        <v>193</v>
      </c>
      <c r="D544" s="173">
        <v>0.02</v>
      </c>
      <c r="E544" s="204" t="s">
        <v>30</v>
      </c>
      <c r="F544" s="204" t="s">
        <v>188</v>
      </c>
      <c r="G544" s="210" t="s">
        <v>1175</v>
      </c>
      <c r="H544" s="171"/>
    </row>
    <row r="545" ht="14.25" spans="1:8">
      <c r="A545" s="176">
        <v>14</v>
      </c>
      <c r="B545" s="182" t="s">
        <v>1176</v>
      </c>
      <c r="C545" s="210" t="s">
        <v>193</v>
      </c>
      <c r="D545" s="173">
        <v>0.04</v>
      </c>
      <c r="E545" s="204" t="s">
        <v>30</v>
      </c>
      <c r="F545" s="204" t="s">
        <v>188</v>
      </c>
      <c r="G545" s="171" t="s">
        <v>1177</v>
      </c>
      <c r="H545" s="171"/>
    </row>
    <row r="546" ht="14.25" spans="1:8">
      <c r="A546" s="176">
        <v>15</v>
      </c>
      <c r="B546" s="182" t="s">
        <v>1178</v>
      </c>
      <c r="C546" s="210" t="s">
        <v>193</v>
      </c>
      <c r="D546" s="173">
        <v>0.04</v>
      </c>
      <c r="E546" s="204" t="s">
        <v>30</v>
      </c>
      <c r="F546" s="204" t="s">
        <v>188</v>
      </c>
      <c r="G546" s="171" t="s">
        <v>1179</v>
      </c>
      <c r="H546" s="171"/>
    </row>
    <row r="547" ht="14.25" spans="1:8">
      <c r="A547" s="176">
        <v>16</v>
      </c>
      <c r="B547" s="182" t="s">
        <v>1180</v>
      </c>
      <c r="C547" s="210" t="s">
        <v>193</v>
      </c>
      <c r="D547" s="173">
        <v>0.04</v>
      </c>
      <c r="E547" s="204" t="s">
        <v>30</v>
      </c>
      <c r="F547" s="204" t="s">
        <v>188</v>
      </c>
      <c r="G547" s="210" t="s">
        <v>1181</v>
      </c>
      <c r="H547" s="171"/>
    </row>
    <row r="548" ht="14.25" spans="1:8">
      <c r="A548" s="176">
        <v>17</v>
      </c>
      <c r="B548" s="182" t="s">
        <v>1178</v>
      </c>
      <c r="C548" s="210" t="s">
        <v>193</v>
      </c>
      <c r="D548" s="173">
        <v>0.04</v>
      </c>
      <c r="E548" s="204" t="s">
        <v>30</v>
      </c>
      <c r="F548" s="204" t="s">
        <v>188</v>
      </c>
      <c r="G548" s="210" t="s">
        <v>1182</v>
      </c>
      <c r="H548" s="171"/>
    </row>
    <row r="549" ht="14.25" spans="1:8">
      <c r="A549" s="176">
        <v>18</v>
      </c>
      <c r="B549" s="182" t="s">
        <v>1183</v>
      </c>
      <c r="C549" s="210" t="s">
        <v>193</v>
      </c>
      <c r="D549" s="173">
        <v>0.04</v>
      </c>
      <c r="E549" s="204" t="s">
        <v>30</v>
      </c>
      <c r="F549" s="204" t="s">
        <v>188</v>
      </c>
      <c r="G549" s="210" t="s">
        <v>1184</v>
      </c>
      <c r="H549" s="171"/>
    </row>
    <row r="550" ht="14.25" spans="1:8">
      <c r="A550" s="176">
        <v>19</v>
      </c>
      <c r="B550" s="182" t="s">
        <v>1185</v>
      </c>
      <c r="C550" s="210" t="s">
        <v>193</v>
      </c>
      <c r="D550" s="173">
        <v>0.01</v>
      </c>
      <c r="E550" s="204" t="s">
        <v>30</v>
      </c>
      <c r="F550" s="204" t="s">
        <v>188</v>
      </c>
      <c r="G550" s="210" t="s">
        <v>1186</v>
      </c>
      <c r="H550" s="171"/>
    </row>
    <row r="551" ht="14.25" spans="1:8">
      <c r="A551" s="176">
        <v>20</v>
      </c>
      <c r="B551" s="182" t="s">
        <v>1187</v>
      </c>
      <c r="C551" s="210" t="s">
        <v>193</v>
      </c>
      <c r="D551" s="173">
        <v>0.04</v>
      </c>
      <c r="E551" s="204" t="s">
        <v>30</v>
      </c>
      <c r="F551" s="204" t="s">
        <v>188</v>
      </c>
      <c r="G551" s="210" t="s">
        <v>1188</v>
      </c>
      <c r="H551" s="171"/>
    </row>
    <row r="552" ht="14.25" spans="1:8">
      <c r="A552" s="176">
        <v>21</v>
      </c>
      <c r="B552" s="182" t="s">
        <v>1189</v>
      </c>
      <c r="C552" s="210" t="s">
        <v>193</v>
      </c>
      <c r="D552" s="173">
        <v>0.04</v>
      </c>
      <c r="E552" s="204" t="s">
        <v>30</v>
      </c>
      <c r="F552" s="204" t="s">
        <v>188</v>
      </c>
      <c r="G552" s="210" t="s">
        <v>1190</v>
      </c>
      <c r="H552" s="171"/>
    </row>
    <row r="553" ht="14.25" spans="1:8">
      <c r="A553" s="176">
        <v>22</v>
      </c>
      <c r="B553" s="182" t="s">
        <v>1191</v>
      </c>
      <c r="C553" s="210" t="s">
        <v>193</v>
      </c>
      <c r="D553" s="173">
        <v>0.03</v>
      </c>
      <c r="E553" s="204" t="s">
        <v>30</v>
      </c>
      <c r="F553" s="204" t="s">
        <v>188</v>
      </c>
      <c r="G553" s="210" t="s">
        <v>1192</v>
      </c>
      <c r="H553" s="171"/>
    </row>
    <row r="554" ht="14.25" spans="1:8">
      <c r="A554" s="176">
        <v>23</v>
      </c>
      <c r="B554" s="182" t="s">
        <v>1193</v>
      </c>
      <c r="C554" s="210" t="s">
        <v>193</v>
      </c>
      <c r="D554" s="173">
        <v>0.04</v>
      </c>
      <c r="E554" s="204" t="s">
        <v>30</v>
      </c>
      <c r="F554" s="204" t="s">
        <v>188</v>
      </c>
      <c r="G554" s="210" t="s">
        <v>1194</v>
      </c>
      <c r="H554" s="171"/>
    </row>
    <row r="555" ht="14.25" spans="1:8">
      <c r="A555" s="176">
        <v>24</v>
      </c>
      <c r="B555" s="182" t="s">
        <v>1195</v>
      </c>
      <c r="C555" s="210" t="s">
        <v>193</v>
      </c>
      <c r="D555" s="173">
        <v>0.04</v>
      </c>
      <c r="E555" s="204" t="s">
        <v>30</v>
      </c>
      <c r="F555" s="204" t="s">
        <v>188</v>
      </c>
      <c r="G555" s="210" t="s">
        <v>1196</v>
      </c>
      <c r="H555" s="171"/>
    </row>
    <row r="556" ht="14.25" spans="1:8">
      <c r="A556" s="176">
        <v>25</v>
      </c>
      <c r="B556" s="182" t="s">
        <v>1164</v>
      </c>
      <c r="C556" s="210" t="s">
        <v>193</v>
      </c>
      <c r="D556" s="173">
        <v>0.04</v>
      </c>
      <c r="E556" s="204" t="s">
        <v>30</v>
      </c>
      <c r="F556" s="204" t="s">
        <v>188</v>
      </c>
      <c r="G556" s="210" t="s">
        <v>1197</v>
      </c>
      <c r="H556" s="171"/>
    </row>
    <row r="557" ht="14.25" spans="1:8">
      <c r="A557" s="176">
        <v>26</v>
      </c>
      <c r="B557" s="182" t="s">
        <v>1198</v>
      </c>
      <c r="C557" s="210" t="s">
        <v>193</v>
      </c>
      <c r="D557" s="173">
        <v>0.04</v>
      </c>
      <c r="E557" s="204" t="s">
        <v>30</v>
      </c>
      <c r="F557" s="204" t="s">
        <v>188</v>
      </c>
      <c r="G557" s="210" t="s">
        <v>1199</v>
      </c>
      <c r="H557" s="171"/>
    </row>
    <row r="558" ht="14.25" spans="1:8">
      <c r="A558" s="176">
        <v>27</v>
      </c>
      <c r="B558" s="182" t="s">
        <v>1200</v>
      </c>
      <c r="C558" s="210" t="s">
        <v>193</v>
      </c>
      <c r="D558" s="173">
        <v>0.02</v>
      </c>
      <c r="E558" s="204" t="s">
        <v>30</v>
      </c>
      <c r="F558" s="204" t="s">
        <v>188</v>
      </c>
      <c r="G558" s="210" t="s">
        <v>1201</v>
      </c>
      <c r="H558" s="171"/>
    </row>
    <row r="559" ht="14.25" spans="1:8">
      <c r="A559" s="176">
        <v>28</v>
      </c>
      <c r="B559" s="182" t="s">
        <v>1202</v>
      </c>
      <c r="C559" s="210" t="s">
        <v>193</v>
      </c>
      <c r="D559" s="173">
        <v>0.02</v>
      </c>
      <c r="E559" s="204" t="s">
        <v>30</v>
      </c>
      <c r="F559" s="204" t="s">
        <v>188</v>
      </c>
      <c r="G559" s="210" t="s">
        <v>1203</v>
      </c>
      <c r="H559" s="171"/>
    </row>
    <row r="560" ht="14.25" spans="1:8">
      <c r="A560" s="176">
        <v>29</v>
      </c>
      <c r="B560" s="182" t="s">
        <v>1204</v>
      </c>
      <c r="C560" s="210" t="s">
        <v>193</v>
      </c>
      <c r="D560" s="173">
        <v>0.04</v>
      </c>
      <c r="E560" s="204" t="s">
        <v>30</v>
      </c>
      <c r="F560" s="204" t="s">
        <v>188</v>
      </c>
      <c r="G560" s="210" t="s">
        <v>1205</v>
      </c>
      <c r="H560" s="171"/>
    </row>
    <row r="561" ht="14.25" spans="1:8">
      <c r="A561" s="176">
        <v>30</v>
      </c>
      <c r="B561" s="182" t="s">
        <v>1206</v>
      </c>
      <c r="C561" s="210" t="s">
        <v>193</v>
      </c>
      <c r="D561" s="173">
        <v>0.04</v>
      </c>
      <c r="E561" s="204" t="s">
        <v>30</v>
      </c>
      <c r="F561" s="204" t="s">
        <v>188</v>
      </c>
      <c r="G561" s="210" t="s">
        <v>1207</v>
      </c>
      <c r="H561" s="171"/>
    </row>
    <row r="562" ht="14.25" spans="1:8">
      <c r="A562" s="176">
        <v>31</v>
      </c>
      <c r="B562" s="182" t="s">
        <v>1208</v>
      </c>
      <c r="C562" s="210" t="s">
        <v>193</v>
      </c>
      <c r="D562" s="173">
        <v>0.05</v>
      </c>
      <c r="E562" s="204" t="s">
        <v>30</v>
      </c>
      <c r="F562" s="204" t="s">
        <v>188</v>
      </c>
      <c r="G562" s="210" t="s">
        <v>1209</v>
      </c>
      <c r="H562" s="171"/>
    </row>
    <row r="563" ht="14.25" spans="1:8">
      <c r="A563" s="176">
        <v>32</v>
      </c>
      <c r="B563" s="182" t="s">
        <v>1210</v>
      </c>
      <c r="C563" s="210" t="s">
        <v>193</v>
      </c>
      <c r="D563" s="173">
        <v>0.1</v>
      </c>
      <c r="E563" s="204" t="s">
        <v>30</v>
      </c>
      <c r="F563" s="204" t="s">
        <v>204</v>
      </c>
      <c r="G563" s="210" t="s">
        <v>1211</v>
      </c>
      <c r="H563" s="171"/>
    </row>
    <row r="564" ht="14.25" spans="1:8">
      <c r="A564" s="176">
        <v>33</v>
      </c>
      <c r="B564" s="182" t="s">
        <v>1212</v>
      </c>
      <c r="C564" s="210" t="s">
        <v>193</v>
      </c>
      <c r="D564" s="173">
        <v>0.02</v>
      </c>
      <c r="E564" s="204" t="s">
        <v>30</v>
      </c>
      <c r="F564" s="204" t="s">
        <v>188</v>
      </c>
      <c r="G564" s="210" t="s">
        <v>1213</v>
      </c>
      <c r="H564" s="171"/>
    </row>
    <row r="565" ht="14.25" spans="1:8">
      <c r="A565" s="176">
        <v>34</v>
      </c>
      <c r="B565" s="182" t="s">
        <v>1212</v>
      </c>
      <c r="C565" s="210" t="s">
        <v>193</v>
      </c>
      <c r="D565" s="173">
        <v>0.02</v>
      </c>
      <c r="E565" s="204" t="s">
        <v>30</v>
      </c>
      <c r="F565" s="204" t="s">
        <v>188</v>
      </c>
      <c r="G565" s="210" t="s">
        <v>1214</v>
      </c>
      <c r="H565" s="171"/>
    </row>
    <row r="566" ht="14.25" spans="1:8">
      <c r="A566" s="176">
        <v>35</v>
      </c>
      <c r="B566" s="182" t="s">
        <v>1215</v>
      </c>
      <c r="C566" s="210" t="s">
        <v>193</v>
      </c>
      <c r="D566" s="173">
        <v>0.01</v>
      </c>
      <c r="E566" s="204" t="s">
        <v>30</v>
      </c>
      <c r="F566" s="204" t="s">
        <v>188</v>
      </c>
      <c r="G566" s="210" t="s">
        <v>1216</v>
      </c>
      <c r="H566" s="171"/>
    </row>
    <row r="567" ht="14.25" spans="1:8">
      <c r="A567" s="176">
        <v>36</v>
      </c>
      <c r="B567" s="182" t="s">
        <v>1217</v>
      </c>
      <c r="C567" s="210" t="s">
        <v>193</v>
      </c>
      <c r="D567" s="173">
        <v>0.04</v>
      </c>
      <c r="E567" s="204" t="s">
        <v>30</v>
      </c>
      <c r="F567" s="204" t="s">
        <v>188</v>
      </c>
      <c r="G567" s="210" t="s">
        <v>1218</v>
      </c>
      <c r="H567" s="171"/>
    </row>
    <row r="568" ht="14.25" spans="1:8">
      <c r="A568" s="176">
        <v>37</v>
      </c>
      <c r="B568" s="182" t="s">
        <v>1219</v>
      </c>
      <c r="C568" s="210" t="s">
        <v>193</v>
      </c>
      <c r="D568" s="173">
        <v>0.02</v>
      </c>
      <c r="E568" s="204" t="s">
        <v>30</v>
      </c>
      <c r="F568" s="204" t="s">
        <v>188</v>
      </c>
      <c r="G568" s="210" t="s">
        <v>1220</v>
      </c>
      <c r="H568" s="171"/>
    </row>
    <row r="569" ht="14.25" spans="1:8">
      <c r="A569" s="176">
        <v>38</v>
      </c>
      <c r="B569" s="182" t="s">
        <v>1221</v>
      </c>
      <c r="C569" s="210" t="s">
        <v>193</v>
      </c>
      <c r="D569" s="173">
        <v>0.04</v>
      </c>
      <c r="E569" s="204" t="s">
        <v>30</v>
      </c>
      <c r="F569" s="204" t="s">
        <v>188</v>
      </c>
      <c r="G569" s="210" t="s">
        <v>1222</v>
      </c>
      <c r="H569" s="171"/>
    </row>
    <row r="570" ht="14.25" spans="1:8">
      <c r="A570" s="176">
        <v>39</v>
      </c>
      <c r="B570" s="182" t="s">
        <v>1223</v>
      </c>
      <c r="C570" s="210" t="s">
        <v>193</v>
      </c>
      <c r="D570" s="173">
        <v>0.01</v>
      </c>
      <c r="E570" s="204" t="s">
        <v>30</v>
      </c>
      <c r="F570" s="204" t="s">
        <v>188</v>
      </c>
      <c r="G570" s="210" t="s">
        <v>1224</v>
      </c>
      <c r="H570" s="171"/>
    </row>
    <row r="571" ht="14.25" spans="1:8">
      <c r="A571" s="176">
        <v>40</v>
      </c>
      <c r="B571" s="182" t="s">
        <v>1225</v>
      </c>
      <c r="C571" s="210" t="s">
        <v>193</v>
      </c>
      <c r="D571" s="173">
        <v>0.02</v>
      </c>
      <c r="E571" s="204" t="s">
        <v>30</v>
      </c>
      <c r="F571" s="204" t="s">
        <v>188</v>
      </c>
      <c r="G571" s="210" t="s">
        <v>1226</v>
      </c>
      <c r="H571" s="171"/>
    </row>
    <row r="572" ht="14.25" spans="1:8">
      <c r="A572" s="176">
        <v>41</v>
      </c>
      <c r="B572" s="182" t="s">
        <v>1227</v>
      </c>
      <c r="C572" s="210" t="s">
        <v>193</v>
      </c>
      <c r="D572" s="173">
        <v>0.03</v>
      </c>
      <c r="E572" s="204" t="s">
        <v>30</v>
      </c>
      <c r="F572" s="204" t="s">
        <v>188</v>
      </c>
      <c r="G572" s="210" t="s">
        <v>1228</v>
      </c>
      <c r="H572" s="171"/>
    </row>
    <row r="573" ht="14.25" spans="1:8">
      <c r="A573" s="176">
        <v>42</v>
      </c>
      <c r="B573" s="182" t="s">
        <v>1229</v>
      </c>
      <c r="C573" s="210" t="s">
        <v>193</v>
      </c>
      <c r="D573" s="173">
        <v>0.04</v>
      </c>
      <c r="E573" s="204" t="s">
        <v>30</v>
      </c>
      <c r="F573" s="204" t="s">
        <v>188</v>
      </c>
      <c r="G573" s="210" t="s">
        <v>1230</v>
      </c>
      <c r="H573" s="171"/>
    </row>
    <row r="574" ht="14.25" spans="1:8">
      <c r="A574" s="176">
        <v>43</v>
      </c>
      <c r="B574" s="182" t="s">
        <v>1229</v>
      </c>
      <c r="C574" s="210" t="s">
        <v>193</v>
      </c>
      <c r="D574" s="173">
        <v>0.04</v>
      </c>
      <c r="E574" s="204" t="s">
        <v>30</v>
      </c>
      <c r="F574" s="204" t="s">
        <v>188</v>
      </c>
      <c r="G574" s="210" t="s">
        <v>1231</v>
      </c>
      <c r="H574" s="171"/>
    </row>
    <row r="575" ht="14.25" spans="1:8">
      <c r="A575" s="176">
        <v>44</v>
      </c>
      <c r="B575" s="182" t="s">
        <v>1232</v>
      </c>
      <c r="C575" s="210" t="s">
        <v>193</v>
      </c>
      <c r="D575" s="173">
        <v>0.02</v>
      </c>
      <c r="E575" s="204" t="s">
        <v>30</v>
      </c>
      <c r="F575" s="204" t="s">
        <v>188</v>
      </c>
      <c r="G575" s="210" t="s">
        <v>1233</v>
      </c>
      <c r="H575" s="171"/>
    </row>
    <row r="576" ht="14.25" spans="1:8">
      <c r="A576" s="176">
        <v>45</v>
      </c>
      <c r="B576" s="182" t="s">
        <v>1234</v>
      </c>
      <c r="C576" s="210" t="s">
        <v>193</v>
      </c>
      <c r="D576" s="173">
        <v>0.02</v>
      </c>
      <c r="E576" s="204" t="s">
        <v>30</v>
      </c>
      <c r="F576" s="204" t="s">
        <v>188</v>
      </c>
      <c r="G576" s="210" t="s">
        <v>1235</v>
      </c>
      <c r="H576" s="171"/>
    </row>
    <row r="577" ht="14.25" spans="1:8">
      <c r="A577" s="176">
        <v>46</v>
      </c>
      <c r="B577" s="182" t="s">
        <v>1236</v>
      </c>
      <c r="C577" s="210" t="s">
        <v>193</v>
      </c>
      <c r="D577" s="173">
        <v>0.02</v>
      </c>
      <c r="E577" s="204" t="s">
        <v>30</v>
      </c>
      <c r="F577" s="204" t="s">
        <v>188</v>
      </c>
      <c r="G577" s="210" t="s">
        <v>1237</v>
      </c>
      <c r="H577" s="171"/>
    </row>
    <row r="578" ht="14.25" spans="1:8">
      <c r="A578" s="176">
        <v>47</v>
      </c>
      <c r="B578" s="182" t="s">
        <v>1238</v>
      </c>
      <c r="C578" s="210" t="s">
        <v>193</v>
      </c>
      <c r="D578" s="173">
        <v>0.04</v>
      </c>
      <c r="E578" s="204" t="s">
        <v>30</v>
      </c>
      <c r="F578" s="204" t="s">
        <v>188</v>
      </c>
      <c r="G578" s="210" t="s">
        <v>1239</v>
      </c>
      <c r="H578" s="171"/>
    </row>
    <row r="579" ht="14.25" spans="1:8">
      <c r="A579" s="176">
        <v>48</v>
      </c>
      <c r="B579" s="182" t="s">
        <v>1240</v>
      </c>
      <c r="C579" s="210" t="s">
        <v>193</v>
      </c>
      <c r="D579" s="173">
        <v>0.04</v>
      </c>
      <c r="E579" s="204" t="s">
        <v>30</v>
      </c>
      <c r="F579" s="204" t="s">
        <v>188</v>
      </c>
      <c r="G579" s="210" t="s">
        <v>1241</v>
      </c>
      <c r="H579" s="171"/>
    </row>
    <row r="580" ht="14.25" spans="1:8">
      <c r="A580" s="176">
        <v>49</v>
      </c>
      <c r="B580" s="182" t="s">
        <v>1242</v>
      </c>
      <c r="C580" s="210" t="s">
        <v>193</v>
      </c>
      <c r="D580" s="173">
        <v>0.04</v>
      </c>
      <c r="E580" s="204" t="s">
        <v>30</v>
      </c>
      <c r="F580" s="204" t="s">
        <v>188</v>
      </c>
      <c r="G580" s="210" t="s">
        <v>999</v>
      </c>
      <c r="H580" s="171"/>
    </row>
    <row r="581" ht="14.25" spans="1:8">
      <c r="A581" s="176">
        <v>50</v>
      </c>
      <c r="B581" s="182" t="s">
        <v>1243</v>
      </c>
      <c r="C581" s="210" t="s">
        <v>193</v>
      </c>
      <c r="D581" s="173">
        <v>0.04</v>
      </c>
      <c r="E581" s="204" t="s">
        <v>30</v>
      </c>
      <c r="F581" s="204" t="s">
        <v>188</v>
      </c>
      <c r="G581" s="210" t="s">
        <v>1151</v>
      </c>
      <c r="H581" s="171"/>
    </row>
    <row r="582" ht="14.25" spans="1:8">
      <c r="A582" s="176">
        <v>51</v>
      </c>
      <c r="B582" s="182" t="s">
        <v>1244</v>
      </c>
      <c r="C582" s="210" t="s">
        <v>193</v>
      </c>
      <c r="D582" s="173">
        <v>0.02</v>
      </c>
      <c r="E582" s="204" t="s">
        <v>30</v>
      </c>
      <c r="F582" s="204" t="s">
        <v>188</v>
      </c>
      <c r="G582" s="210" t="s">
        <v>1245</v>
      </c>
      <c r="H582" s="171"/>
    </row>
    <row r="583" ht="14.25" spans="1:8">
      <c r="A583" s="176">
        <v>52</v>
      </c>
      <c r="B583" s="182" t="s">
        <v>1246</v>
      </c>
      <c r="C583" s="210" t="s">
        <v>193</v>
      </c>
      <c r="D583" s="173">
        <v>0.054</v>
      </c>
      <c r="E583" s="204" t="s">
        <v>30</v>
      </c>
      <c r="F583" s="204" t="s">
        <v>188</v>
      </c>
      <c r="G583" s="210" t="s">
        <v>1247</v>
      </c>
      <c r="H583" s="171"/>
    </row>
    <row r="584" ht="14.25" spans="1:8">
      <c r="A584" s="176">
        <v>53</v>
      </c>
      <c r="B584" s="182" t="s">
        <v>1248</v>
      </c>
      <c r="C584" s="210" t="s">
        <v>193</v>
      </c>
      <c r="D584" s="173">
        <v>0.02</v>
      </c>
      <c r="E584" s="204" t="s">
        <v>30</v>
      </c>
      <c r="F584" s="204" t="s">
        <v>188</v>
      </c>
      <c r="G584" s="210" t="s">
        <v>1249</v>
      </c>
      <c r="H584" s="171"/>
    </row>
    <row r="585" ht="14.25" spans="1:8">
      <c r="A585" s="176">
        <v>54</v>
      </c>
      <c r="B585" s="182" t="s">
        <v>1250</v>
      </c>
      <c r="C585" s="210" t="s">
        <v>193</v>
      </c>
      <c r="D585" s="173">
        <v>0.025</v>
      </c>
      <c r="E585" s="204" t="s">
        <v>30</v>
      </c>
      <c r="F585" s="204" t="s">
        <v>188</v>
      </c>
      <c r="G585" s="210" t="s">
        <v>1251</v>
      </c>
      <c r="H585" s="171"/>
    </row>
    <row r="586" ht="14.25" spans="1:8">
      <c r="A586" s="176">
        <v>55</v>
      </c>
      <c r="B586" s="182" t="s">
        <v>1252</v>
      </c>
      <c r="C586" s="210" t="s">
        <v>193</v>
      </c>
      <c r="D586" s="173">
        <v>0.04</v>
      </c>
      <c r="E586" s="204" t="s">
        <v>30</v>
      </c>
      <c r="F586" s="204" t="s">
        <v>188</v>
      </c>
      <c r="G586" s="210" t="s">
        <v>1253</v>
      </c>
      <c r="H586" s="171"/>
    </row>
    <row r="587" ht="14.25" spans="1:8">
      <c r="A587" s="176">
        <v>56</v>
      </c>
      <c r="B587" s="182" t="s">
        <v>1254</v>
      </c>
      <c r="C587" s="210" t="s">
        <v>193</v>
      </c>
      <c r="D587" s="173">
        <v>0.02</v>
      </c>
      <c r="E587" s="204" t="s">
        <v>30</v>
      </c>
      <c r="F587" s="204" t="s">
        <v>188</v>
      </c>
      <c r="G587" s="210" t="s">
        <v>1255</v>
      </c>
      <c r="H587" s="171"/>
    </row>
    <row r="588" ht="14.25" spans="1:8">
      <c r="A588" s="176">
        <v>57</v>
      </c>
      <c r="B588" s="182" t="s">
        <v>1256</v>
      </c>
      <c r="C588" s="210" t="s">
        <v>193</v>
      </c>
      <c r="D588" s="173">
        <v>0.01</v>
      </c>
      <c r="E588" s="204" t="s">
        <v>30</v>
      </c>
      <c r="F588" s="204" t="s">
        <v>188</v>
      </c>
      <c r="G588" s="210" t="s">
        <v>1257</v>
      </c>
      <c r="H588" s="171"/>
    </row>
    <row r="589" ht="14.25" spans="1:8">
      <c r="A589" s="176">
        <v>58</v>
      </c>
      <c r="B589" s="182" t="s">
        <v>1258</v>
      </c>
      <c r="C589" s="210" t="s">
        <v>193</v>
      </c>
      <c r="D589" s="173">
        <v>0.04</v>
      </c>
      <c r="E589" s="204" t="s">
        <v>30</v>
      </c>
      <c r="F589" s="204" t="s">
        <v>188</v>
      </c>
      <c r="G589" s="210" t="s">
        <v>1259</v>
      </c>
      <c r="H589" s="171"/>
    </row>
    <row r="590" ht="14.25" spans="1:8">
      <c r="A590" s="176">
        <v>59</v>
      </c>
      <c r="B590" s="182" t="s">
        <v>1260</v>
      </c>
      <c r="C590" s="210" t="s">
        <v>193</v>
      </c>
      <c r="D590" s="173">
        <v>0.04</v>
      </c>
      <c r="E590" s="204" t="s">
        <v>30</v>
      </c>
      <c r="F590" s="204" t="s">
        <v>188</v>
      </c>
      <c r="G590" s="210" t="s">
        <v>1261</v>
      </c>
      <c r="H590" s="171"/>
    </row>
    <row r="591" ht="14.25" spans="1:8">
      <c r="A591" s="176">
        <v>60</v>
      </c>
      <c r="B591" s="182" t="s">
        <v>1262</v>
      </c>
      <c r="C591" s="210" t="s">
        <v>193</v>
      </c>
      <c r="D591" s="173">
        <v>0.02</v>
      </c>
      <c r="E591" s="204" t="s">
        <v>30</v>
      </c>
      <c r="F591" s="204" t="s">
        <v>188</v>
      </c>
      <c r="G591" s="210" t="s">
        <v>1263</v>
      </c>
      <c r="H591" s="171"/>
    </row>
    <row r="592" ht="14.25" spans="1:8">
      <c r="A592" s="176">
        <v>61</v>
      </c>
      <c r="B592" s="182" t="s">
        <v>1264</v>
      </c>
      <c r="C592" s="210" t="s">
        <v>193</v>
      </c>
      <c r="D592" s="173">
        <v>0.02</v>
      </c>
      <c r="E592" s="204" t="s">
        <v>30</v>
      </c>
      <c r="F592" s="204" t="s">
        <v>188</v>
      </c>
      <c r="G592" s="210" t="s">
        <v>1265</v>
      </c>
      <c r="H592" s="171"/>
    </row>
    <row r="593" ht="14.25" spans="1:8">
      <c r="A593" s="176">
        <v>62</v>
      </c>
      <c r="B593" s="182" t="s">
        <v>1189</v>
      </c>
      <c r="C593" s="210" t="s">
        <v>193</v>
      </c>
      <c r="D593" s="173">
        <v>0.02</v>
      </c>
      <c r="E593" s="204" t="s">
        <v>30</v>
      </c>
      <c r="F593" s="204" t="s">
        <v>188</v>
      </c>
      <c r="G593" s="210" t="s">
        <v>1266</v>
      </c>
      <c r="H593" s="171"/>
    </row>
    <row r="594" ht="14.25" spans="1:8">
      <c r="A594" s="176">
        <v>63</v>
      </c>
      <c r="B594" s="182" t="s">
        <v>1267</v>
      </c>
      <c r="C594" s="210" t="s">
        <v>193</v>
      </c>
      <c r="D594" s="173">
        <v>0.01</v>
      </c>
      <c r="E594" s="204" t="s">
        <v>30</v>
      </c>
      <c r="F594" s="204" t="s">
        <v>188</v>
      </c>
      <c r="G594" s="210" t="s">
        <v>1268</v>
      </c>
      <c r="H594" s="171"/>
    </row>
    <row r="595" ht="14.25" spans="1:8">
      <c r="A595" s="176">
        <v>64</v>
      </c>
      <c r="B595" s="182" t="s">
        <v>419</v>
      </c>
      <c r="C595" s="210" t="s">
        <v>193</v>
      </c>
      <c r="D595" s="173">
        <v>0.05</v>
      </c>
      <c r="E595" s="204" t="s">
        <v>318</v>
      </c>
      <c r="F595" s="204" t="s">
        <v>30</v>
      </c>
      <c r="G595" s="210" t="s">
        <v>1269</v>
      </c>
      <c r="H595" s="171"/>
    </row>
    <row r="596" ht="14.25" spans="1:8">
      <c r="A596" s="176">
        <v>65</v>
      </c>
      <c r="B596" s="182" t="s">
        <v>1270</v>
      </c>
      <c r="C596" s="210" t="s">
        <v>193</v>
      </c>
      <c r="D596" s="173">
        <v>0.04</v>
      </c>
      <c r="E596" s="204" t="s">
        <v>30</v>
      </c>
      <c r="F596" s="204" t="s">
        <v>188</v>
      </c>
      <c r="G596" s="210" t="s">
        <v>1271</v>
      </c>
      <c r="H596" s="171"/>
    </row>
    <row r="597" ht="14.25" spans="1:8">
      <c r="A597" s="176">
        <v>66</v>
      </c>
      <c r="B597" s="182" t="s">
        <v>1270</v>
      </c>
      <c r="C597" s="210" t="s">
        <v>193</v>
      </c>
      <c r="D597" s="173">
        <v>0.04</v>
      </c>
      <c r="E597" s="204" t="s">
        <v>30</v>
      </c>
      <c r="F597" s="204" t="s">
        <v>188</v>
      </c>
      <c r="G597" s="210" t="s">
        <v>1272</v>
      </c>
      <c r="H597" s="171"/>
    </row>
    <row r="598" ht="14.25" spans="1:8">
      <c r="A598" s="176">
        <v>67</v>
      </c>
      <c r="B598" s="182" t="s">
        <v>1270</v>
      </c>
      <c r="C598" s="210" t="s">
        <v>193</v>
      </c>
      <c r="D598" s="173">
        <v>0.02</v>
      </c>
      <c r="E598" s="204" t="s">
        <v>30</v>
      </c>
      <c r="F598" s="204" t="s">
        <v>188</v>
      </c>
      <c r="G598" s="210" t="s">
        <v>1273</v>
      </c>
      <c r="H598" s="171"/>
    </row>
    <row r="599" ht="14.25" spans="1:8">
      <c r="A599" s="176">
        <v>68</v>
      </c>
      <c r="B599" s="182" t="s">
        <v>1274</v>
      </c>
      <c r="C599" s="210" t="s">
        <v>193</v>
      </c>
      <c r="D599" s="173">
        <v>0.01</v>
      </c>
      <c r="E599" s="204" t="s">
        <v>30</v>
      </c>
      <c r="F599" s="204" t="s">
        <v>188</v>
      </c>
      <c r="G599" s="210" t="s">
        <v>1275</v>
      </c>
      <c r="H599" s="171"/>
    </row>
    <row r="600" ht="14.25" spans="1:8">
      <c r="A600" s="176">
        <v>69</v>
      </c>
      <c r="B600" s="182" t="s">
        <v>1276</v>
      </c>
      <c r="C600" s="210" t="s">
        <v>193</v>
      </c>
      <c r="D600" s="173">
        <v>0.01</v>
      </c>
      <c r="E600" s="204" t="s">
        <v>30</v>
      </c>
      <c r="F600" s="204" t="s">
        <v>188</v>
      </c>
      <c r="G600" s="210" t="s">
        <v>1277</v>
      </c>
      <c r="H600" s="171"/>
    </row>
    <row r="601" ht="14.25" spans="1:8">
      <c r="A601" s="176">
        <v>70</v>
      </c>
      <c r="B601" s="182" t="s">
        <v>1278</v>
      </c>
      <c r="C601" s="210" t="s">
        <v>193</v>
      </c>
      <c r="D601" s="173">
        <v>0.04</v>
      </c>
      <c r="E601" s="204" t="s">
        <v>30</v>
      </c>
      <c r="F601" s="204" t="s">
        <v>188</v>
      </c>
      <c r="G601" s="210" t="s">
        <v>1279</v>
      </c>
      <c r="H601" s="171"/>
    </row>
    <row r="602" ht="14.25" spans="1:8">
      <c r="A602" s="176">
        <v>71</v>
      </c>
      <c r="B602" s="182" t="s">
        <v>1280</v>
      </c>
      <c r="C602" s="210" t="s">
        <v>193</v>
      </c>
      <c r="D602" s="173">
        <v>0.02</v>
      </c>
      <c r="E602" s="204" t="s">
        <v>30</v>
      </c>
      <c r="F602" s="204" t="s">
        <v>188</v>
      </c>
      <c r="G602" s="210" t="s">
        <v>1281</v>
      </c>
      <c r="H602" s="171"/>
    </row>
    <row r="603" ht="14.25" spans="1:8">
      <c r="A603" s="176">
        <v>72</v>
      </c>
      <c r="B603" s="182" t="s">
        <v>1282</v>
      </c>
      <c r="C603" s="210" t="s">
        <v>193</v>
      </c>
      <c r="D603" s="173">
        <v>0.08</v>
      </c>
      <c r="E603" s="204" t="s">
        <v>30</v>
      </c>
      <c r="F603" s="204" t="s">
        <v>188</v>
      </c>
      <c r="G603" s="210" t="s">
        <v>1283</v>
      </c>
      <c r="H603" s="171"/>
    </row>
    <row r="604" ht="14.25" spans="1:8">
      <c r="A604" s="176">
        <v>73</v>
      </c>
      <c r="B604" s="182" t="s">
        <v>1284</v>
      </c>
      <c r="C604" s="210" t="s">
        <v>193</v>
      </c>
      <c r="D604" s="173">
        <v>0.02</v>
      </c>
      <c r="E604" s="204" t="s">
        <v>30</v>
      </c>
      <c r="F604" s="204" t="s">
        <v>188</v>
      </c>
      <c r="G604" s="210" t="s">
        <v>1285</v>
      </c>
      <c r="H604" s="171"/>
    </row>
    <row r="605" ht="14.25" spans="1:8">
      <c r="A605" s="176">
        <v>74</v>
      </c>
      <c r="B605" s="182" t="s">
        <v>1284</v>
      </c>
      <c r="C605" s="210" t="s">
        <v>193</v>
      </c>
      <c r="D605" s="173">
        <v>0.02</v>
      </c>
      <c r="E605" s="204" t="s">
        <v>30</v>
      </c>
      <c r="F605" s="204" t="s">
        <v>188</v>
      </c>
      <c r="G605" s="210" t="s">
        <v>1286</v>
      </c>
      <c r="H605" s="171"/>
    </row>
    <row r="606" ht="14.25" spans="1:8">
      <c r="A606" s="176">
        <v>75</v>
      </c>
      <c r="B606" s="182" t="s">
        <v>1287</v>
      </c>
      <c r="C606" s="210" t="s">
        <v>193</v>
      </c>
      <c r="D606" s="173">
        <v>0.01</v>
      </c>
      <c r="E606" s="204" t="s">
        <v>30</v>
      </c>
      <c r="F606" s="204" t="s">
        <v>188</v>
      </c>
      <c r="G606" s="210" t="s">
        <v>1288</v>
      </c>
      <c r="H606" s="171"/>
    </row>
    <row r="607" ht="14.25" spans="1:8">
      <c r="A607" s="176">
        <v>76</v>
      </c>
      <c r="B607" s="182" t="s">
        <v>1289</v>
      </c>
      <c r="C607" s="210" t="s">
        <v>193</v>
      </c>
      <c r="D607" s="173">
        <v>0.01</v>
      </c>
      <c r="E607" s="204" t="s">
        <v>30</v>
      </c>
      <c r="F607" s="204" t="s">
        <v>188</v>
      </c>
      <c r="G607" s="210" t="s">
        <v>1290</v>
      </c>
      <c r="H607" s="171"/>
    </row>
    <row r="608" ht="14.25" spans="1:8">
      <c r="A608" s="176">
        <v>77</v>
      </c>
      <c r="B608" s="182" t="s">
        <v>1291</v>
      </c>
      <c r="C608" s="210" t="s">
        <v>193</v>
      </c>
      <c r="D608" s="173">
        <v>0.02</v>
      </c>
      <c r="E608" s="204" t="s">
        <v>30</v>
      </c>
      <c r="F608" s="204" t="s">
        <v>188</v>
      </c>
      <c r="G608" s="210" t="s">
        <v>1292</v>
      </c>
      <c r="H608" s="171"/>
    </row>
    <row r="609" ht="14.25" spans="1:8">
      <c r="A609" s="176">
        <v>78</v>
      </c>
      <c r="B609" s="182" t="s">
        <v>1293</v>
      </c>
      <c r="C609" s="210" t="s">
        <v>193</v>
      </c>
      <c r="D609" s="173">
        <v>0.01</v>
      </c>
      <c r="E609" s="204" t="s">
        <v>30</v>
      </c>
      <c r="F609" s="204" t="s">
        <v>188</v>
      </c>
      <c r="G609" s="210" t="s">
        <v>1294</v>
      </c>
      <c r="H609" s="171"/>
    </row>
    <row r="610" ht="14.25" spans="1:8">
      <c r="A610" s="176">
        <v>79</v>
      </c>
      <c r="B610" s="182" t="s">
        <v>1295</v>
      </c>
      <c r="C610" s="210" t="s">
        <v>193</v>
      </c>
      <c r="D610" s="173">
        <v>0.01</v>
      </c>
      <c r="E610" s="204" t="s">
        <v>30</v>
      </c>
      <c r="F610" s="204" t="s">
        <v>188</v>
      </c>
      <c r="G610" s="210" t="s">
        <v>1296</v>
      </c>
      <c r="H610" s="171"/>
    </row>
    <row r="611" ht="14.25" spans="1:8">
      <c r="A611" s="176">
        <v>80</v>
      </c>
      <c r="B611" s="182" t="s">
        <v>708</v>
      </c>
      <c r="C611" s="210" t="s">
        <v>193</v>
      </c>
      <c r="D611" s="173">
        <v>0.01</v>
      </c>
      <c r="E611" s="204" t="s">
        <v>30</v>
      </c>
      <c r="F611" s="204" t="s">
        <v>188</v>
      </c>
      <c r="G611" s="210" t="s">
        <v>1297</v>
      </c>
      <c r="H611" s="171"/>
    </row>
    <row r="612" ht="14.25" spans="1:8">
      <c r="A612" s="176">
        <v>81</v>
      </c>
      <c r="B612" s="182" t="s">
        <v>1298</v>
      </c>
      <c r="C612" s="210" t="s">
        <v>193</v>
      </c>
      <c r="D612" s="173">
        <v>0.01</v>
      </c>
      <c r="E612" s="204" t="s">
        <v>30</v>
      </c>
      <c r="F612" s="204" t="s">
        <v>188</v>
      </c>
      <c r="G612" s="210" t="s">
        <v>1299</v>
      </c>
      <c r="H612" s="171"/>
    </row>
    <row r="613" ht="14.25" spans="1:8">
      <c r="A613" s="176">
        <v>82</v>
      </c>
      <c r="B613" s="182" t="s">
        <v>1270</v>
      </c>
      <c r="C613" s="210" t="s">
        <v>193</v>
      </c>
      <c r="D613" s="173">
        <v>0.03</v>
      </c>
      <c r="E613" s="204" t="s">
        <v>30</v>
      </c>
      <c r="F613" s="204" t="s">
        <v>188</v>
      </c>
      <c r="G613" s="210" t="s">
        <v>1273</v>
      </c>
      <c r="H613" s="171"/>
    </row>
    <row r="614" ht="14.25" spans="1:8">
      <c r="A614" s="176">
        <v>83</v>
      </c>
      <c r="B614" s="182" t="s">
        <v>1300</v>
      </c>
      <c r="C614" s="210" t="s">
        <v>193</v>
      </c>
      <c r="D614" s="173">
        <v>0.01</v>
      </c>
      <c r="E614" s="204" t="s">
        <v>30</v>
      </c>
      <c r="F614" s="204" t="s">
        <v>188</v>
      </c>
      <c r="G614" s="210" t="s">
        <v>1301</v>
      </c>
      <c r="H614" s="171"/>
    </row>
    <row r="615" ht="14.25" spans="1:8">
      <c r="A615" s="176">
        <v>84</v>
      </c>
      <c r="B615" s="182" t="s">
        <v>1302</v>
      </c>
      <c r="C615" s="210" t="s">
        <v>193</v>
      </c>
      <c r="D615" s="173">
        <v>0.02</v>
      </c>
      <c r="E615" s="204" t="s">
        <v>30</v>
      </c>
      <c r="F615" s="204" t="s">
        <v>188</v>
      </c>
      <c r="G615" s="210" t="s">
        <v>1303</v>
      </c>
      <c r="H615" s="171"/>
    </row>
    <row r="616" ht="14.25" spans="1:8">
      <c r="A616" s="176">
        <v>85</v>
      </c>
      <c r="B616" s="182" t="s">
        <v>1304</v>
      </c>
      <c r="C616" s="210" t="s">
        <v>193</v>
      </c>
      <c r="D616" s="173">
        <v>0.05</v>
      </c>
      <c r="E616" s="204" t="s">
        <v>30</v>
      </c>
      <c r="F616" s="204" t="s">
        <v>188</v>
      </c>
      <c r="G616" s="210" t="s">
        <v>1239</v>
      </c>
      <c r="H616" s="171"/>
    </row>
    <row r="617" ht="14.25" spans="1:8">
      <c r="A617" s="176">
        <v>86</v>
      </c>
      <c r="B617" s="182" t="s">
        <v>1066</v>
      </c>
      <c r="C617" s="210" t="s">
        <v>193</v>
      </c>
      <c r="D617" s="173">
        <v>0.2</v>
      </c>
      <c r="E617" s="204" t="s">
        <v>30</v>
      </c>
      <c r="F617" s="204" t="s">
        <v>188</v>
      </c>
      <c r="G617" s="210" t="s">
        <v>1305</v>
      </c>
      <c r="H617" s="171"/>
    </row>
    <row r="618" ht="14.25" spans="1:8">
      <c r="A618" s="176">
        <v>87</v>
      </c>
      <c r="B618" s="182" t="s">
        <v>1066</v>
      </c>
      <c r="C618" s="210" t="s">
        <v>193</v>
      </c>
      <c r="D618" s="173">
        <v>0.04</v>
      </c>
      <c r="E618" s="204" t="s">
        <v>30</v>
      </c>
      <c r="F618" s="204" t="s">
        <v>188</v>
      </c>
      <c r="G618" s="210" t="s">
        <v>1306</v>
      </c>
      <c r="H618" s="171"/>
    </row>
    <row r="619" ht="14.25" spans="1:8">
      <c r="A619" s="176">
        <v>88</v>
      </c>
      <c r="B619" s="182" t="s">
        <v>1307</v>
      </c>
      <c r="C619" s="210" t="s">
        <v>193</v>
      </c>
      <c r="D619" s="173">
        <v>0.01</v>
      </c>
      <c r="E619" s="204" t="s">
        <v>30</v>
      </c>
      <c r="F619" s="204" t="s">
        <v>188</v>
      </c>
      <c r="G619" s="210" t="s">
        <v>1308</v>
      </c>
      <c r="H619" s="171"/>
    </row>
    <row r="620" ht="14.25" spans="1:8">
      <c r="A620" s="176">
        <v>89</v>
      </c>
      <c r="B620" s="182" t="s">
        <v>1309</v>
      </c>
      <c r="C620" s="210" t="s">
        <v>193</v>
      </c>
      <c r="D620" s="173">
        <v>0.02</v>
      </c>
      <c r="E620" s="204" t="s">
        <v>30</v>
      </c>
      <c r="F620" s="204" t="s">
        <v>188</v>
      </c>
      <c r="G620" s="210" t="s">
        <v>1310</v>
      </c>
      <c r="H620" s="171"/>
    </row>
    <row r="621" ht="14.25" spans="1:8">
      <c r="A621" s="176">
        <v>90</v>
      </c>
      <c r="B621" s="182" t="s">
        <v>1311</v>
      </c>
      <c r="C621" s="210" t="s">
        <v>193</v>
      </c>
      <c r="D621" s="173">
        <v>0.01</v>
      </c>
      <c r="E621" s="204" t="s">
        <v>30</v>
      </c>
      <c r="F621" s="204" t="s">
        <v>188</v>
      </c>
      <c r="G621" s="210" t="s">
        <v>1312</v>
      </c>
      <c r="H621" s="171"/>
    </row>
    <row r="622" ht="14.25" spans="1:8">
      <c r="A622" s="176">
        <v>91</v>
      </c>
      <c r="B622" s="182" t="s">
        <v>1154</v>
      </c>
      <c r="C622" s="210" t="s">
        <v>193</v>
      </c>
      <c r="D622" s="173">
        <v>0.02</v>
      </c>
      <c r="E622" s="204" t="s">
        <v>30</v>
      </c>
      <c r="F622" s="204" t="s">
        <v>188</v>
      </c>
      <c r="G622" s="210" t="s">
        <v>1313</v>
      </c>
      <c r="H622" s="171"/>
    </row>
    <row r="623" ht="14.25" spans="1:8">
      <c r="A623" s="176">
        <v>92</v>
      </c>
      <c r="B623" s="182" t="s">
        <v>1314</v>
      </c>
      <c r="C623" s="210" t="s">
        <v>193</v>
      </c>
      <c r="D623" s="173">
        <v>0.01</v>
      </c>
      <c r="E623" s="204" t="s">
        <v>30</v>
      </c>
      <c r="F623" s="204" t="s">
        <v>188</v>
      </c>
      <c r="G623" s="210" t="s">
        <v>1315</v>
      </c>
      <c r="H623" s="171"/>
    </row>
    <row r="624" ht="14.25" spans="1:8">
      <c r="A624" s="176">
        <v>93</v>
      </c>
      <c r="B624" s="182" t="s">
        <v>1202</v>
      </c>
      <c r="C624" s="210" t="s">
        <v>193</v>
      </c>
      <c r="D624" s="173">
        <v>0.02</v>
      </c>
      <c r="E624" s="204" t="s">
        <v>30</v>
      </c>
      <c r="F624" s="204" t="s">
        <v>188</v>
      </c>
      <c r="G624" s="210" t="s">
        <v>1203</v>
      </c>
      <c r="H624" s="171"/>
    </row>
    <row r="625" ht="14.25" spans="1:8">
      <c r="A625" s="176">
        <v>94</v>
      </c>
      <c r="B625" s="182" t="s">
        <v>1189</v>
      </c>
      <c r="C625" s="210" t="s">
        <v>193</v>
      </c>
      <c r="D625" s="173">
        <v>0.04</v>
      </c>
      <c r="E625" s="204" t="s">
        <v>30</v>
      </c>
      <c r="F625" s="204" t="s">
        <v>188</v>
      </c>
      <c r="G625" s="210" t="s">
        <v>1277</v>
      </c>
      <c r="H625" s="171"/>
    </row>
    <row r="626" ht="14.25" spans="1:8">
      <c r="A626" s="176">
        <v>95</v>
      </c>
      <c r="B626" s="182" t="s">
        <v>1254</v>
      </c>
      <c r="C626" s="210" t="s">
        <v>193</v>
      </c>
      <c r="D626" s="173">
        <v>0.04</v>
      </c>
      <c r="E626" s="204" t="s">
        <v>30</v>
      </c>
      <c r="F626" s="204" t="s">
        <v>188</v>
      </c>
      <c r="G626" s="210" t="s">
        <v>1316</v>
      </c>
      <c r="H626" s="171"/>
    </row>
    <row r="627" ht="14.25" spans="1:8">
      <c r="A627" s="176">
        <v>96</v>
      </c>
      <c r="B627" s="182" t="s">
        <v>1317</v>
      </c>
      <c r="C627" s="210" t="s">
        <v>193</v>
      </c>
      <c r="D627" s="173">
        <v>0.01</v>
      </c>
      <c r="E627" s="204" t="s">
        <v>30</v>
      </c>
      <c r="F627" s="204" t="s">
        <v>188</v>
      </c>
      <c r="G627" s="210" t="s">
        <v>1318</v>
      </c>
      <c r="H627" s="171"/>
    </row>
    <row r="628" ht="14.25" spans="1:8">
      <c r="A628" s="176">
        <v>97</v>
      </c>
      <c r="B628" s="182" t="s">
        <v>1317</v>
      </c>
      <c r="C628" s="210" t="s">
        <v>193</v>
      </c>
      <c r="D628" s="173">
        <v>0.01</v>
      </c>
      <c r="E628" s="204" t="s">
        <v>30</v>
      </c>
      <c r="F628" s="204" t="s">
        <v>188</v>
      </c>
      <c r="G628" s="210" t="s">
        <v>1319</v>
      </c>
      <c r="H628" s="171"/>
    </row>
    <row r="629" ht="14.25" spans="1:8">
      <c r="A629" s="176">
        <v>98</v>
      </c>
      <c r="B629" s="182" t="s">
        <v>1152</v>
      </c>
      <c r="C629" s="210" t="s">
        <v>193</v>
      </c>
      <c r="D629" s="173">
        <v>0.85</v>
      </c>
      <c r="E629" s="204" t="s">
        <v>30</v>
      </c>
      <c r="F629" s="204" t="s">
        <v>188</v>
      </c>
      <c r="G629" s="210" t="s">
        <v>1153</v>
      </c>
      <c r="H629" s="171"/>
    </row>
    <row r="630" ht="14.25" spans="1:8">
      <c r="A630" s="176">
        <v>99</v>
      </c>
      <c r="B630" s="182" t="s">
        <v>1320</v>
      </c>
      <c r="C630" s="210" t="s">
        <v>193</v>
      </c>
      <c r="D630" s="173">
        <v>0.01</v>
      </c>
      <c r="E630" s="204" t="s">
        <v>30</v>
      </c>
      <c r="F630" s="204" t="s">
        <v>188</v>
      </c>
      <c r="G630" s="210" t="s">
        <v>1321</v>
      </c>
      <c r="H630" s="171"/>
    </row>
    <row r="631" ht="14.25" spans="1:8">
      <c r="A631" s="176">
        <v>100</v>
      </c>
      <c r="B631" s="182" t="s">
        <v>1322</v>
      </c>
      <c r="C631" s="210" t="s">
        <v>193</v>
      </c>
      <c r="D631" s="173">
        <v>0.04</v>
      </c>
      <c r="E631" s="204" t="s">
        <v>30</v>
      </c>
      <c r="F631" s="204" t="s">
        <v>188</v>
      </c>
      <c r="G631" s="210" t="s">
        <v>1315</v>
      </c>
      <c r="H631" s="171"/>
    </row>
    <row r="632" ht="14.25" spans="1:8">
      <c r="A632" s="176">
        <v>101</v>
      </c>
      <c r="B632" s="182" t="s">
        <v>1323</v>
      </c>
      <c r="C632" s="210" t="s">
        <v>193</v>
      </c>
      <c r="D632" s="173">
        <v>0.01</v>
      </c>
      <c r="E632" s="204" t="s">
        <v>30</v>
      </c>
      <c r="F632" s="204" t="s">
        <v>188</v>
      </c>
      <c r="G632" s="210" t="s">
        <v>1324</v>
      </c>
      <c r="H632" s="171"/>
    </row>
    <row r="633" ht="14.25" spans="1:8">
      <c r="A633" s="176">
        <v>102</v>
      </c>
      <c r="B633" s="182" t="s">
        <v>1293</v>
      </c>
      <c r="C633" s="210" t="s">
        <v>193</v>
      </c>
      <c r="D633" s="173">
        <v>0.02</v>
      </c>
      <c r="E633" s="204" t="s">
        <v>30</v>
      </c>
      <c r="F633" s="204" t="s">
        <v>188</v>
      </c>
      <c r="G633" s="210" t="s">
        <v>1294</v>
      </c>
      <c r="H633" s="171"/>
    </row>
    <row r="634" ht="14.25" spans="1:8">
      <c r="A634" s="176">
        <v>103</v>
      </c>
      <c r="B634" s="182" t="s">
        <v>1246</v>
      </c>
      <c r="C634" s="210" t="s">
        <v>193</v>
      </c>
      <c r="D634" s="173">
        <v>0.03</v>
      </c>
      <c r="E634" s="204" t="s">
        <v>30</v>
      </c>
      <c r="F634" s="204" t="s">
        <v>188</v>
      </c>
      <c r="G634" s="210" t="s">
        <v>1325</v>
      </c>
      <c r="H634" s="171"/>
    </row>
    <row r="635" ht="14.25" spans="1:8">
      <c r="A635" s="176">
        <v>104</v>
      </c>
      <c r="B635" s="182" t="s">
        <v>1282</v>
      </c>
      <c r="C635" s="210" t="s">
        <v>193</v>
      </c>
      <c r="D635" s="173">
        <v>0.08</v>
      </c>
      <c r="E635" s="204" t="s">
        <v>30</v>
      </c>
      <c r="F635" s="204" t="s">
        <v>188</v>
      </c>
      <c r="G635" s="210" t="s">
        <v>1283</v>
      </c>
      <c r="H635" s="171"/>
    </row>
    <row r="636" ht="25.5" spans="1:8">
      <c r="A636" s="176">
        <v>105</v>
      </c>
      <c r="B636" s="182" t="s">
        <v>1326</v>
      </c>
      <c r="C636" s="210" t="s">
        <v>193</v>
      </c>
      <c r="D636" s="173">
        <v>0.03</v>
      </c>
      <c r="E636" s="204" t="s">
        <v>30</v>
      </c>
      <c r="F636" s="204" t="s">
        <v>188</v>
      </c>
      <c r="G636" s="210" t="s">
        <v>1261</v>
      </c>
      <c r="H636" s="171"/>
    </row>
    <row r="637" ht="14.25" spans="1:8">
      <c r="A637" s="176">
        <v>106</v>
      </c>
      <c r="B637" s="182" t="s">
        <v>1327</v>
      </c>
      <c r="C637" s="210" t="s">
        <v>193</v>
      </c>
      <c r="D637" s="173">
        <v>0.04</v>
      </c>
      <c r="E637" s="204" t="s">
        <v>30</v>
      </c>
      <c r="F637" s="204" t="s">
        <v>188</v>
      </c>
      <c r="G637" s="210" t="s">
        <v>1328</v>
      </c>
      <c r="H637" s="171"/>
    </row>
    <row r="638" ht="14.25" spans="1:8">
      <c r="A638" s="176">
        <v>107</v>
      </c>
      <c r="B638" s="182" t="s">
        <v>1329</v>
      </c>
      <c r="C638" s="210" t="s">
        <v>193</v>
      </c>
      <c r="D638" s="173">
        <v>0.04</v>
      </c>
      <c r="E638" s="204" t="s">
        <v>30</v>
      </c>
      <c r="F638" s="204" t="s">
        <v>188</v>
      </c>
      <c r="G638" s="210" t="s">
        <v>1330</v>
      </c>
      <c r="H638" s="171"/>
    </row>
    <row r="639" ht="14.25" spans="1:8">
      <c r="A639" s="176">
        <v>108</v>
      </c>
      <c r="B639" s="182" t="s">
        <v>1331</v>
      </c>
      <c r="C639" s="210" t="s">
        <v>193</v>
      </c>
      <c r="D639" s="173">
        <v>0.01</v>
      </c>
      <c r="E639" s="204" t="s">
        <v>30</v>
      </c>
      <c r="F639" s="204" t="s">
        <v>188</v>
      </c>
      <c r="G639" s="210" t="s">
        <v>1332</v>
      </c>
      <c r="H639" s="171"/>
    </row>
    <row r="640" ht="14.25" spans="1:8">
      <c r="A640" s="176">
        <v>109</v>
      </c>
      <c r="B640" s="182" t="s">
        <v>1333</v>
      </c>
      <c r="C640" s="210" t="s">
        <v>193</v>
      </c>
      <c r="D640" s="173">
        <v>0.02</v>
      </c>
      <c r="E640" s="204" t="s">
        <v>30</v>
      </c>
      <c r="F640" s="204" t="s">
        <v>188</v>
      </c>
      <c r="G640" s="210" t="s">
        <v>1334</v>
      </c>
      <c r="H640" s="171"/>
    </row>
    <row r="641" ht="14.25" spans="1:8">
      <c r="A641" s="176">
        <v>110</v>
      </c>
      <c r="B641" s="182" t="s">
        <v>1335</v>
      </c>
      <c r="C641" s="210" t="s">
        <v>193</v>
      </c>
      <c r="D641" s="173">
        <v>0.02</v>
      </c>
      <c r="E641" s="204" t="s">
        <v>30</v>
      </c>
      <c r="F641" s="204" t="s">
        <v>188</v>
      </c>
      <c r="G641" s="210" t="s">
        <v>1336</v>
      </c>
      <c r="H641" s="171"/>
    </row>
    <row r="642" ht="14.25" spans="1:8">
      <c r="A642" s="176">
        <v>111</v>
      </c>
      <c r="B642" s="182" t="s">
        <v>1337</v>
      </c>
      <c r="C642" s="210" t="s">
        <v>193</v>
      </c>
      <c r="D642" s="173">
        <v>0.02</v>
      </c>
      <c r="E642" s="204" t="s">
        <v>30</v>
      </c>
      <c r="F642" s="204" t="s">
        <v>188</v>
      </c>
      <c r="G642" s="210" t="s">
        <v>1338</v>
      </c>
      <c r="H642" s="171"/>
    </row>
    <row r="643" ht="14.25" spans="1:8">
      <c r="A643" s="176">
        <v>112</v>
      </c>
      <c r="B643" s="182" t="s">
        <v>1337</v>
      </c>
      <c r="C643" s="210" t="s">
        <v>193</v>
      </c>
      <c r="D643" s="173">
        <v>0.02</v>
      </c>
      <c r="E643" s="204" t="s">
        <v>30</v>
      </c>
      <c r="F643" s="204" t="s">
        <v>188</v>
      </c>
      <c r="G643" s="210" t="s">
        <v>1339</v>
      </c>
      <c r="H643" s="171"/>
    </row>
    <row r="644" ht="14.25" spans="1:8">
      <c r="A644" s="176">
        <v>113</v>
      </c>
      <c r="B644" s="182" t="s">
        <v>1340</v>
      </c>
      <c r="C644" s="210" t="s">
        <v>193</v>
      </c>
      <c r="D644" s="173">
        <v>0.02</v>
      </c>
      <c r="E644" s="204" t="s">
        <v>30</v>
      </c>
      <c r="F644" s="204" t="s">
        <v>188</v>
      </c>
      <c r="G644" s="210" t="s">
        <v>1341</v>
      </c>
      <c r="H644" s="171"/>
    </row>
    <row r="645" ht="14.25" spans="1:8">
      <c r="A645" s="176">
        <v>114</v>
      </c>
      <c r="B645" s="182" t="s">
        <v>1342</v>
      </c>
      <c r="C645" s="210" t="s">
        <v>193</v>
      </c>
      <c r="D645" s="173">
        <v>0.02</v>
      </c>
      <c r="E645" s="204" t="s">
        <v>30</v>
      </c>
      <c r="F645" s="204" t="s">
        <v>188</v>
      </c>
      <c r="G645" s="210" t="s">
        <v>1343</v>
      </c>
      <c r="H645" s="171"/>
    </row>
    <row r="646" ht="14.25" spans="1:8">
      <c r="A646" s="176">
        <v>115</v>
      </c>
      <c r="B646" s="182" t="s">
        <v>1344</v>
      </c>
      <c r="C646" s="210" t="s">
        <v>193</v>
      </c>
      <c r="D646" s="173">
        <v>0.02</v>
      </c>
      <c r="E646" s="204" t="s">
        <v>30</v>
      </c>
      <c r="F646" s="204" t="s">
        <v>188</v>
      </c>
      <c r="G646" s="210" t="s">
        <v>1345</v>
      </c>
      <c r="H646" s="171"/>
    </row>
    <row r="647" ht="14.25" spans="1:8">
      <c r="A647" s="176">
        <v>116</v>
      </c>
      <c r="B647" s="182" t="s">
        <v>1346</v>
      </c>
      <c r="C647" s="210" t="s">
        <v>193</v>
      </c>
      <c r="D647" s="173">
        <v>0.18</v>
      </c>
      <c r="E647" s="204" t="s">
        <v>30</v>
      </c>
      <c r="F647" s="204" t="s">
        <v>188</v>
      </c>
      <c r="G647" s="210" t="s">
        <v>1347</v>
      </c>
      <c r="H647" s="171"/>
    </row>
    <row r="648" ht="14.25" spans="1:8">
      <c r="A648" s="176">
        <v>117</v>
      </c>
      <c r="B648" s="182" t="s">
        <v>1210</v>
      </c>
      <c r="C648" s="210" t="s">
        <v>193</v>
      </c>
      <c r="D648" s="173">
        <v>1</v>
      </c>
      <c r="E648" s="204" t="s">
        <v>30</v>
      </c>
      <c r="F648" s="204" t="s">
        <v>59</v>
      </c>
      <c r="G648" s="210" t="s">
        <v>1211</v>
      </c>
      <c r="H648" s="171"/>
    </row>
    <row r="649" ht="14.25" spans="1:8">
      <c r="A649" s="176">
        <v>118</v>
      </c>
      <c r="B649" s="182" t="s">
        <v>1348</v>
      </c>
      <c r="C649" s="210" t="s">
        <v>193</v>
      </c>
      <c r="D649" s="173">
        <v>0.02</v>
      </c>
      <c r="E649" s="204" t="s">
        <v>30</v>
      </c>
      <c r="F649" s="204" t="s">
        <v>188</v>
      </c>
      <c r="G649" s="210" t="s">
        <v>1349</v>
      </c>
      <c r="H649" s="171"/>
    </row>
    <row r="650" ht="14.25" spans="1:8">
      <c r="A650" s="176">
        <v>119</v>
      </c>
      <c r="B650" s="182" t="s">
        <v>1350</v>
      </c>
      <c r="C650" s="210" t="s">
        <v>193</v>
      </c>
      <c r="D650" s="173">
        <v>0.04</v>
      </c>
      <c r="E650" s="204" t="s">
        <v>30</v>
      </c>
      <c r="F650" s="204" t="s">
        <v>188</v>
      </c>
      <c r="G650" s="210" t="s">
        <v>1151</v>
      </c>
      <c r="H650" s="171"/>
    </row>
    <row r="651" ht="14.25" spans="1:8">
      <c r="A651" s="176">
        <v>120</v>
      </c>
      <c r="B651" s="182" t="s">
        <v>1152</v>
      </c>
      <c r="C651" s="210" t="s">
        <v>193</v>
      </c>
      <c r="D651" s="173">
        <v>0.02</v>
      </c>
      <c r="E651" s="204" t="s">
        <v>30</v>
      </c>
      <c r="F651" s="204" t="s">
        <v>188</v>
      </c>
      <c r="G651" s="210" t="s">
        <v>1351</v>
      </c>
      <c r="H651" s="171"/>
    </row>
    <row r="652" ht="14.25" spans="1:8">
      <c r="A652" s="176">
        <v>121</v>
      </c>
      <c r="B652" s="182" t="s">
        <v>1346</v>
      </c>
      <c r="C652" s="210" t="s">
        <v>193</v>
      </c>
      <c r="D652" s="173">
        <v>0.03</v>
      </c>
      <c r="E652" s="204" t="s">
        <v>30</v>
      </c>
      <c r="F652" s="204" t="s">
        <v>188</v>
      </c>
      <c r="G652" s="210" t="s">
        <v>1352</v>
      </c>
      <c r="H652" s="171"/>
    </row>
    <row r="653" ht="14.25" spans="1:8">
      <c r="A653" s="176">
        <v>122</v>
      </c>
      <c r="B653" s="182" t="s">
        <v>1346</v>
      </c>
      <c r="C653" s="210" t="s">
        <v>193</v>
      </c>
      <c r="D653" s="173">
        <v>0.01</v>
      </c>
      <c r="E653" s="204" t="s">
        <v>30</v>
      </c>
      <c r="F653" s="204" t="s">
        <v>188</v>
      </c>
      <c r="G653" s="210" t="s">
        <v>1353</v>
      </c>
      <c r="H653" s="171"/>
    </row>
    <row r="654" ht="14.25" spans="1:8">
      <c r="A654" s="176">
        <v>123</v>
      </c>
      <c r="B654" s="182" t="s">
        <v>1346</v>
      </c>
      <c r="C654" s="210" t="s">
        <v>193</v>
      </c>
      <c r="D654" s="173">
        <v>0.03</v>
      </c>
      <c r="E654" s="204" t="s">
        <v>30</v>
      </c>
      <c r="F654" s="204" t="s">
        <v>188</v>
      </c>
      <c r="G654" s="210" t="s">
        <v>1354</v>
      </c>
      <c r="H654" s="171"/>
    </row>
    <row r="655" ht="14.25" spans="1:8">
      <c r="A655" s="176">
        <v>124</v>
      </c>
      <c r="B655" s="182" t="s">
        <v>1346</v>
      </c>
      <c r="C655" s="210" t="s">
        <v>193</v>
      </c>
      <c r="D655" s="173">
        <v>0.03</v>
      </c>
      <c r="E655" s="204" t="s">
        <v>30</v>
      </c>
      <c r="F655" s="204" t="s">
        <v>188</v>
      </c>
      <c r="G655" s="210" t="s">
        <v>1355</v>
      </c>
      <c r="H655" s="171"/>
    </row>
    <row r="656" ht="14.25" spans="1:8">
      <c r="A656" s="176">
        <v>125</v>
      </c>
      <c r="B656" s="182" t="s">
        <v>1346</v>
      </c>
      <c r="C656" s="210" t="s">
        <v>193</v>
      </c>
      <c r="D656" s="173">
        <v>0.06</v>
      </c>
      <c r="E656" s="204" t="s">
        <v>30</v>
      </c>
      <c r="F656" s="204" t="s">
        <v>188</v>
      </c>
      <c r="G656" s="210" t="s">
        <v>1356</v>
      </c>
      <c r="H656" s="171"/>
    </row>
    <row r="657" ht="14.25" spans="1:8">
      <c r="A657" s="176">
        <v>126</v>
      </c>
      <c r="B657" s="182" t="s">
        <v>1346</v>
      </c>
      <c r="C657" s="210" t="s">
        <v>193</v>
      </c>
      <c r="D657" s="173">
        <v>0.06</v>
      </c>
      <c r="E657" s="204" t="s">
        <v>30</v>
      </c>
      <c r="F657" s="204" t="s">
        <v>188</v>
      </c>
      <c r="G657" s="210" t="s">
        <v>1357</v>
      </c>
      <c r="H657" s="171"/>
    </row>
    <row r="658" ht="14.25" spans="1:8">
      <c r="A658" s="176">
        <v>127</v>
      </c>
      <c r="B658" s="182" t="s">
        <v>1358</v>
      </c>
      <c r="C658" s="210" t="s">
        <v>193</v>
      </c>
      <c r="D658" s="173">
        <v>0.04</v>
      </c>
      <c r="E658" s="204" t="s">
        <v>30</v>
      </c>
      <c r="F658" s="204" t="s">
        <v>188</v>
      </c>
      <c r="G658" s="210" t="s">
        <v>1359</v>
      </c>
      <c r="H658" s="171"/>
    </row>
    <row r="659" ht="14.25" spans="1:8">
      <c r="A659" s="176">
        <v>128</v>
      </c>
      <c r="B659" s="182" t="s">
        <v>1178</v>
      </c>
      <c r="C659" s="210" t="s">
        <v>193</v>
      </c>
      <c r="D659" s="173">
        <v>0.01</v>
      </c>
      <c r="E659" s="204" t="s">
        <v>30</v>
      </c>
      <c r="F659" s="204" t="s">
        <v>188</v>
      </c>
      <c r="G659" s="210" t="s">
        <v>1360</v>
      </c>
      <c r="H659" s="171"/>
    </row>
    <row r="660" ht="14.25" spans="1:8">
      <c r="A660" s="176">
        <v>129</v>
      </c>
      <c r="B660" s="182" t="s">
        <v>1361</v>
      </c>
      <c r="C660" s="210" t="s">
        <v>193</v>
      </c>
      <c r="D660" s="173">
        <v>0.04</v>
      </c>
      <c r="E660" s="204" t="s">
        <v>30</v>
      </c>
      <c r="F660" s="204" t="s">
        <v>188</v>
      </c>
      <c r="G660" s="210" t="s">
        <v>1362</v>
      </c>
      <c r="H660" s="171"/>
    </row>
    <row r="661" ht="14.25" spans="1:8">
      <c r="A661" s="176">
        <v>130</v>
      </c>
      <c r="B661" s="182" t="s">
        <v>1363</v>
      </c>
      <c r="C661" s="210" t="s">
        <v>193</v>
      </c>
      <c r="D661" s="173">
        <v>0.06</v>
      </c>
      <c r="E661" s="204" t="s">
        <v>30</v>
      </c>
      <c r="F661" s="204" t="s">
        <v>188</v>
      </c>
      <c r="G661" s="210" t="s">
        <v>1364</v>
      </c>
      <c r="H661" s="171"/>
    </row>
    <row r="662" ht="14.25" spans="1:8">
      <c r="A662" s="176">
        <v>131</v>
      </c>
      <c r="B662" s="182" t="s">
        <v>1365</v>
      </c>
      <c r="C662" s="210" t="s">
        <v>193</v>
      </c>
      <c r="D662" s="173">
        <v>0.04</v>
      </c>
      <c r="E662" s="204" t="s">
        <v>30</v>
      </c>
      <c r="F662" s="204" t="s">
        <v>188</v>
      </c>
      <c r="G662" s="210" t="s">
        <v>1366</v>
      </c>
      <c r="H662" s="171"/>
    </row>
    <row r="663" ht="14.25" spans="1:8">
      <c r="A663" s="176">
        <v>132</v>
      </c>
      <c r="B663" s="177" t="s">
        <v>1183</v>
      </c>
      <c r="C663" s="210" t="s">
        <v>193</v>
      </c>
      <c r="D663" s="173">
        <v>0.01</v>
      </c>
      <c r="E663" s="204" t="s">
        <v>30</v>
      </c>
      <c r="F663" s="204" t="s">
        <v>188</v>
      </c>
      <c r="G663" s="210" t="s">
        <v>1184</v>
      </c>
      <c r="H663" s="171"/>
    </row>
    <row r="664" ht="14.25" spans="1:8">
      <c r="A664" s="176">
        <v>133</v>
      </c>
      <c r="B664" s="177" t="s">
        <v>1367</v>
      </c>
      <c r="C664" s="210" t="s">
        <v>193</v>
      </c>
      <c r="D664" s="173">
        <v>0.05</v>
      </c>
      <c r="E664" s="204" t="s">
        <v>30</v>
      </c>
      <c r="F664" s="204" t="s">
        <v>188</v>
      </c>
      <c r="G664" s="210" t="s">
        <v>1368</v>
      </c>
      <c r="H664" s="171"/>
    </row>
    <row r="665" ht="14.25" spans="1:8">
      <c r="A665" s="176">
        <v>134</v>
      </c>
      <c r="B665" s="177" t="s">
        <v>1369</v>
      </c>
      <c r="C665" s="210" t="s">
        <v>193</v>
      </c>
      <c r="D665" s="173">
        <v>0.01</v>
      </c>
      <c r="E665" s="204" t="s">
        <v>30</v>
      </c>
      <c r="F665" s="204" t="s">
        <v>188</v>
      </c>
      <c r="G665" s="210" t="s">
        <v>1370</v>
      </c>
      <c r="H665" s="171"/>
    </row>
    <row r="666" ht="14.25" spans="1:8">
      <c r="A666" s="176">
        <v>135</v>
      </c>
      <c r="B666" s="177" t="s">
        <v>1371</v>
      </c>
      <c r="C666" s="210" t="s">
        <v>193</v>
      </c>
      <c r="D666" s="173">
        <v>0.04</v>
      </c>
      <c r="E666" s="204" t="s">
        <v>30</v>
      </c>
      <c r="F666" s="204" t="s">
        <v>188</v>
      </c>
      <c r="G666" s="210" t="s">
        <v>1372</v>
      </c>
      <c r="H666" s="171"/>
    </row>
    <row r="667" ht="14.25" spans="1:8">
      <c r="A667" s="176">
        <v>136</v>
      </c>
      <c r="B667" s="177" t="s">
        <v>1373</v>
      </c>
      <c r="C667" s="210" t="s">
        <v>193</v>
      </c>
      <c r="D667" s="173">
        <v>0.02</v>
      </c>
      <c r="E667" s="204" t="s">
        <v>30</v>
      </c>
      <c r="F667" s="204" t="s">
        <v>188</v>
      </c>
      <c r="G667" s="210" t="s">
        <v>1374</v>
      </c>
      <c r="H667" s="171"/>
    </row>
    <row r="668" ht="14.25" spans="1:8">
      <c r="A668" s="176">
        <v>137</v>
      </c>
      <c r="B668" s="177" t="s">
        <v>1375</v>
      </c>
      <c r="C668" s="210" t="s">
        <v>193</v>
      </c>
      <c r="D668" s="173">
        <v>0.01</v>
      </c>
      <c r="E668" s="204" t="s">
        <v>30</v>
      </c>
      <c r="F668" s="204" t="s">
        <v>188</v>
      </c>
      <c r="G668" s="210" t="s">
        <v>1376</v>
      </c>
      <c r="H668" s="171"/>
    </row>
    <row r="669" ht="14.25" spans="1:8">
      <c r="A669" s="176">
        <v>138</v>
      </c>
      <c r="B669" s="177" t="s">
        <v>1377</v>
      </c>
      <c r="C669" s="210" t="s">
        <v>193</v>
      </c>
      <c r="D669" s="173">
        <v>0.04</v>
      </c>
      <c r="E669" s="204" t="s">
        <v>30</v>
      </c>
      <c r="F669" s="204" t="s">
        <v>188</v>
      </c>
      <c r="G669" s="210" t="s">
        <v>1378</v>
      </c>
      <c r="H669" s="171"/>
    </row>
    <row r="670" ht="14.25" spans="1:8">
      <c r="A670" s="176">
        <v>139</v>
      </c>
      <c r="B670" s="177" t="s">
        <v>1379</v>
      </c>
      <c r="C670" s="210" t="s">
        <v>193</v>
      </c>
      <c r="D670" s="173">
        <v>0.01</v>
      </c>
      <c r="E670" s="204" t="s">
        <v>30</v>
      </c>
      <c r="F670" s="204" t="s">
        <v>188</v>
      </c>
      <c r="G670" s="210" t="s">
        <v>1380</v>
      </c>
      <c r="H670" s="171"/>
    </row>
    <row r="671" ht="14.25" spans="1:8">
      <c r="A671" s="176">
        <v>140</v>
      </c>
      <c r="B671" s="177" t="s">
        <v>1381</v>
      </c>
      <c r="C671" s="210" t="s">
        <v>193</v>
      </c>
      <c r="D671" s="173">
        <v>0.04</v>
      </c>
      <c r="E671" s="204" t="s">
        <v>30</v>
      </c>
      <c r="F671" s="204" t="s">
        <v>188</v>
      </c>
      <c r="G671" s="210" t="s">
        <v>1382</v>
      </c>
      <c r="H671" s="171"/>
    </row>
    <row r="672" ht="14.25" spans="1:8">
      <c r="A672" s="176">
        <v>141</v>
      </c>
      <c r="B672" s="177" t="s">
        <v>1383</v>
      </c>
      <c r="C672" s="210" t="s">
        <v>193</v>
      </c>
      <c r="D672" s="173">
        <v>0.04</v>
      </c>
      <c r="E672" s="204" t="s">
        <v>30</v>
      </c>
      <c r="F672" s="204" t="s">
        <v>188</v>
      </c>
      <c r="G672" s="210" t="s">
        <v>1384</v>
      </c>
      <c r="H672" s="171"/>
    </row>
    <row r="673" ht="14.25" spans="1:8">
      <c r="A673" s="176">
        <v>142</v>
      </c>
      <c r="B673" s="177" t="s">
        <v>1385</v>
      </c>
      <c r="C673" s="210" t="s">
        <v>193</v>
      </c>
      <c r="D673" s="173">
        <v>0.02</v>
      </c>
      <c r="E673" s="204" t="s">
        <v>30</v>
      </c>
      <c r="F673" s="204" t="s">
        <v>188</v>
      </c>
      <c r="G673" s="210" t="s">
        <v>1386</v>
      </c>
      <c r="H673" s="171"/>
    </row>
    <row r="674" ht="14.25" spans="1:8">
      <c r="A674" s="176">
        <v>143</v>
      </c>
      <c r="B674" s="177" t="s">
        <v>1387</v>
      </c>
      <c r="C674" s="210" t="s">
        <v>193</v>
      </c>
      <c r="D674" s="173">
        <v>0.02</v>
      </c>
      <c r="E674" s="204" t="s">
        <v>30</v>
      </c>
      <c r="F674" s="204" t="s">
        <v>188</v>
      </c>
      <c r="G674" s="210" t="s">
        <v>738</v>
      </c>
      <c r="H674" s="171"/>
    </row>
    <row r="675" ht="14.25" spans="1:8">
      <c r="A675" s="176">
        <v>144</v>
      </c>
      <c r="B675" s="177" t="s">
        <v>1388</v>
      </c>
      <c r="C675" s="210" t="s">
        <v>193</v>
      </c>
      <c r="D675" s="173">
        <v>0.1</v>
      </c>
      <c r="E675" s="204" t="s">
        <v>30</v>
      </c>
      <c r="F675" s="204" t="s">
        <v>188</v>
      </c>
      <c r="G675" s="210" t="s">
        <v>1389</v>
      </c>
      <c r="H675" s="171"/>
    </row>
    <row r="676" ht="14.25" spans="1:8">
      <c r="A676" s="176">
        <v>145</v>
      </c>
      <c r="B676" s="177" t="s">
        <v>1208</v>
      </c>
      <c r="C676" s="210" t="s">
        <v>193</v>
      </c>
      <c r="D676" s="173">
        <v>0.2</v>
      </c>
      <c r="E676" s="204" t="s">
        <v>30</v>
      </c>
      <c r="F676" s="204" t="s">
        <v>188</v>
      </c>
      <c r="G676" s="210" t="s">
        <v>1390</v>
      </c>
      <c r="H676" s="171"/>
    </row>
    <row r="677" ht="14.25" spans="1:8">
      <c r="A677" s="176">
        <v>146</v>
      </c>
      <c r="B677" s="177" t="s">
        <v>1391</v>
      </c>
      <c r="C677" s="210" t="s">
        <v>193</v>
      </c>
      <c r="D677" s="173">
        <v>0.01</v>
      </c>
      <c r="E677" s="204" t="s">
        <v>30</v>
      </c>
      <c r="F677" s="204" t="s">
        <v>188</v>
      </c>
      <c r="G677" s="210" t="s">
        <v>1245</v>
      </c>
      <c r="H677" s="171"/>
    </row>
    <row r="678" ht="14.25" spans="1:8">
      <c r="A678" s="176">
        <v>147</v>
      </c>
      <c r="B678" s="177" t="s">
        <v>1392</v>
      </c>
      <c r="C678" s="210" t="s">
        <v>193</v>
      </c>
      <c r="D678" s="173">
        <v>0.03</v>
      </c>
      <c r="E678" s="204" t="s">
        <v>30</v>
      </c>
      <c r="F678" s="204" t="s">
        <v>188</v>
      </c>
      <c r="G678" s="210" t="s">
        <v>1393</v>
      </c>
      <c r="H678" s="171"/>
    </row>
    <row r="679" ht="14.25" spans="1:8">
      <c r="A679" s="176">
        <v>148</v>
      </c>
      <c r="B679" s="177" t="s">
        <v>1392</v>
      </c>
      <c r="C679" s="210" t="s">
        <v>193</v>
      </c>
      <c r="D679" s="173">
        <v>0.03</v>
      </c>
      <c r="E679" s="204" t="s">
        <v>30</v>
      </c>
      <c r="F679" s="204" t="s">
        <v>188</v>
      </c>
      <c r="G679" s="210" t="s">
        <v>1394</v>
      </c>
      <c r="H679" s="171"/>
    </row>
    <row r="680" ht="14.25" spans="1:8">
      <c r="A680" s="176">
        <v>149</v>
      </c>
      <c r="B680" s="177" t="s">
        <v>1395</v>
      </c>
      <c r="C680" s="210" t="s">
        <v>193</v>
      </c>
      <c r="D680" s="173">
        <v>0.01</v>
      </c>
      <c r="E680" s="204" t="s">
        <v>30</v>
      </c>
      <c r="F680" s="204" t="s">
        <v>188</v>
      </c>
      <c r="G680" s="210" t="s">
        <v>1396</v>
      </c>
      <c r="H680" s="171"/>
    </row>
    <row r="681" ht="14.25" spans="1:8">
      <c r="A681" s="176">
        <v>150</v>
      </c>
      <c r="B681" s="177" t="s">
        <v>1250</v>
      </c>
      <c r="C681" s="210" t="s">
        <v>193</v>
      </c>
      <c r="D681" s="173">
        <v>0.02</v>
      </c>
      <c r="E681" s="204" t="s">
        <v>30</v>
      </c>
      <c r="F681" s="204" t="s">
        <v>188</v>
      </c>
      <c r="G681" s="210" t="s">
        <v>1397</v>
      </c>
      <c r="H681" s="171"/>
    </row>
    <row r="682" ht="14.25" spans="1:8">
      <c r="A682" s="176">
        <v>151</v>
      </c>
      <c r="B682" s="177" t="s">
        <v>1250</v>
      </c>
      <c r="C682" s="210" t="s">
        <v>193</v>
      </c>
      <c r="D682" s="173">
        <v>0.04</v>
      </c>
      <c r="E682" s="204" t="s">
        <v>30</v>
      </c>
      <c r="F682" s="204" t="s">
        <v>188</v>
      </c>
      <c r="G682" s="210" t="s">
        <v>1251</v>
      </c>
      <c r="H682" s="171"/>
    </row>
    <row r="683" ht="14.25" spans="1:8">
      <c r="A683" s="176">
        <v>152</v>
      </c>
      <c r="B683" s="177" t="s">
        <v>1398</v>
      </c>
      <c r="C683" s="210" t="s">
        <v>193</v>
      </c>
      <c r="D683" s="173">
        <v>0.01</v>
      </c>
      <c r="E683" s="204" t="s">
        <v>30</v>
      </c>
      <c r="F683" s="204" t="s">
        <v>188</v>
      </c>
      <c r="G683" s="210" t="s">
        <v>1399</v>
      </c>
      <c r="H683" s="171"/>
    </row>
    <row r="684" ht="14.25" spans="1:8">
      <c r="A684" s="176">
        <v>153</v>
      </c>
      <c r="B684" s="177" t="s">
        <v>1400</v>
      </c>
      <c r="C684" s="210" t="s">
        <v>193</v>
      </c>
      <c r="D684" s="173">
        <v>0.02</v>
      </c>
      <c r="E684" s="204" t="s">
        <v>30</v>
      </c>
      <c r="F684" s="204" t="s">
        <v>188</v>
      </c>
      <c r="G684" s="210" t="s">
        <v>1279</v>
      </c>
      <c r="H684" s="171"/>
    </row>
    <row r="685" ht="14.25" spans="1:8">
      <c r="A685" s="176">
        <v>154</v>
      </c>
      <c r="B685" s="183" t="s">
        <v>1401</v>
      </c>
      <c r="C685" s="210" t="s">
        <v>193</v>
      </c>
      <c r="D685" s="173">
        <v>0.11</v>
      </c>
      <c r="E685" s="204" t="s">
        <v>30</v>
      </c>
      <c r="F685" s="204" t="s">
        <v>188</v>
      </c>
      <c r="G685" s="210" t="s">
        <v>1402</v>
      </c>
      <c r="H685" s="171"/>
    </row>
    <row r="686" ht="14.25" spans="1:8">
      <c r="A686" s="176">
        <v>155</v>
      </c>
      <c r="B686" s="183" t="s">
        <v>1400</v>
      </c>
      <c r="C686" s="210" t="s">
        <v>193</v>
      </c>
      <c r="D686" s="173">
        <v>0.04</v>
      </c>
      <c r="E686" s="204" t="s">
        <v>30</v>
      </c>
      <c r="F686" s="204" t="s">
        <v>188</v>
      </c>
      <c r="G686" s="210" t="s">
        <v>1403</v>
      </c>
      <c r="H686" s="171"/>
    </row>
    <row r="687" ht="14.25" spans="1:8">
      <c r="A687" s="176">
        <v>156</v>
      </c>
      <c r="B687" s="182" t="s">
        <v>1404</v>
      </c>
      <c r="C687" s="210" t="s">
        <v>193</v>
      </c>
      <c r="D687" s="173">
        <v>0.04</v>
      </c>
      <c r="E687" s="204" t="s">
        <v>30</v>
      </c>
      <c r="F687" s="204" t="s">
        <v>188</v>
      </c>
      <c r="G687" s="210" t="s">
        <v>1405</v>
      </c>
      <c r="H687" s="171"/>
    </row>
    <row r="688" ht="14.25" spans="1:8">
      <c r="A688" s="176">
        <v>157</v>
      </c>
      <c r="B688" s="182" t="s">
        <v>1406</v>
      </c>
      <c r="C688" s="210" t="s">
        <v>193</v>
      </c>
      <c r="D688" s="173">
        <v>0.1</v>
      </c>
      <c r="E688" s="204" t="s">
        <v>30</v>
      </c>
      <c r="F688" s="204" t="s">
        <v>188</v>
      </c>
      <c r="G688" s="210" t="s">
        <v>1407</v>
      </c>
      <c r="H688" s="171"/>
    </row>
    <row r="689" ht="14.25" spans="1:8">
      <c r="A689" s="176">
        <v>158</v>
      </c>
      <c r="B689" s="182" t="s">
        <v>1284</v>
      </c>
      <c r="C689" s="210" t="s">
        <v>193</v>
      </c>
      <c r="D689" s="173">
        <v>0.01</v>
      </c>
      <c r="E689" s="204" t="s">
        <v>30</v>
      </c>
      <c r="F689" s="204" t="s">
        <v>188</v>
      </c>
      <c r="G689" s="210" t="s">
        <v>1408</v>
      </c>
      <c r="H689" s="171"/>
    </row>
    <row r="690" ht="14.25" spans="1:8">
      <c r="A690" s="176">
        <v>159</v>
      </c>
      <c r="B690" s="182" t="s">
        <v>1284</v>
      </c>
      <c r="C690" s="210" t="s">
        <v>193</v>
      </c>
      <c r="D690" s="173">
        <v>0.01</v>
      </c>
      <c r="E690" s="204" t="s">
        <v>30</v>
      </c>
      <c r="F690" s="204" t="s">
        <v>188</v>
      </c>
      <c r="G690" s="210" t="s">
        <v>1286</v>
      </c>
      <c r="H690" s="171"/>
    </row>
    <row r="691" ht="14.25" spans="1:8">
      <c r="A691" s="176">
        <v>160</v>
      </c>
      <c r="B691" s="182" t="s">
        <v>1284</v>
      </c>
      <c r="C691" s="210" t="s">
        <v>193</v>
      </c>
      <c r="D691" s="173">
        <v>0.01</v>
      </c>
      <c r="E691" s="204" t="s">
        <v>30</v>
      </c>
      <c r="F691" s="204" t="s">
        <v>188</v>
      </c>
      <c r="G691" s="210" t="s">
        <v>1285</v>
      </c>
      <c r="H691" s="171"/>
    </row>
    <row r="692" ht="14.25" spans="1:8">
      <c r="A692" s="176">
        <v>161</v>
      </c>
      <c r="B692" s="182" t="s">
        <v>1409</v>
      </c>
      <c r="C692" s="210" t="s">
        <v>193</v>
      </c>
      <c r="D692" s="173">
        <v>0.04</v>
      </c>
      <c r="E692" s="204" t="s">
        <v>30</v>
      </c>
      <c r="F692" s="204" t="s">
        <v>188</v>
      </c>
      <c r="G692" s="210" t="s">
        <v>1410</v>
      </c>
      <c r="H692" s="171"/>
    </row>
    <row r="693" ht="14.25" spans="1:8">
      <c r="A693" s="176">
        <v>162</v>
      </c>
      <c r="B693" s="182" t="s">
        <v>1411</v>
      </c>
      <c r="C693" s="210" t="s">
        <v>193</v>
      </c>
      <c r="D693" s="173">
        <v>0.04</v>
      </c>
      <c r="E693" s="204" t="s">
        <v>30</v>
      </c>
      <c r="F693" s="204" t="s">
        <v>188</v>
      </c>
      <c r="G693" s="210" t="s">
        <v>1412</v>
      </c>
      <c r="H693" s="171"/>
    </row>
    <row r="694" ht="14.25" spans="1:8">
      <c r="A694" s="176">
        <v>163</v>
      </c>
      <c r="B694" s="182" t="s">
        <v>1342</v>
      </c>
      <c r="C694" s="210" t="s">
        <v>193</v>
      </c>
      <c r="D694" s="173">
        <v>0.03</v>
      </c>
      <c r="E694" s="204" t="s">
        <v>30</v>
      </c>
      <c r="F694" s="204" t="s">
        <v>188</v>
      </c>
      <c r="G694" s="210" t="s">
        <v>1343</v>
      </c>
      <c r="H694" s="171"/>
    </row>
    <row r="695" ht="14.25" spans="1:8">
      <c r="A695" s="176">
        <v>164</v>
      </c>
      <c r="B695" s="182" t="s">
        <v>1413</v>
      </c>
      <c r="C695" s="210" t="s">
        <v>193</v>
      </c>
      <c r="D695" s="173">
        <v>0.03</v>
      </c>
      <c r="E695" s="204" t="s">
        <v>30</v>
      </c>
      <c r="F695" s="204" t="s">
        <v>188</v>
      </c>
      <c r="G695" s="210" t="s">
        <v>1414</v>
      </c>
      <c r="H695" s="171"/>
    </row>
    <row r="696" ht="14.25" spans="1:8">
      <c r="A696" s="176">
        <v>165</v>
      </c>
      <c r="B696" s="182" t="s">
        <v>1415</v>
      </c>
      <c r="C696" s="210" t="s">
        <v>193</v>
      </c>
      <c r="D696" s="173">
        <v>0.04</v>
      </c>
      <c r="E696" s="204" t="s">
        <v>30</v>
      </c>
      <c r="F696" s="204" t="s">
        <v>188</v>
      </c>
      <c r="G696" s="210" t="s">
        <v>1416</v>
      </c>
      <c r="H696" s="171"/>
    </row>
    <row r="697" ht="14.25" spans="1:8">
      <c r="A697" s="176">
        <v>166</v>
      </c>
      <c r="B697" s="182" t="s">
        <v>1417</v>
      </c>
      <c r="C697" s="210" t="s">
        <v>193</v>
      </c>
      <c r="D697" s="173">
        <v>0.02</v>
      </c>
      <c r="E697" s="204" t="s">
        <v>30</v>
      </c>
      <c r="F697" s="204" t="s">
        <v>188</v>
      </c>
      <c r="G697" s="210" t="s">
        <v>1418</v>
      </c>
      <c r="H697" s="171"/>
    </row>
    <row r="698" ht="14.25" spans="1:8">
      <c r="A698" s="176">
        <v>167</v>
      </c>
      <c r="B698" s="182" t="s">
        <v>1361</v>
      </c>
      <c r="C698" s="210" t="s">
        <v>193</v>
      </c>
      <c r="D698" s="173">
        <v>0.04</v>
      </c>
      <c r="E698" s="204" t="s">
        <v>30</v>
      </c>
      <c r="F698" s="204" t="s">
        <v>188</v>
      </c>
      <c r="G698" s="210" t="s">
        <v>1419</v>
      </c>
      <c r="H698" s="171"/>
    </row>
    <row r="699" ht="25.5" spans="1:8">
      <c r="A699" s="176">
        <v>168</v>
      </c>
      <c r="B699" s="182" t="s">
        <v>1202</v>
      </c>
      <c r="C699" s="210" t="s">
        <v>193</v>
      </c>
      <c r="D699" s="173">
        <v>0.08</v>
      </c>
      <c r="E699" s="204" t="s">
        <v>30</v>
      </c>
      <c r="F699" s="204" t="s">
        <v>188</v>
      </c>
      <c r="G699" s="210" t="s">
        <v>1023</v>
      </c>
      <c r="H699" s="171" t="s">
        <v>1420</v>
      </c>
    </row>
    <row r="700" ht="14.25" spans="1:8">
      <c r="A700" s="176">
        <v>169</v>
      </c>
      <c r="B700" s="182" t="s">
        <v>1417</v>
      </c>
      <c r="C700" s="210" t="s">
        <v>193</v>
      </c>
      <c r="D700" s="173">
        <v>0.02</v>
      </c>
      <c r="E700" s="204" t="s">
        <v>30</v>
      </c>
      <c r="F700" s="204" t="s">
        <v>188</v>
      </c>
      <c r="G700" s="210" t="s">
        <v>1421</v>
      </c>
      <c r="H700" s="171"/>
    </row>
    <row r="701" ht="14.25" spans="1:8">
      <c r="A701" s="176">
        <v>170</v>
      </c>
      <c r="B701" s="182" t="s">
        <v>1417</v>
      </c>
      <c r="C701" s="210" t="s">
        <v>193</v>
      </c>
      <c r="D701" s="173">
        <v>0.02</v>
      </c>
      <c r="E701" s="204" t="s">
        <v>30</v>
      </c>
      <c r="F701" s="204" t="s">
        <v>188</v>
      </c>
      <c r="G701" s="210" t="s">
        <v>1422</v>
      </c>
      <c r="H701" s="171"/>
    </row>
    <row r="702" ht="14.25" spans="1:8">
      <c r="A702" s="176">
        <v>171</v>
      </c>
      <c r="B702" s="182" t="s">
        <v>1156</v>
      </c>
      <c r="C702" s="210" t="s">
        <v>193</v>
      </c>
      <c r="D702" s="173">
        <v>0.07</v>
      </c>
      <c r="E702" s="204" t="s">
        <v>30</v>
      </c>
      <c r="F702" s="204" t="s">
        <v>188</v>
      </c>
      <c r="G702" s="210" t="s">
        <v>1423</v>
      </c>
      <c r="H702" s="171"/>
    </row>
    <row r="703" ht="14.25" spans="1:8">
      <c r="A703" s="176">
        <v>172</v>
      </c>
      <c r="B703" s="182" t="s">
        <v>1156</v>
      </c>
      <c r="C703" s="210" t="s">
        <v>193</v>
      </c>
      <c r="D703" s="173">
        <v>0.09</v>
      </c>
      <c r="E703" s="204" t="s">
        <v>30</v>
      </c>
      <c r="F703" s="204" t="s">
        <v>188</v>
      </c>
      <c r="G703" s="210" t="s">
        <v>1424</v>
      </c>
      <c r="H703" s="171"/>
    </row>
    <row r="704" ht="14.25" spans="1:8">
      <c r="A704" s="176">
        <v>173</v>
      </c>
      <c r="B704" s="182" t="s">
        <v>1425</v>
      </c>
      <c r="C704" s="210" t="s">
        <v>193</v>
      </c>
      <c r="D704" s="173">
        <v>0.05</v>
      </c>
      <c r="E704" s="204" t="s">
        <v>30</v>
      </c>
      <c r="F704" s="204" t="s">
        <v>188</v>
      </c>
      <c r="G704" s="210" t="s">
        <v>1426</v>
      </c>
      <c r="H704" s="171"/>
    </row>
    <row r="705" ht="14.25" spans="1:8">
      <c r="A705" s="176">
        <v>174</v>
      </c>
      <c r="B705" s="182" t="s">
        <v>1427</v>
      </c>
      <c r="C705" s="210" t="s">
        <v>193</v>
      </c>
      <c r="D705" s="173">
        <v>0.04</v>
      </c>
      <c r="E705" s="204" t="s">
        <v>30</v>
      </c>
      <c r="F705" s="204" t="s">
        <v>188</v>
      </c>
      <c r="G705" s="210" t="s">
        <v>1428</v>
      </c>
      <c r="H705" s="171"/>
    </row>
    <row r="706" ht="14.25" spans="1:8">
      <c r="A706" s="176">
        <v>175</v>
      </c>
      <c r="B706" s="182" t="s">
        <v>1429</v>
      </c>
      <c r="C706" s="210" t="s">
        <v>193</v>
      </c>
      <c r="D706" s="173">
        <v>0.05</v>
      </c>
      <c r="E706" s="204" t="s">
        <v>30</v>
      </c>
      <c r="F706" s="204" t="s">
        <v>188</v>
      </c>
      <c r="G706" s="210" t="s">
        <v>1430</v>
      </c>
      <c r="H706" s="171"/>
    </row>
    <row r="707" ht="14.25" spans="1:8">
      <c r="A707" s="176">
        <v>176</v>
      </c>
      <c r="B707" s="182" t="s">
        <v>1431</v>
      </c>
      <c r="C707" s="210" t="s">
        <v>193</v>
      </c>
      <c r="D707" s="173">
        <v>0.13</v>
      </c>
      <c r="E707" s="204" t="s">
        <v>30</v>
      </c>
      <c r="F707" s="204" t="s">
        <v>188</v>
      </c>
      <c r="G707" s="210" t="s">
        <v>1432</v>
      </c>
      <c r="H707" s="171"/>
    </row>
    <row r="708" ht="14.25" spans="1:8">
      <c r="A708" s="176">
        <v>177</v>
      </c>
      <c r="B708" s="182" t="s">
        <v>1202</v>
      </c>
      <c r="C708" s="210" t="s">
        <v>193</v>
      </c>
      <c r="D708" s="173">
        <v>0.06</v>
      </c>
      <c r="E708" s="204" t="s">
        <v>30</v>
      </c>
      <c r="F708" s="204" t="s">
        <v>188</v>
      </c>
      <c r="G708" s="210" t="s">
        <v>1023</v>
      </c>
      <c r="H708" s="171"/>
    </row>
    <row r="709" ht="14.25" spans="1:8">
      <c r="A709" s="176">
        <v>178</v>
      </c>
      <c r="B709" s="191" t="s">
        <v>565</v>
      </c>
      <c r="C709" s="210" t="s">
        <v>193</v>
      </c>
      <c r="D709" s="173">
        <v>0.06</v>
      </c>
      <c r="E709" s="204" t="s">
        <v>30</v>
      </c>
      <c r="F709" s="204" t="s">
        <v>188</v>
      </c>
      <c r="G709" s="191" t="s">
        <v>1433</v>
      </c>
      <c r="H709" s="171" t="s">
        <v>672</v>
      </c>
    </row>
    <row r="710" ht="14.25" spans="1:8">
      <c r="A710" s="176">
        <v>179</v>
      </c>
      <c r="B710" s="191" t="s">
        <v>565</v>
      </c>
      <c r="C710" s="210" t="s">
        <v>193</v>
      </c>
      <c r="D710" s="173">
        <v>0.02</v>
      </c>
      <c r="E710" s="204" t="s">
        <v>30</v>
      </c>
      <c r="F710" s="204" t="s">
        <v>188</v>
      </c>
      <c r="G710" s="191" t="s">
        <v>1434</v>
      </c>
      <c r="H710" s="171" t="s">
        <v>672</v>
      </c>
    </row>
    <row r="711" ht="14.25" spans="1:8">
      <c r="A711" s="176">
        <v>180</v>
      </c>
      <c r="B711" s="191" t="s">
        <v>1435</v>
      </c>
      <c r="C711" s="210" t="s">
        <v>193</v>
      </c>
      <c r="D711" s="173">
        <v>0.05</v>
      </c>
      <c r="E711" s="204" t="s">
        <v>30</v>
      </c>
      <c r="F711" s="204" t="s">
        <v>188</v>
      </c>
      <c r="G711" s="191" t="s">
        <v>1436</v>
      </c>
      <c r="H711" s="171" t="s">
        <v>672</v>
      </c>
    </row>
    <row r="712" ht="14.25" spans="1:8">
      <c r="A712" s="176">
        <v>181</v>
      </c>
      <c r="B712" s="191" t="s">
        <v>1437</v>
      </c>
      <c r="C712" s="210" t="s">
        <v>193</v>
      </c>
      <c r="D712" s="173">
        <v>0.03</v>
      </c>
      <c r="E712" s="204" t="s">
        <v>30</v>
      </c>
      <c r="F712" s="204" t="s">
        <v>188</v>
      </c>
      <c r="G712" s="191" t="s">
        <v>1438</v>
      </c>
      <c r="H712" s="171" t="s">
        <v>672</v>
      </c>
    </row>
    <row r="713" ht="14.25" spans="1:8">
      <c r="A713" s="176">
        <v>182</v>
      </c>
      <c r="B713" s="209" t="s">
        <v>1409</v>
      </c>
      <c r="C713" s="210" t="s">
        <v>193</v>
      </c>
      <c r="D713" s="173">
        <v>0.06</v>
      </c>
      <c r="E713" s="204" t="s">
        <v>30</v>
      </c>
      <c r="F713" s="204" t="s">
        <v>188</v>
      </c>
      <c r="G713" s="209" t="s">
        <v>1410</v>
      </c>
      <c r="H713" s="171"/>
    </row>
    <row r="714" ht="14.25" spans="1:8">
      <c r="A714" s="176">
        <v>183</v>
      </c>
      <c r="B714" s="209" t="s">
        <v>1439</v>
      </c>
      <c r="C714" s="210" t="s">
        <v>193</v>
      </c>
      <c r="D714" s="173">
        <v>0.04</v>
      </c>
      <c r="E714" s="204" t="s">
        <v>30</v>
      </c>
      <c r="F714" s="204" t="s">
        <v>188</v>
      </c>
      <c r="G714" s="209" t="s">
        <v>1440</v>
      </c>
      <c r="H714" s="171"/>
    </row>
    <row r="715" ht="14.25" spans="1:8">
      <c r="A715" s="176">
        <v>184</v>
      </c>
      <c r="B715" s="209" t="s">
        <v>1134</v>
      </c>
      <c r="C715" s="210" t="s">
        <v>193</v>
      </c>
      <c r="D715" s="173">
        <v>0.03</v>
      </c>
      <c r="E715" s="204" t="s">
        <v>30</v>
      </c>
      <c r="F715" s="204" t="s">
        <v>188</v>
      </c>
      <c r="G715" s="209" t="s">
        <v>1441</v>
      </c>
      <c r="H715" s="171"/>
    </row>
    <row r="716" ht="14.25" spans="1:8">
      <c r="A716" s="176">
        <v>185</v>
      </c>
      <c r="B716" s="209" t="s">
        <v>1134</v>
      </c>
      <c r="C716" s="210" t="s">
        <v>193</v>
      </c>
      <c r="D716" s="173">
        <v>0.1</v>
      </c>
      <c r="E716" s="204" t="s">
        <v>30</v>
      </c>
      <c r="F716" s="204" t="s">
        <v>188</v>
      </c>
      <c r="G716" s="209" t="s">
        <v>1151</v>
      </c>
      <c r="H716" s="171"/>
    </row>
    <row r="717" ht="14.25" spans="1:8">
      <c r="A717" s="176">
        <v>186</v>
      </c>
      <c r="B717" s="209" t="s">
        <v>1442</v>
      </c>
      <c r="C717" s="210" t="s">
        <v>193</v>
      </c>
      <c r="D717" s="173">
        <v>0.15</v>
      </c>
      <c r="E717" s="204" t="s">
        <v>30</v>
      </c>
      <c r="F717" s="204" t="s">
        <v>188</v>
      </c>
      <c r="G717" s="209" t="s">
        <v>1443</v>
      </c>
      <c r="H717" s="171"/>
    </row>
    <row r="718" ht="25.5" spans="1:8">
      <c r="A718" s="176">
        <v>187</v>
      </c>
      <c r="B718" s="209" t="s">
        <v>1162</v>
      </c>
      <c r="C718" s="210" t="s">
        <v>193</v>
      </c>
      <c r="D718" s="173">
        <v>0.04</v>
      </c>
      <c r="E718" s="204" t="s">
        <v>30</v>
      </c>
      <c r="F718" s="204" t="s">
        <v>188</v>
      </c>
      <c r="G718" s="209" t="s">
        <v>1444</v>
      </c>
      <c r="H718" s="171" t="s">
        <v>701</v>
      </c>
    </row>
    <row r="719" ht="14.25" spans="1:8">
      <c r="A719" s="176">
        <v>188</v>
      </c>
      <c r="B719" s="209" t="s">
        <v>1162</v>
      </c>
      <c r="C719" s="210" t="s">
        <v>193</v>
      </c>
      <c r="D719" s="173">
        <v>0.04</v>
      </c>
      <c r="E719" s="204" t="s">
        <v>30</v>
      </c>
      <c r="F719" s="204" t="s">
        <v>188</v>
      </c>
      <c r="G719" s="209" t="s">
        <v>1445</v>
      </c>
      <c r="H719" s="171" t="s">
        <v>672</v>
      </c>
    </row>
    <row r="720" ht="14.25" spans="1:8">
      <c r="A720" s="176">
        <v>189</v>
      </c>
      <c r="B720" s="209" t="s">
        <v>1446</v>
      </c>
      <c r="C720" s="210" t="s">
        <v>193</v>
      </c>
      <c r="D720" s="173">
        <v>0.03</v>
      </c>
      <c r="E720" s="204" t="s">
        <v>30</v>
      </c>
      <c r="F720" s="204" t="s">
        <v>188</v>
      </c>
      <c r="G720" s="209" t="s">
        <v>1447</v>
      </c>
      <c r="H720" s="171"/>
    </row>
    <row r="721" ht="14.25" spans="1:8">
      <c r="A721" s="176">
        <v>190</v>
      </c>
      <c r="B721" s="209" t="s">
        <v>1448</v>
      </c>
      <c r="C721" s="210" t="s">
        <v>193</v>
      </c>
      <c r="D721" s="173">
        <v>0.02</v>
      </c>
      <c r="E721" s="204" t="s">
        <v>30</v>
      </c>
      <c r="F721" s="204" t="s">
        <v>188</v>
      </c>
      <c r="G721" s="209" t="s">
        <v>1449</v>
      </c>
      <c r="H721" s="171"/>
    </row>
    <row r="722" ht="14.25" spans="1:8">
      <c r="A722" s="176">
        <v>191</v>
      </c>
      <c r="B722" s="209" t="s">
        <v>1450</v>
      </c>
      <c r="C722" s="210" t="s">
        <v>193</v>
      </c>
      <c r="D722" s="173">
        <v>0.07</v>
      </c>
      <c r="E722" s="204" t="s">
        <v>30</v>
      </c>
      <c r="F722" s="204" t="s">
        <v>188</v>
      </c>
      <c r="G722" s="209" t="s">
        <v>1451</v>
      </c>
      <c r="H722" s="171"/>
    </row>
    <row r="723" ht="14.25" spans="1:8">
      <c r="A723" s="176">
        <v>192</v>
      </c>
      <c r="B723" s="209" t="s">
        <v>1452</v>
      </c>
      <c r="C723" s="210" t="s">
        <v>193</v>
      </c>
      <c r="D723" s="173">
        <v>0.04</v>
      </c>
      <c r="E723" s="204" t="s">
        <v>30</v>
      </c>
      <c r="F723" s="204" t="s">
        <v>188</v>
      </c>
      <c r="G723" s="209" t="s">
        <v>1453</v>
      </c>
      <c r="H723" s="171" t="s">
        <v>672</v>
      </c>
    </row>
    <row r="724" ht="14.25" spans="1:8">
      <c r="A724" s="176">
        <v>193</v>
      </c>
      <c r="B724" s="209" t="s">
        <v>1452</v>
      </c>
      <c r="C724" s="210" t="s">
        <v>193</v>
      </c>
      <c r="D724" s="173">
        <v>0.04</v>
      </c>
      <c r="E724" s="204" t="s">
        <v>30</v>
      </c>
      <c r="F724" s="204" t="s">
        <v>188</v>
      </c>
      <c r="G724" s="209" t="s">
        <v>1454</v>
      </c>
      <c r="H724" s="171" t="s">
        <v>672</v>
      </c>
    </row>
    <row r="725" ht="14.25" spans="1:8">
      <c r="A725" s="176">
        <v>194</v>
      </c>
      <c r="B725" s="209" t="s">
        <v>1452</v>
      </c>
      <c r="C725" s="210" t="s">
        <v>193</v>
      </c>
      <c r="D725" s="173">
        <v>0.04</v>
      </c>
      <c r="E725" s="204" t="s">
        <v>30</v>
      </c>
      <c r="F725" s="204" t="s">
        <v>188</v>
      </c>
      <c r="G725" s="209" t="s">
        <v>1455</v>
      </c>
      <c r="H725" s="171" t="s">
        <v>672</v>
      </c>
    </row>
    <row r="726" ht="14.25" spans="1:8">
      <c r="A726" s="176">
        <v>195</v>
      </c>
      <c r="B726" s="209" t="s">
        <v>1452</v>
      </c>
      <c r="C726" s="210" t="s">
        <v>193</v>
      </c>
      <c r="D726" s="173">
        <v>0.2</v>
      </c>
      <c r="E726" s="204" t="s">
        <v>30</v>
      </c>
      <c r="F726" s="204" t="s">
        <v>188</v>
      </c>
      <c r="G726" s="209" t="s">
        <v>1456</v>
      </c>
      <c r="H726" s="171" t="s">
        <v>672</v>
      </c>
    </row>
    <row r="727" ht="14.25" spans="1:8">
      <c r="A727" s="176">
        <v>196</v>
      </c>
      <c r="B727" s="209" t="s">
        <v>1452</v>
      </c>
      <c r="C727" s="210" t="s">
        <v>193</v>
      </c>
      <c r="D727" s="173">
        <v>0.15</v>
      </c>
      <c r="E727" s="204" t="s">
        <v>30</v>
      </c>
      <c r="F727" s="204" t="s">
        <v>188</v>
      </c>
      <c r="G727" s="209" t="s">
        <v>1457</v>
      </c>
      <c r="H727" s="171" t="s">
        <v>672</v>
      </c>
    </row>
    <row r="728" ht="14.25" spans="1:8">
      <c r="A728" s="176">
        <v>197</v>
      </c>
      <c r="B728" s="209" t="s">
        <v>1458</v>
      </c>
      <c r="C728" s="210" t="s">
        <v>193</v>
      </c>
      <c r="D728" s="173">
        <v>0.5</v>
      </c>
      <c r="E728" s="204" t="s">
        <v>30</v>
      </c>
      <c r="F728" s="204" t="s">
        <v>188</v>
      </c>
      <c r="G728" s="209" t="s">
        <v>1218</v>
      </c>
      <c r="H728" s="171"/>
    </row>
    <row r="729" ht="14.25" spans="1:8">
      <c r="A729" s="176">
        <v>198</v>
      </c>
      <c r="B729" s="209" t="s">
        <v>1340</v>
      </c>
      <c r="C729" s="210" t="s">
        <v>193</v>
      </c>
      <c r="D729" s="173">
        <v>0.04</v>
      </c>
      <c r="E729" s="204" t="s">
        <v>30</v>
      </c>
      <c r="F729" s="204" t="s">
        <v>188</v>
      </c>
      <c r="G729" s="209" t="s">
        <v>1459</v>
      </c>
      <c r="H729" s="171"/>
    </row>
    <row r="730" ht="14.25" spans="1:8">
      <c r="A730" s="176">
        <v>199</v>
      </c>
      <c r="B730" s="209" t="s">
        <v>1284</v>
      </c>
      <c r="C730" s="210" t="s">
        <v>193</v>
      </c>
      <c r="D730" s="173">
        <v>0.02</v>
      </c>
      <c r="E730" s="204" t="s">
        <v>30</v>
      </c>
      <c r="F730" s="204" t="s">
        <v>188</v>
      </c>
      <c r="G730" s="209" t="s">
        <v>1460</v>
      </c>
      <c r="H730" s="171"/>
    </row>
    <row r="731" ht="14.25" spans="1:8">
      <c r="A731" s="176">
        <v>200</v>
      </c>
      <c r="B731" s="209" t="s">
        <v>1461</v>
      </c>
      <c r="C731" s="210" t="s">
        <v>193</v>
      </c>
      <c r="D731" s="173">
        <v>0.12</v>
      </c>
      <c r="E731" s="204" t="s">
        <v>30</v>
      </c>
      <c r="F731" s="204" t="s">
        <v>188</v>
      </c>
      <c r="G731" s="209" t="s">
        <v>1462</v>
      </c>
      <c r="H731" s="171" t="s">
        <v>672</v>
      </c>
    </row>
    <row r="732" ht="14.25" spans="1:8">
      <c r="A732" s="176">
        <v>201</v>
      </c>
      <c r="B732" s="209" t="s">
        <v>1463</v>
      </c>
      <c r="C732" s="210" t="s">
        <v>193</v>
      </c>
      <c r="D732" s="173">
        <v>0.02</v>
      </c>
      <c r="E732" s="204" t="s">
        <v>30</v>
      </c>
      <c r="F732" s="204" t="s">
        <v>188</v>
      </c>
      <c r="G732" s="209" t="s">
        <v>1464</v>
      </c>
      <c r="H732" s="171"/>
    </row>
    <row r="733" ht="14.25" spans="1:8">
      <c r="A733" s="176">
        <v>202</v>
      </c>
      <c r="B733" s="209" t="s">
        <v>1463</v>
      </c>
      <c r="C733" s="210" t="s">
        <v>193</v>
      </c>
      <c r="D733" s="173">
        <v>0.02</v>
      </c>
      <c r="E733" s="204" t="s">
        <v>30</v>
      </c>
      <c r="F733" s="204" t="s">
        <v>188</v>
      </c>
      <c r="G733" s="209" t="s">
        <v>1465</v>
      </c>
      <c r="H733" s="171"/>
    </row>
    <row r="734" ht="14.25" spans="1:8">
      <c r="A734" s="176">
        <v>203</v>
      </c>
      <c r="B734" s="209" t="s">
        <v>1466</v>
      </c>
      <c r="C734" s="210" t="s">
        <v>193</v>
      </c>
      <c r="D734" s="173">
        <v>0.02</v>
      </c>
      <c r="E734" s="204" t="s">
        <v>30</v>
      </c>
      <c r="F734" s="204" t="s">
        <v>188</v>
      </c>
      <c r="G734" s="209" t="s">
        <v>1467</v>
      </c>
      <c r="H734" s="171"/>
    </row>
    <row r="735" ht="25.5" spans="1:8">
      <c r="A735" s="176">
        <v>204</v>
      </c>
      <c r="B735" s="209" t="s">
        <v>1468</v>
      </c>
      <c r="C735" s="210" t="s">
        <v>193</v>
      </c>
      <c r="D735" s="173">
        <v>0.05</v>
      </c>
      <c r="E735" s="204" t="s">
        <v>30</v>
      </c>
      <c r="F735" s="204" t="s">
        <v>188</v>
      </c>
      <c r="G735" s="209" t="s">
        <v>1469</v>
      </c>
      <c r="H735" s="171" t="s">
        <v>634</v>
      </c>
    </row>
    <row r="736" ht="25.5" spans="1:8">
      <c r="A736" s="176">
        <v>205</v>
      </c>
      <c r="B736" s="209" t="s">
        <v>1470</v>
      </c>
      <c r="C736" s="210" t="s">
        <v>193</v>
      </c>
      <c r="D736" s="173">
        <v>0.15</v>
      </c>
      <c r="E736" s="204" t="s">
        <v>30</v>
      </c>
      <c r="F736" s="204" t="s">
        <v>188</v>
      </c>
      <c r="G736" s="209" t="s">
        <v>1471</v>
      </c>
      <c r="H736" s="171" t="s">
        <v>1472</v>
      </c>
    </row>
    <row r="737" ht="25.5" spans="1:8">
      <c r="A737" s="176">
        <v>206</v>
      </c>
      <c r="B737" s="209" t="s">
        <v>1221</v>
      </c>
      <c r="C737" s="210" t="s">
        <v>193</v>
      </c>
      <c r="D737" s="173">
        <v>0.07</v>
      </c>
      <c r="E737" s="204" t="s">
        <v>30</v>
      </c>
      <c r="F737" s="204" t="s">
        <v>188</v>
      </c>
      <c r="G737" s="209" t="s">
        <v>1473</v>
      </c>
      <c r="H737" s="171" t="s">
        <v>669</v>
      </c>
    </row>
    <row r="738" ht="14.25" spans="1:8">
      <c r="A738" s="176">
        <v>207</v>
      </c>
      <c r="B738" s="209" t="s">
        <v>1474</v>
      </c>
      <c r="C738" s="210" t="s">
        <v>193</v>
      </c>
      <c r="D738" s="173">
        <v>0.25</v>
      </c>
      <c r="E738" s="204" t="s">
        <v>30</v>
      </c>
      <c r="F738" s="204" t="s">
        <v>188</v>
      </c>
      <c r="G738" s="209" t="s">
        <v>1475</v>
      </c>
      <c r="H738" s="171"/>
    </row>
    <row r="739" ht="14.25" spans="1:8">
      <c r="A739" s="176">
        <v>208</v>
      </c>
      <c r="B739" s="209" t="s">
        <v>1276</v>
      </c>
      <c r="C739" s="210" t="s">
        <v>193</v>
      </c>
      <c r="D739" s="173">
        <v>0.1</v>
      </c>
      <c r="E739" s="204" t="s">
        <v>30</v>
      </c>
      <c r="F739" s="204" t="s">
        <v>188</v>
      </c>
      <c r="G739" s="209" t="s">
        <v>1277</v>
      </c>
      <c r="H739" s="171"/>
    </row>
    <row r="740" ht="14.25" spans="1:8">
      <c r="A740" s="176">
        <v>209</v>
      </c>
      <c r="B740" s="209" t="s">
        <v>1458</v>
      </c>
      <c r="C740" s="210" t="s">
        <v>193</v>
      </c>
      <c r="D740" s="173">
        <v>0.5</v>
      </c>
      <c r="E740" s="204" t="s">
        <v>30</v>
      </c>
      <c r="F740" s="204" t="s">
        <v>188</v>
      </c>
      <c r="G740" s="209" t="s">
        <v>1218</v>
      </c>
      <c r="H740" s="171"/>
    </row>
    <row r="741" ht="14.25" spans="1:8">
      <c r="A741" s="176">
        <v>210</v>
      </c>
      <c r="B741" s="209" t="s">
        <v>1358</v>
      </c>
      <c r="C741" s="210" t="s">
        <v>193</v>
      </c>
      <c r="D741" s="173">
        <v>0.04</v>
      </c>
      <c r="E741" s="204" t="s">
        <v>30</v>
      </c>
      <c r="F741" s="204" t="s">
        <v>188</v>
      </c>
      <c r="G741" s="209" t="s">
        <v>1359</v>
      </c>
      <c r="H741" s="171"/>
    </row>
    <row r="742" ht="14.25" spans="1:8">
      <c r="A742" s="176">
        <v>211</v>
      </c>
      <c r="B742" s="209" t="s">
        <v>1476</v>
      </c>
      <c r="C742" s="210" t="s">
        <v>193</v>
      </c>
      <c r="D742" s="173">
        <v>0.04</v>
      </c>
      <c r="E742" s="204" t="s">
        <v>30</v>
      </c>
      <c r="F742" s="204" t="s">
        <v>188</v>
      </c>
      <c r="G742" s="209" t="s">
        <v>1477</v>
      </c>
      <c r="H742" s="171"/>
    </row>
    <row r="743" ht="14.25" spans="1:8">
      <c r="A743" s="176">
        <v>212</v>
      </c>
      <c r="B743" s="209" t="s">
        <v>1478</v>
      </c>
      <c r="C743" s="210" t="s">
        <v>193</v>
      </c>
      <c r="D743" s="173">
        <v>0.01</v>
      </c>
      <c r="E743" s="204" t="s">
        <v>30</v>
      </c>
      <c r="F743" s="204" t="s">
        <v>188</v>
      </c>
      <c r="G743" s="209" t="s">
        <v>1479</v>
      </c>
      <c r="H743" s="171"/>
    </row>
    <row r="744" ht="14.25" spans="1:8">
      <c r="A744" s="176">
        <v>213</v>
      </c>
      <c r="B744" s="209" t="s">
        <v>1480</v>
      </c>
      <c r="C744" s="210" t="s">
        <v>193</v>
      </c>
      <c r="D744" s="173">
        <v>0.03</v>
      </c>
      <c r="E744" s="204" t="s">
        <v>30</v>
      </c>
      <c r="F744" s="204" t="s">
        <v>188</v>
      </c>
      <c r="G744" s="209" t="s">
        <v>1481</v>
      </c>
      <c r="H744" s="171"/>
    </row>
    <row r="745" ht="14.25" spans="1:8">
      <c r="A745" s="176">
        <v>214</v>
      </c>
      <c r="B745" s="209" t="s">
        <v>1482</v>
      </c>
      <c r="C745" s="210" t="s">
        <v>193</v>
      </c>
      <c r="D745" s="173">
        <v>0.04</v>
      </c>
      <c r="E745" s="204" t="s">
        <v>30</v>
      </c>
      <c r="F745" s="204" t="s">
        <v>188</v>
      </c>
      <c r="G745" s="209" t="s">
        <v>1483</v>
      </c>
      <c r="H745" s="171" t="s">
        <v>672</v>
      </c>
    </row>
    <row r="746" ht="14.25" spans="1:8">
      <c r="A746" s="176">
        <v>215</v>
      </c>
      <c r="B746" s="209" t="s">
        <v>1156</v>
      </c>
      <c r="C746" s="210" t="s">
        <v>193</v>
      </c>
      <c r="D746" s="173">
        <v>0.05</v>
      </c>
      <c r="E746" s="204" t="s">
        <v>30</v>
      </c>
      <c r="F746" s="204" t="s">
        <v>188</v>
      </c>
      <c r="G746" s="209" t="s">
        <v>1423</v>
      </c>
      <c r="H746" s="171"/>
    </row>
    <row r="747" ht="14.25" spans="1:8">
      <c r="A747" s="176">
        <v>216</v>
      </c>
      <c r="B747" s="209" t="s">
        <v>1156</v>
      </c>
      <c r="C747" s="210" t="s">
        <v>193</v>
      </c>
      <c r="D747" s="173">
        <v>0.05</v>
      </c>
      <c r="E747" s="204" t="s">
        <v>30</v>
      </c>
      <c r="F747" s="204" t="s">
        <v>188</v>
      </c>
      <c r="G747" s="209" t="s">
        <v>1424</v>
      </c>
      <c r="H747" s="171"/>
    </row>
    <row r="748" ht="14.25" spans="1:8">
      <c r="A748" s="176">
        <v>217</v>
      </c>
      <c r="B748" s="209" t="s">
        <v>1484</v>
      </c>
      <c r="C748" s="210" t="s">
        <v>193</v>
      </c>
      <c r="D748" s="173">
        <v>0.01</v>
      </c>
      <c r="E748" s="204" t="s">
        <v>30</v>
      </c>
      <c r="F748" s="204" t="s">
        <v>188</v>
      </c>
      <c r="G748" s="209" t="s">
        <v>1485</v>
      </c>
      <c r="H748" s="171"/>
    </row>
    <row r="749" ht="14.25" spans="1:8">
      <c r="A749" s="176">
        <v>218</v>
      </c>
      <c r="B749" s="209" t="s">
        <v>1486</v>
      </c>
      <c r="C749" s="210" t="s">
        <v>193</v>
      </c>
      <c r="D749" s="173">
        <v>0.02</v>
      </c>
      <c r="E749" s="204" t="s">
        <v>30</v>
      </c>
      <c r="F749" s="204" t="s">
        <v>188</v>
      </c>
      <c r="G749" s="209" t="s">
        <v>1487</v>
      </c>
      <c r="H749" s="171"/>
    </row>
    <row r="750" ht="14.25" spans="1:8">
      <c r="A750" s="176">
        <v>219</v>
      </c>
      <c r="B750" s="209" t="s">
        <v>1488</v>
      </c>
      <c r="C750" s="210" t="s">
        <v>193</v>
      </c>
      <c r="D750" s="173">
        <v>0.05</v>
      </c>
      <c r="E750" s="204" t="s">
        <v>30</v>
      </c>
      <c r="F750" s="204" t="s">
        <v>188</v>
      </c>
      <c r="G750" s="209" t="s">
        <v>1489</v>
      </c>
      <c r="H750" s="171"/>
    </row>
    <row r="751" ht="14.25" spans="1:8">
      <c r="A751" s="176">
        <v>220</v>
      </c>
      <c r="B751" s="209" t="s">
        <v>1490</v>
      </c>
      <c r="C751" s="210" t="s">
        <v>193</v>
      </c>
      <c r="D751" s="173">
        <v>0.03</v>
      </c>
      <c r="E751" s="204" t="s">
        <v>30</v>
      </c>
      <c r="F751" s="204" t="s">
        <v>188</v>
      </c>
      <c r="G751" s="209" t="s">
        <v>1491</v>
      </c>
      <c r="H751" s="171" t="s">
        <v>672</v>
      </c>
    </row>
    <row r="752" ht="14.25" spans="1:8">
      <c r="A752" s="176">
        <v>221</v>
      </c>
      <c r="B752" s="209" t="s">
        <v>1417</v>
      </c>
      <c r="C752" s="210" t="s">
        <v>193</v>
      </c>
      <c r="D752" s="173">
        <v>0.02</v>
      </c>
      <c r="E752" s="204" t="s">
        <v>30</v>
      </c>
      <c r="F752" s="204" t="s">
        <v>188</v>
      </c>
      <c r="G752" s="209" t="s">
        <v>1492</v>
      </c>
      <c r="H752" s="171" t="s">
        <v>672</v>
      </c>
    </row>
    <row r="753" ht="14.25" spans="1:8">
      <c r="A753" s="176">
        <v>222</v>
      </c>
      <c r="B753" s="209" t="s">
        <v>1490</v>
      </c>
      <c r="C753" s="210" t="s">
        <v>193</v>
      </c>
      <c r="D753" s="173">
        <v>0.02</v>
      </c>
      <c r="E753" s="204" t="s">
        <v>30</v>
      </c>
      <c r="F753" s="204" t="s">
        <v>188</v>
      </c>
      <c r="G753" s="209" t="s">
        <v>1493</v>
      </c>
      <c r="H753" s="171" t="s">
        <v>672</v>
      </c>
    </row>
    <row r="754" ht="14.25" spans="1:8">
      <c r="A754" s="176">
        <v>223</v>
      </c>
      <c r="B754" s="182" t="s">
        <v>1494</v>
      </c>
      <c r="C754" s="210" t="s">
        <v>193</v>
      </c>
      <c r="D754" s="173">
        <v>0.04</v>
      </c>
      <c r="E754" s="204" t="s">
        <v>30</v>
      </c>
      <c r="F754" s="204" t="s">
        <v>188</v>
      </c>
      <c r="G754" s="209" t="s">
        <v>1495</v>
      </c>
      <c r="H754" s="171"/>
    </row>
    <row r="755" ht="14.25" spans="1:8">
      <c r="A755" s="176">
        <v>224</v>
      </c>
      <c r="B755" s="182" t="s">
        <v>1388</v>
      </c>
      <c r="C755" s="210" t="s">
        <v>193</v>
      </c>
      <c r="D755" s="173">
        <v>0.1</v>
      </c>
      <c r="E755" s="204" t="s">
        <v>30</v>
      </c>
      <c r="F755" s="204" t="s">
        <v>188</v>
      </c>
      <c r="G755" s="209" t="s">
        <v>1389</v>
      </c>
      <c r="H755" s="171"/>
    </row>
    <row r="756" ht="25.5" spans="1:8">
      <c r="A756" s="176">
        <v>225</v>
      </c>
      <c r="B756" s="182" t="s">
        <v>1496</v>
      </c>
      <c r="C756" s="210" t="s">
        <v>193</v>
      </c>
      <c r="D756" s="173">
        <v>0.07</v>
      </c>
      <c r="E756" s="204" t="s">
        <v>30</v>
      </c>
      <c r="F756" s="204" t="s">
        <v>188</v>
      </c>
      <c r="G756" s="209" t="s">
        <v>1497</v>
      </c>
      <c r="H756" s="171"/>
    </row>
    <row r="757" ht="14.25" spans="1:8">
      <c r="A757" s="176">
        <v>226</v>
      </c>
      <c r="B757" s="182" t="s">
        <v>1498</v>
      </c>
      <c r="C757" s="210" t="s">
        <v>193</v>
      </c>
      <c r="D757" s="173">
        <v>0.05</v>
      </c>
      <c r="E757" s="204" t="s">
        <v>30</v>
      </c>
      <c r="F757" s="204" t="s">
        <v>188</v>
      </c>
      <c r="G757" s="209" t="s">
        <v>1481</v>
      </c>
      <c r="H757" s="171"/>
    </row>
    <row r="758" ht="14.25" spans="1:8">
      <c r="A758" s="176">
        <v>227</v>
      </c>
      <c r="B758" s="201" t="s">
        <v>1129</v>
      </c>
      <c r="C758" s="211" t="s">
        <v>193</v>
      </c>
      <c r="D758" s="173">
        <v>0.02</v>
      </c>
      <c r="E758" s="199" t="s">
        <v>30</v>
      </c>
      <c r="F758" s="199" t="s">
        <v>188</v>
      </c>
      <c r="G758" s="202" t="s">
        <v>1499</v>
      </c>
      <c r="H758" s="171"/>
    </row>
    <row r="759" ht="14.25" spans="1:8">
      <c r="A759" s="176">
        <v>228</v>
      </c>
      <c r="B759" s="201" t="s">
        <v>1129</v>
      </c>
      <c r="C759" s="195" t="s">
        <v>193</v>
      </c>
      <c r="D759" s="173">
        <v>0.02</v>
      </c>
      <c r="E759" s="199" t="s">
        <v>30</v>
      </c>
      <c r="F759" s="199" t="s">
        <v>188</v>
      </c>
      <c r="G759" s="202" t="s">
        <v>1500</v>
      </c>
      <c r="H759" s="171"/>
    </row>
    <row r="760" ht="14.25" spans="1:8">
      <c r="A760" s="176">
        <v>229</v>
      </c>
      <c r="B760" s="201" t="s">
        <v>1129</v>
      </c>
      <c r="C760" s="195" t="s">
        <v>193</v>
      </c>
      <c r="D760" s="173">
        <v>0.02</v>
      </c>
      <c r="E760" s="199" t="s">
        <v>30</v>
      </c>
      <c r="F760" s="199" t="s">
        <v>188</v>
      </c>
      <c r="G760" s="202" t="s">
        <v>1501</v>
      </c>
      <c r="H760" s="171"/>
    </row>
    <row r="761" ht="14.25" spans="1:8">
      <c r="A761" s="176">
        <v>230</v>
      </c>
      <c r="B761" s="182" t="s">
        <v>1490</v>
      </c>
      <c r="C761" s="210" t="s">
        <v>193</v>
      </c>
      <c r="D761" s="173">
        <v>0.03</v>
      </c>
      <c r="E761" s="204" t="s">
        <v>30</v>
      </c>
      <c r="F761" s="204" t="s">
        <v>188</v>
      </c>
      <c r="G761" s="209" t="s">
        <v>1502</v>
      </c>
      <c r="H761" s="171"/>
    </row>
    <row r="762" ht="14.25" spans="1:8">
      <c r="A762" s="176">
        <v>231</v>
      </c>
      <c r="B762" s="182" t="s">
        <v>1503</v>
      </c>
      <c r="C762" s="210" t="s">
        <v>193</v>
      </c>
      <c r="D762" s="173">
        <v>0.05</v>
      </c>
      <c r="E762" s="204" t="s">
        <v>30</v>
      </c>
      <c r="F762" s="204" t="s">
        <v>188</v>
      </c>
      <c r="G762" s="209" t="s">
        <v>1504</v>
      </c>
      <c r="H762" s="171"/>
    </row>
    <row r="763" ht="14.25" spans="1:8">
      <c r="A763" s="176">
        <v>232</v>
      </c>
      <c r="B763" s="182" t="s">
        <v>1505</v>
      </c>
      <c r="C763" s="210" t="s">
        <v>193</v>
      </c>
      <c r="D763" s="173">
        <v>0.02</v>
      </c>
      <c r="E763" s="204" t="s">
        <v>30</v>
      </c>
      <c r="F763" s="204" t="s">
        <v>188</v>
      </c>
      <c r="G763" s="209" t="s">
        <v>1506</v>
      </c>
      <c r="H763" s="171"/>
    </row>
    <row r="764" ht="14.25" spans="1:8">
      <c r="A764" s="176">
        <v>233</v>
      </c>
      <c r="B764" s="182" t="s">
        <v>1202</v>
      </c>
      <c r="C764" s="210" t="s">
        <v>193</v>
      </c>
      <c r="D764" s="173">
        <v>0.06</v>
      </c>
      <c r="E764" s="204" t="s">
        <v>30</v>
      </c>
      <c r="F764" s="204" t="s">
        <v>188</v>
      </c>
      <c r="G764" s="209" t="s">
        <v>1507</v>
      </c>
      <c r="H764" s="171"/>
    </row>
    <row r="765" ht="14.25" spans="1:8">
      <c r="A765" s="176">
        <v>234</v>
      </c>
      <c r="B765" s="182" t="s">
        <v>1508</v>
      </c>
      <c r="C765" s="210" t="s">
        <v>193</v>
      </c>
      <c r="D765" s="173">
        <v>0.01</v>
      </c>
      <c r="E765" s="204" t="s">
        <v>30</v>
      </c>
      <c r="F765" s="204" t="s">
        <v>188</v>
      </c>
      <c r="G765" s="209" t="s">
        <v>1509</v>
      </c>
      <c r="H765" s="171"/>
    </row>
    <row r="766" ht="14.25" spans="1:8">
      <c r="A766" s="176">
        <v>235</v>
      </c>
      <c r="B766" s="182" t="s">
        <v>1510</v>
      </c>
      <c r="C766" s="210" t="s">
        <v>193</v>
      </c>
      <c r="D766" s="173">
        <v>0.01</v>
      </c>
      <c r="E766" s="204" t="s">
        <v>30</v>
      </c>
      <c r="F766" s="204" t="s">
        <v>188</v>
      </c>
      <c r="G766" s="209" t="s">
        <v>1511</v>
      </c>
      <c r="H766" s="171"/>
    </row>
    <row r="767" ht="14.25" spans="1:8">
      <c r="A767" s="176">
        <v>236</v>
      </c>
      <c r="B767" s="182" t="s">
        <v>1512</v>
      </c>
      <c r="C767" s="210" t="s">
        <v>193</v>
      </c>
      <c r="D767" s="173">
        <v>0.01</v>
      </c>
      <c r="E767" s="204" t="s">
        <v>30</v>
      </c>
      <c r="F767" s="204" t="s">
        <v>188</v>
      </c>
      <c r="G767" s="209" t="s">
        <v>1513</v>
      </c>
      <c r="H767" s="171"/>
    </row>
    <row r="768" ht="14.25" spans="1:8">
      <c r="A768" s="176">
        <v>237</v>
      </c>
      <c r="B768" s="182" t="s">
        <v>1512</v>
      </c>
      <c r="C768" s="210" t="s">
        <v>193</v>
      </c>
      <c r="D768" s="173">
        <v>0.01</v>
      </c>
      <c r="E768" s="204" t="s">
        <v>30</v>
      </c>
      <c r="F768" s="204" t="s">
        <v>188</v>
      </c>
      <c r="G768" s="209" t="s">
        <v>1514</v>
      </c>
      <c r="H768" s="171"/>
    </row>
    <row r="769" ht="14.25" spans="1:8">
      <c r="A769" s="176">
        <v>238</v>
      </c>
      <c r="B769" s="182" t="s">
        <v>1512</v>
      </c>
      <c r="C769" s="210" t="s">
        <v>193</v>
      </c>
      <c r="D769" s="173">
        <v>0.01</v>
      </c>
      <c r="E769" s="204" t="s">
        <v>30</v>
      </c>
      <c r="F769" s="204" t="s">
        <v>188</v>
      </c>
      <c r="G769" s="209" t="s">
        <v>1515</v>
      </c>
      <c r="H769" s="171"/>
    </row>
    <row r="770" ht="25.5" spans="1:8">
      <c r="A770" s="176">
        <v>239</v>
      </c>
      <c r="B770" s="182" t="s">
        <v>1392</v>
      </c>
      <c r="C770" s="210" t="s">
        <v>193</v>
      </c>
      <c r="D770" s="173">
        <v>0.04</v>
      </c>
      <c r="E770" s="204" t="s">
        <v>30</v>
      </c>
      <c r="F770" s="204" t="s">
        <v>188</v>
      </c>
      <c r="G770" s="209" t="s">
        <v>1516</v>
      </c>
      <c r="H770" s="171"/>
    </row>
    <row r="771" ht="14.25" spans="1:8">
      <c r="A771" s="176">
        <v>240</v>
      </c>
      <c r="B771" s="182" t="s">
        <v>1517</v>
      </c>
      <c r="C771" s="210" t="s">
        <v>193</v>
      </c>
      <c r="D771" s="173">
        <v>0.02</v>
      </c>
      <c r="E771" s="204" t="s">
        <v>30</v>
      </c>
      <c r="F771" s="204" t="s">
        <v>188</v>
      </c>
      <c r="G771" s="209" t="s">
        <v>1518</v>
      </c>
      <c r="H771" s="171"/>
    </row>
    <row r="772" ht="14.25" spans="1:8">
      <c r="A772" s="176">
        <v>241</v>
      </c>
      <c r="B772" s="182" t="s">
        <v>1519</v>
      </c>
      <c r="C772" s="210" t="s">
        <v>193</v>
      </c>
      <c r="D772" s="173">
        <v>0.21</v>
      </c>
      <c r="E772" s="204" t="s">
        <v>30</v>
      </c>
      <c r="F772" s="204" t="s">
        <v>188</v>
      </c>
      <c r="G772" s="209" t="s">
        <v>1520</v>
      </c>
      <c r="H772" s="171"/>
    </row>
    <row r="773" ht="14.25" spans="1:8">
      <c r="A773" s="176">
        <v>242</v>
      </c>
      <c r="B773" s="182" t="s">
        <v>1521</v>
      </c>
      <c r="C773" s="210" t="s">
        <v>193</v>
      </c>
      <c r="D773" s="173">
        <v>0.09</v>
      </c>
      <c r="E773" s="204" t="s">
        <v>30</v>
      </c>
      <c r="F773" s="204" t="s">
        <v>188</v>
      </c>
      <c r="G773" s="209" t="s">
        <v>1522</v>
      </c>
      <c r="H773" s="171"/>
    </row>
    <row r="774" ht="14.25" spans="1:8">
      <c r="A774" s="176">
        <v>243</v>
      </c>
      <c r="B774" s="189" t="s">
        <v>1523</v>
      </c>
      <c r="C774" s="210" t="s">
        <v>193</v>
      </c>
      <c r="D774" s="173">
        <v>0.02</v>
      </c>
      <c r="E774" s="204" t="s">
        <v>30</v>
      </c>
      <c r="F774" s="204" t="s">
        <v>188</v>
      </c>
      <c r="G774" s="209" t="s">
        <v>1524</v>
      </c>
      <c r="H774" s="171"/>
    </row>
    <row r="775" ht="14.25" spans="1:8">
      <c r="A775" s="176">
        <v>244</v>
      </c>
      <c r="B775" s="189" t="s">
        <v>1525</v>
      </c>
      <c r="C775" s="210" t="s">
        <v>193</v>
      </c>
      <c r="D775" s="173">
        <v>0.1</v>
      </c>
      <c r="E775" s="204" t="s">
        <v>30</v>
      </c>
      <c r="F775" s="204" t="s">
        <v>188</v>
      </c>
      <c r="G775" s="209" t="s">
        <v>1526</v>
      </c>
      <c r="H775" s="171"/>
    </row>
    <row r="776" ht="14.25" spans="1:8">
      <c r="A776" s="176">
        <v>245</v>
      </c>
      <c r="B776" s="189" t="s">
        <v>1527</v>
      </c>
      <c r="C776" s="210" t="s">
        <v>193</v>
      </c>
      <c r="D776" s="173">
        <v>0.1</v>
      </c>
      <c r="E776" s="204" t="s">
        <v>30</v>
      </c>
      <c r="F776" s="204" t="s">
        <v>188</v>
      </c>
      <c r="G776" s="209" t="s">
        <v>1528</v>
      </c>
      <c r="H776" s="171"/>
    </row>
    <row r="777" ht="14.25" spans="1:8">
      <c r="A777" s="176">
        <v>246</v>
      </c>
      <c r="B777" s="189" t="s">
        <v>1529</v>
      </c>
      <c r="C777" s="210" t="s">
        <v>193</v>
      </c>
      <c r="D777" s="173">
        <v>0.04</v>
      </c>
      <c r="E777" s="204" t="s">
        <v>30</v>
      </c>
      <c r="F777" s="204" t="s">
        <v>188</v>
      </c>
      <c r="G777" s="209" t="s">
        <v>1530</v>
      </c>
      <c r="H777" s="171"/>
    </row>
    <row r="778" ht="14.25" spans="1:8">
      <c r="A778" s="176">
        <v>247</v>
      </c>
      <c r="B778" s="189" t="s">
        <v>1529</v>
      </c>
      <c r="C778" s="210" t="s">
        <v>193</v>
      </c>
      <c r="D778" s="173">
        <v>0.04</v>
      </c>
      <c r="E778" s="204" t="s">
        <v>30</v>
      </c>
      <c r="F778" s="204" t="s">
        <v>188</v>
      </c>
      <c r="G778" s="209" t="s">
        <v>1531</v>
      </c>
      <c r="H778" s="171"/>
    </row>
    <row r="779" ht="14.25" spans="1:8">
      <c r="A779" s="176">
        <v>248</v>
      </c>
      <c r="B779" s="189" t="s">
        <v>1532</v>
      </c>
      <c r="C779" s="210" t="s">
        <v>193</v>
      </c>
      <c r="D779" s="173">
        <v>0.02</v>
      </c>
      <c r="E779" s="204" t="s">
        <v>30</v>
      </c>
      <c r="F779" s="204" t="s">
        <v>188</v>
      </c>
      <c r="G779" s="209" t="s">
        <v>1533</v>
      </c>
      <c r="H779" s="171"/>
    </row>
    <row r="780" ht="14.25" spans="1:8">
      <c r="A780" s="176">
        <v>249</v>
      </c>
      <c r="B780" s="189" t="s">
        <v>1534</v>
      </c>
      <c r="C780" s="210" t="s">
        <v>193</v>
      </c>
      <c r="D780" s="173">
        <v>0.03</v>
      </c>
      <c r="E780" s="204" t="s">
        <v>30</v>
      </c>
      <c r="F780" s="204" t="s">
        <v>188</v>
      </c>
      <c r="G780" s="209" t="s">
        <v>1535</v>
      </c>
      <c r="H780" s="171"/>
    </row>
    <row r="781" ht="14.25" spans="1:8">
      <c r="A781" s="176">
        <v>250</v>
      </c>
      <c r="B781" s="189" t="s">
        <v>1183</v>
      </c>
      <c r="C781" s="210" t="s">
        <v>193</v>
      </c>
      <c r="D781" s="173">
        <v>0.01</v>
      </c>
      <c r="E781" s="204" t="s">
        <v>30</v>
      </c>
      <c r="F781" s="204" t="s">
        <v>188</v>
      </c>
      <c r="G781" s="209" t="s">
        <v>1536</v>
      </c>
      <c r="H781" s="171"/>
    </row>
    <row r="782" ht="14.25" spans="1:8">
      <c r="A782" s="176">
        <v>251</v>
      </c>
      <c r="B782" s="189" t="s">
        <v>1537</v>
      </c>
      <c r="C782" s="210" t="s">
        <v>193</v>
      </c>
      <c r="D782" s="173">
        <v>0.05</v>
      </c>
      <c r="E782" s="204" t="s">
        <v>30</v>
      </c>
      <c r="F782" s="204" t="s">
        <v>188</v>
      </c>
      <c r="G782" s="209" t="s">
        <v>1538</v>
      </c>
      <c r="H782" s="171"/>
    </row>
    <row r="783" ht="14.25" spans="1:8">
      <c r="A783" s="176">
        <v>252</v>
      </c>
      <c r="B783" s="175" t="s">
        <v>1388</v>
      </c>
      <c r="C783" s="210" t="s">
        <v>193</v>
      </c>
      <c r="D783" s="173">
        <v>0.01</v>
      </c>
      <c r="E783" s="204" t="s">
        <v>30</v>
      </c>
      <c r="F783" s="204" t="s">
        <v>188</v>
      </c>
      <c r="G783" s="209" t="s">
        <v>1539</v>
      </c>
      <c r="H783" s="171"/>
    </row>
    <row r="784" ht="14.25" spans="1:8">
      <c r="A784" s="176">
        <v>253</v>
      </c>
      <c r="B784" s="175" t="s">
        <v>1540</v>
      </c>
      <c r="C784" s="210" t="s">
        <v>193</v>
      </c>
      <c r="D784" s="173">
        <v>0.02</v>
      </c>
      <c r="E784" s="204" t="s">
        <v>30</v>
      </c>
      <c r="F784" s="204" t="s">
        <v>188</v>
      </c>
      <c r="G784" s="209" t="s">
        <v>1541</v>
      </c>
      <c r="H784" s="171"/>
    </row>
    <row r="785" ht="14.25" spans="1:8">
      <c r="A785" s="176">
        <v>254</v>
      </c>
      <c r="B785" s="175" t="s">
        <v>1542</v>
      </c>
      <c r="C785" s="210" t="s">
        <v>193</v>
      </c>
      <c r="D785" s="173">
        <v>0.08</v>
      </c>
      <c r="E785" s="204" t="s">
        <v>30</v>
      </c>
      <c r="F785" s="204" t="s">
        <v>188</v>
      </c>
      <c r="G785" s="209" t="s">
        <v>1543</v>
      </c>
      <c r="H785" s="171"/>
    </row>
    <row r="786" ht="14.25" spans="1:8">
      <c r="A786" s="176">
        <v>255</v>
      </c>
      <c r="B786" s="175" t="s">
        <v>1544</v>
      </c>
      <c r="C786" s="210" t="s">
        <v>193</v>
      </c>
      <c r="D786" s="173">
        <v>0.06</v>
      </c>
      <c r="E786" s="204" t="s">
        <v>30</v>
      </c>
      <c r="F786" s="204" t="s">
        <v>188</v>
      </c>
      <c r="G786" s="209" t="s">
        <v>1545</v>
      </c>
      <c r="H786" s="171"/>
    </row>
    <row r="787" ht="14.25" spans="1:8">
      <c r="A787" s="176">
        <v>256</v>
      </c>
      <c r="B787" s="175" t="s">
        <v>1448</v>
      </c>
      <c r="C787" s="210" t="s">
        <v>193</v>
      </c>
      <c r="D787" s="173">
        <v>0.02</v>
      </c>
      <c r="E787" s="204" t="s">
        <v>30</v>
      </c>
      <c r="F787" s="204" t="s">
        <v>188</v>
      </c>
      <c r="G787" s="209" t="s">
        <v>1546</v>
      </c>
      <c r="H787" s="171"/>
    </row>
    <row r="788" ht="14.25" spans="1:8">
      <c r="A788" s="176">
        <v>257</v>
      </c>
      <c r="B788" s="175" t="s">
        <v>1547</v>
      </c>
      <c r="C788" s="210" t="s">
        <v>193</v>
      </c>
      <c r="D788" s="173">
        <v>0.02</v>
      </c>
      <c r="E788" s="204" t="s">
        <v>30</v>
      </c>
      <c r="F788" s="204" t="s">
        <v>188</v>
      </c>
      <c r="G788" s="209" t="s">
        <v>1548</v>
      </c>
      <c r="H788" s="171"/>
    </row>
    <row r="789" ht="14.25" spans="1:8">
      <c r="A789" s="176">
        <v>258</v>
      </c>
      <c r="B789" s="175" t="s">
        <v>1549</v>
      </c>
      <c r="C789" s="210" t="s">
        <v>193</v>
      </c>
      <c r="D789" s="173">
        <v>0.04</v>
      </c>
      <c r="E789" s="204" t="s">
        <v>30</v>
      </c>
      <c r="F789" s="204" t="s">
        <v>188</v>
      </c>
      <c r="G789" s="209" t="s">
        <v>1550</v>
      </c>
      <c r="H789" s="171"/>
    </row>
    <row r="790" ht="14.25" spans="1:8">
      <c r="A790" s="176">
        <v>259</v>
      </c>
      <c r="B790" s="175" t="s">
        <v>1551</v>
      </c>
      <c r="C790" s="210" t="s">
        <v>193</v>
      </c>
      <c r="D790" s="173">
        <v>0.02</v>
      </c>
      <c r="E790" s="204" t="s">
        <v>30</v>
      </c>
      <c r="F790" s="204" t="s">
        <v>188</v>
      </c>
      <c r="G790" s="209" t="s">
        <v>1552</v>
      </c>
      <c r="H790" s="171"/>
    </row>
    <row r="791" ht="14.25" spans="1:8">
      <c r="A791" s="176">
        <v>260</v>
      </c>
      <c r="B791" s="175" t="s">
        <v>1234</v>
      </c>
      <c r="C791" s="210" t="s">
        <v>193</v>
      </c>
      <c r="D791" s="173">
        <v>0.02</v>
      </c>
      <c r="E791" s="204" t="s">
        <v>30</v>
      </c>
      <c r="F791" s="204" t="s">
        <v>188</v>
      </c>
      <c r="G791" s="209" t="s">
        <v>1553</v>
      </c>
      <c r="H791" s="171"/>
    </row>
    <row r="792" ht="14.25" spans="1:8">
      <c r="A792" s="176">
        <v>261</v>
      </c>
      <c r="B792" s="175" t="s">
        <v>1183</v>
      </c>
      <c r="C792" s="210" t="s">
        <v>193</v>
      </c>
      <c r="D792" s="173">
        <v>0.03</v>
      </c>
      <c r="E792" s="204" t="s">
        <v>30</v>
      </c>
      <c r="F792" s="204" t="s">
        <v>188</v>
      </c>
      <c r="G792" s="209" t="s">
        <v>1184</v>
      </c>
      <c r="H792" s="171"/>
    </row>
    <row r="793" ht="14.25" spans="1:8">
      <c r="A793" s="176">
        <v>262</v>
      </c>
      <c r="B793" s="175" t="s">
        <v>1234</v>
      </c>
      <c r="C793" s="210" t="s">
        <v>193</v>
      </c>
      <c r="D793" s="173">
        <v>0.04</v>
      </c>
      <c r="E793" s="204" t="s">
        <v>30</v>
      </c>
      <c r="F793" s="204" t="s">
        <v>188</v>
      </c>
      <c r="G793" s="209" t="s">
        <v>1554</v>
      </c>
      <c r="H793" s="171"/>
    </row>
    <row r="794" ht="14.25" spans="1:8">
      <c r="A794" s="176">
        <v>263</v>
      </c>
      <c r="B794" s="175" t="s">
        <v>1427</v>
      </c>
      <c r="C794" s="210" t="s">
        <v>193</v>
      </c>
      <c r="D794" s="173">
        <v>0.01</v>
      </c>
      <c r="E794" s="204" t="s">
        <v>30</v>
      </c>
      <c r="F794" s="204" t="s">
        <v>188</v>
      </c>
      <c r="G794" s="209" t="s">
        <v>1428</v>
      </c>
      <c r="H794" s="171"/>
    </row>
    <row r="795" ht="14.25" spans="1:8">
      <c r="A795" s="176">
        <v>264</v>
      </c>
      <c r="B795" s="175" t="s">
        <v>1304</v>
      </c>
      <c r="C795" s="210" t="s">
        <v>193</v>
      </c>
      <c r="D795" s="173">
        <v>0.01</v>
      </c>
      <c r="E795" s="204" t="s">
        <v>30</v>
      </c>
      <c r="F795" s="204" t="s">
        <v>188</v>
      </c>
      <c r="G795" s="209" t="s">
        <v>1239</v>
      </c>
      <c r="H795" s="171"/>
    </row>
    <row r="796" ht="14.25" spans="1:8">
      <c r="A796" s="176">
        <v>265</v>
      </c>
      <c r="B796" s="175" t="s">
        <v>1555</v>
      </c>
      <c r="C796" s="210" t="s">
        <v>193</v>
      </c>
      <c r="D796" s="173">
        <v>0.16</v>
      </c>
      <c r="E796" s="204" t="s">
        <v>30</v>
      </c>
      <c r="F796" s="204" t="s">
        <v>188</v>
      </c>
      <c r="G796" s="209" t="s">
        <v>1556</v>
      </c>
      <c r="H796" s="171"/>
    </row>
    <row r="797" ht="14.25" spans="1:8">
      <c r="A797" s="176">
        <v>266</v>
      </c>
      <c r="B797" s="175" t="s">
        <v>1557</v>
      </c>
      <c r="C797" s="210" t="s">
        <v>193</v>
      </c>
      <c r="D797" s="173">
        <v>0.03</v>
      </c>
      <c r="E797" s="204" t="s">
        <v>30</v>
      </c>
      <c r="F797" s="204" t="s">
        <v>188</v>
      </c>
      <c r="G797" s="209" t="s">
        <v>1558</v>
      </c>
      <c r="H797" s="171"/>
    </row>
    <row r="798" ht="14.25" spans="1:8">
      <c r="A798" s="176">
        <v>267</v>
      </c>
      <c r="B798" s="175" t="s">
        <v>1521</v>
      </c>
      <c r="C798" s="210" t="s">
        <v>193</v>
      </c>
      <c r="D798" s="173">
        <v>0.09</v>
      </c>
      <c r="E798" s="204" t="s">
        <v>30</v>
      </c>
      <c r="F798" s="204" t="s">
        <v>188</v>
      </c>
      <c r="G798" s="209" t="s">
        <v>1559</v>
      </c>
      <c r="H798" s="171"/>
    </row>
    <row r="799" ht="14.25" spans="1:8">
      <c r="A799" s="176">
        <v>268</v>
      </c>
      <c r="B799" s="175" t="s">
        <v>1560</v>
      </c>
      <c r="C799" s="210" t="s">
        <v>193</v>
      </c>
      <c r="D799" s="173">
        <v>0.2</v>
      </c>
      <c r="E799" s="204" t="s">
        <v>30</v>
      </c>
      <c r="F799" s="204" t="s">
        <v>188</v>
      </c>
      <c r="G799" s="209" t="s">
        <v>1561</v>
      </c>
      <c r="H799" s="171"/>
    </row>
    <row r="800" ht="14.25" spans="1:8">
      <c r="A800" s="176">
        <v>269</v>
      </c>
      <c r="B800" s="175" t="s">
        <v>1562</v>
      </c>
      <c r="C800" s="210" t="s">
        <v>193</v>
      </c>
      <c r="D800" s="173">
        <v>0.06</v>
      </c>
      <c r="E800" s="204" t="s">
        <v>30</v>
      </c>
      <c r="F800" s="204" t="s">
        <v>188</v>
      </c>
      <c r="G800" s="209" t="s">
        <v>1563</v>
      </c>
      <c r="H800" s="171"/>
    </row>
    <row r="801" ht="14.25" spans="1:8">
      <c r="A801" s="176">
        <v>270</v>
      </c>
      <c r="B801" s="175" t="s">
        <v>1562</v>
      </c>
      <c r="C801" s="210" t="s">
        <v>193</v>
      </c>
      <c r="D801" s="173">
        <v>0.03</v>
      </c>
      <c r="E801" s="204" t="s">
        <v>30</v>
      </c>
      <c r="F801" s="204" t="s">
        <v>188</v>
      </c>
      <c r="G801" s="209" t="s">
        <v>1564</v>
      </c>
      <c r="H801" s="171"/>
    </row>
    <row r="802" ht="14.25" spans="1:8">
      <c r="A802" s="176">
        <v>271</v>
      </c>
      <c r="B802" s="175" t="s">
        <v>1542</v>
      </c>
      <c r="C802" s="210" t="s">
        <v>193</v>
      </c>
      <c r="D802" s="173">
        <v>0.1</v>
      </c>
      <c r="E802" s="204" t="s">
        <v>30</v>
      </c>
      <c r="F802" s="204" t="s">
        <v>188</v>
      </c>
      <c r="G802" s="209" t="s">
        <v>1565</v>
      </c>
      <c r="H802" s="171"/>
    </row>
    <row r="803" ht="14.25" spans="1:8">
      <c r="A803" s="176">
        <v>272</v>
      </c>
      <c r="B803" s="175" t="s">
        <v>1566</v>
      </c>
      <c r="C803" s="210" t="s">
        <v>193</v>
      </c>
      <c r="D803" s="173">
        <v>0.08</v>
      </c>
      <c r="E803" s="204" t="s">
        <v>30</v>
      </c>
      <c r="F803" s="204" t="s">
        <v>188</v>
      </c>
      <c r="G803" s="209" t="s">
        <v>1567</v>
      </c>
      <c r="H803" s="171"/>
    </row>
    <row r="804" ht="14.25" spans="1:8">
      <c r="A804" s="176">
        <v>273</v>
      </c>
      <c r="B804" s="175" t="s">
        <v>1568</v>
      </c>
      <c r="C804" s="210" t="s">
        <v>193</v>
      </c>
      <c r="D804" s="173">
        <v>0.15</v>
      </c>
      <c r="E804" s="204" t="s">
        <v>30</v>
      </c>
      <c r="F804" s="204" t="s">
        <v>188</v>
      </c>
      <c r="G804" s="209" t="s">
        <v>1569</v>
      </c>
      <c r="H804" s="171"/>
    </row>
    <row r="805" ht="14.25" spans="1:8">
      <c r="A805" s="176">
        <v>274</v>
      </c>
      <c r="B805" s="175" t="s">
        <v>1568</v>
      </c>
      <c r="C805" s="210" t="s">
        <v>193</v>
      </c>
      <c r="D805" s="173">
        <v>0.5</v>
      </c>
      <c r="E805" s="204" t="s">
        <v>30</v>
      </c>
      <c r="F805" s="204" t="s">
        <v>188</v>
      </c>
      <c r="G805" s="209" t="s">
        <v>1570</v>
      </c>
      <c r="H805" s="171"/>
    </row>
    <row r="806" ht="14.25" spans="1:8">
      <c r="A806" s="176">
        <v>275</v>
      </c>
      <c r="B806" s="175" t="s">
        <v>1505</v>
      </c>
      <c r="C806" s="210" t="s">
        <v>193</v>
      </c>
      <c r="D806" s="173">
        <v>0.02</v>
      </c>
      <c r="E806" s="204" t="s">
        <v>30</v>
      </c>
      <c r="F806" s="204" t="s">
        <v>188</v>
      </c>
      <c r="G806" s="209" t="s">
        <v>1571</v>
      </c>
      <c r="H806" s="171"/>
    </row>
    <row r="807" ht="14.25" spans="1:8">
      <c r="A807" s="176">
        <v>276</v>
      </c>
      <c r="B807" s="175" t="s">
        <v>591</v>
      </c>
      <c r="C807" s="210" t="s">
        <v>193</v>
      </c>
      <c r="D807" s="173">
        <v>0.02</v>
      </c>
      <c r="E807" s="204" t="s">
        <v>30</v>
      </c>
      <c r="F807" s="204" t="s">
        <v>188</v>
      </c>
      <c r="G807" s="209" t="s">
        <v>1572</v>
      </c>
      <c r="H807" s="171"/>
    </row>
    <row r="808" ht="14.25" spans="1:8">
      <c r="A808" s="176">
        <v>277</v>
      </c>
      <c r="B808" s="175" t="s">
        <v>1573</v>
      </c>
      <c r="C808" s="210" t="s">
        <v>193</v>
      </c>
      <c r="D808" s="173">
        <v>0.1</v>
      </c>
      <c r="E808" s="204" t="s">
        <v>30</v>
      </c>
      <c r="F808" s="204" t="s">
        <v>188</v>
      </c>
      <c r="G808" s="209" t="s">
        <v>1574</v>
      </c>
      <c r="H808" s="171"/>
    </row>
    <row r="809" ht="14.25" spans="1:8">
      <c r="A809" s="176">
        <v>278</v>
      </c>
      <c r="B809" s="175" t="s">
        <v>1575</v>
      </c>
      <c r="C809" s="210" t="s">
        <v>193</v>
      </c>
      <c r="D809" s="173">
        <v>0.05</v>
      </c>
      <c r="E809" s="204" t="s">
        <v>30</v>
      </c>
      <c r="F809" s="204" t="s">
        <v>188</v>
      </c>
      <c r="G809" s="209" t="s">
        <v>1576</v>
      </c>
      <c r="H809" s="171"/>
    </row>
    <row r="810" ht="14.25" spans="1:8">
      <c r="A810" s="176">
        <v>279</v>
      </c>
      <c r="B810" s="175" t="s">
        <v>1577</v>
      </c>
      <c r="C810" s="210" t="s">
        <v>193</v>
      </c>
      <c r="D810" s="173">
        <v>0.05</v>
      </c>
      <c r="E810" s="204" t="s">
        <v>30</v>
      </c>
      <c r="F810" s="204" t="s">
        <v>188</v>
      </c>
      <c r="G810" s="209" t="s">
        <v>1578</v>
      </c>
      <c r="H810" s="171"/>
    </row>
    <row r="811" ht="14.25" spans="1:8">
      <c r="A811" s="176">
        <v>280</v>
      </c>
      <c r="B811" s="175" t="s">
        <v>1579</v>
      </c>
      <c r="C811" s="210" t="s">
        <v>193</v>
      </c>
      <c r="D811" s="173">
        <v>0.02</v>
      </c>
      <c r="E811" s="204" t="s">
        <v>30</v>
      </c>
      <c r="F811" s="204" t="s">
        <v>188</v>
      </c>
      <c r="G811" s="209" t="s">
        <v>1580</v>
      </c>
      <c r="H811" s="171"/>
    </row>
    <row r="812" ht="14.25" spans="1:8">
      <c r="A812" s="176">
        <v>281</v>
      </c>
      <c r="B812" s="197" t="s">
        <v>1581</v>
      </c>
      <c r="C812" s="210" t="s">
        <v>193</v>
      </c>
      <c r="D812" s="173">
        <v>0.08</v>
      </c>
      <c r="E812" s="204" t="s">
        <v>30</v>
      </c>
      <c r="F812" s="204" t="s">
        <v>188</v>
      </c>
      <c r="G812" s="209" t="s">
        <v>1582</v>
      </c>
      <c r="H812" s="171"/>
    </row>
    <row r="813" ht="14.25" spans="1:8">
      <c r="A813" s="176">
        <v>282</v>
      </c>
      <c r="B813" s="197" t="s">
        <v>1583</v>
      </c>
      <c r="C813" s="210" t="s">
        <v>193</v>
      </c>
      <c r="D813" s="173">
        <v>0.04</v>
      </c>
      <c r="E813" s="204" t="s">
        <v>30</v>
      </c>
      <c r="F813" s="204" t="s">
        <v>188</v>
      </c>
      <c r="G813" s="209" t="s">
        <v>1584</v>
      </c>
      <c r="H813" s="171"/>
    </row>
    <row r="814" ht="14.25" spans="1:8">
      <c r="A814" s="176">
        <v>283</v>
      </c>
      <c r="B814" s="197" t="s">
        <v>1585</v>
      </c>
      <c r="C814" s="210" t="s">
        <v>193</v>
      </c>
      <c r="D814" s="173">
        <v>0.03</v>
      </c>
      <c r="E814" s="204" t="s">
        <v>30</v>
      </c>
      <c r="F814" s="204" t="s">
        <v>188</v>
      </c>
      <c r="G814" s="209" t="s">
        <v>1586</v>
      </c>
      <c r="H814" s="171"/>
    </row>
    <row r="815" ht="14.25" spans="1:8">
      <c r="A815" s="176">
        <v>284</v>
      </c>
      <c r="B815" s="197" t="s">
        <v>1587</v>
      </c>
      <c r="C815" s="210" t="s">
        <v>193</v>
      </c>
      <c r="D815" s="173">
        <v>0.05</v>
      </c>
      <c r="E815" s="204" t="s">
        <v>30</v>
      </c>
      <c r="F815" s="204" t="s">
        <v>188</v>
      </c>
      <c r="G815" s="209" t="s">
        <v>1588</v>
      </c>
      <c r="H815" s="171"/>
    </row>
    <row r="816" ht="14.25" spans="1:8">
      <c r="A816" s="176">
        <v>285</v>
      </c>
      <c r="B816" s="197" t="s">
        <v>1168</v>
      </c>
      <c r="C816" s="210" t="s">
        <v>193</v>
      </c>
      <c r="D816" s="173">
        <v>0.07</v>
      </c>
      <c r="E816" s="204" t="s">
        <v>30</v>
      </c>
      <c r="F816" s="204" t="s">
        <v>188</v>
      </c>
      <c r="G816" s="209" t="s">
        <v>1378</v>
      </c>
      <c r="H816" s="171"/>
    </row>
    <row r="817" ht="14.25" spans="1:8">
      <c r="A817" s="176">
        <v>286</v>
      </c>
      <c r="B817" s="196" t="s">
        <v>1589</v>
      </c>
      <c r="C817" s="210" t="s">
        <v>193</v>
      </c>
      <c r="D817" s="173">
        <v>0.09</v>
      </c>
      <c r="E817" s="204" t="s">
        <v>30</v>
      </c>
      <c r="F817" s="204" t="s">
        <v>188</v>
      </c>
      <c r="G817" s="209" t="s">
        <v>1590</v>
      </c>
      <c r="H817" s="171"/>
    </row>
    <row r="818" ht="14.25" spans="1:8">
      <c r="A818" s="176">
        <v>287</v>
      </c>
      <c r="B818" s="196" t="s">
        <v>1591</v>
      </c>
      <c r="C818" s="210" t="s">
        <v>193</v>
      </c>
      <c r="D818" s="173">
        <v>0.2</v>
      </c>
      <c r="E818" s="204" t="s">
        <v>30</v>
      </c>
      <c r="F818" s="204" t="s">
        <v>188</v>
      </c>
      <c r="G818" s="209" t="s">
        <v>1592</v>
      </c>
      <c r="H818" s="171"/>
    </row>
    <row r="819" ht="14.25" spans="1:8">
      <c r="A819" s="176">
        <v>288</v>
      </c>
      <c r="B819" s="195" t="s">
        <v>1593</v>
      </c>
      <c r="C819" s="210" t="s">
        <v>193</v>
      </c>
      <c r="D819" s="173">
        <v>0.09</v>
      </c>
      <c r="E819" s="204" t="s">
        <v>30</v>
      </c>
      <c r="F819" s="204" t="s">
        <v>188</v>
      </c>
      <c r="G819" s="209" t="s">
        <v>1594</v>
      </c>
      <c r="H819" s="171"/>
    </row>
    <row r="820" ht="14.25" spans="1:8">
      <c r="A820" s="176">
        <v>289</v>
      </c>
      <c r="B820" s="195" t="s">
        <v>1595</v>
      </c>
      <c r="C820" s="210" t="s">
        <v>193</v>
      </c>
      <c r="D820" s="173">
        <v>0.85</v>
      </c>
      <c r="E820" s="204" t="s">
        <v>30</v>
      </c>
      <c r="F820" s="204" t="s">
        <v>188</v>
      </c>
      <c r="G820" s="209" t="s">
        <v>1596</v>
      </c>
      <c r="H820" s="171"/>
    </row>
    <row r="821" ht="14.25" spans="1:8">
      <c r="A821" s="206" t="s">
        <v>1597</v>
      </c>
      <c r="B821" s="166" t="s">
        <v>303</v>
      </c>
      <c r="C821" s="166"/>
      <c r="D821" s="207"/>
      <c r="E821" s="212"/>
      <c r="F821" s="204"/>
      <c r="G821" s="166"/>
      <c r="H821" s="213"/>
    </row>
    <row r="822" ht="14.25" spans="1:8">
      <c r="A822" s="176">
        <v>1</v>
      </c>
      <c r="B822" s="189" t="s">
        <v>1183</v>
      </c>
      <c r="C822" s="181" t="s">
        <v>38</v>
      </c>
      <c r="D822" s="173">
        <v>0.01</v>
      </c>
      <c r="E822" s="176" t="s">
        <v>30</v>
      </c>
      <c r="F822" s="176" t="s">
        <v>188</v>
      </c>
      <c r="G822" s="183" t="s">
        <v>1598</v>
      </c>
      <c r="H822" s="171"/>
    </row>
    <row r="823" ht="14.25" spans="1:8">
      <c r="A823" s="176">
        <v>2</v>
      </c>
      <c r="B823" s="189" t="s">
        <v>1599</v>
      </c>
      <c r="C823" s="181" t="s">
        <v>38</v>
      </c>
      <c r="D823" s="173">
        <v>0.01</v>
      </c>
      <c r="E823" s="176" t="s">
        <v>30</v>
      </c>
      <c r="F823" s="176" t="s">
        <v>188</v>
      </c>
      <c r="G823" s="183" t="s">
        <v>1600</v>
      </c>
      <c r="H823" s="171"/>
    </row>
    <row r="824" ht="14.25" spans="1:8">
      <c r="A824" s="176">
        <v>3</v>
      </c>
      <c r="B824" s="189" t="s">
        <v>1601</v>
      </c>
      <c r="C824" s="181" t="s">
        <v>38</v>
      </c>
      <c r="D824" s="173">
        <v>0.02</v>
      </c>
      <c r="E824" s="176" t="s">
        <v>30</v>
      </c>
      <c r="F824" s="176" t="s">
        <v>188</v>
      </c>
      <c r="G824" s="183" t="s">
        <v>1602</v>
      </c>
      <c r="H824" s="171"/>
    </row>
    <row r="825" ht="14.25" spans="1:8">
      <c r="A825" s="176">
        <v>4</v>
      </c>
      <c r="B825" s="189" t="s">
        <v>1603</v>
      </c>
      <c r="C825" s="181" t="s">
        <v>38</v>
      </c>
      <c r="D825" s="173">
        <v>0.02</v>
      </c>
      <c r="E825" s="176" t="s">
        <v>30</v>
      </c>
      <c r="F825" s="176" t="s">
        <v>188</v>
      </c>
      <c r="G825" s="183" t="s">
        <v>1604</v>
      </c>
      <c r="H825" s="171"/>
    </row>
    <row r="826" ht="14.25" spans="1:8">
      <c r="A826" s="176">
        <v>5</v>
      </c>
      <c r="B826" s="189" t="s">
        <v>1605</v>
      </c>
      <c r="C826" s="181" t="s">
        <v>38</v>
      </c>
      <c r="D826" s="173">
        <v>0.04</v>
      </c>
      <c r="E826" s="176" t="s">
        <v>30</v>
      </c>
      <c r="F826" s="176" t="s">
        <v>188</v>
      </c>
      <c r="G826" s="183" t="s">
        <v>1606</v>
      </c>
      <c r="H826" s="171"/>
    </row>
    <row r="827" ht="14.25" spans="1:8">
      <c r="A827" s="176">
        <v>6</v>
      </c>
      <c r="B827" s="189" t="s">
        <v>1607</v>
      </c>
      <c r="C827" s="181" t="s">
        <v>38</v>
      </c>
      <c r="D827" s="173">
        <v>0.01</v>
      </c>
      <c r="E827" s="176" t="s">
        <v>30</v>
      </c>
      <c r="F827" s="176" t="s">
        <v>188</v>
      </c>
      <c r="G827" s="183" t="s">
        <v>1608</v>
      </c>
      <c r="H827" s="171"/>
    </row>
    <row r="828" ht="14.25" spans="1:8">
      <c r="A828" s="176">
        <v>7</v>
      </c>
      <c r="B828" s="189" t="s">
        <v>1609</v>
      </c>
      <c r="C828" s="181" t="s">
        <v>38</v>
      </c>
      <c r="D828" s="173">
        <v>0.03</v>
      </c>
      <c r="E828" s="176" t="s">
        <v>30</v>
      </c>
      <c r="F828" s="176" t="s">
        <v>188</v>
      </c>
      <c r="G828" s="183" t="s">
        <v>1610</v>
      </c>
      <c r="H828" s="171"/>
    </row>
    <row r="829" ht="14.25" spans="1:8">
      <c r="A829" s="176">
        <v>8</v>
      </c>
      <c r="B829" s="189" t="s">
        <v>1609</v>
      </c>
      <c r="C829" s="181" t="s">
        <v>38</v>
      </c>
      <c r="D829" s="173">
        <v>0.03</v>
      </c>
      <c r="E829" s="176" t="s">
        <v>30</v>
      </c>
      <c r="F829" s="176" t="s">
        <v>188</v>
      </c>
      <c r="G829" s="183" t="s">
        <v>1611</v>
      </c>
      <c r="H829" s="171"/>
    </row>
    <row r="830" ht="14.25" spans="1:8">
      <c r="A830" s="176">
        <v>9</v>
      </c>
      <c r="B830" s="189" t="s">
        <v>1612</v>
      </c>
      <c r="C830" s="181" t="s">
        <v>38</v>
      </c>
      <c r="D830" s="173">
        <v>0.04</v>
      </c>
      <c r="E830" s="176" t="s">
        <v>30</v>
      </c>
      <c r="F830" s="176" t="s">
        <v>188</v>
      </c>
      <c r="G830" s="183" t="s">
        <v>1613</v>
      </c>
      <c r="H830" s="171"/>
    </row>
    <row r="831" ht="14.25" spans="1:8">
      <c r="A831" s="176">
        <v>10</v>
      </c>
      <c r="B831" s="189" t="s">
        <v>1614</v>
      </c>
      <c r="C831" s="181" t="s">
        <v>38</v>
      </c>
      <c r="D831" s="173">
        <v>0.01</v>
      </c>
      <c r="E831" s="176" t="s">
        <v>30</v>
      </c>
      <c r="F831" s="176" t="s">
        <v>188</v>
      </c>
      <c r="G831" s="183" t="s">
        <v>1615</v>
      </c>
      <c r="H831" s="171"/>
    </row>
    <row r="832" ht="14.25" spans="1:8">
      <c r="A832" s="176">
        <v>11</v>
      </c>
      <c r="B832" s="189" t="s">
        <v>1616</v>
      </c>
      <c r="C832" s="181" t="s">
        <v>38</v>
      </c>
      <c r="D832" s="173">
        <v>0.01</v>
      </c>
      <c r="E832" s="176" t="s">
        <v>30</v>
      </c>
      <c r="F832" s="176" t="s">
        <v>188</v>
      </c>
      <c r="G832" s="183" t="s">
        <v>1617</v>
      </c>
      <c r="H832" s="171"/>
    </row>
    <row r="833" ht="14.25" spans="1:8">
      <c r="A833" s="176">
        <v>12</v>
      </c>
      <c r="B833" s="214" t="s">
        <v>1618</v>
      </c>
      <c r="C833" s="181" t="s">
        <v>38</v>
      </c>
      <c r="D833" s="190">
        <v>0.04</v>
      </c>
      <c r="E833" s="176" t="s">
        <v>30</v>
      </c>
      <c r="F833" s="176" t="s">
        <v>188</v>
      </c>
      <c r="G833" s="171" t="s">
        <v>1619</v>
      </c>
      <c r="H833" s="171"/>
    </row>
    <row r="834" ht="14.25" spans="1:8">
      <c r="A834" s="176">
        <v>13</v>
      </c>
      <c r="B834" s="177" t="s">
        <v>1620</v>
      </c>
      <c r="C834" s="181" t="s">
        <v>38</v>
      </c>
      <c r="D834" s="190">
        <v>0.04</v>
      </c>
      <c r="E834" s="176" t="s">
        <v>30</v>
      </c>
      <c r="F834" s="176" t="s">
        <v>188</v>
      </c>
      <c r="G834" s="171" t="s">
        <v>1621</v>
      </c>
      <c r="H834" s="171"/>
    </row>
    <row r="835" ht="14.25" spans="1:8">
      <c r="A835" s="176">
        <v>14</v>
      </c>
      <c r="B835" s="214" t="s">
        <v>1622</v>
      </c>
      <c r="C835" s="181" t="s">
        <v>38</v>
      </c>
      <c r="D835" s="190">
        <v>0.02</v>
      </c>
      <c r="E835" s="176" t="s">
        <v>30</v>
      </c>
      <c r="F835" s="176" t="s">
        <v>188</v>
      </c>
      <c r="G835" s="171" t="s">
        <v>1623</v>
      </c>
      <c r="H835" s="171"/>
    </row>
    <row r="836" ht="14.25" spans="1:8">
      <c r="A836" s="176">
        <v>15</v>
      </c>
      <c r="B836" s="214" t="s">
        <v>1622</v>
      </c>
      <c r="C836" s="181" t="s">
        <v>38</v>
      </c>
      <c r="D836" s="190">
        <v>0.02</v>
      </c>
      <c r="E836" s="176" t="s">
        <v>30</v>
      </c>
      <c r="F836" s="176" t="s">
        <v>188</v>
      </c>
      <c r="G836" s="171" t="s">
        <v>1624</v>
      </c>
      <c r="H836" s="171"/>
    </row>
    <row r="837" ht="14.25" spans="1:8">
      <c r="A837" s="176">
        <v>16</v>
      </c>
      <c r="B837" s="214" t="s">
        <v>1625</v>
      </c>
      <c r="C837" s="181" t="s">
        <v>38</v>
      </c>
      <c r="D837" s="190">
        <v>0.02</v>
      </c>
      <c r="E837" s="176" t="s">
        <v>30</v>
      </c>
      <c r="F837" s="176" t="s">
        <v>188</v>
      </c>
      <c r="G837" s="171" t="s">
        <v>1626</v>
      </c>
      <c r="H837" s="171"/>
    </row>
    <row r="838" ht="14.25" spans="1:8">
      <c r="A838" s="176">
        <v>17</v>
      </c>
      <c r="B838" s="214" t="s">
        <v>1627</v>
      </c>
      <c r="C838" s="181" t="s">
        <v>38</v>
      </c>
      <c r="D838" s="190">
        <v>0.02</v>
      </c>
      <c r="E838" s="176" t="s">
        <v>30</v>
      </c>
      <c r="F838" s="176" t="s">
        <v>188</v>
      </c>
      <c r="G838" s="171" t="s">
        <v>1628</v>
      </c>
      <c r="H838" s="171"/>
    </row>
    <row r="839" ht="14.25" spans="1:8">
      <c r="A839" s="176">
        <v>18</v>
      </c>
      <c r="B839" s="214" t="s">
        <v>1629</v>
      </c>
      <c r="C839" s="181" t="s">
        <v>38</v>
      </c>
      <c r="D839" s="190">
        <v>0.01</v>
      </c>
      <c r="E839" s="176" t="s">
        <v>30</v>
      </c>
      <c r="F839" s="176" t="s">
        <v>188</v>
      </c>
      <c r="G839" s="171" t="s">
        <v>1630</v>
      </c>
      <c r="H839" s="171"/>
    </row>
    <row r="840" ht="14.25" spans="1:8">
      <c r="A840" s="176">
        <v>19</v>
      </c>
      <c r="B840" s="214" t="s">
        <v>1631</v>
      </c>
      <c r="C840" s="181" t="s">
        <v>38</v>
      </c>
      <c r="D840" s="190">
        <v>0.04</v>
      </c>
      <c r="E840" s="176" t="s">
        <v>30</v>
      </c>
      <c r="F840" s="176" t="s">
        <v>188</v>
      </c>
      <c r="G840" s="171" t="s">
        <v>1632</v>
      </c>
      <c r="H840" s="171"/>
    </row>
    <row r="841" ht="14.25" spans="1:8">
      <c r="A841" s="176">
        <v>20</v>
      </c>
      <c r="B841" s="214" t="s">
        <v>1633</v>
      </c>
      <c r="C841" s="181" t="s">
        <v>38</v>
      </c>
      <c r="D841" s="190">
        <v>0.02</v>
      </c>
      <c r="E841" s="176" t="s">
        <v>30</v>
      </c>
      <c r="F841" s="176" t="s">
        <v>188</v>
      </c>
      <c r="G841" s="171" t="s">
        <v>1634</v>
      </c>
      <c r="H841" s="171"/>
    </row>
    <row r="842" ht="14.25" spans="1:8">
      <c r="A842" s="176">
        <v>21</v>
      </c>
      <c r="B842" s="214" t="s">
        <v>1635</v>
      </c>
      <c r="C842" s="181" t="s">
        <v>38</v>
      </c>
      <c r="D842" s="190">
        <v>0.01</v>
      </c>
      <c r="E842" s="176" t="s">
        <v>30</v>
      </c>
      <c r="F842" s="176" t="s">
        <v>188</v>
      </c>
      <c r="G842" s="171" t="s">
        <v>1636</v>
      </c>
      <c r="H842" s="171"/>
    </row>
    <row r="843" ht="14.25" spans="1:8">
      <c r="A843" s="176">
        <v>22</v>
      </c>
      <c r="B843" s="214" t="s">
        <v>1637</v>
      </c>
      <c r="C843" s="181" t="s">
        <v>38</v>
      </c>
      <c r="D843" s="190">
        <v>0.02</v>
      </c>
      <c r="E843" s="176" t="s">
        <v>30</v>
      </c>
      <c r="F843" s="176" t="s">
        <v>188</v>
      </c>
      <c r="G843" s="171" t="s">
        <v>1638</v>
      </c>
      <c r="H843" s="171"/>
    </row>
    <row r="844" ht="14.25" spans="1:8">
      <c r="A844" s="176">
        <v>23</v>
      </c>
      <c r="B844" s="214" t="s">
        <v>1639</v>
      </c>
      <c r="C844" s="181" t="s">
        <v>38</v>
      </c>
      <c r="D844" s="190">
        <v>0.02</v>
      </c>
      <c r="E844" s="176" t="s">
        <v>30</v>
      </c>
      <c r="F844" s="176" t="s">
        <v>188</v>
      </c>
      <c r="G844" s="171" t="s">
        <v>1640</v>
      </c>
      <c r="H844" s="171"/>
    </row>
    <row r="845" ht="14.25" spans="1:8">
      <c r="A845" s="176">
        <v>24</v>
      </c>
      <c r="B845" s="214" t="s">
        <v>1641</v>
      </c>
      <c r="C845" s="181" t="s">
        <v>38</v>
      </c>
      <c r="D845" s="190">
        <v>0.01</v>
      </c>
      <c r="E845" s="176" t="s">
        <v>30</v>
      </c>
      <c r="F845" s="176" t="s">
        <v>188</v>
      </c>
      <c r="G845" s="171" t="s">
        <v>1642</v>
      </c>
      <c r="H845" s="171"/>
    </row>
    <row r="846" ht="14.25" spans="1:8">
      <c r="A846" s="176">
        <v>25</v>
      </c>
      <c r="B846" s="214" t="s">
        <v>1643</v>
      </c>
      <c r="C846" s="181" t="s">
        <v>38</v>
      </c>
      <c r="D846" s="190">
        <v>0.04</v>
      </c>
      <c r="E846" s="176" t="s">
        <v>30</v>
      </c>
      <c r="F846" s="176" t="s">
        <v>188</v>
      </c>
      <c r="G846" s="171" t="s">
        <v>1644</v>
      </c>
      <c r="H846" s="171"/>
    </row>
    <row r="847" ht="14.25" spans="1:8">
      <c r="A847" s="176">
        <v>26</v>
      </c>
      <c r="B847" s="185" t="s">
        <v>949</v>
      </c>
      <c r="C847" s="181" t="s">
        <v>38</v>
      </c>
      <c r="D847" s="190">
        <v>0.02</v>
      </c>
      <c r="E847" s="176" t="s">
        <v>30</v>
      </c>
      <c r="F847" s="176" t="s">
        <v>188</v>
      </c>
      <c r="G847" s="171" t="s">
        <v>1645</v>
      </c>
      <c r="H847" s="171"/>
    </row>
    <row r="848" ht="14.25" spans="1:8">
      <c r="A848" s="176">
        <v>27</v>
      </c>
      <c r="B848" s="185" t="s">
        <v>1646</v>
      </c>
      <c r="C848" s="181" t="s">
        <v>38</v>
      </c>
      <c r="D848" s="190">
        <v>0.01</v>
      </c>
      <c r="E848" s="176" t="s">
        <v>30</v>
      </c>
      <c r="F848" s="176" t="s">
        <v>188</v>
      </c>
      <c r="G848" s="171" t="s">
        <v>1647</v>
      </c>
      <c r="H848" s="171"/>
    </row>
    <row r="849" ht="14.25" spans="1:8">
      <c r="A849" s="176">
        <v>28</v>
      </c>
      <c r="B849" s="185" t="s">
        <v>1648</v>
      </c>
      <c r="C849" s="181" t="s">
        <v>38</v>
      </c>
      <c r="D849" s="190">
        <v>0.01</v>
      </c>
      <c r="E849" s="176" t="s">
        <v>30</v>
      </c>
      <c r="F849" s="176" t="s">
        <v>188</v>
      </c>
      <c r="G849" s="171" t="s">
        <v>1649</v>
      </c>
      <c r="H849" s="171"/>
    </row>
    <row r="850" ht="14.25" spans="1:8">
      <c r="A850" s="176">
        <v>29</v>
      </c>
      <c r="B850" s="185" t="s">
        <v>1650</v>
      </c>
      <c r="C850" s="181" t="s">
        <v>38</v>
      </c>
      <c r="D850" s="190">
        <v>0.04</v>
      </c>
      <c r="E850" s="176" t="s">
        <v>30</v>
      </c>
      <c r="F850" s="176" t="s">
        <v>188</v>
      </c>
      <c r="G850" s="171" t="s">
        <v>1651</v>
      </c>
      <c r="H850" s="171"/>
    </row>
    <row r="851" ht="14.25" spans="1:8">
      <c r="A851" s="176">
        <v>30</v>
      </c>
      <c r="B851" s="185" t="s">
        <v>1652</v>
      </c>
      <c r="C851" s="181" t="s">
        <v>38</v>
      </c>
      <c r="D851" s="190">
        <v>0.01</v>
      </c>
      <c r="E851" s="176" t="s">
        <v>30</v>
      </c>
      <c r="F851" s="176" t="s">
        <v>188</v>
      </c>
      <c r="G851" s="171" t="s">
        <v>1653</v>
      </c>
      <c r="H851" s="171"/>
    </row>
    <row r="852" ht="14.25" spans="1:8">
      <c r="A852" s="176">
        <v>31</v>
      </c>
      <c r="B852" s="185" t="s">
        <v>1654</v>
      </c>
      <c r="C852" s="181" t="s">
        <v>38</v>
      </c>
      <c r="D852" s="190">
        <v>0.01</v>
      </c>
      <c r="E852" s="176" t="s">
        <v>30</v>
      </c>
      <c r="F852" s="176" t="s">
        <v>188</v>
      </c>
      <c r="G852" s="171" t="s">
        <v>1655</v>
      </c>
      <c r="H852" s="171"/>
    </row>
    <row r="853" ht="14.25" spans="1:8">
      <c r="A853" s="176">
        <v>32</v>
      </c>
      <c r="B853" s="185" t="s">
        <v>1620</v>
      </c>
      <c r="C853" s="181" t="s">
        <v>38</v>
      </c>
      <c r="D853" s="190">
        <v>0.04</v>
      </c>
      <c r="E853" s="176" t="s">
        <v>30</v>
      </c>
      <c r="F853" s="176" t="s">
        <v>188</v>
      </c>
      <c r="G853" s="171" t="s">
        <v>1656</v>
      </c>
      <c r="H853" s="171"/>
    </row>
    <row r="854" ht="14.25" spans="1:8">
      <c r="A854" s="176">
        <v>33</v>
      </c>
      <c r="B854" s="185" t="s">
        <v>1657</v>
      </c>
      <c r="C854" s="181" t="s">
        <v>38</v>
      </c>
      <c r="D854" s="190">
        <v>0.04</v>
      </c>
      <c r="E854" s="176" t="s">
        <v>30</v>
      </c>
      <c r="F854" s="176" t="s">
        <v>188</v>
      </c>
      <c r="G854" s="171" t="s">
        <v>1658</v>
      </c>
      <c r="H854" s="171"/>
    </row>
    <row r="855" ht="14.25" spans="1:8">
      <c r="A855" s="176">
        <v>34</v>
      </c>
      <c r="B855" s="185" t="s">
        <v>1659</v>
      </c>
      <c r="C855" s="181" t="s">
        <v>38</v>
      </c>
      <c r="D855" s="190">
        <v>0.03</v>
      </c>
      <c r="E855" s="176" t="s">
        <v>30</v>
      </c>
      <c r="F855" s="176" t="s">
        <v>188</v>
      </c>
      <c r="G855" s="171" t="s">
        <v>1660</v>
      </c>
      <c r="H855" s="171"/>
    </row>
    <row r="856" ht="14.25" spans="1:8">
      <c r="A856" s="176">
        <v>35</v>
      </c>
      <c r="B856" s="185" t="s">
        <v>1661</v>
      </c>
      <c r="C856" s="181" t="s">
        <v>38</v>
      </c>
      <c r="D856" s="190">
        <v>0.02</v>
      </c>
      <c r="E856" s="176" t="s">
        <v>30</v>
      </c>
      <c r="F856" s="176" t="s">
        <v>188</v>
      </c>
      <c r="G856" s="171" t="s">
        <v>1662</v>
      </c>
      <c r="H856" s="171"/>
    </row>
    <row r="857" ht="14.25" spans="1:8">
      <c r="A857" s="176">
        <v>36</v>
      </c>
      <c r="B857" s="189" t="s">
        <v>1663</v>
      </c>
      <c r="C857" s="181" t="s">
        <v>38</v>
      </c>
      <c r="D857" s="173">
        <v>0.02</v>
      </c>
      <c r="E857" s="176" t="s">
        <v>30</v>
      </c>
      <c r="F857" s="176" t="s">
        <v>188</v>
      </c>
      <c r="G857" s="183" t="s">
        <v>1664</v>
      </c>
      <c r="H857" s="171"/>
    </row>
    <row r="858" ht="14.25" spans="1:8">
      <c r="A858" s="176">
        <v>37</v>
      </c>
      <c r="B858" s="189" t="s">
        <v>1663</v>
      </c>
      <c r="C858" s="181" t="s">
        <v>38</v>
      </c>
      <c r="D858" s="173">
        <v>0.01</v>
      </c>
      <c r="E858" s="176" t="s">
        <v>30</v>
      </c>
      <c r="F858" s="176" t="s">
        <v>188</v>
      </c>
      <c r="G858" s="183" t="s">
        <v>1665</v>
      </c>
      <c r="H858" s="171"/>
    </row>
    <row r="859" ht="14.25" spans="1:8">
      <c r="A859" s="176">
        <v>38</v>
      </c>
      <c r="B859" s="189" t="s">
        <v>1666</v>
      </c>
      <c r="C859" s="181" t="s">
        <v>38</v>
      </c>
      <c r="D859" s="173">
        <v>0.01</v>
      </c>
      <c r="E859" s="176" t="s">
        <v>30</v>
      </c>
      <c r="F859" s="176" t="s">
        <v>188</v>
      </c>
      <c r="G859" s="183" t="s">
        <v>1667</v>
      </c>
      <c r="H859" s="171"/>
    </row>
    <row r="860" ht="14.25" spans="1:8">
      <c r="A860" s="176">
        <v>39</v>
      </c>
      <c r="B860" s="189" t="s">
        <v>1668</v>
      </c>
      <c r="C860" s="181" t="s">
        <v>38</v>
      </c>
      <c r="D860" s="173">
        <v>0.02</v>
      </c>
      <c r="E860" s="176" t="s">
        <v>30</v>
      </c>
      <c r="F860" s="176" t="s">
        <v>188</v>
      </c>
      <c r="G860" s="183" t="s">
        <v>1669</v>
      </c>
      <c r="H860" s="171"/>
    </row>
    <row r="861" ht="14.25" spans="1:8">
      <c r="A861" s="176">
        <v>40</v>
      </c>
      <c r="B861" s="189" t="s">
        <v>1670</v>
      </c>
      <c r="C861" s="181" t="s">
        <v>38</v>
      </c>
      <c r="D861" s="173">
        <v>0.04</v>
      </c>
      <c r="E861" s="176" t="s">
        <v>30</v>
      </c>
      <c r="F861" s="176" t="s">
        <v>188</v>
      </c>
      <c r="G861" s="183" t="s">
        <v>1671</v>
      </c>
      <c r="H861" s="171"/>
    </row>
    <row r="862" ht="14.25" spans="1:8">
      <c r="A862" s="176">
        <v>41</v>
      </c>
      <c r="B862" s="189" t="s">
        <v>1672</v>
      </c>
      <c r="C862" s="181" t="s">
        <v>38</v>
      </c>
      <c r="D862" s="173">
        <v>0.01</v>
      </c>
      <c r="E862" s="176" t="s">
        <v>30</v>
      </c>
      <c r="F862" s="176" t="s">
        <v>188</v>
      </c>
      <c r="G862" s="183" t="s">
        <v>1673</v>
      </c>
      <c r="H862" s="171"/>
    </row>
    <row r="863" ht="14.25" spans="1:8">
      <c r="A863" s="176">
        <v>42</v>
      </c>
      <c r="B863" s="189" t="s">
        <v>1674</v>
      </c>
      <c r="C863" s="181" t="s">
        <v>38</v>
      </c>
      <c r="D863" s="173">
        <v>0.03</v>
      </c>
      <c r="E863" s="176" t="s">
        <v>30</v>
      </c>
      <c r="F863" s="176" t="s">
        <v>188</v>
      </c>
      <c r="G863" s="183" t="s">
        <v>1675</v>
      </c>
      <c r="H863" s="171"/>
    </row>
    <row r="864" ht="14.25" spans="1:8">
      <c r="A864" s="176">
        <v>43</v>
      </c>
      <c r="B864" s="189" t="s">
        <v>1183</v>
      </c>
      <c r="C864" s="181" t="s">
        <v>38</v>
      </c>
      <c r="D864" s="173">
        <v>0.03</v>
      </c>
      <c r="E864" s="176" t="s">
        <v>30</v>
      </c>
      <c r="F864" s="176" t="s">
        <v>188</v>
      </c>
      <c r="G864" s="183" t="s">
        <v>1676</v>
      </c>
      <c r="H864" s="171"/>
    </row>
    <row r="865" ht="14.25" spans="1:8">
      <c r="A865" s="176">
        <v>44</v>
      </c>
      <c r="B865" s="189" t="s">
        <v>1677</v>
      </c>
      <c r="C865" s="181" t="s">
        <v>38</v>
      </c>
      <c r="D865" s="173">
        <v>0.04</v>
      </c>
      <c r="E865" s="176" t="s">
        <v>30</v>
      </c>
      <c r="F865" s="176" t="s">
        <v>188</v>
      </c>
      <c r="G865" s="183" t="s">
        <v>1678</v>
      </c>
      <c r="H865" s="171"/>
    </row>
    <row r="866" ht="14.25" spans="1:8">
      <c r="A866" s="176">
        <v>45</v>
      </c>
      <c r="B866" s="189" t="s">
        <v>1679</v>
      </c>
      <c r="C866" s="181" t="s">
        <v>38</v>
      </c>
      <c r="D866" s="173">
        <v>0.03</v>
      </c>
      <c r="E866" s="176" t="s">
        <v>30</v>
      </c>
      <c r="F866" s="176" t="s">
        <v>188</v>
      </c>
      <c r="G866" s="183" t="s">
        <v>1660</v>
      </c>
      <c r="H866" s="171"/>
    </row>
    <row r="867" ht="14.25" spans="1:8">
      <c r="A867" s="176">
        <v>46</v>
      </c>
      <c r="B867" s="189" t="s">
        <v>1680</v>
      </c>
      <c r="C867" s="181" t="s">
        <v>38</v>
      </c>
      <c r="D867" s="173">
        <v>0.09</v>
      </c>
      <c r="E867" s="176" t="s">
        <v>30</v>
      </c>
      <c r="F867" s="176" t="s">
        <v>188</v>
      </c>
      <c r="G867" s="183" t="s">
        <v>1681</v>
      </c>
      <c r="H867" s="171"/>
    </row>
    <row r="868" ht="14.25" spans="1:8">
      <c r="A868" s="176">
        <v>47</v>
      </c>
      <c r="B868" s="189" t="s">
        <v>1682</v>
      </c>
      <c r="C868" s="181" t="s">
        <v>38</v>
      </c>
      <c r="D868" s="173">
        <v>0.04</v>
      </c>
      <c r="E868" s="176" t="s">
        <v>30</v>
      </c>
      <c r="F868" s="176" t="s">
        <v>188</v>
      </c>
      <c r="G868" s="183" t="s">
        <v>1662</v>
      </c>
      <c r="H868" s="171"/>
    </row>
    <row r="869" ht="14.25" spans="1:8">
      <c r="A869" s="176">
        <v>48</v>
      </c>
      <c r="B869" s="189" t="s">
        <v>1683</v>
      </c>
      <c r="C869" s="181" t="s">
        <v>38</v>
      </c>
      <c r="D869" s="173">
        <v>0.02</v>
      </c>
      <c r="E869" s="176" t="s">
        <v>30</v>
      </c>
      <c r="F869" s="176" t="s">
        <v>188</v>
      </c>
      <c r="G869" s="183" t="s">
        <v>1684</v>
      </c>
      <c r="H869" s="171"/>
    </row>
    <row r="870" ht="14.25" spans="1:8">
      <c r="A870" s="176">
        <v>49</v>
      </c>
      <c r="B870" s="189" t="s">
        <v>1685</v>
      </c>
      <c r="C870" s="181" t="s">
        <v>38</v>
      </c>
      <c r="D870" s="173">
        <v>0.02</v>
      </c>
      <c r="E870" s="176" t="s">
        <v>30</v>
      </c>
      <c r="F870" s="176" t="s">
        <v>188</v>
      </c>
      <c r="G870" s="183" t="s">
        <v>1686</v>
      </c>
      <c r="H870" s="171"/>
    </row>
    <row r="871" ht="14.25" spans="1:8">
      <c r="A871" s="176">
        <v>50</v>
      </c>
      <c r="B871" s="189" t="s">
        <v>1687</v>
      </c>
      <c r="C871" s="181" t="s">
        <v>38</v>
      </c>
      <c r="D871" s="173">
        <v>0.02</v>
      </c>
      <c r="E871" s="176" t="s">
        <v>30</v>
      </c>
      <c r="F871" s="176" t="s">
        <v>188</v>
      </c>
      <c r="G871" s="183" t="s">
        <v>1688</v>
      </c>
      <c r="H871" s="171"/>
    </row>
    <row r="872" ht="14.25" spans="1:8">
      <c r="A872" s="176">
        <v>51</v>
      </c>
      <c r="B872" s="189" t="s">
        <v>1689</v>
      </c>
      <c r="C872" s="181" t="s">
        <v>38</v>
      </c>
      <c r="D872" s="173">
        <v>0.02</v>
      </c>
      <c r="E872" s="176" t="s">
        <v>30</v>
      </c>
      <c r="F872" s="176" t="s">
        <v>188</v>
      </c>
      <c r="G872" s="183" t="s">
        <v>1690</v>
      </c>
      <c r="H872" s="171"/>
    </row>
    <row r="873" ht="14.25" spans="1:8">
      <c r="A873" s="176">
        <v>52</v>
      </c>
      <c r="B873" s="189" t="s">
        <v>1691</v>
      </c>
      <c r="C873" s="181" t="s">
        <v>38</v>
      </c>
      <c r="D873" s="173">
        <v>0.02</v>
      </c>
      <c r="E873" s="176" t="s">
        <v>30</v>
      </c>
      <c r="F873" s="176" t="s">
        <v>188</v>
      </c>
      <c r="G873" s="183" t="s">
        <v>1692</v>
      </c>
      <c r="H873" s="171"/>
    </row>
    <row r="874" ht="14.25" spans="1:8">
      <c r="A874" s="176">
        <v>53</v>
      </c>
      <c r="B874" s="189" t="s">
        <v>1693</v>
      </c>
      <c r="C874" s="181" t="s">
        <v>38</v>
      </c>
      <c r="D874" s="173">
        <v>0.04</v>
      </c>
      <c r="E874" s="176" t="s">
        <v>30</v>
      </c>
      <c r="F874" s="176" t="s">
        <v>188</v>
      </c>
      <c r="G874" s="183" t="s">
        <v>1694</v>
      </c>
      <c r="H874" s="171"/>
    </row>
    <row r="875" ht="14.25" spans="1:8">
      <c r="A875" s="176">
        <v>54</v>
      </c>
      <c r="B875" s="189" t="s">
        <v>1695</v>
      </c>
      <c r="C875" s="181" t="s">
        <v>38</v>
      </c>
      <c r="D875" s="173">
        <v>0.02</v>
      </c>
      <c r="E875" s="176" t="s">
        <v>30</v>
      </c>
      <c r="F875" s="176" t="s">
        <v>188</v>
      </c>
      <c r="G875" s="183" t="s">
        <v>1696</v>
      </c>
      <c r="H875" s="171"/>
    </row>
    <row r="876" ht="14.25" spans="1:8">
      <c r="A876" s="176">
        <v>55</v>
      </c>
      <c r="B876" s="189" t="s">
        <v>1697</v>
      </c>
      <c r="C876" s="181" t="s">
        <v>38</v>
      </c>
      <c r="D876" s="173">
        <v>0.006</v>
      </c>
      <c r="E876" s="176" t="s">
        <v>30</v>
      </c>
      <c r="F876" s="176" t="s">
        <v>188</v>
      </c>
      <c r="G876" s="183" t="s">
        <v>1698</v>
      </c>
      <c r="H876" s="171"/>
    </row>
    <row r="877" ht="14.25" spans="1:8">
      <c r="A877" s="176">
        <v>56</v>
      </c>
      <c r="B877" s="189" t="s">
        <v>1699</v>
      </c>
      <c r="C877" s="181" t="s">
        <v>38</v>
      </c>
      <c r="D877" s="173">
        <v>0.02</v>
      </c>
      <c r="E877" s="176" t="s">
        <v>30</v>
      </c>
      <c r="F877" s="176" t="s">
        <v>188</v>
      </c>
      <c r="G877" s="183" t="s">
        <v>1700</v>
      </c>
      <c r="H877" s="171"/>
    </row>
    <row r="878" ht="14.25" spans="1:8">
      <c r="A878" s="176">
        <v>57</v>
      </c>
      <c r="B878" s="214" t="s">
        <v>1701</v>
      </c>
      <c r="C878" s="181" t="s">
        <v>38</v>
      </c>
      <c r="D878" s="173">
        <v>0.01</v>
      </c>
      <c r="E878" s="176" t="s">
        <v>30</v>
      </c>
      <c r="F878" s="176" t="s">
        <v>188</v>
      </c>
      <c r="G878" s="183" t="s">
        <v>1702</v>
      </c>
      <c r="H878" s="171"/>
    </row>
    <row r="879" ht="14.25" spans="1:8">
      <c r="A879" s="176">
        <v>58</v>
      </c>
      <c r="B879" s="214" t="s">
        <v>1691</v>
      </c>
      <c r="C879" s="181" t="s">
        <v>38</v>
      </c>
      <c r="D879" s="173">
        <v>0.02</v>
      </c>
      <c r="E879" s="176" t="s">
        <v>30</v>
      </c>
      <c r="F879" s="176" t="s">
        <v>188</v>
      </c>
      <c r="G879" s="183" t="s">
        <v>1703</v>
      </c>
      <c r="H879" s="171"/>
    </row>
    <row r="880" ht="14.25" spans="1:8">
      <c r="A880" s="176">
        <v>59</v>
      </c>
      <c r="B880" s="214" t="s">
        <v>1704</v>
      </c>
      <c r="C880" s="181" t="s">
        <v>38</v>
      </c>
      <c r="D880" s="173">
        <v>0.02</v>
      </c>
      <c r="E880" s="176" t="s">
        <v>30</v>
      </c>
      <c r="F880" s="176" t="s">
        <v>188</v>
      </c>
      <c r="G880" s="183" t="s">
        <v>1705</v>
      </c>
      <c r="H880" s="171"/>
    </row>
    <row r="881" ht="14.25" spans="1:8">
      <c r="A881" s="176">
        <v>60</v>
      </c>
      <c r="B881" s="214" t="s">
        <v>1706</v>
      </c>
      <c r="C881" s="181" t="s">
        <v>38</v>
      </c>
      <c r="D881" s="173">
        <v>0.02</v>
      </c>
      <c r="E881" s="176" t="s">
        <v>30</v>
      </c>
      <c r="F881" s="176" t="s">
        <v>188</v>
      </c>
      <c r="G881" s="183" t="s">
        <v>1707</v>
      </c>
      <c r="H881" s="171"/>
    </row>
    <row r="882" ht="14.25" spans="1:8">
      <c r="A882" s="176">
        <v>61</v>
      </c>
      <c r="B882" s="214" t="s">
        <v>1708</v>
      </c>
      <c r="C882" s="181" t="s">
        <v>38</v>
      </c>
      <c r="D882" s="173">
        <v>0.01</v>
      </c>
      <c r="E882" s="176" t="s">
        <v>30</v>
      </c>
      <c r="F882" s="176" t="s">
        <v>188</v>
      </c>
      <c r="G882" s="183" t="s">
        <v>1709</v>
      </c>
      <c r="H882" s="171"/>
    </row>
    <row r="883" ht="14.25" spans="1:8">
      <c r="A883" s="176">
        <v>62</v>
      </c>
      <c r="B883" s="214" t="s">
        <v>1710</v>
      </c>
      <c r="C883" s="181" t="s">
        <v>38</v>
      </c>
      <c r="D883" s="173">
        <v>0.02</v>
      </c>
      <c r="E883" s="176" t="s">
        <v>30</v>
      </c>
      <c r="F883" s="176" t="s">
        <v>188</v>
      </c>
      <c r="G883" s="183" t="s">
        <v>1711</v>
      </c>
      <c r="H883" s="171"/>
    </row>
    <row r="884" ht="14.25" spans="1:8">
      <c r="A884" s="176">
        <v>63</v>
      </c>
      <c r="B884" s="214" t="s">
        <v>1712</v>
      </c>
      <c r="C884" s="181" t="s">
        <v>38</v>
      </c>
      <c r="D884" s="173">
        <v>0.01</v>
      </c>
      <c r="E884" s="176" t="s">
        <v>30</v>
      </c>
      <c r="F884" s="176" t="s">
        <v>188</v>
      </c>
      <c r="G884" s="183" t="s">
        <v>1713</v>
      </c>
      <c r="H884" s="171"/>
    </row>
    <row r="885" ht="14.25" spans="1:8">
      <c r="A885" s="176">
        <v>64</v>
      </c>
      <c r="B885" s="214" t="s">
        <v>1714</v>
      </c>
      <c r="C885" s="181" t="s">
        <v>38</v>
      </c>
      <c r="D885" s="173">
        <v>0.01</v>
      </c>
      <c r="E885" s="176" t="s">
        <v>30</v>
      </c>
      <c r="F885" s="176" t="s">
        <v>188</v>
      </c>
      <c r="G885" s="183" t="s">
        <v>1715</v>
      </c>
      <c r="H885" s="171"/>
    </row>
    <row r="886" ht="14.25" spans="1:8">
      <c r="A886" s="176">
        <v>65</v>
      </c>
      <c r="B886" s="214" t="s">
        <v>1716</v>
      </c>
      <c r="C886" s="181" t="s">
        <v>38</v>
      </c>
      <c r="D886" s="173">
        <v>0.02</v>
      </c>
      <c r="E886" s="176" t="s">
        <v>30</v>
      </c>
      <c r="F886" s="176" t="s">
        <v>188</v>
      </c>
      <c r="G886" s="183" t="s">
        <v>1717</v>
      </c>
      <c r="H886" s="171"/>
    </row>
    <row r="887" ht="14.25" spans="1:8">
      <c r="A887" s="176">
        <v>66</v>
      </c>
      <c r="B887" s="214" t="s">
        <v>1718</v>
      </c>
      <c r="C887" s="181" t="s">
        <v>38</v>
      </c>
      <c r="D887" s="173">
        <v>0.04</v>
      </c>
      <c r="E887" s="176" t="s">
        <v>30</v>
      </c>
      <c r="F887" s="176" t="s">
        <v>188</v>
      </c>
      <c r="G887" s="183" t="s">
        <v>829</v>
      </c>
      <c r="H887" s="171"/>
    </row>
    <row r="888" ht="14.25" spans="1:8">
      <c r="A888" s="176">
        <v>67</v>
      </c>
      <c r="B888" s="214" t="s">
        <v>512</v>
      </c>
      <c r="C888" s="181" t="s">
        <v>38</v>
      </c>
      <c r="D888" s="173">
        <v>0.04</v>
      </c>
      <c r="E888" s="176" t="s">
        <v>30</v>
      </c>
      <c r="F888" s="176" t="s">
        <v>188</v>
      </c>
      <c r="G888" s="183" t="s">
        <v>1719</v>
      </c>
      <c r="H888" s="171"/>
    </row>
    <row r="889" ht="14.25" spans="1:8">
      <c r="A889" s="176">
        <v>68</v>
      </c>
      <c r="B889" s="175" t="s">
        <v>1720</v>
      </c>
      <c r="C889" s="181" t="s">
        <v>38</v>
      </c>
      <c r="D889" s="173">
        <v>0.01</v>
      </c>
      <c r="E889" s="176" t="s">
        <v>30</v>
      </c>
      <c r="F889" s="176" t="s">
        <v>188</v>
      </c>
      <c r="G889" s="183" t="s">
        <v>1721</v>
      </c>
      <c r="H889" s="171"/>
    </row>
    <row r="890" ht="14.25" spans="1:8">
      <c r="A890" s="176">
        <v>69</v>
      </c>
      <c r="B890" s="175" t="s">
        <v>1722</v>
      </c>
      <c r="C890" s="181" t="s">
        <v>38</v>
      </c>
      <c r="D890" s="173">
        <v>0.04</v>
      </c>
      <c r="E890" s="176" t="s">
        <v>30</v>
      </c>
      <c r="F890" s="176" t="s">
        <v>188</v>
      </c>
      <c r="G890" s="183" t="s">
        <v>1723</v>
      </c>
      <c r="H890" s="171"/>
    </row>
    <row r="891" ht="14.25" spans="1:8">
      <c r="A891" s="176">
        <v>70</v>
      </c>
      <c r="B891" s="175" t="s">
        <v>1724</v>
      </c>
      <c r="C891" s="181" t="s">
        <v>38</v>
      </c>
      <c r="D891" s="173">
        <v>0.04</v>
      </c>
      <c r="E891" s="176" t="s">
        <v>30</v>
      </c>
      <c r="F891" s="176" t="s">
        <v>188</v>
      </c>
      <c r="G891" s="183" t="s">
        <v>1725</v>
      </c>
      <c r="H891" s="171"/>
    </row>
    <row r="892" ht="14.25" spans="1:8">
      <c r="A892" s="176">
        <v>71</v>
      </c>
      <c r="B892" s="175" t="s">
        <v>1726</v>
      </c>
      <c r="C892" s="181" t="s">
        <v>38</v>
      </c>
      <c r="D892" s="173">
        <v>0.01</v>
      </c>
      <c r="E892" s="176" t="s">
        <v>30</v>
      </c>
      <c r="F892" s="176" t="s">
        <v>188</v>
      </c>
      <c r="G892" s="183" t="s">
        <v>1727</v>
      </c>
      <c r="H892" s="171"/>
    </row>
    <row r="893" ht="14.25" spans="1:8">
      <c r="A893" s="176">
        <v>72</v>
      </c>
      <c r="B893" s="175" t="s">
        <v>1728</v>
      </c>
      <c r="C893" s="181" t="s">
        <v>38</v>
      </c>
      <c r="D893" s="173">
        <v>0.02</v>
      </c>
      <c r="E893" s="176" t="s">
        <v>30</v>
      </c>
      <c r="F893" s="176" t="s">
        <v>188</v>
      </c>
      <c r="G893" s="183" t="s">
        <v>1729</v>
      </c>
      <c r="H893" s="171"/>
    </row>
    <row r="894" ht="14.25" spans="1:8">
      <c r="A894" s="176">
        <v>73</v>
      </c>
      <c r="B894" s="175" t="s">
        <v>1728</v>
      </c>
      <c r="C894" s="181" t="s">
        <v>38</v>
      </c>
      <c r="D894" s="173">
        <v>0.02</v>
      </c>
      <c r="E894" s="176" t="s">
        <v>30</v>
      </c>
      <c r="F894" s="176" t="s">
        <v>188</v>
      </c>
      <c r="G894" s="183" t="s">
        <v>1730</v>
      </c>
      <c r="H894" s="171"/>
    </row>
    <row r="895" ht="14.25" spans="1:8">
      <c r="A895" s="176">
        <v>74</v>
      </c>
      <c r="B895" s="175" t="s">
        <v>1728</v>
      </c>
      <c r="C895" s="181" t="s">
        <v>38</v>
      </c>
      <c r="D895" s="173">
        <v>0.02</v>
      </c>
      <c r="E895" s="176" t="s">
        <v>30</v>
      </c>
      <c r="F895" s="176" t="s">
        <v>188</v>
      </c>
      <c r="G895" s="183" t="s">
        <v>1731</v>
      </c>
      <c r="H895" s="171"/>
    </row>
    <row r="896" ht="14.25" spans="1:8">
      <c r="A896" s="176">
        <v>75</v>
      </c>
      <c r="B896" s="175" t="s">
        <v>1728</v>
      </c>
      <c r="C896" s="181" t="s">
        <v>38</v>
      </c>
      <c r="D896" s="173">
        <v>0.02</v>
      </c>
      <c r="E896" s="176" t="s">
        <v>30</v>
      </c>
      <c r="F896" s="176" t="s">
        <v>188</v>
      </c>
      <c r="G896" s="183" t="s">
        <v>1732</v>
      </c>
      <c r="H896" s="171"/>
    </row>
    <row r="897" ht="14.25" spans="1:8">
      <c r="A897" s="176">
        <v>76</v>
      </c>
      <c r="B897" s="175" t="s">
        <v>1728</v>
      </c>
      <c r="C897" s="181" t="s">
        <v>38</v>
      </c>
      <c r="D897" s="173">
        <v>0.02</v>
      </c>
      <c r="E897" s="176" t="s">
        <v>30</v>
      </c>
      <c r="F897" s="176" t="s">
        <v>188</v>
      </c>
      <c r="G897" s="183" t="s">
        <v>1733</v>
      </c>
      <c r="H897" s="171"/>
    </row>
    <row r="898" ht="14.25" spans="1:8">
      <c r="A898" s="176">
        <v>77</v>
      </c>
      <c r="B898" s="175" t="s">
        <v>1701</v>
      </c>
      <c r="C898" s="181" t="s">
        <v>38</v>
      </c>
      <c r="D898" s="173">
        <v>0.01</v>
      </c>
      <c r="E898" s="176" t="s">
        <v>30</v>
      </c>
      <c r="F898" s="176" t="s">
        <v>188</v>
      </c>
      <c r="G898" s="183" t="s">
        <v>1734</v>
      </c>
      <c r="H898" s="171"/>
    </row>
    <row r="899" ht="14.25" spans="1:8">
      <c r="A899" s="176">
        <v>78</v>
      </c>
      <c r="B899" s="175" t="s">
        <v>1278</v>
      </c>
      <c r="C899" s="181" t="s">
        <v>38</v>
      </c>
      <c r="D899" s="173">
        <v>0.04</v>
      </c>
      <c r="E899" s="176" t="s">
        <v>30</v>
      </c>
      <c r="F899" s="176" t="s">
        <v>188</v>
      </c>
      <c r="G899" s="183" t="s">
        <v>1735</v>
      </c>
      <c r="H899" s="171"/>
    </row>
    <row r="900" ht="14.25" spans="1:8">
      <c r="A900" s="176">
        <v>79</v>
      </c>
      <c r="B900" s="175" t="s">
        <v>1736</v>
      </c>
      <c r="C900" s="181" t="s">
        <v>38</v>
      </c>
      <c r="D900" s="173">
        <v>0.02</v>
      </c>
      <c r="E900" s="176" t="s">
        <v>30</v>
      </c>
      <c r="F900" s="176" t="s">
        <v>188</v>
      </c>
      <c r="G900" s="183" t="s">
        <v>1737</v>
      </c>
      <c r="H900" s="171"/>
    </row>
    <row r="901" ht="14.25" spans="1:8">
      <c r="A901" s="176">
        <v>80</v>
      </c>
      <c r="B901" s="175" t="s">
        <v>1738</v>
      </c>
      <c r="C901" s="181" t="s">
        <v>38</v>
      </c>
      <c r="D901" s="173">
        <v>0.01</v>
      </c>
      <c r="E901" s="176" t="s">
        <v>30</v>
      </c>
      <c r="F901" s="176" t="s">
        <v>188</v>
      </c>
      <c r="G901" s="183" t="s">
        <v>1739</v>
      </c>
      <c r="H901" s="171"/>
    </row>
    <row r="902" ht="14.25" spans="1:8">
      <c r="A902" s="176">
        <v>81</v>
      </c>
      <c r="B902" s="175" t="s">
        <v>1740</v>
      </c>
      <c r="C902" s="181" t="s">
        <v>38</v>
      </c>
      <c r="D902" s="173">
        <v>0.05</v>
      </c>
      <c r="E902" s="176" t="s">
        <v>30</v>
      </c>
      <c r="F902" s="176" t="s">
        <v>188</v>
      </c>
      <c r="G902" s="183" t="s">
        <v>1741</v>
      </c>
      <c r="H902" s="171"/>
    </row>
    <row r="903" ht="14.25" spans="1:8">
      <c r="A903" s="176">
        <v>82</v>
      </c>
      <c r="B903" s="175" t="s">
        <v>1742</v>
      </c>
      <c r="C903" s="181" t="s">
        <v>38</v>
      </c>
      <c r="D903" s="173">
        <v>0.04</v>
      </c>
      <c r="E903" s="176" t="s">
        <v>30</v>
      </c>
      <c r="F903" s="176" t="s">
        <v>188</v>
      </c>
      <c r="G903" s="183" t="s">
        <v>1743</v>
      </c>
      <c r="H903" s="171"/>
    </row>
    <row r="904" ht="14.25" spans="1:8">
      <c r="A904" s="176">
        <v>83</v>
      </c>
      <c r="B904" s="175" t="s">
        <v>1744</v>
      </c>
      <c r="C904" s="181" t="s">
        <v>38</v>
      </c>
      <c r="D904" s="173">
        <v>0.01</v>
      </c>
      <c r="E904" s="176" t="s">
        <v>30</v>
      </c>
      <c r="F904" s="176" t="s">
        <v>188</v>
      </c>
      <c r="G904" s="183" t="s">
        <v>1745</v>
      </c>
      <c r="H904" s="171"/>
    </row>
    <row r="905" ht="14.25" spans="1:8">
      <c r="A905" s="176">
        <v>84</v>
      </c>
      <c r="B905" s="175" t="s">
        <v>1746</v>
      </c>
      <c r="C905" s="181" t="s">
        <v>38</v>
      </c>
      <c r="D905" s="173">
        <v>0.02</v>
      </c>
      <c r="E905" s="176" t="s">
        <v>30</v>
      </c>
      <c r="F905" s="176" t="s">
        <v>188</v>
      </c>
      <c r="G905" s="183" t="s">
        <v>1747</v>
      </c>
      <c r="H905" s="171"/>
    </row>
    <row r="906" ht="14.25" spans="1:8">
      <c r="A906" s="176">
        <v>85</v>
      </c>
      <c r="B906" s="175" t="s">
        <v>1691</v>
      </c>
      <c r="C906" s="181" t="s">
        <v>38</v>
      </c>
      <c r="D906" s="173">
        <v>0.01</v>
      </c>
      <c r="E906" s="176" t="s">
        <v>30</v>
      </c>
      <c r="F906" s="176" t="s">
        <v>188</v>
      </c>
      <c r="G906" s="183" t="s">
        <v>1703</v>
      </c>
      <c r="H906" s="171"/>
    </row>
    <row r="907" ht="14.25" spans="1:8">
      <c r="A907" s="176">
        <v>86</v>
      </c>
      <c r="B907" s="175" t="s">
        <v>1748</v>
      </c>
      <c r="C907" s="181" t="s">
        <v>38</v>
      </c>
      <c r="D907" s="173">
        <v>0.03</v>
      </c>
      <c r="E907" s="176" t="s">
        <v>30</v>
      </c>
      <c r="F907" s="176" t="s">
        <v>188</v>
      </c>
      <c r="G907" s="183" t="s">
        <v>1749</v>
      </c>
      <c r="H907" s="171"/>
    </row>
    <row r="908" ht="14.25" spans="1:8">
      <c r="A908" s="176">
        <v>87</v>
      </c>
      <c r="B908" s="175" t="s">
        <v>1750</v>
      </c>
      <c r="C908" s="181" t="s">
        <v>38</v>
      </c>
      <c r="D908" s="173">
        <v>0.01</v>
      </c>
      <c r="E908" s="176" t="s">
        <v>30</v>
      </c>
      <c r="F908" s="176" t="s">
        <v>188</v>
      </c>
      <c r="G908" s="183" t="s">
        <v>1751</v>
      </c>
      <c r="H908" s="171"/>
    </row>
    <row r="909" ht="14.25" spans="1:8">
      <c r="A909" s="176">
        <v>88</v>
      </c>
      <c r="B909" s="175" t="s">
        <v>1752</v>
      </c>
      <c r="C909" s="181" t="s">
        <v>38</v>
      </c>
      <c r="D909" s="173">
        <v>0.03</v>
      </c>
      <c r="E909" s="176" t="s">
        <v>30</v>
      </c>
      <c r="F909" s="176" t="s">
        <v>188</v>
      </c>
      <c r="G909" s="183" t="s">
        <v>1753</v>
      </c>
      <c r="H909" s="171"/>
    </row>
    <row r="910" ht="14.25" spans="1:8">
      <c r="A910" s="176">
        <v>89</v>
      </c>
      <c r="B910" s="175" t="s">
        <v>1754</v>
      </c>
      <c r="C910" s="181" t="s">
        <v>38</v>
      </c>
      <c r="D910" s="173">
        <v>0.01</v>
      </c>
      <c r="E910" s="176" t="s">
        <v>30</v>
      </c>
      <c r="F910" s="176" t="s">
        <v>188</v>
      </c>
      <c r="G910" s="183" t="s">
        <v>1755</v>
      </c>
      <c r="H910" s="171"/>
    </row>
    <row r="911" ht="14.25" spans="1:8">
      <c r="A911" s="176">
        <v>90</v>
      </c>
      <c r="B911" s="175" t="s">
        <v>753</v>
      </c>
      <c r="C911" s="181" t="s">
        <v>38</v>
      </c>
      <c r="D911" s="173">
        <v>0.02</v>
      </c>
      <c r="E911" s="176" t="s">
        <v>30</v>
      </c>
      <c r="F911" s="176" t="s">
        <v>188</v>
      </c>
      <c r="G911" s="183" t="s">
        <v>1756</v>
      </c>
      <c r="H911" s="171"/>
    </row>
    <row r="912" ht="14.25" spans="1:8">
      <c r="A912" s="176">
        <v>91</v>
      </c>
      <c r="B912" s="175" t="s">
        <v>1757</v>
      </c>
      <c r="C912" s="181" t="s">
        <v>38</v>
      </c>
      <c r="D912" s="173">
        <v>0.01</v>
      </c>
      <c r="E912" s="176" t="s">
        <v>30</v>
      </c>
      <c r="F912" s="176" t="s">
        <v>188</v>
      </c>
      <c r="G912" s="183" t="s">
        <v>1758</v>
      </c>
      <c r="H912" s="171"/>
    </row>
    <row r="913" ht="14.25" spans="1:8">
      <c r="A913" s="176">
        <v>92</v>
      </c>
      <c r="B913" s="175" t="s">
        <v>1759</v>
      </c>
      <c r="C913" s="181" t="s">
        <v>38</v>
      </c>
      <c r="D913" s="173">
        <v>0.01</v>
      </c>
      <c r="E913" s="176" t="s">
        <v>30</v>
      </c>
      <c r="F913" s="176" t="s">
        <v>188</v>
      </c>
      <c r="G913" s="183" t="s">
        <v>1760</v>
      </c>
      <c r="H913" s="171"/>
    </row>
    <row r="914" ht="14.25" spans="1:8">
      <c r="A914" s="176">
        <v>93</v>
      </c>
      <c r="B914" s="175" t="s">
        <v>1761</v>
      </c>
      <c r="C914" s="181" t="s">
        <v>38</v>
      </c>
      <c r="D914" s="173">
        <v>0.04</v>
      </c>
      <c r="E914" s="176" t="s">
        <v>30</v>
      </c>
      <c r="F914" s="176" t="s">
        <v>188</v>
      </c>
      <c r="G914" s="183" t="s">
        <v>1762</v>
      </c>
      <c r="H914" s="171"/>
    </row>
    <row r="915" ht="14.25" spans="1:8">
      <c r="A915" s="176">
        <v>94</v>
      </c>
      <c r="B915" s="175" t="s">
        <v>1763</v>
      </c>
      <c r="C915" s="181" t="s">
        <v>38</v>
      </c>
      <c r="D915" s="173">
        <v>0.02</v>
      </c>
      <c r="E915" s="176" t="s">
        <v>30</v>
      </c>
      <c r="F915" s="176" t="s">
        <v>188</v>
      </c>
      <c r="G915" s="183" t="s">
        <v>1764</v>
      </c>
      <c r="H915" s="171"/>
    </row>
    <row r="916" ht="14.25" spans="1:8">
      <c r="A916" s="176">
        <v>95</v>
      </c>
      <c r="B916" s="175" t="s">
        <v>1765</v>
      </c>
      <c r="C916" s="181" t="s">
        <v>38</v>
      </c>
      <c r="D916" s="173">
        <v>0.02</v>
      </c>
      <c r="E916" s="176" t="s">
        <v>30</v>
      </c>
      <c r="F916" s="176" t="s">
        <v>188</v>
      </c>
      <c r="G916" s="183" t="s">
        <v>1766</v>
      </c>
      <c r="H916" s="171"/>
    </row>
    <row r="917" ht="14.25" spans="1:8">
      <c r="A917" s="176">
        <v>96</v>
      </c>
      <c r="B917" s="175" t="s">
        <v>1767</v>
      </c>
      <c r="C917" s="181" t="s">
        <v>38</v>
      </c>
      <c r="D917" s="173">
        <v>0.02</v>
      </c>
      <c r="E917" s="176" t="s">
        <v>30</v>
      </c>
      <c r="F917" s="176" t="s">
        <v>188</v>
      </c>
      <c r="G917" s="183" t="s">
        <v>1768</v>
      </c>
      <c r="H917" s="171"/>
    </row>
    <row r="918" ht="14.25" spans="1:8">
      <c r="A918" s="176">
        <v>97</v>
      </c>
      <c r="B918" s="175" t="s">
        <v>1769</v>
      </c>
      <c r="C918" s="181" t="s">
        <v>38</v>
      </c>
      <c r="D918" s="173">
        <v>0.03</v>
      </c>
      <c r="E918" s="176" t="s">
        <v>30</v>
      </c>
      <c r="F918" s="176" t="s">
        <v>188</v>
      </c>
      <c r="G918" s="183" t="s">
        <v>1770</v>
      </c>
      <c r="H918" s="171"/>
    </row>
    <row r="919" ht="14.25" spans="1:8">
      <c r="A919" s="176">
        <v>98</v>
      </c>
      <c r="B919" s="175" t="s">
        <v>1771</v>
      </c>
      <c r="C919" s="181" t="s">
        <v>38</v>
      </c>
      <c r="D919" s="173">
        <v>0.01</v>
      </c>
      <c r="E919" s="176" t="s">
        <v>30</v>
      </c>
      <c r="F919" s="176" t="s">
        <v>188</v>
      </c>
      <c r="G919" s="183" t="s">
        <v>1772</v>
      </c>
      <c r="H919" s="171"/>
    </row>
    <row r="920" ht="14.25" spans="1:8">
      <c r="A920" s="176">
        <v>99</v>
      </c>
      <c r="B920" s="175" t="s">
        <v>1771</v>
      </c>
      <c r="C920" s="181" t="s">
        <v>38</v>
      </c>
      <c r="D920" s="173">
        <v>0.01</v>
      </c>
      <c r="E920" s="176" t="s">
        <v>30</v>
      </c>
      <c r="F920" s="176" t="s">
        <v>188</v>
      </c>
      <c r="G920" s="183" t="s">
        <v>1773</v>
      </c>
      <c r="H920" s="171"/>
    </row>
    <row r="921" ht="14.25" spans="1:8">
      <c r="A921" s="176">
        <v>100</v>
      </c>
      <c r="B921" s="175" t="s">
        <v>1774</v>
      </c>
      <c r="C921" s="181" t="s">
        <v>38</v>
      </c>
      <c r="D921" s="173">
        <v>0.02</v>
      </c>
      <c r="E921" s="176" t="s">
        <v>30</v>
      </c>
      <c r="F921" s="176" t="s">
        <v>188</v>
      </c>
      <c r="G921" s="183" t="s">
        <v>1775</v>
      </c>
      <c r="H921" s="171"/>
    </row>
    <row r="922" ht="14.25" spans="1:8">
      <c r="A922" s="176">
        <v>101</v>
      </c>
      <c r="B922" s="175" t="s">
        <v>1776</v>
      </c>
      <c r="C922" s="181" t="s">
        <v>38</v>
      </c>
      <c r="D922" s="173">
        <v>0.02</v>
      </c>
      <c r="E922" s="176" t="s">
        <v>30</v>
      </c>
      <c r="F922" s="176" t="s">
        <v>188</v>
      </c>
      <c r="G922" s="183" t="s">
        <v>1777</v>
      </c>
      <c r="H922" s="171"/>
    </row>
    <row r="923" ht="14.25" spans="1:8">
      <c r="A923" s="176">
        <v>102</v>
      </c>
      <c r="B923" s="175" t="s">
        <v>1778</v>
      </c>
      <c r="C923" s="181" t="s">
        <v>38</v>
      </c>
      <c r="D923" s="173">
        <v>0.02</v>
      </c>
      <c r="E923" s="176" t="s">
        <v>30</v>
      </c>
      <c r="F923" s="176" t="s">
        <v>188</v>
      </c>
      <c r="G923" s="183" t="s">
        <v>1779</v>
      </c>
      <c r="H923" s="171"/>
    </row>
    <row r="924" ht="14.25" spans="1:8">
      <c r="A924" s="176">
        <v>103</v>
      </c>
      <c r="B924" s="175" t="s">
        <v>1780</v>
      </c>
      <c r="C924" s="181" t="s">
        <v>38</v>
      </c>
      <c r="D924" s="173">
        <v>0.01</v>
      </c>
      <c r="E924" s="176" t="s">
        <v>30</v>
      </c>
      <c r="F924" s="176" t="s">
        <v>188</v>
      </c>
      <c r="G924" s="183" t="s">
        <v>1781</v>
      </c>
      <c r="H924" s="171"/>
    </row>
    <row r="925" ht="14.25" spans="1:8">
      <c r="A925" s="176">
        <v>104</v>
      </c>
      <c r="B925" s="175" t="s">
        <v>1782</v>
      </c>
      <c r="C925" s="181" t="s">
        <v>38</v>
      </c>
      <c r="D925" s="173">
        <v>0.07</v>
      </c>
      <c r="E925" s="176" t="s">
        <v>30</v>
      </c>
      <c r="F925" s="176" t="s">
        <v>188</v>
      </c>
      <c r="G925" s="183" t="s">
        <v>1783</v>
      </c>
      <c r="H925" s="171"/>
    </row>
    <row r="926" ht="14.25" spans="1:8">
      <c r="A926" s="176">
        <v>105</v>
      </c>
      <c r="B926" s="171" t="s">
        <v>457</v>
      </c>
      <c r="C926" s="181" t="s">
        <v>38</v>
      </c>
      <c r="D926" s="173">
        <v>0.02</v>
      </c>
      <c r="E926" s="176" t="s">
        <v>30</v>
      </c>
      <c r="F926" s="176" t="s">
        <v>188</v>
      </c>
      <c r="G926" s="183" t="s">
        <v>1784</v>
      </c>
      <c r="H926" s="171"/>
    </row>
    <row r="927" ht="14.25" spans="1:8">
      <c r="A927" s="176">
        <v>106</v>
      </c>
      <c r="B927" s="189" t="s">
        <v>1785</v>
      </c>
      <c r="C927" s="181" t="s">
        <v>38</v>
      </c>
      <c r="D927" s="173">
        <v>0.06</v>
      </c>
      <c r="E927" s="176" t="s">
        <v>30</v>
      </c>
      <c r="F927" s="176" t="s">
        <v>188</v>
      </c>
      <c r="G927" s="183" t="s">
        <v>1786</v>
      </c>
      <c r="H927" s="171"/>
    </row>
    <row r="928" ht="14.25" spans="1:8">
      <c r="A928" s="176">
        <v>107</v>
      </c>
      <c r="B928" s="189" t="s">
        <v>1787</v>
      </c>
      <c r="C928" s="181" t="s">
        <v>38</v>
      </c>
      <c r="D928" s="173">
        <v>0.01</v>
      </c>
      <c r="E928" s="176" t="s">
        <v>30</v>
      </c>
      <c r="F928" s="176" t="s">
        <v>188</v>
      </c>
      <c r="G928" s="183" t="s">
        <v>1788</v>
      </c>
      <c r="H928" s="171"/>
    </row>
    <row r="929" ht="25.5" spans="1:8">
      <c r="A929" s="176">
        <v>108</v>
      </c>
      <c r="B929" s="189" t="s">
        <v>1789</v>
      </c>
      <c r="C929" s="181" t="s">
        <v>38</v>
      </c>
      <c r="D929" s="173">
        <v>0.02</v>
      </c>
      <c r="E929" s="176" t="s">
        <v>30</v>
      </c>
      <c r="F929" s="176" t="s">
        <v>188</v>
      </c>
      <c r="G929" s="183" t="s">
        <v>1790</v>
      </c>
      <c r="H929" s="171"/>
    </row>
    <row r="930" ht="14.25" spans="1:8">
      <c r="A930" s="176">
        <v>109</v>
      </c>
      <c r="B930" s="189" t="s">
        <v>1791</v>
      </c>
      <c r="C930" s="181" t="s">
        <v>38</v>
      </c>
      <c r="D930" s="173">
        <v>0.02</v>
      </c>
      <c r="E930" s="176" t="s">
        <v>30</v>
      </c>
      <c r="F930" s="176" t="s">
        <v>188</v>
      </c>
      <c r="G930" s="183" t="s">
        <v>1707</v>
      </c>
      <c r="H930" s="171"/>
    </row>
    <row r="931" ht="14.25" spans="1:8">
      <c r="A931" s="176">
        <v>110</v>
      </c>
      <c r="B931" s="189" t="s">
        <v>1791</v>
      </c>
      <c r="C931" s="181" t="s">
        <v>38</v>
      </c>
      <c r="D931" s="173">
        <v>0.02</v>
      </c>
      <c r="E931" s="176" t="s">
        <v>30</v>
      </c>
      <c r="F931" s="176" t="s">
        <v>188</v>
      </c>
      <c r="G931" s="183" t="s">
        <v>1792</v>
      </c>
      <c r="H931" s="171"/>
    </row>
    <row r="932" ht="14.25" spans="1:8">
      <c r="A932" s="176">
        <v>111</v>
      </c>
      <c r="B932" s="189" t="s">
        <v>1793</v>
      </c>
      <c r="C932" s="181" t="s">
        <v>38</v>
      </c>
      <c r="D932" s="173">
        <v>0.04</v>
      </c>
      <c r="E932" s="176" t="s">
        <v>30</v>
      </c>
      <c r="F932" s="176" t="s">
        <v>188</v>
      </c>
      <c r="G932" s="183" t="s">
        <v>1794</v>
      </c>
      <c r="H932" s="171"/>
    </row>
    <row r="933" ht="14.25" spans="1:8">
      <c r="A933" s="176">
        <v>112</v>
      </c>
      <c r="B933" s="189" t="s">
        <v>1795</v>
      </c>
      <c r="C933" s="181" t="s">
        <v>38</v>
      </c>
      <c r="D933" s="173">
        <v>0.04</v>
      </c>
      <c r="E933" s="176" t="s">
        <v>30</v>
      </c>
      <c r="F933" s="176" t="s">
        <v>188</v>
      </c>
      <c r="G933" s="183" t="s">
        <v>1709</v>
      </c>
      <c r="H933" s="171"/>
    </row>
    <row r="934" ht="14.25" spans="1:8">
      <c r="A934" s="176">
        <v>113</v>
      </c>
      <c r="B934" s="189" t="s">
        <v>1796</v>
      </c>
      <c r="C934" s="181" t="s">
        <v>38</v>
      </c>
      <c r="D934" s="173">
        <v>0.04</v>
      </c>
      <c r="E934" s="176" t="s">
        <v>30</v>
      </c>
      <c r="F934" s="176" t="s">
        <v>188</v>
      </c>
      <c r="G934" s="183" t="s">
        <v>1797</v>
      </c>
      <c r="H934" s="171"/>
    </row>
    <row r="935" ht="14.25" spans="1:8">
      <c r="A935" s="176">
        <v>114</v>
      </c>
      <c r="B935" s="189" t="s">
        <v>1798</v>
      </c>
      <c r="C935" s="181" t="s">
        <v>38</v>
      </c>
      <c r="D935" s="173">
        <v>0.03</v>
      </c>
      <c r="E935" s="176" t="s">
        <v>30</v>
      </c>
      <c r="F935" s="176" t="s">
        <v>188</v>
      </c>
      <c r="G935" s="183" t="s">
        <v>1799</v>
      </c>
      <c r="H935" s="171"/>
    </row>
    <row r="936" ht="14.25" spans="1:8">
      <c r="A936" s="176">
        <v>115</v>
      </c>
      <c r="B936" s="189" t="s">
        <v>1798</v>
      </c>
      <c r="C936" s="181" t="s">
        <v>38</v>
      </c>
      <c r="D936" s="173">
        <v>0.01</v>
      </c>
      <c r="E936" s="176" t="s">
        <v>30</v>
      </c>
      <c r="F936" s="176" t="s">
        <v>188</v>
      </c>
      <c r="G936" s="183" t="s">
        <v>1800</v>
      </c>
      <c r="H936" s="171"/>
    </row>
    <row r="937" ht="14.25" spans="1:8">
      <c r="A937" s="176">
        <v>116</v>
      </c>
      <c r="B937" s="189" t="s">
        <v>1801</v>
      </c>
      <c r="C937" s="181" t="s">
        <v>38</v>
      </c>
      <c r="D937" s="173">
        <v>0.01</v>
      </c>
      <c r="E937" s="176" t="s">
        <v>30</v>
      </c>
      <c r="F937" s="176" t="s">
        <v>188</v>
      </c>
      <c r="G937" s="183" t="s">
        <v>1802</v>
      </c>
      <c r="H937" s="171"/>
    </row>
    <row r="938" ht="14.25" spans="1:8">
      <c r="A938" s="176">
        <v>117</v>
      </c>
      <c r="B938" s="177" t="s">
        <v>1803</v>
      </c>
      <c r="C938" s="181" t="s">
        <v>38</v>
      </c>
      <c r="D938" s="173">
        <v>0.03</v>
      </c>
      <c r="E938" s="176" t="s">
        <v>30</v>
      </c>
      <c r="F938" s="176" t="s">
        <v>188</v>
      </c>
      <c r="G938" s="183" t="s">
        <v>1804</v>
      </c>
      <c r="H938" s="171"/>
    </row>
    <row r="939" ht="14.25" spans="1:8">
      <c r="A939" s="176">
        <v>118</v>
      </c>
      <c r="B939" s="177" t="s">
        <v>1805</v>
      </c>
      <c r="C939" s="181" t="s">
        <v>38</v>
      </c>
      <c r="D939" s="173">
        <v>0.01</v>
      </c>
      <c r="E939" s="176" t="s">
        <v>30</v>
      </c>
      <c r="F939" s="176" t="s">
        <v>188</v>
      </c>
      <c r="G939" s="183" t="s">
        <v>1806</v>
      </c>
      <c r="H939" s="171"/>
    </row>
    <row r="940" ht="14.25" spans="1:8">
      <c r="A940" s="176">
        <v>119</v>
      </c>
      <c r="B940" s="177" t="s">
        <v>1805</v>
      </c>
      <c r="C940" s="181" t="s">
        <v>38</v>
      </c>
      <c r="D940" s="173">
        <v>0.01</v>
      </c>
      <c r="E940" s="176" t="s">
        <v>30</v>
      </c>
      <c r="F940" s="176" t="s">
        <v>188</v>
      </c>
      <c r="G940" s="183" t="s">
        <v>1807</v>
      </c>
      <c r="H940" s="171"/>
    </row>
    <row r="941" ht="14.25" spans="1:8">
      <c r="A941" s="176">
        <v>120</v>
      </c>
      <c r="B941" s="177" t="s">
        <v>1808</v>
      </c>
      <c r="C941" s="181" t="s">
        <v>38</v>
      </c>
      <c r="D941" s="173">
        <v>0.01</v>
      </c>
      <c r="E941" s="176" t="s">
        <v>30</v>
      </c>
      <c r="F941" s="176" t="s">
        <v>188</v>
      </c>
      <c r="G941" s="183" t="s">
        <v>1809</v>
      </c>
      <c r="H941" s="171"/>
    </row>
    <row r="942" ht="14.25" spans="1:8">
      <c r="A942" s="176">
        <v>121</v>
      </c>
      <c r="B942" s="177" t="s">
        <v>1810</v>
      </c>
      <c r="C942" s="181" t="s">
        <v>38</v>
      </c>
      <c r="D942" s="173">
        <v>0.02</v>
      </c>
      <c r="E942" s="176" t="s">
        <v>30</v>
      </c>
      <c r="F942" s="176" t="s">
        <v>188</v>
      </c>
      <c r="G942" s="183" t="s">
        <v>1811</v>
      </c>
      <c r="H942" s="171"/>
    </row>
    <row r="943" ht="14.25" spans="1:8">
      <c r="A943" s="176">
        <v>122</v>
      </c>
      <c r="B943" s="177" t="s">
        <v>1810</v>
      </c>
      <c r="C943" s="181" t="s">
        <v>38</v>
      </c>
      <c r="D943" s="173">
        <v>0.01</v>
      </c>
      <c r="E943" s="176" t="s">
        <v>30</v>
      </c>
      <c r="F943" s="176" t="s">
        <v>188</v>
      </c>
      <c r="G943" s="183" t="s">
        <v>1812</v>
      </c>
      <c r="H943" s="171"/>
    </row>
    <row r="944" ht="14.25" spans="1:8">
      <c r="A944" s="176">
        <v>123</v>
      </c>
      <c r="B944" s="177" t="s">
        <v>1810</v>
      </c>
      <c r="C944" s="181" t="s">
        <v>38</v>
      </c>
      <c r="D944" s="173">
        <v>0.02</v>
      </c>
      <c r="E944" s="176" t="s">
        <v>30</v>
      </c>
      <c r="F944" s="176" t="s">
        <v>188</v>
      </c>
      <c r="G944" s="183" t="s">
        <v>1813</v>
      </c>
      <c r="H944" s="171"/>
    </row>
    <row r="945" ht="14.25" spans="1:8">
      <c r="A945" s="176">
        <v>124</v>
      </c>
      <c r="B945" s="177" t="s">
        <v>1814</v>
      </c>
      <c r="C945" s="181" t="s">
        <v>38</v>
      </c>
      <c r="D945" s="173">
        <v>0.04</v>
      </c>
      <c r="E945" s="176" t="s">
        <v>30</v>
      </c>
      <c r="F945" s="176" t="s">
        <v>188</v>
      </c>
      <c r="G945" s="183" t="s">
        <v>1815</v>
      </c>
      <c r="H945" s="171"/>
    </row>
    <row r="946" ht="14.25" spans="1:8">
      <c r="A946" s="176">
        <v>125</v>
      </c>
      <c r="B946" s="177" t="s">
        <v>1816</v>
      </c>
      <c r="C946" s="181" t="s">
        <v>38</v>
      </c>
      <c r="D946" s="173">
        <v>0.04</v>
      </c>
      <c r="E946" s="176" t="s">
        <v>30</v>
      </c>
      <c r="F946" s="176" t="s">
        <v>188</v>
      </c>
      <c r="G946" s="183" t="s">
        <v>1817</v>
      </c>
      <c r="H946" s="171"/>
    </row>
    <row r="947" ht="14.25" spans="1:8">
      <c r="A947" s="176">
        <v>126</v>
      </c>
      <c r="B947" s="177" t="s">
        <v>1818</v>
      </c>
      <c r="C947" s="181" t="s">
        <v>38</v>
      </c>
      <c r="D947" s="173">
        <v>0.02</v>
      </c>
      <c r="E947" s="176" t="s">
        <v>30</v>
      </c>
      <c r="F947" s="176" t="s">
        <v>188</v>
      </c>
      <c r="G947" s="183" t="s">
        <v>1819</v>
      </c>
      <c r="H947" s="171"/>
    </row>
    <row r="948" ht="14.25" spans="1:8">
      <c r="A948" s="176">
        <v>127</v>
      </c>
      <c r="B948" s="177" t="s">
        <v>1810</v>
      </c>
      <c r="C948" s="181" t="s">
        <v>38</v>
      </c>
      <c r="D948" s="173">
        <v>0.04</v>
      </c>
      <c r="E948" s="176" t="s">
        <v>30</v>
      </c>
      <c r="F948" s="176" t="s">
        <v>188</v>
      </c>
      <c r="G948" s="183" t="s">
        <v>1820</v>
      </c>
      <c r="H948" s="171"/>
    </row>
    <row r="949" ht="14.25" spans="1:8">
      <c r="A949" s="176">
        <v>128</v>
      </c>
      <c r="B949" s="177" t="s">
        <v>1821</v>
      </c>
      <c r="C949" s="181" t="s">
        <v>38</v>
      </c>
      <c r="D949" s="173">
        <v>0.04</v>
      </c>
      <c r="E949" s="176" t="s">
        <v>30</v>
      </c>
      <c r="F949" s="176" t="s">
        <v>188</v>
      </c>
      <c r="G949" s="183" t="s">
        <v>1822</v>
      </c>
      <c r="H949" s="171"/>
    </row>
    <row r="950" ht="14.25" spans="1:8">
      <c r="A950" s="176">
        <v>129</v>
      </c>
      <c r="B950" s="177" t="s">
        <v>1066</v>
      </c>
      <c r="C950" s="181" t="s">
        <v>38</v>
      </c>
      <c r="D950" s="173">
        <v>0.01</v>
      </c>
      <c r="E950" s="176" t="s">
        <v>30</v>
      </c>
      <c r="F950" s="176" t="s">
        <v>188</v>
      </c>
      <c r="G950" s="183" t="s">
        <v>942</v>
      </c>
      <c r="H950" s="171"/>
    </row>
    <row r="951" ht="14.25" spans="1:8">
      <c r="A951" s="176">
        <v>130</v>
      </c>
      <c r="B951" s="177" t="s">
        <v>1183</v>
      </c>
      <c r="C951" s="181" t="s">
        <v>38</v>
      </c>
      <c r="D951" s="173">
        <v>0.06</v>
      </c>
      <c r="E951" s="176" t="s">
        <v>30</v>
      </c>
      <c r="F951" s="176" t="s">
        <v>188</v>
      </c>
      <c r="G951" s="183" t="s">
        <v>1823</v>
      </c>
      <c r="H951" s="171"/>
    </row>
    <row r="952" ht="14.25" spans="1:8">
      <c r="A952" s="176">
        <v>131</v>
      </c>
      <c r="B952" s="177" t="s">
        <v>1824</v>
      </c>
      <c r="C952" s="181" t="s">
        <v>38</v>
      </c>
      <c r="D952" s="173">
        <v>0.02</v>
      </c>
      <c r="E952" s="176" t="s">
        <v>30</v>
      </c>
      <c r="F952" s="176" t="s">
        <v>188</v>
      </c>
      <c r="G952" s="183" t="s">
        <v>1825</v>
      </c>
      <c r="H952" s="171"/>
    </row>
    <row r="953" ht="14.25" spans="1:8">
      <c r="A953" s="176">
        <v>132</v>
      </c>
      <c r="B953" s="177" t="s">
        <v>1826</v>
      </c>
      <c r="C953" s="181" t="s">
        <v>38</v>
      </c>
      <c r="D953" s="173">
        <v>0.04</v>
      </c>
      <c r="E953" s="176" t="s">
        <v>30</v>
      </c>
      <c r="F953" s="176" t="s">
        <v>188</v>
      </c>
      <c r="G953" s="183" t="s">
        <v>1827</v>
      </c>
      <c r="H953" s="171"/>
    </row>
    <row r="954" ht="14.25" spans="1:8">
      <c r="A954" s="176">
        <v>133</v>
      </c>
      <c r="B954" s="177" t="s">
        <v>1828</v>
      </c>
      <c r="C954" s="181" t="s">
        <v>38</v>
      </c>
      <c r="D954" s="173">
        <v>0.02</v>
      </c>
      <c r="E954" s="176" t="s">
        <v>30</v>
      </c>
      <c r="F954" s="176" t="s">
        <v>188</v>
      </c>
      <c r="G954" s="183" t="s">
        <v>1829</v>
      </c>
      <c r="H954" s="171"/>
    </row>
    <row r="955" ht="14.25" spans="1:8">
      <c r="A955" s="176">
        <v>134</v>
      </c>
      <c r="B955" s="177" t="s">
        <v>1830</v>
      </c>
      <c r="C955" s="181" t="s">
        <v>38</v>
      </c>
      <c r="D955" s="173">
        <v>0.02</v>
      </c>
      <c r="E955" s="176" t="s">
        <v>30</v>
      </c>
      <c r="F955" s="176" t="s">
        <v>188</v>
      </c>
      <c r="G955" s="183" t="s">
        <v>1831</v>
      </c>
      <c r="H955" s="171"/>
    </row>
    <row r="956" ht="14.25" spans="1:8">
      <c r="A956" s="176">
        <v>135</v>
      </c>
      <c r="B956" s="177" t="s">
        <v>1832</v>
      </c>
      <c r="C956" s="181" t="s">
        <v>38</v>
      </c>
      <c r="D956" s="173">
        <v>0.04</v>
      </c>
      <c r="E956" s="176" t="s">
        <v>30</v>
      </c>
      <c r="F956" s="176" t="s">
        <v>188</v>
      </c>
      <c r="G956" s="183" t="s">
        <v>1833</v>
      </c>
      <c r="H956" s="171"/>
    </row>
    <row r="957" ht="14.25" spans="1:8">
      <c r="A957" s="176">
        <v>136</v>
      </c>
      <c r="B957" s="177" t="s">
        <v>1834</v>
      </c>
      <c r="C957" s="181" t="s">
        <v>38</v>
      </c>
      <c r="D957" s="173">
        <v>0.07</v>
      </c>
      <c r="E957" s="176" t="s">
        <v>30</v>
      </c>
      <c r="F957" s="176" t="s">
        <v>188</v>
      </c>
      <c r="G957" s="183" t="s">
        <v>1835</v>
      </c>
      <c r="H957" s="171"/>
    </row>
    <row r="958" ht="14.25" spans="1:8">
      <c r="A958" s="176">
        <v>137</v>
      </c>
      <c r="B958" s="177" t="s">
        <v>1836</v>
      </c>
      <c r="C958" s="181" t="s">
        <v>38</v>
      </c>
      <c r="D958" s="173">
        <v>0.07</v>
      </c>
      <c r="E958" s="176" t="s">
        <v>30</v>
      </c>
      <c r="F958" s="176" t="s">
        <v>188</v>
      </c>
      <c r="G958" s="183" t="s">
        <v>1837</v>
      </c>
      <c r="H958" s="171"/>
    </row>
    <row r="959" ht="14.25" spans="1:8">
      <c r="A959" s="176">
        <v>138</v>
      </c>
      <c r="B959" s="177" t="s">
        <v>1680</v>
      </c>
      <c r="C959" s="181" t="s">
        <v>38</v>
      </c>
      <c r="D959" s="173">
        <v>0.01</v>
      </c>
      <c r="E959" s="176" t="s">
        <v>30</v>
      </c>
      <c r="F959" s="176" t="s">
        <v>188</v>
      </c>
      <c r="G959" s="183" t="s">
        <v>1838</v>
      </c>
      <c r="H959" s="171"/>
    </row>
    <row r="960" ht="14.25" spans="1:8">
      <c r="A960" s="176">
        <v>139</v>
      </c>
      <c r="B960" s="177" t="s">
        <v>1839</v>
      </c>
      <c r="C960" s="181" t="s">
        <v>38</v>
      </c>
      <c r="D960" s="173">
        <v>0.01</v>
      </c>
      <c r="E960" s="176" t="s">
        <v>30</v>
      </c>
      <c r="F960" s="176" t="s">
        <v>188</v>
      </c>
      <c r="G960" s="183" t="s">
        <v>1840</v>
      </c>
      <c r="H960" s="171"/>
    </row>
    <row r="961" ht="14.25" spans="1:8">
      <c r="A961" s="176">
        <v>140</v>
      </c>
      <c r="B961" s="177" t="s">
        <v>1841</v>
      </c>
      <c r="C961" s="181" t="s">
        <v>38</v>
      </c>
      <c r="D961" s="173">
        <v>0.01</v>
      </c>
      <c r="E961" s="176" t="s">
        <v>30</v>
      </c>
      <c r="F961" s="176" t="s">
        <v>188</v>
      </c>
      <c r="G961" s="183" t="s">
        <v>1842</v>
      </c>
      <c r="H961" s="171"/>
    </row>
    <row r="962" ht="14.25" spans="1:8">
      <c r="A962" s="176">
        <v>141</v>
      </c>
      <c r="B962" s="177" t="s">
        <v>1843</v>
      </c>
      <c r="C962" s="181" t="s">
        <v>38</v>
      </c>
      <c r="D962" s="173">
        <v>0.01</v>
      </c>
      <c r="E962" s="176" t="s">
        <v>30</v>
      </c>
      <c r="F962" s="176" t="s">
        <v>188</v>
      </c>
      <c r="G962" s="183" t="s">
        <v>1844</v>
      </c>
      <c r="H962" s="171"/>
    </row>
    <row r="963" ht="14.25" spans="1:8">
      <c r="A963" s="176">
        <v>142</v>
      </c>
      <c r="B963" s="177" t="s">
        <v>1845</v>
      </c>
      <c r="C963" s="181" t="s">
        <v>38</v>
      </c>
      <c r="D963" s="173">
        <v>0.02</v>
      </c>
      <c r="E963" s="176" t="s">
        <v>30</v>
      </c>
      <c r="F963" s="176" t="s">
        <v>188</v>
      </c>
      <c r="G963" s="183" t="s">
        <v>1846</v>
      </c>
      <c r="H963" s="171"/>
    </row>
    <row r="964" ht="14.25" spans="1:8">
      <c r="A964" s="176">
        <v>143</v>
      </c>
      <c r="B964" s="177" t="s">
        <v>1847</v>
      </c>
      <c r="C964" s="181" t="s">
        <v>38</v>
      </c>
      <c r="D964" s="173">
        <v>0.02</v>
      </c>
      <c r="E964" s="176" t="s">
        <v>30</v>
      </c>
      <c r="F964" s="176" t="s">
        <v>188</v>
      </c>
      <c r="G964" s="183" t="s">
        <v>1848</v>
      </c>
      <c r="H964" s="171"/>
    </row>
    <row r="965" ht="14.25" spans="1:8">
      <c r="A965" s="176">
        <v>144</v>
      </c>
      <c r="B965" s="177" t="s">
        <v>1849</v>
      </c>
      <c r="C965" s="181" t="s">
        <v>38</v>
      </c>
      <c r="D965" s="173">
        <v>0.01</v>
      </c>
      <c r="E965" s="176" t="s">
        <v>30</v>
      </c>
      <c r="F965" s="176" t="s">
        <v>188</v>
      </c>
      <c r="G965" s="183" t="s">
        <v>1850</v>
      </c>
      <c r="H965" s="171"/>
    </row>
    <row r="966" ht="14.25" spans="1:8">
      <c r="A966" s="176">
        <v>145</v>
      </c>
      <c r="B966" s="177" t="s">
        <v>1851</v>
      </c>
      <c r="C966" s="181" t="s">
        <v>38</v>
      </c>
      <c r="D966" s="173">
        <v>0.04</v>
      </c>
      <c r="E966" s="176" t="s">
        <v>30</v>
      </c>
      <c r="F966" s="176" t="s">
        <v>188</v>
      </c>
      <c r="G966" s="183" t="s">
        <v>1852</v>
      </c>
      <c r="H966" s="171"/>
    </row>
    <row r="967" ht="14.25" spans="1:8">
      <c r="A967" s="176">
        <v>146</v>
      </c>
      <c r="B967" s="177" t="s">
        <v>1853</v>
      </c>
      <c r="C967" s="181" t="s">
        <v>38</v>
      </c>
      <c r="D967" s="173">
        <v>0.01</v>
      </c>
      <c r="E967" s="176" t="s">
        <v>30</v>
      </c>
      <c r="F967" s="176" t="s">
        <v>188</v>
      </c>
      <c r="G967" s="183" t="s">
        <v>1611</v>
      </c>
      <c r="H967" s="171"/>
    </row>
    <row r="968" ht="14.25" spans="1:8">
      <c r="A968" s="176">
        <v>147</v>
      </c>
      <c r="B968" s="177" t="s">
        <v>1854</v>
      </c>
      <c r="C968" s="181" t="s">
        <v>38</v>
      </c>
      <c r="D968" s="173">
        <v>0.03</v>
      </c>
      <c r="E968" s="176" t="s">
        <v>30</v>
      </c>
      <c r="F968" s="176" t="s">
        <v>188</v>
      </c>
      <c r="G968" s="183" t="s">
        <v>1855</v>
      </c>
      <c r="H968" s="171"/>
    </row>
    <row r="969" ht="14.25" spans="1:8">
      <c r="A969" s="176">
        <v>148</v>
      </c>
      <c r="B969" s="177" t="s">
        <v>1856</v>
      </c>
      <c r="C969" s="181" t="s">
        <v>38</v>
      </c>
      <c r="D969" s="173">
        <v>0.04</v>
      </c>
      <c r="E969" s="176" t="s">
        <v>30</v>
      </c>
      <c r="F969" s="176" t="s">
        <v>188</v>
      </c>
      <c r="G969" s="183" t="s">
        <v>1857</v>
      </c>
      <c r="H969" s="171"/>
    </row>
    <row r="970" ht="14.25" spans="1:8">
      <c r="A970" s="176">
        <v>149</v>
      </c>
      <c r="B970" s="177" t="s">
        <v>1856</v>
      </c>
      <c r="C970" s="181" t="s">
        <v>38</v>
      </c>
      <c r="D970" s="173">
        <v>0.04</v>
      </c>
      <c r="E970" s="176" t="s">
        <v>30</v>
      </c>
      <c r="F970" s="176" t="s">
        <v>188</v>
      </c>
      <c r="G970" s="183" t="s">
        <v>1858</v>
      </c>
      <c r="H970" s="171"/>
    </row>
    <row r="971" ht="14.25" spans="1:8">
      <c r="A971" s="176">
        <v>150</v>
      </c>
      <c r="B971" s="177" t="s">
        <v>1856</v>
      </c>
      <c r="C971" s="181" t="s">
        <v>38</v>
      </c>
      <c r="D971" s="173">
        <v>0.04</v>
      </c>
      <c r="E971" s="176" t="s">
        <v>30</v>
      </c>
      <c r="F971" s="176" t="s">
        <v>188</v>
      </c>
      <c r="G971" s="183" t="s">
        <v>1859</v>
      </c>
      <c r="H971" s="171"/>
    </row>
    <row r="972" ht="14.25" spans="1:8">
      <c r="A972" s="176">
        <v>151</v>
      </c>
      <c r="B972" s="177" t="s">
        <v>1856</v>
      </c>
      <c r="C972" s="181" t="s">
        <v>38</v>
      </c>
      <c r="D972" s="173">
        <v>0.04</v>
      </c>
      <c r="E972" s="176" t="s">
        <v>30</v>
      </c>
      <c r="F972" s="176" t="s">
        <v>188</v>
      </c>
      <c r="G972" s="183" t="s">
        <v>1860</v>
      </c>
      <c r="H972" s="171"/>
    </row>
    <row r="973" ht="14.25" spans="1:8">
      <c r="A973" s="176">
        <v>152</v>
      </c>
      <c r="B973" s="177" t="s">
        <v>1856</v>
      </c>
      <c r="C973" s="181" t="s">
        <v>38</v>
      </c>
      <c r="D973" s="173">
        <v>0.04</v>
      </c>
      <c r="E973" s="176" t="s">
        <v>30</v>
      </c>
      <c r="F973" s="176" t="s">
        <v>188</v>
      </c>
      <c r="G973" s="183" t="s">
        <v>1861</v>
      </c>
      <c r="H973" s="171"/>
    </row>
    <row r="974" ht="14.25" spans="1:8">
      <c r="A974" s="176">
        <v>153</v>
      </c>
      <c r="B974" s="177" t="s">
        <v>1862</v>
      </c>
      <c r="C974" s="181" t="s">
        <v>38</v>
      </c>
      <c r="D974" s="173">
        <v>0.01</v>
      </c>
      <c r="E974" s="176" t="s">
        <v>30</v>
      </c>
      <c r="F974" s="176" t="s">
        <v>188</v>
      </c>
      <c r="G974" s="183" t="s">
        <v>1863</v>
      </c>
      <c r="H974" s="171"/>
    </row>
    <row r="975" ht="14.25" spans="1:8">
      <c r="A975" s="176">
        <v>154</v>
      </c>
      <c r="B975" s="177" t="s">
        <v>1791</v>
      </c>
      <c r="C975" s="181" t="s">
        <v>38</v>
      </c>
      <c r="D975" s="173">
        <v>0.03</v>
      </c>
      <c r="E975" s="176" t="s">
        <v>30</v>
      </c>
      <c r="F975" s="176" t="s">
        <v>188</v>
      </c>
      <c r="G975" s="183" t="s">
        <v>1864</v>
      </c>
      <c r="H975" s="171"/>
    </row>
    <row r="976" ht="14.25" spans="1:8">
      <c r="A976" s="176">
        <v>155</v>
      </c>
      <c r="B976" s="177" t="s">
        <v>1639</v>
      </c>
      <c r="C976" s="181" t="s">
        <v>38</v>
      </c>
      <c r="D976" s="173">
        <v>0.19</v>
      </c>
      <c r="E976" s="176" t="s">
        <v>30</v>
      </c>
      <c r="F976" s="176" t="s">
        <v>188</v>
      </c>
      <c r="G976" s="183" t="s">
        <v>1640</v>
      </c>
      <c r="H976" s="171"/>
    </row>
    <row r="977" ht="14.25" spans="1:8">
      <c r="A977" s="176">
        <v>156</v>
      </c>
      <c r="B977" s="177" t="s">
        <v>1646</v>
      </c>
      <c r="C977" s="181" t="s">
        <v>38</v>
      </c>
      <c r="D977" s="173">
        <v>0.02</v>
      </c>
      <c r="E977" s="176" t="s">
        <v>30</v>
      </c>
      <c r="F977" s="176" t="s">
        <v>188</v>
      </c>
      <c r="G977" s="183" t="s">
        <v>1647</v>
      </c>
      <c r="H977" s="171"/>
    </row>
    <row r="978" ht="14.25" spans="1:8">
      <c r="A978" s="176">
        <v>157</v>
      </c>
      <c r="B978" s="177" t="s">
        <v>1605</v>
      </c>
      <c r="C978" s="181" t="s">
        <v>38</v>
      </c>
      <c r="D978" s="173">
        <v>0.05</v>
      </c>
      <c r="E978" s="176" t="s">
        <v>30</v>
      </c>
      <c r="F978" s="176" t="s">
        <v>188</v>
      </c>
      <c r="G978" s="183" t="s">
        <v>1865</v>
      </c>
      <c r="H978" s="171"/>
    </row>
    <row r="979" ht="14.25" spans="1:8">
      <c r="A979" s="176">
        <v>158</v>
      </c>
      <c r="B979" s="177" t="s">
        <v>1866</v>
      </c>
      <c r="C979" s="181" t="s">
        <v>38</v>
      </c>
      <c r="D979" s="173">
        <v>0.07</v>
      </c>
      <c r="E979" s="176" t="s">
        <v>30</v>
      </c>
      <c r="F979" s="176" t="s">
        <v>188</v>
      </c>
      <c r="G979" s="183" t="s">
        <v>1867</v>
      </c>
      <c r="H979" s="171"/>
    </row>
    <row r="980" ht="14.25" spans="1:8">
      <c r="A980" s="176">
        <v>159</v>
      </c>
      <c r="B980" s="177" t="s">
        <v>1868</v>
      </c>
      <c r="C980" s="181" t="s">
        <v>38</v>
      </c>
      <c r="D980" s="173">
        <v>0.02</v>
      </c>
      <c r="E980" s="176" t="s">
        <v>30</v>
      </c>
      <c r="F980" s="176" t="s">
        <v>188</v>
      </c>
      <c r="G980" s="183" t="s">
        <v>1869</v>
      </c>
      <c r="H980" s="171"/>
    </row>
    <row r="981" ht="14.25" spans="1:8">
      <c r="A981" s="176">
        <v>160</v>
      </c>
      <c r="B981" s="215" t="s">
        <v>1627</v>
      </c>
      <c r="C981" s="181" t="s">
        <v>38</v>
      </c>
      <c r="D981" s="173">
        <v>0.03</v>
      </c>
      <c r="E981" s="176" t="s">
        <v>30</v>
      </c>
      <c r="F981" s="176" t="s">
        <v>188</v>
      </c>
      <c r="G981" s="183" t="s">
        <v>1628</v>
      </c>
      <c r="H981" s="171"/>
    </row>
    <row r="982" ht="14.25" spans="1:8">
      <c r="A982" s="176">
        <v>161</v>
      </c>
      <c r="B982" s="215" t="s">
        <v>1627</v>
      </c>
      <c r="C982" s="181" t="s">
        <v>38</v>
      </c>
      <c r="D982" s="173">
        <v>0.03</v>
      </c>
      <c r="E982" s="176" t="s">
        <v>30</v>
      </c>
      <c r="F982" s="176" t="s">
        <v>188</v>
      </c>
      <c r="G982" s="183" t="s">
        <v>1870</v>
      </c>
      <c r="H982" s="171"/>
    </row>
    <row r="983" ht="14.25" spans="1:8">
      <c r="A983" s="176">
        <v>162</v>
      </c>
      <c r="B983" s="216" t="s">
        <v>1871</v>
      </c>
      <c r="C983" s="181" t="s">
        <v>38</v>
      </c>
      <c r="D983" s="190">
        <v>0.08</v>
      </c>
      <c r="E983" s="176" t="s">
        <v>30</v>
      </c>
      <c r="F983" s="176" t="s">
        <v>188</v>
      </c>
      <c r="G983" s="191" t="s">
        <v>1872</v>
      </c>
      <c r="H983" s="171"/>
    </row>
    <row r="984" ht="14.25" spans="1:8">
      <c r="A984" s="176">
        <v>163</v>
      </c>
      <c r="B984" s="216" t="s">
        <v>1873</v>
      </c>
      <c r="C984" s="181" t="s">
        <v>38</v>
      </c>
      <c r="D984" s="190">
        <v>0.04</v>
      </c>
      <c r="E984" s="176" t="s">
        <v>30</v>
      </c>
      <c r="F984" s="176" t="s">
        <v>188</v>
      </c>
      <c r="G984" s="191" t="s">
        <v>1874</v>
      </c>
      <c r="H984" s="171"/>
    </row>
    <row r="985" ht="14.25" spans="1:8">
      <c r="A985" s="176">
        <v>164</v>
      </c>
      <c r="B985" s="216" t="s">
        <v>1875</v>
      </c>
      <c r="C985" s="181" t="s">
        <v>38</v>
      </c>
      <c r="D985" s="190">
        <v>0.05</v>
      </c>
      <c r="E985" s="176" t="s">
        <v>30</v>
      </c>
      <c r="F985" s="176" t="s">
        <v>188</v>
      </c>
      <c r="G985" s="191" t="s">
        <v>1876</v>
      </c>
      <c r="H985" s="171"/>
    </row>
    <row r="986" ht="14.25" spans="1:8">
      <c r="A986" s="176">
        <v>165</v>
      </c>
      <c r="B986" s="216" t="s">
        <v>1877</v>
      </c>
      <c r="C986" s="181" t="s">
        <v>38</v>
      </c>
      <c r="D986" s="190">
        <v>0.05</v>
      </c>
      <c r="E986" s="176" t="s">
        <v>30</v>
      </c>
      <c r="F986" s="176" t="s">
        <v>188</v>
      </c>
      <c r="G986" s="191" t="s">
        <v>1878</v>
      </c>
      <c r="H986" s="171"/>
    </row>
    <row r="987" ht="25.5" spans="1:8">
      <c r="A987" s="176">
        <v>166</v>
      </c>
      <c r="B987" s="216" t="s">
        <v>1879</v>
      </c>
      <c r="C987" s="181" t="s">
        <v>38</v>
      </c>
      <c r="D987" s="190">
        <v>0.29</v>
      </c>
      <c r="E987" s="176" t="s">
        <v>30</v>
      </c>
      <c r="F987" s="176" t="s">
        <v>188</v>
      </c>
      <c r="G987" s="191" t="s">
        <v>1880</v>
      </c>
      <c r="H987" s="171" t="s">
        <v>674</v>
      </c>
    </row>
    <row r="988" ht="25.5" spans="1:8">
      <c r="A988" s="176">
        <v>167</v>
      </c>
      <c r="B988" s="216" t="s">
        <v>1881</v>
      </c>
      <c r="C988" s="181" t="s">
        <v>38</v>
      </c>
      <c r="D988" s="190">
        <v>0.04</v>
      </c>
      <c r="E988" s="176" t="s">
        <v>30</v>
      </c>
      <c r="F988" s="176" t="s">
        <v>188</v>
      </c>
      <c r="G988" s="191" t="s">
        <v>1882</v>
      </c>
      <c r="H988" s="171" t="s">
        <v>1883</v>
      </c>
    </row>
    <row r="989" ht="14.25" spans="1:8">
      <c r="A989" s="176">
        <v>168</v>
      </c>
      <c r="B989" s="216" t="s">
        <v>1884</v>
      </c>
      <c r="C989" s="181" t="s">
        <v>38</v>
      </c>
      <c r="D989" s="190">
        <v>0.01</v>
      </c>
      <c r="E989" s="176" t="s">
        <v>30</v>
      </c>
      <c r="F989" s="176" t="s">
        <v>188</v>
      </c>
      <c r="G989" s="191" t="s">
        <v>1885</v>
      </c>
      <c r="H989" s="171" t="s">
        <v>672</v>
      </c>
    </row>
    <row r="990" ht="25.5" spans="1:8">
      <c r="A990" s="176">
        <v>169</v>
      </c>
      <c r="B990" s="216" t="s">
        <v>1886</v>
      </c>
      <c r="C990" s="181" t="s">
        <v>38</v>
      </c>
      <c r="D990" s="190">
        <v>0.1</v>
      </c>
      <c r="E990" s="176" t="s">
        <v>30</v>
      </c>
      <c r="F990" s="176" t="s">
        <v>188</v>
      </c>
      <c r="G990" s="191" t="s">
        <v>1887</v>
      </c>
      <c r="H990" s="171" t="s">
        <v>1888</v>
      </c>
    </row>
    <row r="991" ht="14.25" spans="1:8">
      <c r="A991" s="176">
        <v>170</v>
      </c>
      <c r="B991" s="216" t="s">
        <v>1736</v>
      </c>
      <c r="C991" s="181" t="s">
        <v>38</v>
      </c>
      <c r="D991" s="190">
        <v>0.03</v>
      </c>
      <c r="E991" s="176" t="s">
        <v>30</v>
      </c>
      <c r="F991" s="176" t="s">
        <v>188</v>
      </c>
      <c r="G991" s="191" t="s">
        <v>1737</v>
      </c>
      <c r="H991" s="171"/>
    </row>
    <row r="992" ht="14.25" spans="1:8">
      <c r="A992" s="176">
        <v>171</v>
      </c>
      <c r="B992" s="216" t="s">
        <v>1795</v>
      </c>
      <c r="C992" s="181" t="s">
        <v>38</v>
      </c>
      <c r="D992" s="190">
        <v>0.01</v>
      </c>
      <c r="E992" s="176" t="s">
        <v>30</v>
      </c>
      <c r="F992" s="176" t="s">
        <v>188</v>
      </c>
      <c r="G992" s="191" t="s">
        <v>1889</v>
      </c>
      <c r="H992" s="171"/>
    </row>
    <row r="993" ht="14.25" spans="1:8">
      <c r="A993" s="176">
        <v>172</v>
      </c>
      <c r="B993" s="216" t="s">
        <v>1890</v>
      </c>
      <c r="C993" s="181" t="s">
        <v>38</v>
      </c>
      <c r="D993" s="190">
        <v>0.02</v>
      </c>
      <c r="E993" s="176" t="s">
        <v>30</v>
      </c>
      <c r="F993" s="176" t="s">
        <v>188</v>
      </c>
      <c r="G993" s="191" t="s">
        <v>1891</v>
      </c>
      <c r="H993" s="171" t="s">
        <v>672</v>
      </c>
    </row>
    <row r="994" ht="14.25" spans="1:8">
      <c r="A994" s="176">
        <v>173</v>
      </c>
      <c r="B994" s="194" t="s">
        <v>1693</v>
      </c>
      <c r="C994" s="181" t="s">
        <v>38</v>
      </c>
      <c r="D994" s="190">
        <v>0.02</v>
      </c>
      <c r="E994" s="217" t="s">
        <v>30</v>
      </c>
      <c r="F994" s="217" t="s">
        <v>188</v>
      </c>
      <c r="G994" s="191" t="s">
        <v>1892</v>
      </c>
      <c r="H994" s="171"/>
    </row>
    <row r="995" ht="14.25" spans="1:8">
      <c r="A995" s="176">
        <v>174</v>
      </c>
      <c r="B995" s="194" t="s">
        <v>1693</v>
      </c>
      <c r="C995" s="181" t="s">
        <v>38</v>
      </c>
      <c r="D995" s="190">
        <v>0.03</v>
      </c>
      <c r="E995" s="217" t="s">
        <v>30</v>
      </c>
      <c r="F995" s="217" t="s">
        <v>188</v>
      </c>
      <c r="G995" s="191" t="s">
        <v>1694</v>
      </c>
      <c r="H995" s="171"/>
    </row>
    <row r="996" ht="14.25" spans="1:8">
      <c r="A996" s="176">
        <v>175</v>
      </c>
      <c r="B996" s="194" t="s">
        <v>1893</v>
      </c>
      <c r="C996" s="181" t="s">
        <v>38</v>
      </c>
      <c r="D996" s="190">
        <v>0.04</v>
      </c>
      <c r="E996" s="217" t="s">
        <v>30</v>
      </c>
      <c r="F996" s="217" t="s">
        <v>188</v>
      </c>
      <c r="G996" s="191" t="s">
        <v>1894</v>
      </c>
      <c r="H996" s="171"/>
    </row>
    <row r="997" ht="25.5" spans="1:8">
      <c r="A997" s="176">
        <v>176</v>
      </c>
      <c r="B997" s="194" t="s">
        <v>1791</v>
      </c>
      <c r="C997" s="181" t="s">
        <v>38</v>
      </c>
      <c r="D997" s="190">
        <v>0.03</v>
      </c>
      <c r="E997" s="217" t="s">
        <v>30</v>
      </c>
      <c r="F997" s="217" t="s">
        <v>188</v>
      </c>
      <c r="G997" s="191" t="s">
        <v>1895</v>
      </c>
      <c r="H997" s="171" t="s">
        <v>634</v>
      </c>
    </row>
    <row r="998" ht="14.25" spans="1:8">
      <c r="A998" s="176">
        <v>177</v>
      </c>
      <c r="B998" s="194" t="s">
        <v>1896</v>
      </c>
      <c r="C998" s="181" t="s">
        <v>38</v>
      </c>
      <c r="D998" s="190">
        <v>0.04</v>
      </c>
      <c r="E998" s="217" t="s">
        <v>30</v>
      </c>
      <c r="F998" s="217" t="s">
        <v>188</v>
      </c>
      <c r="G998" s="191" t="s">
        <v>1897</v>
      </c>
      <c r="H998" s="171"/>
    </row>
    <row r="999" ht="14.25" spans="1:8">
      <c r="A999" s="176">
        <v>178</v>
      </c>
      <c r="B999" s="194" t="s">
        <v>1898</v>
      </c>
      <c r="C999" s="181" t="s">
        <v>38</v>
      </c>
      <c r="D999" s="190">
        <v>0.05</v>
      </c>
      <c r="E999" s="217" t="s">
        <v>30</v>
      </c>
      <c r="F999" s="217" t="s">
        <v>188</v>
      </c>
      <c r="G999" s="191" t="s">
        <v>1899</v>
      </c>
      <c r="H999" s="171"/>
    </row>
    <row r="1000" ht="14.25" spans="1:8">
      <c r="A1000" s="176">
        <v>179</v>
      </c>
      <c r="B1000" s="194" t="s">
        <v>1900</v>
      </c>
      <c r="C1000" s="181" t="s">
        <v>38</v>
      </c>
      <c r="D1000" s="190">
        <v>0.04</v>
      </c>
      <c r="E1000" s="217" t="s">
        <v>30</v>
      </c>
      <c r="F1000" s="217" t="s">
        <v>188</v>
      </c>
      <c r="G1000" s="191" t="s">
        <v>1901</v>
      </c>
      <c r="H1000" s="171"/>
    </row>
    <row r="1001" ht="14.25" spans="1:8">
      <c r="A1001" s="176">
        <v>180</v>
      </c>
      <c r="B1001" s="194" t="s">
        <v>1902</v>
      </c>
      <c r="C1001" s="181" t="s">
        <v>38</v>
      </c>
      <c r="D1001" s="190">
        <v>0.04</v>
      </c>
      <c r="E1001" s="217" t="s">
        <v>30</v>
      </c>
      <c r="F1001" s="217" t="s">
        <v>188</v>
      </c>
      <c r="G1001" s="191" t="s">
        <v>1903</v>
      </c>
      <c r="H1001" s="171"/>
    </row>
    <row r="1002" ht="14.25" spans="1:8">
      <c r="A1002" s="176">
        <v>181</v>
      </c>
      <c r="B1002" s="194" t="s">
        <v>1904</v>
      </c>
      <c r="C1002" s="181" t="s">
        <v>38</v>
      </c>
      <c r="D1002" s="190">
        <v>0.04</v>
      </c>
      <c r="E1002" s="217" t="s">
        <v>30</v>
      </c>
      <c r="F1002" s="217" t="s">
        <v>188</v>
      </c>
      <c r="G1002" s="191" t="s">
        <v>1905</v>
      </c>
      <c r="H1002" s="171"/>
    </row>
    <row r="1003" ht="14.25" spans="1:8">
      <c r="A1003" s="176">
        <v>182</v>
      </c>
      <c r="B1003" s="194" t="s">
        <v>1906</v>
      </c>
      <c r="C1003" s="181" t="s">
        <v>38</v>
      </c>
      <c r="D1003" s="190">
        <v>0.04</v>
      </c>
      <c r="E1003" s="217" t="s">
        <v>30</v>
      </c>
      <c r="F1003" s="217" t="s">
        <v>188</v>
      </c>
      <c r="G1003" s="191" t="s">
        <v>1907</v>
      </c>
      <c r="H1003" s="171"/>
    </row>
    <row r="1004" ht="14.25" spans="1:8">
      <c r="A1004" s="176">
        <v>183</v>
      </c>
      <c r="B1004" s="194" t="s">
        <v>1908</v>
      </c>
      <c r="C1004" s="181" t="s">
        <v>38</v>
      </c>
      <c r="D1004" s="190">
        <v>0.02</v>
      </c>
      <c r="E1004" s="217" t="s">
        <v>30</v>
      </c>
      <c r="F1004" s="217" t="s">
        <v>188</v>
      </c>
      <c r="G1004" s="191" t="s">
        <v>1909</v>
      </c>
      <c r="H1004" s="171"/>
    </row>
    <row r="1005" ht="14.25" spans="1:8">
      <c r="A1005" s="176">
        <v>184</v>
      </c>
      <c r="B1005" s="194" t="s">
        <v>1910</v>
      </c>
      <c r="C1005" s="181" t="s">
        <v>38</v>
      </c>
      <c r="D1005" s="190">
        <v>0.01</v>
      </c>
      <c r="E1005" s="217" t="s">
        <v>30</v>
      </c>
      <c r="F1005" s="217" t="s">
        <v>188</v>
      </c>
      <c r="G1005" s="191" t="s">
        <v>1911</v>
      </c>
      <c r="H1005" s="171"/>
    </row>
    <row r="1006" ht="14.25" spans="1:8">
      <c r="A1006" s="176">
        <v>185</v>
      </c>
      <c r="B1006" s="194" t="s">
        <v>1912</v>
      </c>
      <c r="C1006" s="181" t="s">
        <v>38</v>
      </c>
      <c r="D1006" s="190">
        <v>0.02</v>
      </c>
      <c r="E1006" s="217" t="s">
        <v>30</v>
      </c>
      <c r="F1006" s="217" t="s">
        <v>188</v>
      </c>
      <c r="G1006" s="191" t="s">
        <v>1913</v>
      </c>
      <c r="H1006" s="171"/>
    </row>
    <row r="1007" ht="14.25" spans="1:8">
      <c r="A1007" s="176">
        <v>186</v>
      </c>
      <c r="B1007" s="194" t="s">
        <v>1914</v>
      </c>
      <c r="C1007" s="181" t="s">
        <v>38</v>
      </c>
      <c r="D1007" s="190">
        <v>0.06</v>
      </c>
      <c r="E1007" s="217" t="s">
        <v>30</v>
      </c>
      <c r="F1007" s="217" t="s">
        <v>188</v>
      </c>
      <c r="G1007" s="191" t="s">
        <v>1915</v>
      </c>
      <c r="H1007" s="171"/>
    </row>
    <row r="1008" ht="14.25" spans="1:8">
      <c r="A1008" s="176">
        <v>187</v>
      </c>
      <c r="B1008" s="194" t="s">
        <v>1818</v>
      </c>
      <c r="C1008" s="181" t="s">
        <v>38</v>
      </c>
      <c r="D1008" s="190">
        <v>0.02</v>
      </c>
      <c r="E1008" s="217" t="s">
        <v>30</v>
      </c>
      <c r="F1008" s="217" t="s">
        <v>188</v>
      </c>
      <c r="G1008" s="191" t="s">
        <v>1916</v>
      </c>
      <c r="H1008" s="171"/>
    </row>
    <row r="1009" ht="14.25" spans="1:8">
      <c r="A1009" s="176">
        <v>188</v>
      </c>
      <c r="B1009" s="175" t="s">
        <v>1917</v>
      </c>
      <c r="C1009" s="181" t="s">
        <v>38</v>
      </c>
      <c r="D1009" s="190">
        <v>0.02</v>
      </c>
      <c r="E1009" s="217" t="s">
        <v>30</v>
      </c>
      <c r="F1009" s="217" t="s">
        <v>188</v>
      </c>
      <c r="G1009" s="191" t="s">
        <v>1918</v>
      </c>
      <c r="H1009" s="171"/>
    </row>
    <row r="1010" ht="14.25" spans="1:8">
      <c r="A1010" s="176">
        <v>189</v>
      </c>
      <c r="B1010" s="175" t="s">
        <v>1919</v>
      </c>
      <c r="C1010" s="181" t="s">
        <v>38</v>
      </c>
      <c r="D1010" s="190">
        <v>0.04</v>
      </c>
      <c r="E1010" s="170" t="s">
        <v>30</v>
      </c>
      <c r="F1010" s="170" t="s">
        <v>188</v>
      </c>
      <c r="G1010" s="191" t="s">
        <v>1920</v>
      </c>
      <c r="H1010" s="171"/>
    </row>
    <row r="1011" ht="14.25" spans="1:8">
      <c r="A1011" s="176">
        <v>190</v>
      </c>
      <c r="B1011" s="175" t="s">
        <v>1921</v>
      </c>
      <c r="C1011" s="181" t="s">
        <v>38</v>
      </c>
      <c r="D1011" s="190">
        <v>0.03</v>
      </c>
      <c r="E1011" s="170" t="s">
        <v>30</v>
      </c>
      <c r="F1011" s="170" t="s">
        <v>188</v>
      </c>
      <c r="G1011" s="191" t="s">
        <v>1922</v>
      </c>
      <c r="H1011" s="171"/>
    </row>
    <row r="1012" ht="14.25" spans="1:8">
      <c r="A1012" s="176">
        <v>191</v>
      </c>
      <c r="B1012" s="175" t="s">
        <v>1923</v>
      </c>
      <c r="C1012" s="181" t="s">
        <v>38</v>
      </c>
      <c r="D1012" s="190">
        <v>0.04</v>
      </c>
      <c r="E1012" s="170" t="s">
        <v>30</v>
      </c>
      <c r="F1012" s="170" t="s">
        <v>188</v>
      </c>
      <c r="G1012" s="191" t="s">
        <v>1924</v>
      </c>
      <c r="H1012" s="171"/>
    </row>
    <row r="1013" ht="14.25" spans="1:8">
      <c r="A1013" s="176">
        <v>192</v>
      </c>
      <c r="B1013" s="175" t="s">
        <v>1925</v>
      </c>
      <c r="C1013" s="181" t="s">
        <v>38</v>
      </c>
      <c r="D1013" s="190">
        <v>0.04</v>
      </c>
      <c r="E1013" s="170" t="s">
        <v>30</v>
      </c>
      <c r="F1013" s="170" t="s">
        <v>188</v>
      </c>
      <c r="G1013" s="191" t="s">
        <v>1926</v>
      </c>
      <c r="H1013" s="171"/>
    </row>
    <row r="1014" ht="14.25" spans="1:8">
      <c r="A1014" s="176">
        <v>193</v>
      </c>
      <c r="B1014" s="175" t="s">
        <v>1927</v>
      </c>
      <c r="C1014" s="181" t="s">
        <v>38</v>
      </c>
      <c r="D1014" s="190">
        <v>0.02</v>
      </c>
      <c r="E1014" s="170" t="s">
        <v>30</v>
      </c>
      <c r="F1014" s="170" t="s">
        <v>188</v>
      </c>
      <c r="G1014" s="191" t="s">
        <v>1928</v>
      </c>
      <c r="H1014" s="171"/>
    </row>
    <row r="1015" ht="14.25" spans="1:8">
      <c r="A1015" s="176">
        <v>194</v>
      </c>
      <c r="B1015" s="175" t="s">
        <v>1929</v>
      </c>
      <c r="C1015" s="181" t="s">
        <v>38</v>
      </c>
      <c r="D1015" s="190">
        <v>0.04</v>
      </c>
      <c r="E1015" s="170" t="s">
        <v>30</v>
      </c>
      <c r="F1015" s="170" t="s">
        <v>188</v>
      </c>
      <c r="G1015" s="191" t="s">
        <v>1930</v>
      </c>
      <c r="H1015" s="171"/>
    </row>
    <row r="1016" ht="14.25" spans="1:8">
      <c r="A1016" s="176">
        <v>195</v>
      </c>
      <c r="B1016" s="175" t="s">
        <v>1929</v>
      </c>
      <c r="C1016" s="181" t="s">
        <v>38</v>
      </c>
      <c r="D1016" s="190">
        <v>0.02</v>
      </c>
      <c r="E1016" s="170" t="s">
        <v>30</v>
      </c>
      <c r="F1016" s="170" t="s">
        <v>188</v>
      </c>
      <c r="G1016" s="191" t="s">
        <v>1931</v>
      </c>
      <c r="H1016" s="171"/>
    </row>
    <row r="1017" ht="14.25" spans="1:8">
      <c r="A1017" s="176">
        <v>196</v>
      </c>
      <c r="B1017" s="175" t="s">
        <v>1212</v>
      </c>
      <c r="C1017" s="181" t="s">
        <v>38</v>
      </c>
      <c r="D1017" s="190">
        <v>0.04</v>
      </c>
      <c r="E1017" s="170" t="s">
        <v>30</v>
      </c>
      <c r="F1017" s="170" t="s">
        <v>188</v>
      </c>
      <c r="G1017" s="191" t="s">
        <v>1932</v>
      </c>
      <c r="H1017" s="171"/>
    </row>
    <row r="1018" ht="14.25" spans="1:8">
      <c r="A1018" s="176">
        <v>197</v>
      </c>
      <c r="B1018" s="175" t="s">
        <v>1933</v>
      </c>
      <c r="C1018" s="181" t="s">
        <v>38</v>
      </c>
      <c r="D1018" s="190">
        <v>0.04</v>
      </c>
      <c r="E1018" s="170" t="s">
        <v>30</v>
      </c>
      <c r="F1018" s="170" t="s">
        <v>188</v>
      </c>
      <c r="G1018" s="191" t="s">
        <v>1934</v>
      </c>
      <c r="H1018" s="171"/>
    </row>
    <row r="1019" ht="25.5" spans="1:8">
      <c r="A1019" s="176">
        <v>198</v>
      </c>
      <c r="B1019" s="175" t="s">
        <v>1935</v>
      </c>
      <c r="C1019" s="181" t="s">
        <v>38</v>
      </c>
      <c r="D1019" s="190">
        <v>0.03</v>
      </c>
      <c r="E1019" s="170" t="s">
        <v>30</v>
      </c>
      <c r="F1019" s="170" t="s">
        <v>188</v>
      </c>
      <c r="G1019" s="191" t="s">
        <v>1936</v>
      </c>
      <c r="H1019" s="171" t="s">
        <v>634</v>
      </c>
    </row>
    <row r="1020" ht="14.25" spans="1:8">
      <c r="A1020" s="176">
        <v>199</v>
      </c>
      <c r="B1020" s="175" t="s">
        <v>1937</v>
      </c>
      <c r="C1020" s="181" t="s">
        <v>38</v>
      </c>
      <c r="D1020" s="190">
        <v>0.04</v>
      </c>
      <c r="E1020" s="170" t="s">
        <v>30</v>
      </c>
      <c r="F1020" s="170" t="s">
        <v>188</v>
      </c>
      <c r="G1020" s="191" t="s">
        <v>1938</v>
      </c>
      <c r="H1020" s="171" t="s">
        <v>672</v>
      </c>
    </row>
    <row r="1021" ht="14.25" spans="1:8">
      <c r="A1021" s="176">
        <v>200</v>
      </c>
      <c r="B1021" s="175" t="s">
        <v>1914</v>
      </c>
      <c r="C1021" s="181" t="s">
        <v>38</v>
      </c>
      <c r="D1021" s="190">
        <v>0.03</v>
      </c>
      <c r="E1021" s="170" t="s">
        <v>30</v>
      </c>
      <c r="F1021" s="170" t="s">
        <v>188</v>
      </c>
      <c r="G1021" s="191" t="s">
        <v>1939</v>
      </c>
      <c r="H1021" s="171"/>
    </row>
    <row r="1022" ht="14.25" spans="1:8">
      <c r="A1022" s="176">
        <v>201</v>
      </c>
      <c r="B1022" s="175" t="s">
        <v>1940</v>
      </c>
      <c r="C1022" s="181" t="s">
        <v>38</v>
      </c>
      <c r="D1022" s="190">
        <v>0.01</v>
      </c>
      <c r="E1022" s="170" t="s">
        <v>30</v>
      </c>
      <c r="F1022" s="170" t="s">
        <v>188</v>
      </c>
      <c r="G1022" s="191" t="s">
        <v>1941</v>
      </c>
      <c r="H1022" s="171" t="s">
        <v>672</v>
      </c>
    </row>
    <row r="1023" ht="14.25" spans="1:8">
      <c r="A1023" s="176">
        <v>202</v>
      </c>
      <c r="B1023" s="175" t="s">
        <v>1942</v>
      </c>
      <c r="C1023" s="181" t="s">
        <v>38</v>
      </c>
      <c r="D1023" s="190">
        <v>0.03</v>
      </c>
      <c r="E1023" s="170" t="s">
        <v>30</v>
      </c>
      <c r="F1023" s="170" t="s">
        <v>188</v>
      </c>
      <c r="G1023" s="191" t="s">
        <v>1705</v>
      </c>
      <c r="H1023" s="171"/>
    </row>
    <row r="1024" ht="14.25" spans="1:8">
      <c r="A1024" s="176">
        <v>203</v>
      </c>
      <c r="B1024" s="175" t="s">
        <v>1943</v>
      </c>
      <c r="C1024" s="181" t="s">
        <v>38</v>
      </c>
      <c r="D1024" s="190">
        <v>0.02</v>
      </c>
      <c r="E1024" s="170" t="s">
        <v>30</v>
      </c>
      <c r="F1024" s="170" t="s">
        <v>188</v>
      </c>
      <c r="G1024" s="191" t="s">
        <v>1944</v>
      </c>
      <c r="H1024" s="171"/>
    </row>
    <row r="1025" ht="14.25" spans="1:8">
      <c r="A1025" s="176">
        <v>204</v>
      </c>
      <c r="B1025" s="175" t="s">
        <v>1172</v>
      </c>
      <c r="C1025" s="181" t="s">
        <v>38</v>
      </c>
      <c r="D1025" s="190">
        <v>0.02</v>
      </c>
      <c r="E1025" s="170" t="s">
        <v>30</v>
      </c>
      <c r="F1025" s="170" t="s">
        <v>188</v>
      </c>
      <c r="G1025" s="191" t="s">
        <v>1945</v>
      </c>
      <c r="H1025" s="171"/>
    </row>
    <row r="1026" ht="14.25" spans="1:8">
      <c r="A1026" s="176">
        <v>205</v>
      </c>
      <c r="B1026" s="175" t="s">
        <v>949</v>
      </c>
      <c r="C1026" s="181" t="s">
        <v>38</v>
      </c>
      <c r="D1026" s="190">
        <v>0.01</v>
      </c>
      <c r="E1026" s="170" t="s">
        <v>30</v>
      </c>
      <c r="F1026" s="170" t="s">
        <v>188</v>
      </c>
      <c r="G1026" s="191" t="s">
        <v>1946</v>
      </c>
      <c r="H1026" s="171"/>
    </row>
    <row r="1027" ht="14.25" spans="1:8">
      <c r="A1027" s="176">
        <v>206</v>
      </c>
      <c r="B1027" s="175" t="s">
        <v>1740</v>
      </c>
      <c r="C1027" s="181" t="s">
        <v>38</v>
      </c>
      <c r="D1027" s="190">
        <v>0.07</v>
      </c>
      <c r="E1027" s="170" t="s">
        <v>30</v>
      </c>
      <c r="F1027" s="170" t="s">
        <v>188</v>
      </c>
      <c r="G1027" s="191" t="s">
        <v>1741</v>
      </c>
      <c r="H1027" s="171"/>
    </row>
    <row r="1028" ht="14.25" spans="1:8">
      <c r="A1028" s="176">
        <v>207</v>
      </c>
      <c r="B1028" s="175" t="s">
        <v>1947</v>
      </c>
      <c r="C1028" s="181" t="s">
        <v>38</v>
      </c>
      <c r="D1028" s="190">
        <v>0.02</v>
      </c>
      <c r="E1028" s="170" t="s">
        <v>30</v>
      </c>
      <c r="F1028" s="170" t="s">
        <v>188</v>
      </c>
      <c r="G1028" s="191" t="s">
        <v>1948</v>
      </c>
      <c r="H1028" s="171"/>
    </row>
    <row r="1029" ht="14.25" spans="1:8">
      <c r="A1029" s="176">
        <v>208</v>
      </c>
      <c r="B1029" s="175" t="s">
        <v>1949</v>
      </c>
      <c r="C1029" s="181" t="s">
        <v>38</v>
      </c>
      <c r="D1029" s="190">
        <v>0.04</v>
      </c>
      <c r="E1029" s="170" t="s">
        <v>30</v>
      </c>
      <c r="F1029" s="170" t="s">
        <v>188</v>
      </c>
      <c r="G1029" s="191" t="s">
        <v>1950</v>
      </c>
      <c r="H1029" s="171"/>
    </row>
    <row r="1030" ht="14.25" spans="1:8">
      <c r="A1030" s="176">
        <v>209</v>
      </c>
      <c r="B1030" s="175" t="s">
        <v>1951</v>
      </c>
      <c r="C1030" s="181" t="s">
        <v>38</v>
      </c>
      <c r="D1030" s="190">
        <v>0.02</v>
      </c>
      <c r="E1030" s="170" t="s">
        <v>30</v>
      </c>
      <c r="F1030" s="170" t="s">
        <v>188</v>
      </c>
      <c r="G1030" s="191" t="s">
        <v>1952</v>
      </c>
      <c r="H1030" s="171"/>
    </row>
    <row r="1031" ht="14.25" spans="1:8">
      <c r="A1031" s="176">
        <v>210</v>
      </c>
      <c r="B1031" s="175" t="s">
        <v>1953</v>
      </c>
      <c r="C1031" s="181" t="s">
        <v>38</v>
      </c>
      <c r="D1031" s="190">
        <v>0.01</v>
      </c>
      <c r="E1031" s="170" t="s">
        <v>30</v>
      </c>
      <c r="F1031" s="170" t="s">
        <v>188</v>
      </c>
      <c r="G1031" s="191" t="s">
        <v>1954</v>
      </c>
      <c r="H1031" s="171"/>
    </row>
    <row r="1032" ht="14.25" spans="1:8">
      <c r="A1032" s="176">
        <v>211</v>
      </c>
      <c r="B1032" s="175" t="s">
        <v>1947</v>
      </c>
      <c r="C1032" s="181" t="s">
        <v>38</v>
      </c>
      <c r="D1032" s="190">
        <v>0.03</v>
      </c>
      <c r="E1032" s="170" t="s">
        <v>30</v>
      </c>
      <c r="F1032" s="170" t="s">
        <v>188</v>
      </c>
      <c r="G1032" s="191" t="s">
        <v>1955</v>
      </c>
      <c r="H1032" s="171"/>
    </row>
    <row r="1033" ht="14.25" spans="1:8">
      <c r="A1033" s="176">
        <v>212</v>
      </c>
      <c r="B1033" s="175" t="s">
        <v>1956</v>
      </c>
      <c r="C1033" s="181" t="s">
        <v>38</v>
      </c>
      <c r="D1033" s="190">
        <v>0.05</v>
      </c>
      <c r="E1033" s="170" t="s">
        <v>30</v>
      </c>
      <c r="F1033" s="170" t="s">
        <v>188</v>
      </c>
      <c r="G1033" s="191" t="s">
        <v>1957</v>
      </c>
      <c r="H1033" s="171"/>
    </row>
    <row r="1034" ht="14.25" spans="1:8">
      <c r="A1034" s="176">
        <v>213</v>
      </c>
      <c r="B1034" s="175" t="s">
        <v>1958</v>
      </c>
      <c r="C1034" s="181" t="s">
        <v>38</v>
      </c>
      <c r="D1034" s="190">
        <v>0.02</v>
      </c>
      <c r="E1034" s="170" t="s">
        <v>30</v>
      </c>
      <c r="F1034" s="170" t="s">
        <v>188</v>
      </c>
      <c r="G1034" s="191" t="s">
        <v>1959</v>
      </c>
      <c r="H1034" s="171"/>
    </row>
    <row r="1035" ht="14.25" spans="1:8">
      <c r="A1035" s="176">
        <v>214</v>
      </c>
      <c r="B1035" s="175" t="s">
        <v>1824</v>
      </c>
      <c r="C1035" s="181" t="s">
        <v>38</v>
      </c>
      <c r="D1035" s="190">
        <v>0.01</v>
      </c>
      <c r="E1035" s="170" t="s">
        <v>30</v>
      </c>
      <c r="F1035" s="170" t="s">
        <v>188</v>
      </c>
      <c r="G1035" s="191" t="s">
        <v>1960</v>
      </c>
      <c r="H1035" s="171"/>
    </row>
    <row r="1036" ht="14.25" spans="1:8">
      <c r="A1036" s="176">
        <v>215</v>
      </c>
      <c r="B1036" s="175" t="s">
        <v>1824</v>
      </c>
      <c r="C1036" s="181" t="s">
        <v>38</v>
      </c>
      <c r="D1036" s="190">
        <v>0.02</v>
      </c>
      <c r="E1036" s="170" t="s">
        <v>30</v>
      </c>
      <c r="F1036" s="170" t="s">
        <v>188</v>
      </c>
      <c r="G1036" s="191" t="s">
        <v>1825</v>
      </c>
      <c r="H1036" s="171"/>
    </row>
    <row r="1037" ht="14.25" spans="1:8">
      <c r="A1037" s="176">
        <v>216</v>
      </c>
      <c r="B1037" s="175" t="s">
        <v>1961</v>
      </c>
      <c r="C1037" s="181" t="s">
        <v>38</v>
      </c>
      <c r="D1037" s="190">
        <v>0.02</v>
      </c>
      <c r="E1037" s="170" t="s">
        <v>30</v>
      </c>
      <c r="F1037" s="170" t="s">
        <v>188</v>
      </c>
      <c r="G1037" s="191" t="s">
        <v>1962</v>
      </c>
      <c r="H1037" s="171"/>
    </row>
    <row r="1038" ht="14.25" spans="1:8">
      <c r="A1038" s="176">
        <v>217</v>
      </c>
      <c r="B1038" s="175" t="s">
        <v>1963</v>
      </c>
      <c r="C1038" s="181" t="s">
        <v>38</v>
      </c>
      <c r="D1038" s="190">
        <v>0.02</v>
      </c>
      <c r="E1038" s="170" t="s">
        <v>30</v>
      </c>
      <c r="F1038" s="170" t="s">
        <v>188</v>
      </c>
      <c r="G1038" s="191" t="s">
        <v>1964</v>
      </c>
      <c r="H1038" s="171"/>
    </row>
    <row r="1039" ht="14.25" spans="1:8">
      <c r="A1039" s="176">
        <v>218</v>
      </c>
      <c r="B1039" s="175" t="s">
        <v>1961</v>
      </c>
      <c r="C1039" s="181" t="s">
        <v>38</v>
      </c>
      <c r="D1039" s="190">
        <v>0.02</v>
      </c>
      <c r="E1039" s="170" t="s">
        <v>30</v>
      </c>
      <c r="F1039" s="170" t="s">
        <v>188</v>
      </c>
      <c r="G1039" s="191" t="s">
        <v>1965</v>
      </c>
      <c r="H1039" s="171"/>
    </row>
    <row r="1040" ht="14.25" spans="1:8">
      <c r="A1040" s="176">
        <v>219</v>
      </c>
      <c r="B1040" s="175" t="s">
        <v>1966</v>
      </c>
      <c r="C1040" s="181" t="s">
        <v>38</v>
      </c>
      <c r="D1040" s="190">
        <v>0.02</v>
      </c>
      <c r="E1040" s="170" t="s">
        <v>30</v>
      </c>
      <c r="F1040" s="170" t="s">
        <v>188</v>
      </c>
      <c r="G1040" s="191" t="s">
        <v>1838</v>
      </c>
      <c r="H1040" s="171"/>
    </row>
    <row r="1041" ht="14.25" spans="1:8">
      <c r="A1041" s="176">
        <v>220</v>
      </c>
      <c r="B1041" s="175" t="s">
        <v>1740</v>
      </c>
      <c r="C1041" s="181" t="s">
        <v>38</v>
      </c>
      <c r="D1041" s="190">
        <v>0.01</v>
      </c>
      <c r="E1041" s="170" t="s">
        <v>30</v>
      </c>
      <c r="F1041" s="170" t="s">
        <v>188</v>
      </c>
      <c r="G1041" s="191" t="s">
        <v>1967</v>
      </c>
      <c r="H1041" s="171"/>
    </row>
    <row r="1042" ht="14.25" spans="1:8">
      <c r="A1042" s="176">
        <v>221</v>
      </c>
      <c r="B1042" s="175" t="s">
        <v>1740</v>
      </c>
      <c r="C1042" s="181" t="s">
        <v>38</v>
      </c>
      <c r="D1042" s="190">
        <v>0.01</v>
      </c>
      <c r="E1042" s="170" t="s">
        <v>30</v>
      </c>
      <c r="F1042" s="170" t="s">
        <v>188</v>
      </c>
      <c r="G1042" s="191" t="s">
        <v>1968</v>
      </c>
      <c r="H1042" s="171" t="s">
        <v>672</v>
      </c>
    </row>
    <row r="1043" ht="14.25" spans="1:8">
      <c r="A1043" s="176">
        <v>222</v>
      </c>
      <c r="B1043" s="175" t="s">
        <v>1740</v>
      </c>
      <c r="C1043" s="181" t="s">
        <v>38</v>
      </c>
      <c r="D1043" s="190">
        <v>0.03</v>
      </c>
      <c r="E1043" s="170" t="s">
        <v>30</v>
      </c>
      <c r="F1043" s="170" t="s">
        <v>188</v>
      </c>
      <c r="G1043" s="191" t="s">
        <v>1969</v>
      </c>
      <c r="H1043" s="171"/>
    </row>
    <row r="1044" ht="14.25" spans="1:8">
      <c r="A1044" s="176">
        <v>223</v>
      </c>
      <c r="B1044" s="175" t="s">
        <v>1740</v>
      </c>
      <c r="C1044" s="181" t="s">
        <v>38</v>
      </c>
      <c r="D1044" s="190">
        <v>0.01</v>
      </c>
      <c r="E1044" s="170" t="s">
        <v>30</v>
      </c>
      <c r="F1044" s="170" t="s">
        <v>188</v>
      </c>
      <c r="G1044" s="191" t="s">
        <v>1970</v>
      </c>
      <c r="H1044" s="171"/>
    </row>
    <row r="1045" ht="14.25" spans="1:8">
      <c r="A1045" s="176">
        <v>224</v>
      </c>
      <c r="B1045" s="175" t="s">
        <v>1172</v>
      </c>
      <c r="C1045" s="181" t="s">
        <v>38</v>
      </c>
      <c r="D1045" s="190">
        <v>0.05</v>
      </c>
      <c r="E1045" s="170" t="s">
        <v>30</v>
      </c>
      <c r="F1045" s="170" t="s">
        <v>188</v>
      </c>
      <c r="G1045" s="191" t="s">
        <v>1971</v>
      </c>
      <c r="H1045" s="171"/>
    </row>
    <row r="1046" ht="14.25" spans="1:8">
      <c r="A1046" s="176">
        <v>225</v>
      </c>
      <c r="B1046" s="175" t="s">
        <v>1172</v>
      </c>
      <c r="C1046" s="181" t="s">
        <v>38</v>
      </c>
      <c r="D1046" s="190">
        <v>0.04</v>
      </c>
      <c r="E1046" s="170" t="s">
        <v>30</v>
      </c>
      <c r="F1046" s="170" t="s">
        <v>188</v>
      </c>
      <c r="G1046" s="191" t="s">
        <v>1972</v>
      </c>
      <c r="H1046" s="171"/>
    </row>
    <row r="1047" ht="14.25" spans="1:8">
      <c r="A1047" s="176">
        <v>226</v>
      </c>
      <c r="B1047" s="175" t="s">
        <v>1973</v>
      </c>
      <c r="C1047" s="181" t="s">
        <v>38</v>
      </c>
      <c r="D1047" s="190">
        <v>0.02</v>
      </c>
      <c r="E1047" s="170" t="s">
        <v>30</v>
      </c>
      <c r="F1047" s="170" t="s">
        <v>188</v>
      </c>
      <c r="G1047" s="191" t="s">
        <v>1974</v>
      </c>
      <c r="H1047" s="171"/>
    </row>
    <row r="1048" ht="14.25" spans="1:8">
      <c r="A1048" s="176">
        <v>227</v>
      </c>
      <c r="B1048" s="175" t="s">
        <v>1975</v>
      </c>
      <c r="C1048" s="181" t="s">
        <v>38</v>
      </c>
      <c r="D1048" s="190">
        <v>0.09</v>
      </c>
      <c r="E1048" s="170" t="s">
        <v>30</v>
      </c>
      <c r="F1048" s="170" t="s">
        <v>188</v>
      </c>
      <c r="G1048" s="191" t="s">
        <v>1976</v>
      </c>
      <c r="H1048" s="171"/>
    </row>
    <row r="1049" ht="14.25" spans="1:8">
      <c r="A1049" s="176">
        <v>228</v>
      </c>
      <c r="B1049" s="175" t="s">
        <v>1977</v>
      </c>
      <c r="C1049" s="181" t="s">
        <v>38</v>
      </c>
      <c r="D1049" s="190">
        <v>0.01</v>
      </c>
      <c r="E1049" s="170" t="s">
        <v>30</v>
      </c>
      <c r="F1049" s="170" t="s">
        <v>188</v>
      </c>
      <c r="G1049" s="191" t="s">
        <v>1978</v>
      </c>
      <c r="H1049" s="171"/>
    </row>
    <row r="1050" ht="14.25" spans="1:8">
      <c r="A1050" s="176">
        <v>229</v>
      </c>
      <c r="B1050" s="175" t="s">
        <v>1605</v>
      </c>
      <c r="C1050" s="181" t="s">
        <v>38</v>
      </c>
      <c r="D1050" s="190">
        <v>0.06</v>
      </c>
      <c r="E1050" s="170" t="s">
        <v>30</v>
      </c>
      <c r="F1050" s="170" t="s">
        <v>188</v>
      </c>
      <c r="G1050" s="191" t="s">
        <v>1979</v>
      </c>
      <c r="H1050" s="171"/>
    </row>
    <row r="1051" ht="14.25" spans="1:8">
      <c r="A1051" s="176">
        <v>230</v>
      </c>
      <c r="B1051" s="175" t="s">
        <v>1980</v>
      </c>
      <c r="C1051" s="181" t="s">
        <v>38</v>
      </c>
      <c r="D1051" s="190">
        <v>0.04</v>
      </c>
      <c r="E1051" s="170" t="s">
        <v>30</v>
      </c>
      <c r="F1051" s="170" t="s">
        <v>188</v>
      </c>
      <c r="G1051" s="191" t="s">
        <v>1981</v>
      </c>
      <c r="H1051" s="171"/>
    </row>
    <row r="1052" ht="14.25" spans="1:8">
      <c r="A1052" s="176">
        <v>231</v>
      </c>
      <c r="B1052" s="175" t="s">
        <v>1816</v>
      </c>
      <c r="C1052" s="181" t="s">
        <v>38</v>
      </c>
      <c r="D1052" s="190">
        <v>0.04</v>
      </c>
      <c r="E1052" s="170" t="s">
        <v>30</v>
      </c>
      <c r="F1052" s="170" t="s">
        <v>188</v>
      </c>
      <c r="G1052" s="191" t="s">
        <v>1982</v>
      </c>
      <c r="H1052" s="171"/>
    </row>
    <row r="1053" ht="14.25" spans="1:8">
      <c r="A1053" s="176">
        <v>232</v>
      </c>
      <c r="B1053" s="175" t="s">
        <v>1983</v>
      </c>
      <c r="C1053" s="181" t="s">
        <v>38</v>
      </c>
      <c r="D1053" s="190">
        <v>0.03</v>
      </c>
      <c r="E1053" s="170" t="s">
        <v>30</v>
      </c>
      <c r="F1053" s="170" t="s">
        <v>188</v>
      </c>
      <c r="G1053" s="191" t="s">
        <v>1863</v>
      </c>
      <c r="H1053" s="171"/>
    </row>
    <row r="1054" ht="14.25" spans="1:8">
      <c r="A1054" s="176">
        <v>233</v>
      </c>
      <c r="B1054" s="175" t="s">
        <v>1984</v>
      </c>
      <c r="C1054" s="181" t="s">
        <v>38</v>
      </c>
      <c r="D1054" s="190">
        <v>0.02</v>
      </c>
      <c r="E1054" s="170" t="s">
        <v>30</v>
      </c>
      <c r="F1054" s="170" t="s">
        <v>188</v>
      </c>
      <c r="G1054" s="191" t="s">
        <v>1985</v>
      </c>
      <c r="H1054" s="171"/>
    </row>
    <row r="1055" ht="14.25" spans="1:8">
      <c r="A1055" s="176">
        <v>234</v>
      </c>
      <c r="B1055" s="175" t="s">
        <v>1278</v>
      </c>
      <c r="C1055" s="181" t="s">
        <v>38</v>
      </c>
      <c r="D1055" s="190">
        <v>0.03</v>
      </c>
      <c r="E1055" s="170" t="s">
        <v>30</v>
      </c>
      <c r="F1055" s="170" t="s">
        <v>188</v>
      </c>
      <c r="G1055" s="191" t="s">
        <v>1986</v>
      </c>
      <c r="H1055" s="171"/>
    </row>
    <row r="1056" ht="14.25" spans="1:8">
      <c r="A1056" s="176">
        <v>235</v>
      </c>
      <c r="B1056" s="175" t="s">
        <v>1643</v>
      </c>
      <c r="C1056" s="181" t="s">
        <v>38</v>
      </c>
      <c r="D1056" s="190">
        <v>0.03</v>
      </c>
      <c r="E1056" s="170" t="s">
        <v>30</v>
      </c>
      <c r="F1056" s="170" t="s">
        <v>188</v>
      </c>
      <c r="G1056" s="191" t="s">
        <v>1987</v>
      </c>
      <c r="H1056" s="171"/>
    </row>
    <row r="1057" ht="14.25" spans="1:8">
      <c r="A1057" s="176">
        <v>236</v>
      </c>
      <c r="B1057" s="175" t="s">
        <v>1988</v>
      </c>
      <c r="C1057" s="181" t="s">
        <v>38</v>
      </c>
      <c r="D1057" s="190">
        <v>0.04</v>
      </c>
      <c r="E1057" s="170" t="s">
        <v>30</v>
      </c>
      <c r="F1057" s="170" t="s">
        <v>188</v>
      </c>
      <c r="G1057" s="191" t="s">
        <v>1989</v>
      </c>
      <c r="H1057" s="171"/>
    </row>
    <row r="1058" ht="14.25" spans="1:8">
      <c r="A1058" s="176">
        <v>237</v>
      </c>
      <c r="B1058" s="175" t="s">
        <v>1988</v>
      </c>
      <c r="C1058" s="181" t="s">
        <v>38</v>
      </c>
      <c r="D1058" s="190">
        <v>0.04</v>
      </c>
      <c r="E1058" s="170" t="s">
        <v>30</v>
      </c>
      <c r="F1058" s="170" t="s">
        <v>188</v>
      </c>
      <c r="G1058" s="191" t="s">
        <v>1990</v>
      </c>
      <c r="H1058" s="171"/>
    </row>
    <row r="1059" ht="14.25" spans="1:8">
      <c r="A1059" s="176">
        <v>238</v>
      </c>
      <c r="B1059" s="175" t="s">
        <v>1988</v>
      </c>
      <c r="C1059" s="181" t="s">
        <v>38</v>
      </c>
      <c r="D1059" s="190">
        <v>0.04</v>
      </c>
      <c r="E1059" s="170" t="s">
        <v>30</v>
      </c>
      <c r="F1059" s="170" t="s">
        <v>188</v>
      </c>
      <c r="G1059" s="191" t="s">
        <v>1991</v>
      </c>
      <c r="H1059" s="171"/>
    </row>
    <row r="1060" ht="14.25" spans="1:8">
      <c r="A1060" s="176">
        <v>239</v>
      </c>
      <c r="B1060" s="175" t="s">
        <v>1988</v>
      </c>
      <c r="C1060" s="181" t="s">
        <v>38</v>
      </c>
      <c r="D1060" s="190">
        <v>0.04</v>
      </c>
      <c r="E1060" s="170" t="s">
        <v>30</v>
      </c>
      <c r="F1060" s="170" t="s">
        <v>188</v>
      </c>
      <c r="G1060" s="191" t="s">
        <v>1992</v>
      </c>
      <c r="H1060" s="171"/>
    </row>
    <row r="1061" ht="14.25" spans="1:8">
      <c r="A1061" s="176">
        <v>240</v>
      </c>
      <c r="B1061" s="175" t="s">
        <v>1988</v>
      </c>
      <c r="C1061" s="181" t="s">
        <v>38</v>
      </c>
      <c r="D1061" s="190">
        <v>0.04</v>
      </c>
      <c r="E1061" s="170" t="s">
        <v>30</v>
      </c>
      <c r="F1061" s="170" t="s">
        <v>188</v>
      </c>
      <c r="G1061" s="191" t="s">
        <v>1993</v>
      </c>
      <c r="H1061" s="171"/>
    </row>
    <row r="1062" ht="14.25" spans="1:8">
      <c r="A1062" s="176">
        <v>241</v>
      </c>
      <c r="B1062" s="175" t="s">
        <v>1988</v>
      </c>
      <c r="C1062" s="181" t="s">
        <v>38</v>
      </c>
      <c r="D1062" s="190">
        <v>0.04</v>
      </c>
      <c r="E1062" s="170" t="s">
        <v>30</v>
      </c>
      <c r="F1062" s="170" t="s">
        <v>188</v>
      </c>
      <c r="G1062" s="191" t="s">
        <v>1994</v>
      </c>
      <c r="H1062" s="171"/>
    </row>
    <row r="1063" ht="14.25" spans="1:8">
      <c r="A1063" s="176">
        <v>242</v>
      </c>
      <c r="B1063" s="175" t="s">
        <v>1988</v>
      </c>
      <c r="C1063" s="181" t="s">
        <v>38</v>
      </c>
      <c r="D1063" s="190">
        <v>0.04</v>
      </c>
      <c r="E1063" s="170" t="s">
        <v>30</v>
      </c>
      <c r="F1063" s="170" t="s">
        <v>188</v>
      </c>
      <c r="G1063" s="191" t="s">
        <v>1995</v>
      </c>
      <c r="H1063" s="171"/>
    </row>
    <row r="1064" ht="14.25" spans="1:8">
      <c r="A1064" s="176">
        <v>243</v>
      </c>
      <c r="B1064" s="175" t="s">
        <v>1988</v>
      </c>
      <c r="C1064" s="181" t="s">
        <v>38</v>
      </c>
      <c r="D1064" s="190">
        <v>0.02</v>
      </c>
      <c r="E1064" s="170" t="s">
        <v>30</v>
      </c>
      <c r="F1064" s="170" t="s">
        <v>188</v>
      </c>
      <c r="G1064" s="191" t="s">
        <v>1996</v>
      </c>
      <c r="H1064" s="171"/>
    </row>
    <row r="1065" ht="14.25" spans="1:8">
      <c r="A1065" s="176">
        <v>244</v>
      </c>
      <c r="B1065" s="175" t="s">
        <v>1836</v>
      </c>
      <c r="C1065" s="181" t="s">
        <v>38</v>
      </c>
      <c r="D1065" s="190">
        <v>0.04</v>
      </c>
      <c r="E1065" s="170" t="s">
        <v>30</v>
      </c>
      <c r="F1065" s="170" t="s">
        <v>188</v>
      </c>
      <c r="G1065" s="191" t="s">
        <v>1997</v>
      </c>
      <c r="H1065" s="171"/>
    </row>
    <row r="1066" ht="14.25" spans="1:8">
      <c r="A1066" s="176">
        <v>245</v>
      </c>
      <c r="B1066" s="175" t="s">
        <v>1836</v>
      </c>
      <c r="C1066" s="181" t="s">
        <v>38</v>
      </c>
      <c r="D1066" s="190">
        <v>0.04</v>
      </c>
      <c r="E1066" s="170" t="s">
        <v>30</v>
      </c>
      <c r="F1066" s="170" t="s">
        <v>188</v>
      </c>
      <c r="G1066" s="191" t="s">
        <v>1998</v>
      </c>
      <c r="H1066" s="171"/>
    </row>
    <row r="1067" ht="14.25" spans="1:8">
      <c r="A1067" s="176">
        <v>246</v>
      </c>
      <c r="B1067" s="175" t="s">
        <v>1836</v>
      </c>
      <c r="C1067" s="181" t="s">
        <v>38</v>
      </c>
      <c r="D1067" s="190">
        <v>0.04</v>
      </c>
      <c r="E1067" s="170" t="s">
        <v>30</v>
      </c>
      <c r="F1067" s="170" t="s">
        <v>188</v>
      </c>
      <c r="G1067" s="191" t="s">
        <v>1999</v>
      </c>
      <c r="H1067" s="171"/>
    </row>
    <row r="1068" ht="25.5" spans="1:8">
      <c r="A1068" s="176">
        <v>247</v>
      </c>
      <c r="B1068" s="175" t="s">
        <v>1828</v>
      </c>
      <c r="C1068" s="181" t="s">
        <v>38</v>
      </c>
      <c r="D1068" s="190">
        <v>0.04</v>
      </c>
      <c r="E1068" s="170" t="s">
        <v>30</v>
      </c>
      <c r="F1068" s="170" t="s">
        <v>188</v>
      </c>
      <c r="G1068" s="191" t="s">
        <v>2000</v>
      </c>
      <c r="H1068" s="171" t="s">
        <v>634</v>
      </c>
    </row>
    <row r="1069" ht="25.5" spans="1:8">
      <c r="A1069" s="176">
        <v>248</v>
      </c>
      <c r="B1069" s="175" t="s">
        <v>1828</v>
      </c>
      <c r="C1069" s="181" t="s">
        <v>38</v>
      </c>
      <c r="D1069" s="190">
        <v>0.04</v>
      </c>
      <c r="E1069" s="170" t="s">
        <v>30</v>
      </c>
      <c r="F1069" s="170" t="s">
        <v>188</v>
      </c>
      <c r="G1069" s="191" t="s">
        <v>2001</v>
      </c>
      <c r="H1069" s="171" t="s">
        <v>634</v>
      </c>
    </row>
    <row r="1070" ht="14.25" spans="1:8">
      <c r="A1070" s="176">
        <v>249</v>
      </c>
      <c r="B1070" s="175" t="s">
        <v>1828</v>
      </c>
      <c r="C1070" s="181" t="s">
        <v>38</v>
      </c>
      <c r="D1070" s="190">
        <v>0.04</v>
      </c>
      <c r="E1070" s="170" t="s">
        <v>30</v>
      </c>
      <c r="F1070" s="170" t="s">
        <v>188</v>
      </c>
      <c r="G1070" s="191" t="s">
        <v>2002</v>
      </c>
      <c r="H1070" s="171"/>
    </row>
    <row r="1071" ht="14.25" spans="1:8">
      <c r="A1071" s="176">
        <v>250</v>
      </c>
      <c r="B1071" s="175" t="s">
        <v>2003</v>
      </c>
      <c r="C1071" s="181" t="s">
        <v>38</v>
      </c>
      <c r="D1071" s="190">
        <v>0.04</v>
      </c>
      <c r="E1071" s="170" t="s">
        <v>30</v>
      </c>
      <c r="F1071" s="170" t="s">
        <v>188</v>
      </c>
      <c r="G1071" s="191" t="s">
        <v>2004</v>
      </c>
      <c r="H1071" s="171" t="s">
        <v>672</v>
      </c>
    </row>
    <row r="1072" ht="14.25" spans="1:8">
      <c r="A1072" s="176">
        <v>251</v>
      </c>
      <c r="B1072" s="175" t="s">
        <v>2003</v>
      </c>
      <c r="C1072" s="181" t="s">
        <v>38</v>
      </c>
      <c r="D1072" s="190">
        <v>0.04</v>
      </c>
      <c r="E1072" s="170" t="s">
        <v>30</v>
      </c>
      <c r="F1072" s="170" t="s">
        <v>188</v>
      </c>
      <c r="G1072" s="191" t="s">
        <v>2005</v>
      </c>
      <c r="H1072" s="171" t="s">
        <v>672</v>
      </c>
    </row>
    <row r="1073" ht="14.25" spans="1:8">
      <c r="A1073" s="176">
        <v>252</v>
      </c>
      <c r="B1073" s="175" t="s">
        <v>2003</v>
      </c>
      <c r="C1073" s="181" t="s">
        <v>38</v>
      </c>
      <c r="D1073" s="190">
        <v>0.04</v>
      </c>
      <c r="E1073" s="170" t="s">
        <v>30</v>
      </c>
      <c r="F1073" s="170" t="s">
        <v>188</v>
      </c>
      <c r="G1073" s="191" t="s">
        <v>2006</v>
      </c>
      <c r="H1073" s="171" t="s">
        <v>672</v>
      </c>
    </row>
    <row r="1074" ht="25.5" spans="1:8">
      <c r="A1074" s="176">
        <v>253</v>
      </c>
      <c r="B1074" s="175" t="s">
        <v>2003</v>
      </c>
      <c r="C1074" s="181" t="s">
        <v>38</v>
      </c>
      <c r="D1074" s="190">
        <v>0.04</v>
      </c>
      <c r="E1074" s="170" t="s">
        <v>30</v>
      </c>
      <c r="F1074" s="170" t="s">
        <v>188</v>
      </c>
      <c r="G1074" s="191" t="s">
        <v>2007</v>
      </c>
      <c r="H1074" s="171" t="s">
        <v>634</v>
      </c>
    </row>
    <row r="1075" ht="25.5" spans="1:8">
      <c r="A1075" s="176">
        <v>254</v>
      </c>
      <c r="B1075" s="175" t="s">
        <v>2003</v>
      </c>
      <c r="C1075" s="181" t="s">
        <v>38</v>
      </c>
      <c r="D1075" s="190">
        <v>0.04</v>
      </c>
      <c r="E1075" s="170" t="s">
        <v>30</v>
      </c>
      <c r="F1075" s="170" t="s">
        <v>188</v>
      </c>
      <c r="G1075" s="191" t="s">
        <v>2008</v>
      </c>
      <c r="H1075" s="171" t="s">
        <v>634</v>
      </c>
    </row>
    <row r="1076" ht="14.25" spans="1:8">
      <c r="A1076" s="176">
        <v>255</v>
      </c>
      <c r="B1076" s="175" t="s">
        <v>2003</v>
      </c>
      <c r="C1076" s="181" t="s">
        <v>38</v>
      </c>
      <c r="D1076" s="190">
        <v>0.04</v>
      </c>
      <c r="E1076" s="170" t="s">
        <v>30</v>
      </c>
      <c r="F1076" s="170" t="s">
        <v>188</v>
      </c>
      <c r="G1076" s="191" t="s">
        <v>2009</v>
      </c>
      <c r="H1076" s="171" t="s">
        <v>672</v>
      </c>
    </row>
    <row r="1077" ht="25.5" spans="1:8">
      <c r="A1077" s="176">
        <v>256</v>
      </c>
      <c r="B1077" s="175" t="s">
        <v>2003</v>
      </c>
      <c r="C1077" s="181" t="s">
        <v>38</v>
      </c>
      <c r="D1077" s="190">
        <v>0.04</v>
      </c>
      <c r="E1077" s="170" t="s">
        <v>30</v>
      </c>
      <c r="F1077" s="170" t="s">
        <v>188</v>
      </c>
      <c r="G1077" s="191" t="s">
        <v>2010</v>
      </c>
      <c r="H1077" s="171" t="s">
        <v>701</v>
      </c>
    </row>
    <row r="1078" ht="25.5" spans="1:8">
      <c r="A1078" s="176">
        <v>257</v>
      </c>
      <c r="B1078" s="175" t="s">
        <v>2003</v>
      </c>
      <c r="C1078" s="181" t="s">
        <v>38</v>
      </c>
      <c r="D1078" s="190">
        <v>0.04</v>
      </c>
      <c r="E1078" s="170" t="s">
        <v>30</v>
      </c>
      <c r="F1078" s="170" t="s">
        <v>188</v>
      </c>
      <c r="G1078" s="191" t="s">
        <v>2011</v>
      </c>
      <c r="H1078" s="171" t="s">
        <v>634</v>
      </c>
    </row>
    <row r="1079" ht="14.25" spans="1:8">
      <c r="A1079" s="176">
        <v>258</v>
      </c>
      <c r="B1079" s="175" t="s">
        <v>2003</v>
      </c>
      <c r="C1079" s="181" t="s">
        <v>38</v>
      </c>
      <c r="D1079" s="190">
        <v>0.02</v>
      </c>
      <c r="E1079" s="170" t="s">
        <v>30</v>
      </c>
      <c r="F1079" s="170" t="s">
        <v>188</v>
      </c>
      <c r="G1079" s="191" t="s">
        <v>2012</v>
      </c>
      <c r="H1079" s="171" t="s">
        <v>672</v>
      </c>
    </row>
    <row r="1080" ht="14.25" spans="1:8">
      <c r="A1080" s="176">
        <v>259</v>
      </c>
      <c r="B1080" s="175" t="s">
        <v>1385</v>
      </c>
      <c r="C1080" s="181" t="s">
        <v>38</v>
      </c>
      <c r="D1080" s="190">
        <v>0.07</v>
      </c>
      <c r="E1080" s="170" t="s">
        <v>30</v>
      </c>
      <c r="F1080" s="170" t="s">
        <v>188</v>
      </c>
      <c r="G1080" s="191" t="s">
        <v>2013</v>
      </c>
      <c r="H1080" s="171"/>
    </row>
    <row r="1081" ht="14.25" spans="1:8">
      <c r="A1081" s="176">
        <v>260</v>
      </c>
      <c r="B1081" s="175" t="s">
        <v>2014</v>
      </c>
      <c r="C1081" s="181" t="s">
        <v>38</v>
      </c>
      <c r="D1081" s="190">
        <v>0.05</v>
      </c>
      <c r="E1081" s="170" t="s">
        <v>30</v>
      </c>
      <c r="F1081" s="170" t="s">
        <v>188</v>
      </c>
      <c r="G1081" s="191" t="s">
        <v>2015</v>
      </c>
      <c r="H1081" s="171" t="s">
        <v>672</v>
      </c>
    </row>
    <row r="1082" ht="14.25" spans="1:8">
      <c r="A1082" s="176">
        <v>261</v>
      </c>
      <c r="B1082" s="175" t="s">
        <v>2016</v>
      </c>
      <c r="C1082" s="181" t="s">
        <v>38</v>
      </c>
      <c r="D1082" s="190">
        <v>0.04</v>
      </c>
      <c r="E1082" s="170" t="s">
        <v>30</v>
      </c>
      <c r="F1082" s="170" t="s">
        <v>188</v>
      </c>
      <c r="G1082" s="191" t="s">
        <v>2017</v>
      </c>
      <c r="H1082" s="171"/>
    </row>
    <row r="1083" ht="14.25" spans="1:8">
      <c r="A1083" s="176">
        <v>262</v>
      </c>
      <c r="B1083" s="175" t="s">
        <v>2018</v>
      </c>
      <c r="C1083" s="181" t="s">
        <v>38</v>
      </c>
      <c r="D1083" s="190">
        <v>0.04</v>
      </c>
      <c r="E1083" s="170" t="s">
        <v>30</v>
      </c>
      <c r="F1083" s="170" t="s">
        <v>188</v>
      </c>
      <c r="G1083" s="191" t="s">
        <v>2019</v>
      </c>
      <c r="H1083" s="171"/>
    </row>
    <row r="1084" ht="14.25" spans="1:8">
      <c r="A1084" s="176">
        <v>263</v>
      </c>
      <c r="B1084" s="175" t="s">
        <v>2020</v>
      </c>
      <c r="C1084" s="181" t="s">
        <v>38</v>
      </c>
      <c r="D1084" s="190">
        <v>0.05</v>
      </c>
      <c r="E1084" s="170" t="s">
        <v>30</v>
      </c>
      <c r="F1084" s="170" t="s">
        <v>188</v>
      </c>
      <c r="G1084" s="191" t="s">
        <v>2021</v>
      </c>
      <c r="H1084" s="171"/>
    </row>
    <row r="1085" ht="14.25" spans="1:8">
      <c r="A1085" s="176">
        <v>264</v>
      </c>
      <c r="B1085" s="175" t="s">
        <v>2020</v>
      </c>
      <c r="C1085" s="181" t="s">
        <v>38</v>
      </c>
      <c r="D1085" s="190">
        <v>0.05</v>
      </c>
      <c r="E1085" s="170" t="s">
        <v>30</v>
      </c>
      <c r="F1085" s="170" t="s">
        <v>188</v>
      </c>
      <c r="G1085" s="191" t="s">
        <v>2022</v>
      </c>
      <c r="H1085" s="171"/>
    </row>
    <row r="1086" ht="14.25" spans="1:8">
      <c r="A1086" s="176">
        <v>265</v>
      </c>
      <c r="B1086" s="175" t="s">
        <v>2020</v>
      </c>
      <c r="C1086" s="181" t="s">
        <v>38</v>
      </c>
      <c r="D1086" s="190">
        <v>0.04</v>
      </c>
      <c r="E1086" s="170" t="s">
        <v>30</v>
      </c>
      <c r="F1086" s="170" t="s">
        <v>188</v>
      </c>
      <c r="G1086" s="191" t="s">
        <v>2023</v>
      </c>
      <c r="H1086" s="171"/>
    </row>
    <row r="1087" ht="14.25" spans="1:8">
      <c r="A1087" s="176">
        <v>266</v>
      </c>
      <c r="B1087" s="175" t="s">
        <v>2020</v>
      </c>
      <c r="C1087" s="181" t="s">
        <v>38</v>
      </c>
      <c r="D1087" s="190">
        <v>0.04</v>
      </c>
      <c r="E1087" s="170" t="s">
        <v>30</v>
      </c>
      <c r="F1087" s="170" t="s">
        <v>188</v>
      </c>
      <c r="G1087" s="191" t="s">
        <v>2024</v>
      </c>
      <c r="H1087" s="171"/>
    </row>
    <row r="1088" ht="14.25" spans="1:8">
      <c r="A1088" s="176">
        <v>267</v>
      </c>
      <c r="B1088" s="175" t="s">
        <v>2020</v>
      </c>
      <c r="C1088" s="181" t="s">
        <v>38</v>
      </c>
      <c r="D1088" s="190">
        <v>0.04</v>
      </c>
      <c r="E1088" s="170" t="s">
        <v>30</v>
      </c>
      <c r="F1088" s="170" t="s">
        <v>188</v>
      </c>
      <c r="G1088" s="191" t="s">
        <v>2025</v>
      </c>
      <c r="H1088" s="171"/>
    </row>
    <row r="1089" ht="14.25" spans="1:8">
      <c r="A1089" s="176">
        <v>268</v>
      </c>
      <c r="B1089" s="175" t="s">
        <v>2026</v>
      </c>
      <c r="C1089" s="181" t="s">
        <v>38</v>
      </c>
      <c r="D1089" s="190">
        <v>0.15</v>
      </c>
      <c r="E1089" s="170" t="s">
        <v>30</v>
      </c>
      <c r="F1089" s="170" t="s">
        <v>188</v>
      </c>
      <c r="G1089" s="191" t="s">
        <v>2027</v>
      </c>
      <c r="H1089" s="171"/>
    </row>
    <row r="1090" ht="14.25" spans="1:8">
      <c r="A1090" s="176">
        <v>269</v>
      </c>
      <c r="B1090" s="175" t="s">
        <v>2028</v>
      </c>
      <c r="C1090" s="181" t="s">
        <v>38</v>
      </c>
      <c r="D1090" s="190">
        <v>0.07</v>
      </c>
      <c r="E1090" s="170" t="s">
        <v>30</v>
      </c>
      <c r="F1090" s="170" t="s">
        <v>188</v>
      </c>
      <c r="G1090" s="191" t="s">
        <v>1971</v>
      </c>
      <c r="H1090" s="171" t="s">
        <v>672</v>
      </c>
    </row>
    <row r="1091" ht="14.25" spans="1:8">
      <c r="A1091" s="176">
        <v>270</v>
      </c>
      <c r="B1091" s="175" t="s">
        <v>2028</v>
      </c>
      <c r="C1091" s="181" t="s">
        <v>38</v>
      </c>
      <c r="D1091" s="190">
        <v>0.08</v>
      </c>
      <c r="E1091" s="170" t="s">
        <v>30</v>
      </c>
      <c r="F1091" s="170" t="s">
        <v>188</v>
      </c>
      <c r="G1091" s="191" t="s">
        <v>1972</v>
      </c>
      <c r="H1091" s="171"/>
    </row>
    <row r="1092" ht="14.25" spans="1:8">
      <c r="A1092" s="176">
        <v>271</v>
      </c>
      <c r="B1092" s="182" t="s">
        <v>2029</v>
      </c>
      <c r="C1092" s="181" t="s">
        <v>38</v>
      </c>
      <c r="D1092" s="190">
        <v>0.08</v>
      </c>
      <c r="E1092" s="170" t="s">
        <v>30</v>
      </c>
      <c r="F1092" s="170" t="s">
        <v>188</v>
      </c>
      <c r="G1092" s="191" t="s">
        <v>2030</v>
      </c>
      <c r="H1092" s="171"/>
    </row>
    <row r="1093" ht="14.25" spans="1:8">
      <c r="A1093" s="176">
        <v>272</v>
      </c>
      <c r="B1093" s="215" t="s">
        <v>2031</v>
      </c>
      <c r="C1093" s="181" t="s">
        <v>38</v>
      </c>
      <c r="D1093" s="190">
        <v>0.08</v>
      </c>
      <c r="E1093" s="170" t="s">
        <v>30</v>
      </c>
      <c r="F1093" s="170" t="s">
        <v>188</v>
      </c>
      <c r="G1093" s="191" t="s">
        <v>2032</v>
      </c>
      <c r="H1093" s="171"/>
    </row>
    <row r="1094" ht="14.25" spans="1:8">
      <c r="A1094" s="176">
        <v>273</v>
      </c>
      <c r="B1094" s="175" t="s">
        <v>1810</v>
      </c>
      <c r="C1094" s="181" t="s">
        <v>38</v>
      </c>
      <c r="D1094" s="190">
        <v>0.08</v>
      </c>
      <c r="E1094" s="170" t="s">
        <v>30</v>
      </c>
      <c r="F1094" s="170" t="s">
        <v>188</v>
      </c>
      <c r="G1094" s="191" t="s">
        <v>1820</v>
      </c>
      <c r="H1094" s="171"/>
    </row>
    <row r="1095" ht="14.25" spans="1:8">
      <c r="A1095" s="176">
        <v>274</v>
      </c>
      <c r="B1095" s="175" t="s">
        <v>2033</v>
      </c>
      <c r="C1095" s="181" t="s">
        <v>38</v>
      </c>
      <c r="D1095" s="190">
        <v>0.04</v>
      </c>
      <c r="E1095" s="170" t="s">
        <v>30</v>
      </c>
      <c r="F1095" s="170" t="s">
        <v>188</v>
      </c>
      <c r="G1095" s="191" t="s">
        <v>2034</v>
      </c>
      <c r="H1095" s="171"/>
    </row>
    <row r="1096" ht="14.25" spans="1:8">
      <c r="A1096" s="176">
        <v>275</v>
      </c>
      <c r="B1096" s="175" t="s">
        <v>2035</v>
      </c>
      <c r="C1096" s="181" t="s">
        <v>38</v>
      </c>
      <c r="D1096" s="190">
        <v>0.04</v>
      </c>
      <c r="E1096" s="170" t="s">
        <v>30</v>
      </c>
      <c r="F1096" s="170" t="s">
        <v>188</v>
      </c>
      <c r="G1096" s="191" t="s">
        <v>2036</v>
      </c>
      <c r="H1096" s="171"/>
    </row>
    <row r="1097" ht="14.25" spans="1:8">
      <c r="A1097" s="176">
        <v>276</v>
      </c>
      <c r="B1097" s="175" t="s">
        <v>2037</v>
      </c>
      <c r="C1097" s="181" t="s">
        <v>38</v>
      </c>
      <c r="D1097" s="190">
        <v>0.04</v>
      </c>
      <c r="E1097" s="170" t="s">
        <v>30</v>
      </c>
      <c r="F1097" s="170" t="s">
        <v>188</v>
      </c>
      <c r="G1097" s="191" t="s">
        <v>2038</v>
      </c>
      <c r="H1097" s="171"/>
    </row>
    <row r="1098" ht="14.25" spans="1:8">
      <c r="A1098" s="176">
        <v>277</v>
      </c>
      <c r="B1098" s="175" t="s">
        <v>2039</v>
      </c>
      <c r="C1098" s="181" t="s">
        <v>38</v>
      </c>
      <c r="D1098" s="190">
        <v>0.05</v>
      </c>
      <c r="E1098" s="170" t="s">
        <v>30</v>
      </c>
      <c r="F1098" s="170" t="s">
        <v>188</v>
      </c>
      <c r="G1098" s="191" t="s">
        <v>2040</v>
      </c>
      <c r="H1098" s="171"/>
    </row>
    <row r="1099" ht="14.25" spans="1:8">
      <c r="A1099" s="176">
        <v>278</v>
      </c>
      <c r="B1099" s="175" t="s">
        <v>2041</v>
      </c>
      <c r="C1099" s="181" t="s">
        <v>38</v>
      </c>
      <c r="D1099" s="190">
        <v>0.04</v>
      </c>
      <c r="E1099" s="170" t="s">
        <v>30</v>
      </c>
      <c r="F1099" s="170" t="s">
        <v>188</v>
      </c>
      <c r="G1099" s="191" t="s">
        <v>2042</v>
      </c>
      <c r="H1099" s="171"/>
    </row>
    <row r="1100" ht="14.25" spans="1:8">
      <c r="A1100" s="176">
        <v>279</v>
      </c>
      <c r="B1100" s="175" t="s">
        <v>2043</v>
      </c>
      <c r="C1100" s="181" t="s">
        <v>38</v>
      </c>
      <c r="D1100" s="190">
        <v>0.01</v>
      </c>
      <c r="E1100" s="170" t="s">
        <v>30</v>
      </c>
      <c r="F1100" s="170" t="s">
        <v>188</v>
      </c>
      <c r="G1100" s="191" t="s">
        <v>2044</v>
      </c>
      <c r="H1100" s="171"/>
    </row>
    <row r="1101" ht="14.25" spans="1:8">
      <c r="A1101" s="176">
        <v>280</v>
      </c>
      <c r="B1101" s="175" t="s">
        <v>2045</v>
      </c>
      <c r="C1101" s="181" t="s">
        <v>38</v>
      </c>
      <c r="D1101" s="190">
        <v>0.06</v>
      </c>
      <c r="E1101" s="170" t="s">
        <v>30</v>
      </c>
      <c r="F1101" s="170" t="s">
        <v>188</v>
      </c>
      <c r="G1101" s="191" t="s">
        <v>2046</v>
      </c>
      <c r="H1101" s="171"/>
    </row>
    <row r="1102" ht="14.25" spans="1:8">
      <c r="A1102" s="176">
        <v>281</v>
      </c>
      <c r="B1102" s="175" t="s">
        <v>2047</v>
      </c>
      <c r="C1102" s="181" t="s">
        <v>38</v>
      </c>
      <c r="D1102" s="190">
        <v>0.02</v>
      </c>
      <c r="E1102" s="170" t="s">
        <v>30</v>
      </c>
      <c r="F1102" s="170" t="s">
        <v>188</v>
      </c>
      <c r="G1102" s="191" t="s">
        <v>1838</v>
      </c>
      <c r="H1102" s="171"/>
    </row>
    <row r="1103" ht="14.25" spans="1:8">
      <c r="A1103" s="176">
        <v>282</v>
      </c>
      <c r="B1103" s="175" t="s">
        <v>2048</v>
      </c>
      <c r="C1103" s="181" t="s">
        <v>38</v>
      </c>
      <c r="D1103" s="190">
        <v>0.05</v>
      </c>
      <c r="E1103" s="170" t="s">
        <v>30</v>
      </c>
      <c r="F1103" s="170" t="s">
        <v>188</v>
      </c>
      <c r="G1103" s="191" t="s">
        <v>2049</v>
      </c>
      <c r="H1103" s="171"/>
    </row>
    <row r="1104" ht="14.25" spans="1:8">
      <c r="A1104" s="176">
        <v>283</v>
      </c>
      <c r="B1104" s="175" t="s">
        <v>2050</v>
      </c>
      <c r="C1104" s="181" t="s">
        <v>38</v>
      </c>
      <c r="D1104" s="190">
        <v>0.03</v>
      </c>
      <c r="E1104" s="170" t="s">
        <v>30</v>
      </c>
      <c r="F1104" s="170" t="s">
        <v>188</v>
      </c>
      <c r="G1104" s="191" t="s">
        <v>2051</v>
      </c>
      <c r="H1104" s="171"/>
    </row>
    <row r="1105" ht="14.25" spans="1:8">
      <c r="A1105" s="176">
        <v>284</v>
      </c>
      <c r="B1105" s="175" t="s">
        <v>1693</v>
      </c>
      <c r="C1105" s="181" t="s">
        <v>38</v>
      </c>
      <c r="D1105" s="190">
        <v>0.02</v>
      </c>
      <c r="E1105" s="170" t="s">
        <v>30</v>
      </c>
      <c r="F1105" s="170" t="s">
        <v>188</v>
      </c>
      <c r="G1105" s="191" t="s">
        <v>1892</v>
      </c>
      <c r="H1105" s="171"/>
    </row>
    <row r="1106" ht="14.25" spans="1:8">
      <c r="A1106" s="176">
        <v>285</v>
      </c>
      <c r="B1106" s="175" t="s">
        <v>2052</v>
      </c>
      <c r="C1106" s="181" t="s">
        <v>38</v>
      </c>
      <c r="D1106" s="190">
        <v>0.03</v>
      </c>
      <c r="E1106" s="170" t="s">
        <v>30</v>
      </c>
      <c r="F1106" s="170" t="s">
        <v>188</v>
      </c>
      <c r="G1106" s="191" t="s">
        <v>2053</v>
      </c>
      <c r="H1106" s="171"/>
    </row>
    <row r="1107" ht="14.25" spans="1:8">
      <c r="A1107" s="176">
        <v>286</v>
      </c>
      <c r="B1107" s="175" t="s">
        <v>2054</v>
      </c>
      <c r="C1107" s="181" t="s">
        <v>38</v>
      </c>
      <c r="D1107" s="190">
        <v>0.04</v>
      </c>
      <c r="E1107" s="170" t="s">
        <v>30</v>
      </c>
      <c r="F1107" s="170" t="s">
        <v>188</v>
      </c>
      <c r="G1107" s="191" t="s">
        <v>2055</v>
      </c>
      <c r="H1107" s="171"/>
    </row>
    <row r="1108" ht="14.25" spans="1:8">
      <c r="A1108" s="176">
        <v>287</v>
      </c>
      <c r="B1108" s="175" t="s">
        <v>2056</v>
      </c>
      <c r="C1108" s="181" t="s">
        <v>38</v>
      </c>
      <c r="D1108" s="190">
        <v>0.04</v>
      </c>
      <c r="E1108" s="170" t="s">
        <v>30</v>
      </c>
      <c r="F1108" s="170" t="s">
        <v>188</v>
      </c>
      <c r="G1108" s="191" t="s">
        <v>2057</v>
      </c>
      <c r="H1108" s="171"/>
    </row>
    <row r="1109" ht="14.25" spans="1:8">
      <c r="A1109" s="176">
        <v>288</v>
      </c>
      <c r="B1109" s="175" t="s">
        <v>1183</v>
      </c>
      <c r="C1109" s="181" t="s">
        <v>38</v>
      </c>
      <c r="D1109" s="190">
        <v>0.03</v>
      </c>
      <c r="E1109" s="170" t="s">
        <v>30</v>
      </c>
      <c r="F1109" s="170" t="s">
        <v>188</v>
      </c>
      <c r="G1109" s="191" t="s">
        <v>1598</v>
      </c>
      <c r="H1109" s="171"/>
    </row>
    <row r="1110" ht="14.25" spans="1:8">
      <c r="A1110" s="176">
        <v>289</v>
      </c>
      <c r="B1110" s="175" t="s">
        <v>2058</v>
      </c>
      <c r="C1110" s="181" t="s">
        <v>38</v>
      </c>
      <c r="D1110" s="190">
        <v>0.02</v>
      </c>
      <c r="E1110" s="170" t="s">
        <v>30</v>
      </c>
      <c r="F1110" s="170" t="s">
        <v>188</v>
      </c>
      <c r="G1110" s="191" t="s">
        <v>2059</v>
      </c>
      <c r="H1110" s="171"/>
    </row>
    <row r="1111" ht="14.25" spans="1:8">
      <c r="A1111" s="176">
        <v>290</v>
      </c>
      <c r="B1111" s="175" t="s">
        <v>1795</v>
      </c>
      <c r="C1111" s="181" t="s">
        <v>38</v>
      </c>
      <c r="D1111" s="190">
        <v>0.01</v>
      </c>
      <c r="E1111" s="170" t="s">
        <v>30</v>
      </c>
      <c r="F1111" s="170" t="s">
        <v>188</v>
      </c>
      <c r="G1111" s="191" t="s">
        <v>2060</v>
      </c>
      <c r="H1111" s="171"/>
    </row>
    <row r="1112" ht="14.25" spans="1:8">
      <c r="A1112" s="176">
        <v>291</v>
      </c>
      <c r="B1112" s="175" t="s">
        <v>2061</v>
      </c>
      <c r="C1112" s="181" t="s">
        <v>38</v>
      </c>
      <c r="D1112" s="190">
        <v>0.04</v>
      </c>
      <c r="E1112" s="170" t="s">
        <v>30</v>
      </c>
      <c r="F1112" s="170" t="s">
        <v>188</v>
      </c>
      <c r="G1112" s="191" t="s">
        <v>2062</v>
      </c>
      <c r="H1112" s="171"/>
    </row>
    <row r="1113" ht="14.25" spans="1:8">
      <c r="A1113" s="176">
        <v>292</v>
      </c>
      <c r="B1113" s="175" t="s">
        <v>2063</v>
      </c>
      <c r="C1113" s="181" t="s">
        <v>38</v>
      </c>
      <c r="D1113" s="190">
        <v>0.03</v>
      </c>
      <c r="E1113" s="170" t="s">
        <v>30</v>
      </c>
      <c r="F1113" s="170" t="s">
        <v>188</v>
      </c>
      <c r="G1113" s="191" t="s">
        <v>2064</v>
      </c>
      <c r="H1113" s="171"/>
    </row>
    <row r="1114" ht="14.25" spans="1:8">
      <c r="A1114" s="176">
        <v>293</v>
      </c>
      <c r="B1114" s="175" t="s">
        <v>2065</v>
      </c>
      <c r="C1114" s="181" t="s">
        <v>38</v>
      </c>
      <c r="D1114" s="190">
        <v>0.02</v>
      </c>
      <c r="E1114" s="170" t="s">
        <v>30</v>
      </c>
      <c r="F1114" s="170" t="s">
        <v>188</v>
      </c>
      <c r="G1114" s="191" t="s">
        <v>2066</v>
      </c>
      <c r="H1114" s="171"/>
    </row>
    <row r="1115" ht="14.25" spans="1:8">
      <c r="A1115" s="176">
        <v>294</v>
      </c>
      <c r="B1115" s="175" t="s">
        <v>2054</v>
      </c>
      <c r="C1115" s="181" t="s">
        <v>38</v>
      </c>
      <c r="D1115" s="190">
        <v>0.03</v>
      </c>
      <c r="E1115" s="170" t="s">
        <v>30</v>
      </c>
      <c r="F1115" s="170" t="s">
        <v>188</v>
      </c>
      <c r="G1115" s="191" t="s">
        <v>2055</v>
      </c>
      <c r="H1115" s="171"/>
    </row>
    <row r="1116" ht="14.25" spans="1:8">
      <c r="A1116" s="176">
        <v>295</v>
      </c>
      <c r="B1116" s="175" t="s">
        <v>2067</v>
      </c>
      <c r="C1116" s="181" t="s">
        <v>38</v>
      </c>
      <c r="D1116" s="190">
        <v>0.04</v>
      </c>
      <c r="E1116" s="170" t="s">
        <v>30</v>
      </c>
      <c r="F1116" s="170" t="s">
        <v>188</v>
      </c>
      <c r="G1116" s="191" t="s">
        <v>2068</v>
      </c>
      <c r="H1116" s="171"/>
    </row>
    <row r="1117" ht="14.25" spans="1:8">
      <c r="A1117" s="176">
        <v>296</v>
      </c>
      <c r="B1117" s="189" t="s">
        <v>2069</v>
      </c>
      <c r="C1117" s="181" t="s">
        <v>38</v>
      </c>
      <c r="D1117" s="190">
        <v>0.02</v>
      </c>
      <c r="E1117" s="170" t="s">
        <v>30</v>
      </c>
      <c r="F1117" s="170" t="s">
        <v>188</v>
      </c>
      <c r="G1117" s="191" t="s">
        <v>2070</v>
      </c>
      <c r="H1117" s="171"/>
    </row>
    <row r="1118" ht="14.25" spans="1:8">
      <c r="A1118" s="176">
        <v>297</v>
      </c>
      <c r="B1118" s="189" t="s">
        <v>2071</v>
      </c>
      <c r="C1118" s="181" t="s">
        <v>38</v>
      </c>
      <c r="D1118" s="190">
        <v>0.02</v>
      </c>
      <c r="E1118" s="170" t="s">
        <v>30</v>
      </c>
      <c r="F1118" s="170" t="s">
        <v>188</v>
      </c>
      <c r="G1118" s="191" t="s">
        <v>2072</v>
      </c>
      <c r="H1118" s="171"/>
    </row>
    <row r="1119" ht="14.25" spans="1:8">
      <c r="A1119" s="176">
        <v>298</v>
      </c>
      <c r="B1119" s="189" t="s">
        <v>2073</v>
      </c>
      <c r="C1119" s="181" t="s">
        <v>38</v>
      </c>
      <c r="D1119" s="190">
        <v>0.04</v>
      </c>
      <c r="E1119" s="170" t="s">
        <v>30</v>
      </c>
      <c r="F1119" s="170" t="s">
        <v>188</v>
      </c>
      <c r="G1119" s="191" t="s">
        <v>2074</v>
      </c>
      <c r="H1119" s="171"/>
    </row>
    <row r="1120" ht="14.25" spans="1:8">
      <c r="A1120" s="176">
        <v>299</v>
      </c>
      <c r="B1120" s="189" t="s">
        <v>2073</v>
      </c>
      <c r="C1120" s="181" t="s">
        <v>38</v>
      </c>
      <c r="D1120" s="190">
        <v>0.04</v>
      </c>
      <c r="E1120" s="170" t="s">
        <v>30</v>
      </c>
      <c r="F1120" s="170" t="s">
        <v>188</v>
      </c>
      <c r="G1120" s="191" t="s">
        <v>2075</v>
      </c>
      <c r="H1120" s="171"/>
    </row>
    <row r="1121" ht="14.25" spans="1:8">
      <c r="A1121" s="176">
        <v>300</v>
      </c>
      <c r="B1121" s="189" t="s">
        <v>1627</v>
      </c>
      <c r="C1121" s="181" t="s">
        <v>38</v>
      </c>
      <c r="D1121" s="190">
        <v>0.03</v>
      </c>
      <c r="E1121" s="170" t="s">
        <v>30</v>
      </c>
      <c r="F1121" s="170" t="s">
        <v>188</v>
      </c>
      <c r="G1121" s="191" t="s">
        <v>2053</v>
      </c>
      <c r="H1121" s="171"/>
    </row>
    <row r="1122" ht="14.25" spans="1:8">
      <c r="A1122" s="176">
        <v>301</v>
      </c>
      <c r="B1122" s="189" t="s">
        <v>2076</v>
      </c>
      <c r="C1122" s="181" t="s">
        <v>38</v>
      </c>
      <c r="D1122" s="190">
        <v>0.01</v>
      </c>
      <c r="E1122" s="170" t="s">
        <v>30</v>
      </c>
      <c r="F1122" s="170" t="s">
        <v>188</v>
      </c>
      <c r="G1122" s="191" t="s">
        <v>2077</v>
      </c>
      <c r="H1122" s="171"/>
    </row>
    <row r="1123" ht="14.25" spans="1:8">
      <c r="A1123" s="176">
        <v>302</v>
      </c>
      <c r="B1123" s="189" t="s">
        <v>2078</v>
      </c>
      <c r="C1123" s="181" t="s">
        <v>38</v>
      </c>
      <c r="D1123" s="190">
        <v>0.01</v>
      </c>
      <c r="E1123" s="170" t="s">
        <v>30</v>
      </c>
      <c r="F1123" s="170" t="s">
        <v>188</v>
      </c>
      <c r="G1123" s="191" t="s">
        <v>1630</v>
      </c>
      <c r="H1123" s="171"/>
    </row>
    <row r="1124" ht="14.25" spans="1:8">
      <c r="A1124" s="176">
        <v>303</v>
      </c>
      <c r="B1124" s="189" t="s">
        <v>2079</v>
      </c>
      <c r="C1124" s="181" t="s">
        <v>38</v>
      </c>
      <c r="D1124" s="190">
        <v>0.01</v>
      </c>
      <c r="E1124" s="170" t="s">
        <v>30</v>
      </c>
      <c r="F1124" s="170" t="s">
        <v>188</v>
      </c>
      <c r="G1124" s="191" t="s">
        <v>2080</v>
      </c>
      <c r="H1124" s="171"/>
    </row>
    <row r="1125" ht="14.25" spans="1:8">
      <c r="A1125" s="176">
        <v>304</v>
      </c>
      <c r="B1125" s="189" t="s">
        <v>2081</v>
      </c>
      <c r="C1125" s="181" t="s">
        <v>38</v>
      </c>
      <c r="D1125" s="190">
        <v>0.02</v>
      </c>
      <c r="E1125" s="170" t="s">
        <v>30</v>
      </c>
      <c r="F1125" s="170" t="s">
        <v>188</v>
      </c>
      <c r="G1125" s="191" t="s">
        <v>2082</v>
      </c>
      <c r="H1125" s="171"/>
    </row>
    <row r="1126" ht="14.25" spans="1:8">
      <c r="A1126" s="176">
        <v>305</v>
      </c>
      <c r="B1126" s="189" t="s">
        <v>2081</v>
      </c>
      <c r="C1126" s="181" t="s">
        <v>38</v>
      </c>
      <c r="D1126" s="190">
        <v>0.03</v>
      </c>
      <c r="E1126" s="170" t="s">
        <v>30</v>
      </c>
      <c r="F1126" s="170" t="s">
        <v>188</v>
      </c>
      <c r="G1126" s="191" t="s">
        <v>2083</v>
      </c>
      <c r="H1126" s="171"/>
    </row>
    <row r="1127" ht="14.25" spans="1:8">
      <c r="A1127" s="176">
        <v>306</v>
      </c>
      <c r="B1127" s="189" t="s">
        <v>2084</v>
      </c>
      <c r="C1127" s="181" t="s">
        <v>38</v>
      </c>
      <c r="D1127" s="190">
        <v>0.06</v>
      </c>
      <c r="E1127" s="170" t="s">
        <v>30</v>
      </c>
      <c r="F1127" s="170" t="s">
        <v>188</v>
      </c>
      <c r="G1127" s="191" t="s">
        <v>2085</v>
      </c>
      <c r="H1127" s="171"/>
    </row>
    <row r="1128" ht="14.25" spans="1:8">
      <c r="A1128" s="176">
        <v>307</v>
      </c>
      <c r="B1128" s="189" t="s">
        <v>1826</v>
      </c>
      <c r="C1128" s="181" t="s">
        <v>38</v>
      </c>
      <c r="D1128" s="190">
        <v>0.15</v>
      </c>
      <c r="E1128" s="170" t="s">
        <v>30</v>
      </c>
      <c r="F1128" s="170" t="s">
        <v>188</v>
      </c>
      <c r="G1128" s="191" t="s">
        <v>1827</v>
      </c>
      <c r="H1128" s="171"/>
    </row>
    <row r="1129" ht="14.25" spans="1:8">
      <c r="A1129" s="176">
        <v>308</v>
      </c>
      <c r="B1129" s="189" t="s">
        <v>1826</v>
      </c>
      <c r="C1129" s="181" t="s">
        <v>38</v>
      </c>
      <c r="D1129" s="190">
        <v>0.1</v>
      </c>
      <c r="E1129" s="170" t="s">
        <v>30</v>
      </c>
      <c r="F1129" s="170" t="s">
        <v>188</v>
      </c>
      <c r="G1129" s="191" t="s">
        <v>2086</v>
      </c>
      <c r="H1129" s="171"/>
    </row>
    <row r="1130" ht="14.25" spans="1:8">
      <c r="A1130" s="176">
        <v>309</v>
      </c>
      <c r="B1130" s="189" t="s">
        <v>2087</v>
      </c>
      <c r="C1130" s="181" t="s">
        <v>38</v>
      </c>
      <c r="D1130" s="190">
        <v>0.02</v>
      </c>
      <c r="E1130" s="170" t="s">
        <v>30</v>
      </c>
      <c r="F1130" s="170" t="s">
        <v>188</v>
      </c>
      <c r="G1130" s="191" t="s">
        <v>2088</v>
      </c>
      <c r="H1130" s="171"/>
    </row>
    <row r="1131" ht="14.25" spans="1:8">
      <c r="A1131" s="176">
        <v>310</v>
      </c>
      <c r="B1131" s="189" t="s">
        <v>2089</v>
      </c>
      <c r="C1131" s="181" t="s">
        <v>38</v>
      </c>
      <c r="D1131" s="190">
        <v>0.03</v>
      </c>
      <c r="E1131" s="170" t="s">
        <v>30</v>
      </c>
      <c r="F1131" s="170" t="s">
        <v>188</v>
      </c>
      <c r="G1131" s="191" t="s">
        <v>2090</v>
      </c>
      <c r="H1131" s="171"/>
    </row>
    <row r="1132" ht="14.25" spans="1:8">
      <c r="A1132" s="176">
        <v>311</v>
      </c>
      <c r="B1132" s="189" t="s">
        <v>1940</v>
      </c>
      <c r="C1132" s="181" t="s">
        <v>38</v>
      </c>
      <c r="D1132" s="190">
        <v>0.04</v>
      </c>
      <c r="E1132" s="170" t="s">
        <v>30</v>
      </c>
      <c r="F1132" s="170" t="s">
        <v>188</v>
      </c>
      <c r="G1132" s="191" t="s">
        <v>2091</v>
      </c>
      <c r="H1132" s="171"/>
    </row>
    <row r="1133" ht="14.25" spans="1:8">
      <c r="A1133" s="176">
        <v>312</v>
      </c>
      <c r="B1133" s="189" t="s">
        <v>2092</v>
      </c>
      <c r="C1133" s="181" t="s">
        <v>38</v>
      </c>
      <c r="D1133" s="190">
        <v>0.02</v>
      </c>
      <c r="E1133" s="170" t="s">
        <v>30</v>
      </c>
      <c r="F1133" s="170" t="s">
        <v>188</v>
      </c>
      <c r="G1133" s="191" t="s">
        <v>2093</v>
      </c>
      <c r="H1133" s="171"/>
    </row>
    <row r="1134" ht="14.25" spans="1:8">
      <c r="A1134" s="176">
        <v>313</v>
      </c>
      <c r="B1134" s="189" t="s">
        <v>2094</v>
      </c>
      <c r="C1134" s="181" t="s">
        <v>38</v>
      </c>
      <c r="D1134" s="190">
        <v>0.01</v>
      </c>
      <c r="E1134" s="170" t="s">
        <v>30</v>
      </c>
      <c r="F1134" s="170" t="s">
        <v>188</v>
      </c>
      <c r="G1134" s="191" t="s">
        <v>2095</v>
      </c>
      <c r="H1134" s="171"/>
    </row>
    <row r="1135" ht="14.25" spans="1:8">
      <c r="A1135" s="176">
        <v>314</v>
      </c>
      <c r="B1135" s="189" t="s">
        <v>2094</v>
      </c>
      <c r="C1135" s="181" t="s">
        <v>38</v>
      </c>
      <c r="D1135" s="190">
        <v>0.01</v>
      </c>
      <c r="E1135" s="170" t="s">
        <v>30</v>
      </c>
      <c r="F1135" s="170" t="s">
        <v>188</v>
      </c>
      <c r="G1135" s="191" t="s">
        <v>2096</v>
      </c>
      <c r="H1135" s="171"/>
    </row>
    <row r="1136" ht="14.25" spans="1:8">
      <c r="A1136" s="176">
        <v>315</v>
      </c>
      <c r="B1136" s="189" t="s">
        <v>1609</v>
      </c>
      <c r="C1136" s="181" t="s">
        <v>38</v>
      </c>
      <c r="D1136" s="190">
        <v>0.03</v>
      </c>
      <c r="E1136" s="170" t="s">
        <v>30</v>
      </c>
      <c r="F1136" s="170" t="s">
        <v>188</v>
      </c>
      <c r="G1136" s="191" t="s">
        <v>2097</v>
      </c>
      <c r="H1136" s="171"/>
    </row>
    <row r="1137" ht="14.25" spans="1:8">
      <c r="A1137" s="176">
        <v>316</v>
      </c>
      <c r="B1137" s="189" t="s">
        <v>2098</v>
      </c>
      <c r="C1137" s="181" t="s">
        <v>38</v>
      </c>
      <c r="D1137" s="190">
        <v>0.04</v>
      </c>
      <c r="E1137" s="170" t="s">
        <v>30</v>
      </c>
      <c r="F1137" s="170" t="s">
        <v>188</v>
      </c>
      <c r="G1137" s="191" t="s">
        <v>2099</v>
      </c>
      <c r="H1137" s="171"/>
    </row>
    <row r="1138" ht="14.25" spans="1:8">
      <c r="A1138" s="176">
        <v>317</v>
      </c>
      <c r="B1138" s="189" t="s">
        <v>1791</v>
      </c>
      <c r="C1138" s="181" t="s">
        <v>38</v>
      </c>
      <c r="D1138" s="190">
        <v>0.02</v>
      </c>
      <c r="E1138" s="170" t="s">
        <v>30</v>
      </c>
      <c r="F1138" s="170" t="s">
        <v>188</v>
      </c>
      <c r="G1138" s="191" t="s">
        <v>2100</v>
      </c>
      <c r="H1138" s="171"/>
    </row>
    <row r="1139" ht="14.25" spans="1:8">
      <c r="A1139" s="176">
        <v>318</v>
      </c>
      <c r="B1139" s="189" t="s">
        <v>2101</v>
      </c>
      <c r="C1139" s="181" t="s">
        <v>38</v>
      </c>
      <c r="D1139" s="190">
        <v>0.06</v>
      </c>
      <c r="E1139" s="170" t="s">
        <v>30</v>
      </c>
      <c r="F1139" s="170" t="s">
        <v>188</v>
      </c>
      <c r="G1139" s="191" t="s">
        <v>2102</v>
      </c>
      <c r="H1139" s="171"/>
    </row>
    <row r="1140" ht="14.25" spans="1:8">
      <c r="A1140" s="176">
        <v>319</v>
      </c>
      <c r="B1140" s="189" t="s">
        <v>2045</v>
      </c>
      <c r="C1140" s="181" t="s">
        <v>38</v>
      </c>
      <c r="D1140" s="190">
        <v>0.06</v>
      </c>
      <c r="E1140" s="170" t="s">
        <v>30</v>
      </c>
      <c r="F1140" s="170" t="s">
        <v>188</v>
      </c>
      <c r="G1140" s="191" t="s">
        <v>2046</v>
      </c>
      <c r="H1140" s="171"/>
    </row>
    <row r="1141" ht="14.25" spans="1:8">
      <c r="A1141" s="176">
        <v>320</v>
      </c>
      <c r="B1141" s="189" t="s">
        <v>2103</v>
      </c>
      <c r="C1141" s="181" t="s">
        <v>38</v>
      </c>
      <c r="D1141" s="190">
        <v>0.03</v>
      </c>
      <c r="E1141" s="170" t="s">
        <v>30</v>
      </c>
      <c r="F1141" s="170" t="s">
        <v>188</v>
      </c>
      <c r="G1141" s="191" t="s">
        <v>2104</v>
      </c>
      <c r="H1141" s="171"/>
    </row>
    <row r="1142" ht="14.25" spans="1:8">
      <c r="A1142" s="176">
        <v>321</v>
      </c>
      <c r="B1142" s="189" t="s">
        <v>2105</v>
      </c>
      <c r="C1142" s="181" t="s">
        <v>38</v>
      </c>
      <c r="D1142" s="190">
        <v>0.015</v>
      </c>
      <c r="E1142" s="170" t="s">
        <v>30</v>
      </c>
      <c r="F1142" s="170" t="s">
        <v>188</v>
      </c>
      <c r="G1142" s="191" t="s">
        <v>2106</v>
      </c>
      <c r="H1142" s="171"/>
    </row>
    <row r="1143" ht="14.25" spans="1:8">
      <c r="A1143" s="176">
        <v>322</v>
      </c>
      <c r="B1143" s="189" t="s">
        <v>2107</v>
      </c>
      <c r="C1143" s="181" t="s">
        <v>38</v>
      </c>
      <c r="D1143" s="190">
        <v>0.3</v>
      </c>
      <c r="E1143" s="170" t="s">
        <v>30</v>
      </c>
      <c r="F1143" s="170" t="s">
        <v>188</v>
      </c>
      <c r="G1143" s="191" t="s">
        <v>2108</v>
      </c>
      <c r="H1143" s="171"/>
    </row>
    <row r="1144" ht="14.25" spans="1:8">
      <c r="A1144" s="176">
        <v>323</v>
      </c>
      <c r="B1144" s="189" t="s">
        <v>2109</v>
      </c>
      <c r="C1144" s="181" t="s">
        <v>38</v>
      </c>
      <c r="D1144" s="190">
        <v>0.01</v>
      </c>
      <c r="E1144" s="170" t="s">
        <v>30</v>
      </c>
      <c r="F1144" s="170" t="s">
        <v>188</v>
      </c>
      <c r="G1144" s="191" t="s">
        <v>2110</v>
      </c>
      <c r="H1144" s="171"/>
    </row>
    <row r="1145" ht="14.25" spans="1:8">
      <c r="A1145" s="176">
        <v>324</v>
      </c>
      <c r="B1145" s="189" t="s">
        <v>2111</v>
      </c>
      <c r="C1145" s="181" t="s">
        <v>38</v>
      </c>
      <c r="D1145" s="190">
        <v>0.05</v>
      </c>
      <c r="E1145" s="170" t="s">
        <v>30</v>
      </c>
      <c r="F1145" s="170" t="s">
        <v>188</v>
      </c>
      <c r="G1145" s="191" t="s">
        <v>2112</v>
      </c>
      <c r="H1145" s="171"/>
    </row>
    <row r="1146" ht="14.25" spans="1:8">
      <c r="A1146" s="176">
        <v>325</v>
      </c>
      <c r="B1146" s="189" t="s">
        <v>2113</v>
      </c>
      <c r="C1146" s="181" t="s">
        <v>38</v>
      </c>
      <c r="D1146" s="190">
        <v>0.02</v>
      </c>
      <c r="E1146" s="170" t="s">
        <v>30</v>
      </c>
      <c r="F1146" s="170" t="s">
        <v>188</v>
      </c>
      <c r="G1146" s="191" t="s">
        <v>2114</v>
      </c>
      <c r="H1146" s="171"/>
    </row>
    <row r="1147" ht="14.25" spans="1:8">
      <c r="A1147" s="176">
        <v>326</v>
      </c>
      <c r="B1147" s="189" t="s">
        <v>2115</v>
      </c>
      <c r="C1147" s="181" t="s">
        <v>38</v>
      </c>
      <c r="D1147" s="190">
        <v>0.02</v>
      </c>
      <c r="E1147" s="170" t="s">
        <v>30</v>
      </c>
      <c r="F1147" s="170" t="s">
        <v>188</v>
      </c>
      <c r="G1147" s="191" t="s">
        <v>2116</v>
      </c>
      <c r="H1147" s="171"/>
    </row>
    <row r="1148" ht="14.25" spans="1:8">
      <c r="A1148" s="176">
        <v>327</v>
      </c>
      <c r="B1148" s="189" t="s">
        <v>2117</v>
      </c>
      <c r="C1148" s="181" t="s">
        <v>38</v>
      </c>
      <c r="D1148" s="190">
        <v>0.03</v>
      </c>
      <c r="E1148" s="170" t="s">
        <v>30</v>
      </c>
      <c r="F1148" s="170" t="s">
        <v>188</v>
      </c>
      <c r="G1148" s="191" t="s">
        <v>2118</v>
      </c>
      <c r="H1148" s="171"/>
    </row>
    <row r="1149" ht="14.25" spans="1:8">
      <c r="A1149" s="176">
        <v>328</v>
      </c>
      <c r="B1149" s="189" t="s">
        <v>2119</v>
      </c>
      <c r="C1149" s="181" t="s">
        <v>38</v>
      </c>
      <c r="D1149" s="190">
        <v>0.02</v>
      </c>
      <c r="E1149" s="170" t="s">
        <v>30</v>
      </c>
      <c r="F1149" s="170" t="s">
        <v>188</v>
      </c>
      <c r="G1149" s="191" t="s">
        <v>2120</v>
      </c>
      <c r="H1149" s="171"/>
    </row>
    <row r="1150" ht="14.25" spans="1:8">
      <c r="A1150" s="176">
        <v>329</v>
      </c>
      <c r="B1150" s="189" t="s">
        <v>2121</v>
      </c>
      <c r="C1150" s="181" t="s">
        <v>38</v>
      </c>
      <c r="D1150" s="190">
        <v>0.01</v>
      </c>
      <c r="E1150" s="170" t="s">
        <v>30</v>
      </c>
      <c r="F1150" s="170" t="s">
        <v>188</v>
      </c>
      <c r="G1150" s="191" t="s">
        <v>2122</v>
      </c>
      <c r="H1150" s="171"/>
    </row>
    <row r="1151" ht="14.25" spans="1:8">
      <c r="A1151" s="176">
        <v>330</v>
      </c>
      <c r="B1151" s="189" t="s">
        <v>1795</v>
      </c>
      <c r="C1151" s="181" t="s">
        <v>38</v>
      </c>
      <c r="D1151" s="190">
        <v>0.01</v>
      </c>
      <c r="E1151" s="170" t="s">
        <v>30</v>
      </c>
      <c r="F1151" s="170" t="s">
        <v>188</v>
      </c>
      <c r="G1151" s="191" t="s">
        <v>2060</v>
      </c>
      <c r="H1151" s="171"/>
    </row>
    <row r="1152" ht="14.25" spans="1:8">
      <c r="A1152" s="176">
        <v>331</v>
      </c>
      <c r="B1152" s="189" t="s">
        <v>679</v>
      </c>
      <c r="C1152" s="181" t="s">
        <v>38</v>
      </c>
      <c r="D1152" s="190">
        <v>0.1</v>
      </c>
      <c r="E1152" s="170" t="s">
        <v>30</v>
      </c>
      <c r="F1152" s="170" t="s">
        <v>188</v>
      </c>
      <c r="G1152" s="191" t="s">
        <v>2123</v>
      </c>
      <c r="H1152" s="171"/>
    </row>
    <row r="1153" ht="14.25" spans="1:8">
      <c r="A1153" s="176">
        <v>332</v>
      </c>
      <c r="B1153" s="196" t="s">
        <v>2124</v>
      </c>
      <c r="C1153" s="181" t="s">
        <v>38</v>
      </c>
      <c r="D1153" s="190">
        <v>0.03</v>
      </c>
      <c r="E1153" s="170" t="s">
        <v>30</v>
      </c>
      <c r="F1153" s="170" t="s">
        <v>188</v>
      </c>
      <c r="G1153" s="218" t="s">
        <v>2125</v>
      </c>
      <c r="H1153" s="171"/>
    </row>
    <row r="1154" ht="14.25" spans="1:8">
      <c r="A1154" s="176">
        <v>333</v>
      </c>
      <c r="B1154" s="196" t="s">
        <v>1951</v>
      </c>
      <c r="C1154" s="181" t="s">
        <v>38</v>
      </c>
      <c r="D1154" s="190">
        <v>0.03</v>
      </c>
      <c r="E1154" s="170" t="s">
        <v>30</v>
      </c>
      <c r="F1154" s="170" t="s">
        <v>188</v>
      </c>
      <c r="G1154" s="218" t="s">
        <v>1952</v>
      </c>
      <c r="H1154" s="171"/>
    </row>
    <row r="1155" ht="14.25" spans="1:8">
      <c r="A1155" s="176">
        <v>334</v>
      </c>
      <c r="B1155" s="196" t="s">
        <v>2126</v>
      </c>
      <c r="C1155" s="181" t="s">
        <v>38</v>
      </c>
      <c r="D1155" s="190">
        <v>0.05</v>
      </c>
      <c r="E1155" s="170" t="s">
        <v>30</v>
      </c>
      <c r="F1155" s="170" t="s">
        <v>188</v>
      </c>
      <c r="G1155" s="218" t="s">
        <v>2127</v>
      </c>
      <c r="H1155" s="171"/>
    </row>
    <row r="1156" ht="14.25" spans="1:8">
      <c r="A1156" s="176">
        <v>335</v>
      </c>
      <c r="B1156" s="219" t="s">
        <v>2128</v>
      </c>
      <c r="C1156" s="220" t="s">
        <v>38</v>
      </c>
      <c r="D1156" s="221">
        <v>0.16</v>
      </c>
      <c r="E1156" s="199" t="s">
        <v>30</v>
      </c>
      <c r="F1156" s="199" t="s">
        <v>188</v>
      </c>
      <c r="G1156" s="222" t="s">
        <v>1899</v>
      </c>
      <c r="H1156" s="171"/>
    </row>
    <row r="1157" ht="14.25" spans="1:8">
      <c r="A1157" s="176">
        <v>336</v>
      </c>
      <c r="B1157" s="196" t="s">
        <v>1886</v>
      </c>
      <c r="C1157" s="181" t="s">
        <v>38</v>
      </c>
      <c r="D1157" s="190">
        <v>0.05</v>
      </c>
      <c r="E1157" s="170" t="s">
        <v>30</v>
      </c>
      <c r="F1157" s="170" t="s">
        <v>188</v>
      </c>
      <c r="G1157" s="218" t="s">
        <v>1887</v>
      </c>
      <c r="H1157" s="171"/>
    </row>
    <row r="1158" ht="14.25" spans="1:8">
      <c r="A1158" s="176">
        <v>337</v>
      </c>
      <c r="B1158" s="196" t="s">
        <v>2129</v>
      </c>
      <c r="C1158" s="181" t="s">
        <v>38</v>
      </c>
      <c r="D1158" s="190">
        <v>0.04</v>
      </c>
      <c r="E1158" s="170" t="s">
        <v>30</v>
      </c>
      <c r="F1158" s="170" t="s">
        <v>188</v>
      </c>
      <c r="G1158" s="218" t="s">
        <v>1945</v>
      </c>
      <c r="H1158" s="171"/>
    </row>
    <row r="1159" ht="14.25" spans="1:8">
      <c r="A1159" s="176">
        <v>338</v>
      </c>
      <c r="B1159" s="196" t="s">
        <v>1787</v>
      </c>
      <c r="C1159" s="181" t="s">
        <v>38</v>
      </c>
      <c r="D1159" s="190">
        <v>0.02</v>
      </c>
      <c r="E1159" s="170" t="s">
        <v>30</v>
      </c>
      <c r="F1159" s="170" t="s">
        <v>188</v>
      </c>
      <c r="G1159" s="218" t="s">
        <v>2130</v>
      </c>
      <c r="H1159" s="171"/>
    </row>
    <row r="1160" ht="14.25" spans="1:8">
      <c r="A1160" s="176">
        <v>339</v>
      </c>
      <c r="B1160" s="196" t="s">
        <v>1652</v>
      </c>
      <c r="C1160" s="181" t="s">
        <v>38</v>
      </c>
      <c r="D1160" s="190">
        <v>0.03</v>
      </c>
      <c r="E1160" s="170" t="s">
        <v>30</v>
      </c>
      <c r="F1160" s="170" t="s">
        <v>188</v>
      </c>
      <c r="G1160" s="218" t="s">
        <v>2131</v>
      </c>
      <c r="H1160" s="171"/>
    </row>
    <row r="1161" ht="14.25" spans="1:8">
      <c r="A1161" s="176">
        <v>340</v>
      </c>
      <c r="B1161" s="196" t="s">
        <v>1652</v>
      </c>
      <c r="C1161" s="181" t="s">
        <v>38</v>
      </c>
      <c r="D1161" s="190">
        <v>0.02</v>
      </c>
      <c r="E1161" s="170" t="s">
        <v>30</v>
      </c>
      <c r="F1161" s="170" t="s">
        <v>188</v>
      </c>
      <c r="G1161" s="218" t="s">
        <v>2132</v>
      </c>
      <c r="H1161" s="171"/>
    </row>
    <row r="1162" ht="14.25" spans="1:8">
      <c r="A1162" s="176">
        <v>341</v>
      </c>
      <c r="B1162" s="196" t="s">
        <v>2133</v>
      </c>
      <c r="C1162" s="181" t="s">
        <v>38</v>
      </c>
      <c r="D1162" s="190">
        <v>0.03</v>
      </c>
      <c r="E1162" s="170" t="s">
        <v>30</v>
      </c>
      <c r="F1162" s="170" t="s">
        <v>188</v>
      </c>
      <c r="G1162" s="218" t="s">
        <v>2134</v>
      </c>
      <c r="H1162" s="171"/>
    </row>
    <row r="1163" ht="14.25" spans="1:8">
      <c r="A1163" s="176">
        <v>342</v>
      </c>
      <c r="B1163" s="196" t="s">
        <v>2133</v>
      </c>
      <c r="C1163" s="181" t="s">
        <v>38</v>
      </c>
      <c r="D1163" s="190">
        <v>0.03</v>
      </c>
      <c r="E1163" s="170" t="s">
        <v>30</v>
      </c>
      <c r="F1163" s="170" t="s">
        <v>188</v>
      </c>
      <c r="G1163" s="218" t="s">
        <v>2135</v>
      </c>
      <c r="H1163" s="171"/>
    </row>
    <row r="1164" ht="14.25" spans="1:8">
      <c r="A1164" s="176">
        <v>343</v>
      </c>
      <c r="B1164" s="196" t="s">
        <v>2136</v>
      </c>
      <c r="C1164" s="181" t="s">
        <v>38</v>
      </c>
      <c r="D1164" s="190">
        <v>0.04</v>
      </c>
      <c r="E1164" s="170" t="s">
        <v>30</v>
      </c>
      <c r="F1164" s="170" t="s">
        <v>188</v>
      </c>
      <c r="G1164" s="218" t="s">
        <v>2137</v>
      </c>
      <c r="H1164" s="171"/>
    </row>
    <row r="1165" ht="14.25" spans="1:8">
      <c r="A1165" s="176">
        <v>344</v>
      </c>
      <c r="B1165" s="196" t="s">
        <v>2136</v>
      </c>
      <c r="C1165" s="181" t="s">
        <v>38</v>
      </c>
      <c r="D1165" s="190">
        <v>0.04</v>
      </c>
      <c r="E1165" s="170" t="s">
        <v>30</v>
      </c>
      <c r="F1165" s="170" t="s">
        <v>188</v>
      </c>
      <c r="G1165" s="218" t="s">
        <v>2138</v>
      </c>
      <c r="H1165" s="171"/>
    </row>
    <row r="1166" ht="14.25" spans="1:8">
      <c r="A1166" s="176">
        <v>345</v>
      </c>
      <c r="B1166" s="196" t="s">
        <v>2139</v>
      </c>
      <c r="C1166" s="181" t="s">
        <v>38</v>
      </c>
      <c r="D1166" s="190">
        <v>0.2</v>
      </c>
      <c r="E1166" s="170" t="s">
        <v>30</v>
      </c>
      <c r="F1166" s="170" t="s">
        <v>188</v>
      </c>
      <c r="G1166" s="218" t="s">
        <v>2140</v>
      </c>
      <c r="H1166" s="171"/>
    </row>
    <row r="1167" ht="14.25" spans="1:8">
      <c r="A1167" s="176">
        <v>346</v>
      </c>
      <c r="B1167" s="196" t="s">
        <v>2141</v>
      </c>
      <c r="C1167" s="181" t="s">
        <v>38</v>
      </c>
      <c r="D1167" s="190">
        <v>0.08</v>
      </c>
      <c r="E1167" s="170" t="s">
        <v>30</v>
      </c>
      <c r="F1167" s="170" t="s">
        <v>188</v>
      </c>
      <c r="G1167" s="218" t="s">
        <v>2142</v>
      </c>
      <c r="H1167" s="171"/>
    </row>
    <row r="1168" ht="14.25" spans="1:8">
      <c r="A1168" s="176">
        <v>347</v>
      </c>
      <c r="B1168" s="196" t="s">
        <v>2143</v>
      </c>
      <c r="C1168" s="181" t="s">
        <v>38</v>
      </c>
      <c r="D1168" s="190">
        <v>0.01</v>
      </c>
      <c r="E1168" s="170" t="s">
        <v>30</v>
      </c>
      <c r="F1168" s="170" t="s">
        <v>188</v>
      </c>
      <c r="G1168" s="218" t="s">
        <v>2144</v>
      </c>
      <c r="H1168" s="171"/>
    </row>
    <row r="1169" ht="14.25" spans="1:8">
      <c r="A1169" s="176">
        <v>348</v>
      </c>
      <c r="B1169" s="196" t="s">
        <v>1637</v>
      </c>
      <c r="C1169" s="181" t="s">
        <v>38</v>
      </c>
      <c r="D1169" s="190">
        <v>0.07</v>
      </c>
      <c r="E1169" s="170" t="s">
        <v>30</v>
      </c>
      <c r="F1169" s="170" t="s">
        <v>188</v>
      </c>
      <c r="G1169" s="218" t="s">
        <v>2145</v>
      </c>
      <c r="H1169" s="171"/>
    </row>
    <row r="1170" ht="14.25" spans="1:8">
      <c r="A1170" s="176">
        <v>349</v>
      </c>
      <c r="B1170" s="196" t="s">
        <v>1637</v>
      </c>
      <c r="C1170" s="181" t="s">
        <v>38</v>
      </c>
      <c r="D1170" s="190">
        <v>0.06</v>
      </c>
      <c r="E1170" s="170" t="s">
        <v>30</v>
      </c>
      <c r="F1170" s="170" t="s">
        <v>188</v>
      </c>
      <c r="G1170" s="218" t="s">
        <v>2146</v>
      </c>
      <c r="H1170" s="171"/>
    </row>
    <row r="1171" ht="14.25" spans="1:8">
      <c r="A1171" s="176">
        <v>350</v>
      </c>
      <c r="B1171" s="196" t="s">
        <v>2147</v>
      </c>
      <c r="C1171" s="181" t="s">
        <v>38</v>
      </c>
      <c r="D1171" s="190">
        <v>0.07</v>
      </c>
      <c r="E1171" s="170" t="s">
        <v>30</v>
      </c>
      <c r="F1171" s="170" t="s">
        <v>188</v>
      </c>
      <c r="G1171" s="218" t="s">
        <v>2148</v>
      </c>
      <c r="H1171" s="171"/>
    </row>
    <row r="1172" ht="14.25" spans="1:8">
      <c r="A1172" s="176">
        <v>351</v>
      </c>
      <c r="B1172" s="196" t="s">
        <v>1914</v>
      </c>
      <c r="C1172" s="181" t="s">
        <v>38</v>
      </c>
      <c r="D1172" s="190">
        <v>0.2</v>
      </c>
      <c r="E1172" s="170" t="s">
        <v>30</v>
      </c>
      <c r="F1172" s="170" t="s">
        <v>188</v>
      </c>
      <c r="G1172" s="218" t="s">
        <v>1939</v>
      </c>
      <c r="H1172" s="171"/>
    </row>
    <row r="1173" ht="14.25" spans="1:8">
      <c r="A1173" s="206" t="s">
        <v>2149</v>
      </c>
      <c r="B1173" s="223" t="s">
        <v>304</v>
      </c>
      <c r="C1173" s="175"/>
      <c r="D1173" s="207"/>
      <c r="E1173" s="212"/>
      <c r="F1173" s="206"/>
      <c r="G1173" s="224"/>
      <c r="H1173" s="213"/>
    </row>
    <row r="1174" ht="14.25" spans="1:8">
      <c r="A1174" s="176">
        <v>1</v>
      </c>
      <c r="B1174" s="225" t="s">
        <v>2150</v>
      </c>
      <c r="C1174" s="181" t="s">
        <v>186</v>
      </c>
      <c r="D1174" s="173">
        <v>0.04</v>
      </c>
      <c r="E1174" s="176" t="s">
        <v>30</v>
      </c>
      <c r="F1174" s="176" t="s">
        <v>188</v>
      </c>
      <c r="G1174" s="171" t="s">
        <v>2151</v>
      </c>
      <c r="H1174" s="171"/>
    </row>
    <row r="1175" ht="14.25" spans="1:8">
      <c r="A1175" s="176">
        <v>2</v>
      </c>
      <c r="B1175" s="183" t="s">
        <v>2152</v>
      </c>
      <c r="C1175" s="181" t="s">
        <v>186</v>
      </c>
      <c r="D1175" s="173">
        <v>0.04</v>
      </c>
      <c r="E1175" s="176" t="s">
        <v>30</v>
      </c>
      <c r="F1175" s="176" t="s">
        <v>188</v>
      </c>
      <c r="G1175" s="171" t="s">
        <v>2153</v>
      </c>
      <c r="H1175" s="171"/>
    </row>
    <row r="1176" ht="14.25" spans="1:8">
      <c r="A1176" s="176">
        <v>3</v>
      </c>
      <c r="B1176" s="182" t="s">
        <v>2154</v>
      </c>
      <c r="C1176" s="181" t="s">
        <v>186</v>
      </c>
      <c r="D1176" s="173">
        <v>0.04</v>
      </c>
      <c r="E1176" s="176" t="s">
        <v>30</v>
      </c>
      <c r="F1176" s="176" t="s">
        <v>188</v>
      </c>
      <c r="G1176" s="171" t="s">
        <v>2155</v>
      </c>
      <c r="H1176" s="171"/>
    </row>
    <row r="1177" ht="14.25" spans="1:8">
      <c r="A1177" s="176">
        <v>4</v>
      </c>
      <c r="B1177" s="182" t="s">
        <v>2156</v>
      </c>
      <c r="C1177" s="181" t="s">
        <v>186</v>
      </c>
      <c r="D1177" s="173">
        <v>0.02</v>
      </c>
      <c r="E1177" s="176" t="s">
        <v>30</v>
      </c>
      <c r="F1177" s="176" t="s">
        <v>188</v>
      </c>
      <c r="G1177" s="171" t="s">
        <v>2157</v>
      </c>
      <c r="H1177" s="171"/>
    </row>
    <row r="1178" ht="14.25" spans="1:8">
      <c r="A1178" s="176">
        <v>5</v>
      </c>
      <c r="B1178" s="182" t="s">
        <v>2158</v>
      </c>
      <c r="C1178" s="181" t="s">
        <v>186</v>
      </c>
      <c r="D1178" s="173">
        <v>0.04</v>
      </c>
      <c r="E1178" s="176" t="s">
        <v>30</v>
      </c>
      <c r="F1178" s="176" t="s">
        <v>188</v>
      </c>
      <c r="G1178" s="171" t="s">
        <v>2159</v>
      </c>
      <c r="H1178" s="171"/>
    </row>
    <row r="1179" ht="14.25" spans="1:8">
      <c r="A1179" s="176">
        <v>6</v>
      </c>
      <c r="B1179" s="180" t="s">
        <v>2160</v>
      </c>
      <c r="C1179" s="181" t="s">
        <v>186</v>
      </c>
      <c r="D1179" s="173">
        <v>0.04</v>
      </c>
      <c r="E1179" s="176" t="s">
        <v>30</v>
      </c>
      <c r="F1179" s="176" t="s">
        <v>188</v>
      </c>
      <c r="G1179" s="171" t="s">
        <v>2161</v>
      </c>
      <c r="H1179" s="171"/>
    </row>
    <row r="1180" ht="14.25" spans="1:8">
      <c r="A1180" s="176">
        <v>7</v>
      </c>
      <c r="B1180" s="180" t="s">
        <v>2162</v>
      </c>
      <c r="C1180" s="181" t="s">
        <v>186</v>
      </c>
      <c r="D1180" s="173">
        <v>0.04</v>
      </c>
      <c r="E1180" s="176" t="s">
        <v>30</v>
      </c>
      <c r="F1180" s="176" t="s">
        <v>188</v>
      </c>
      <c r="G1180" s="171" t="s">
        <v>2163</v>
      </c>
      <c r="H1180" s="171"/>
    </row>
    <row r="1181" ht="14.25" spans="1:8">
      <c r="A1181" s="176">
        <v>8</v>
      </c>
      <c r="B1181" s="180" t="s">
        <v>2164</v>
      </c>
      <c r="C1181" s="181" t="s">
        <v>186</v>
      </c>
      <c r="D1181" s="173">
        <v>0.02</v>
      </c>
      <c r="E1181" s="176" t="s">
        <v>30</v>
      </c>
      <c r="F1181" s="176" t="s">
        <v>188</v>
      </c>
      <c r="G1181" s="171" t="s">
        <v>2165</v>
      </c>
      <c r="H1181" s="171"/>
    </row>
    <row r="1182" ht="14.25" spans="1:8">
      <c r="A1182" s="176">
        <v>9</v>
      </c>
      <c r="B1182" s="180" t="s">
        <v>2166</v>
      </c>
      <c r="C1182" s="181" t="s">
        <v>186</v>
      </c>
      <c r="D1182" s="173">
        <v>0.04</v>
      </c>
      <c r="E1182" s="176" t="s">
        <v>30</v>
      </c>
      <c r="F1182" s="176" t="s">
        <v>188</v>
      </c>
      <c r="G1182" s="171" t="s">
        <v>2167</v>
      </c>
      <c r="H1182" s="171"/>
    </row>
    <row r="1183" ht="14.25" spans="1:8">
      <c r="A1183" s="176">
        <v>10</v>
      </c>
      <c r="B1183" s="180" t="s">
        <v>2168</v>
      </c>
      <c r="C1183" s="181" t="s">
        <v>186</v>
      </c>
      <c r="D1183" s="173">
        <v>0.02</v>
      </c>
      <c r="E1183" s="176" t="s">
        <v>30</v>
      </c>
      <c r="F1183" s="176" t="s">
        <v>188</v>
      </c>
      <c r="G1183" s="171" t="s">
        <v>2169</v>
      </c>
      <c r="H1183" s="171"/>
    </row>
    <row r="1184" ht="14.25" spans="1:8">
      <c r="A1184" s="176">
        <v>11</v>
      </c>
      <c r="B1184" s="180" t="s">
        <v>2170</v>
      </c>
      <c r="C1184" s="181" t="s">
        <v>186</v>
      </c>
      <c r="D1184" s="173">
        <v>0.03</v>
      </c>
      <c r="E1184" s="176" t="s">
        <v>30</v>
      </c>
      <c r="F1184" s="176" t="s">
        <v>188</v>
      </c>
      <c r="G1184" s="171" t="s">
        <v>2171</v>
      </c>
      <c r="H1184" s="171"/>
    </row>
    <row r="1185" ht="14.25" spans="1:8">
      <c r="A1185" s="176">
        <v>12</v>
      </c>
      <c r="B1185" s="209" t="s">
        <v>2172</v>
      </c>
      <c r="C1185" s="181" t="s">
        <v>186</v>
      </c>
      <c r="D1185" s="173">
        <v>0.01</v>
      </c>
      <c r="E1185" s="176" t="s">
        <v>30</v>
      </c>
      <c r="F1185" s="176" t="s">
        <v>188</v>
      </c>
      <c r="G1185" s="171" t="s">
        <v>2173</v>
      </c>
      <c r="H1185" s="171"/>
    </row>
    <row r="1186" ht="14.25" spans="1:8">
      <c r="A1186" s="176">
        <v>13</v>
      </c>
      <c r="B1186" s="209" t="s">
        <v>850</v>
      </c>
      <c r="C1186" s="181" t="s">
        <v>186</v>
      </c>
      <c r="D1186" s="173">
        <v>0.01</v>
      </c>
      <c r="E1186" s="176" t="s">
        <v>30</v>
      </c>
      <c r="F1186" s="176" t="s">
        <v>188</v>
      </c>
      <c r="G1186" s="171" t="s">
        <v>2174</v>
      </c>
      <c r="H1186" s="171"/>
    </row>
    <row r="1187" ht="14.25" spans="1:8">
      <c r="A1187" s="176">
        <v>14</v>
      </c>
      <c r="B1187" s="209" t="s">
        <v>2175</v>
      </c>
      <c r="C1187" s="181" t="s">
        <v>186</v>
      </c>
      <c r="D1187" s="173">
        <v>0.03</v>
      </c>
      <c r="E1187" s="176" t="s">
        <v>30</v>
      </c>
      <c r="F1187" s="176" t="s">
        <v>188</v>
      </c>
      <c r="G1187" s="171" t="s">
        <v>2176</v>
      </c>
      <c r="H1187" s="171"/>
    </row>
    <row r="1188" ht="14.25" spans="1:8">
      <c r="A1188" s="176">
        <v>15</v>
      </c>
      <c r="B1188" s="209" t="s">
        <v>2177</v>
      </c>
      <c r="C1188" s="181" t="s">
        <v>186</v>
      </c>
      <c r="D1188" s="173">
        <v>0.02</v>
      </c>
      <c r="E1188" s="176" t="s">
        <v>30</v>
      </c>
      <c r="F1188" s="176" t="s">
        <v>188</v>
      </c>
      <c r="G1188" s="171" t="s">
        <v>2178</v>
      </c>
      <c r="H1188" s="171"/>
    </row>
    <row r="1189" ht="14.25" spans="1:8">
      <c r="A1189" s="176">
        <v>16</v>
      </c>
      <c r="B1189" s="209" t="s">
        <v>2179</v>
      </c>
      <c r="C1189" s="181" t="s">
        <v>186</v>
      </c>
      <c r="D1189" s="173">
        <v>0.01</v>
      </c>
      <c r="E1189" s="176" t="s">
        <v>30</v>
      </c>
      <c r="F1189" s="176" t="s">
        <v>188</v>
      </c>
      <c r="G1189" s="171" t="s">
        <v>2180</v>
      </c>
      <c r="H1189" s="171"/>
    </row>
    <row r="1190" ht="14.25" spans="1:8">
      <c r="A1190" s="176">
        <v>17</v>
      </c>
      <c r="B1190" s="209" t="s">
        <v>2181</v>
      </c>
      <c r="C1190" s="181" t="s">
        <v>186</v>
      </c>
      <c r="D1190" s="173">
        <v>0.02</v>
      </c>
      <c r="E1190" s="176" t="s">
        <v>30</v>
      </c>
      <c r="F1190" s="176" t="s">
        <v>188</v>
      </c>
      <c r="G1190" s="171" t="s">
        <v>2182</v>
      </c>
      <c r="H1190" s="171"/>
    </row>
    <row r="1191" ht="14.25" spans="1:8">
      <c r="A1191" s="176">
        <v>18</v>
      </c>
      <c r="B1191" s="209" t="s">
        <v>2183</v>
      </c>
      <c r="C1191" s="181" t="s">
        <v>186</v>
      </c>
      <c r="D1191" s="173">
        <v>0.01</v>
      </c>
      <c r="E1191" s="176" t="s">
        <v>30</v>
      </c>
      <c r="F1191" s="176" t="s">
        <v>188</v>
      </c>
      <c r="G1191" s="171" t="s">
        <v>2184</v>
      </c>
      <c r="H1191" s="171"/>
    </row>
    <row r="1192" ht="14.25" spans="1:8">
      <c r="A1192" s="176">
        <v>19</v>
      </c>
      <c r="B1192" s="209" t="s">
        <v>2164</v>
      </c>
      <c r="C1192" s="181" t="s">
        <v>186</v>
      </c>
      <c r="D1192" s="173">
        <v>0.02</v>
      </c>
      <c r="E1192" s="176" t="s">
        <v>30</v>
      </c>
      <c r="F1192" s="176" t="s">
        <v>188</v>
      </c>
      <c r="G1192" s="171" t="s">
        <v>2165</v>
      </c>
      <c r="H1192" s="171"/>
    </row>
    <row r="1193" ht="14.25" spans="1:8">
      <c r="A1193" s="176">
        <v>20</v>
      </c>
      <c r="B1193" s="209" t="s">
        <v>2185</v>
      </c>
      <c r="C1193" s="181" t="s">
        <v>186</v>
      </c>
      <c r="D1193" s="173">
        <v>0.01</v>
      </c>
      <c r="E1193" s="176" t="s">
        <v>30</v>
      </c>
      <c r="F1193" s="176" t="s">
        <v>188</v>
      </c>
      <c r="G1193" s="171" t="s">
        <v>2186</v>
      </c>
      <c r="H1193" s="171"/>
    </row>
    <row r="1194" ht="14.25" spans="1:8">
      <c r="A1194" s="176">
        <v>21</v>
      </c>
      <c r="B1194" s="209" t="s">
        <v>2187</v>
      </c>
      <c r="C1194" s="181" t="s">
        <v>186</v>
      </c>
      <c r="D1194" s="173">
        <v>0.02</v>
      </c>
      <c r="E1194" s="176" t="s">
        <v>30</v>
      </c>
      <c r="F1194" s="176" t="s">
        <v>188</v>
      </c>
      <c r="G1194" s="171" t="s">
        <v>2188</v>
      </c>
      <c r="H1194" s="171"/>
    </row>
    <row r="1195" ht="14.25" spans="1:8">
      <c r="A1195" s="176">
        <v>22</v>
      </c>
      <c r="B1195" s="209" t="s">
        <v>2189</v>
      </c>
      <c r="C1195" s="181" t="s">
        <v>186</v>
      </c>
      <c r="D1195" s="173">
        <v>0.01</v>
      </c>
      <c r="E1195" s="176" t="s">
        <v>30</v>
      </c>
      <c r="F1195" s="176" t="s">
        <v>188</v>
      </c>
      <c r="G1195" s="171" t="s">
        <v>2190</v>
      </c>
      <c r="H1195" s="171"/>
    </row>
    <row r="1196" ht="25.5" spans="1:8">
      <c r="A1196" s="176">
        <v>23</v>
      </c>
      <c r="B1196" s="209" t="s">
        <v>2191</v>
      </c>
      <c r="C1196" s="181" t="s">
        <v>186</v>
      </c>
      <c r="D1196" s="173">
        <v>0.01</v>
      </c>
      <c r="E1196" s="176" t="s">
        <v>30</v>
      </c>
      <c r="F1196" s="176" t="s">
        <v>188</v>
      </c>
      <c r="G1196" s="171" t="s">
        <v>2192</v>
      </c>
      <c r="H1196" s="171"/>
    </row>
    <row r="1197" ht="14.25" spans="1:8">
      <c r="A1197" s="176">
        <v>24</v>
      </c>
      <c r="B1197" s="209" t="s">
        <v>2193</v>
      </c>
      <c r="C1197" s="181" t="s">
        <v>186</v>
      </c>
      <c r="D1197" s="173">
        <v>0.02</v>
      </c>
      <c r="E1197" s="176" t="s">
        <v>30</v>
      </c>
      <c r="F1197" s="176" t="s">
        <v>188</v>
      </c>
      <c r="G1197" s="171" t="s">
        <v>2194</v>
      </c>
      <c r="H1197" s="171"/>
    </row>
    <row r="1198" ht="14.25" spans="1:8">
      <c r="A1198" s="176">
        <v>25</v>
      </c>
      <c r="B1198" s="209" t="s">
        <v>2195</v>
      </c>
      <c r="C1198" s="181" t="s">
        <v>186</v>
      </c>
      <c r="D1198" s="173">
        <v>0.01</v>
      </c>
      <c r="E1198" s="176" t="s">
        <v>30</v>
      </c>
      <c r="F1198" s="176" t="s">
        <v>188</v>
      </c>
      <c r="G1198" s="171" t="s">
        <v>2196</v>
      </c>
      <c r="H1198" s="171"/>
    </row>
    <row r="1199" ht="14.25" spans="1:8">
      <c r="A1199" s="176">
        <v>26</v>
      </c>
      <c r="B1199" s="209" t="s">
        <v>2197</v>
      </c>
      <c r="C1199" s="181" t="s">
        <v>186</v>
      </c>
      <c r="D1199" s="173">
        <v>0.02</v>
      </c>
      <c r="E1199" s="176" t="s">
        <v>30</v>
      </c>
      <c r="F1199" s="176" t="s">
        <v>188</v>
      </c>
      <c r="G1199" s="171" t="s">
        <v>2198</v>
      </c>
      <c r="H1199" s="171"/>
    </row>
    <row r="1200" ht="14.25" spans="1:8">
      <c r="A1200" s="176">
        <v>27</v>
      </c>
      <c r="B1200" s="209" t="s">
        <v>2199</v>
      </c>
      <c r="C1200" s="181" t="s">
        <v>186</v>
      </c>
      <c r="D1200" s="173">
        <v>0.02</v>
      </c>
      <c r="E1200" s="176" t="s">
        <v>30</v>
      </c>
      <c r="F1200" s="176" t="s">
        <v>188</v>
      </c>
      <c r="G1200" s="171" t="s">
        <v>2200</v>
      </c>
      <c r="H1200" s="171"/>
    </row>
    <row r="1201" ht="14.25" spans="1:8">
      <c r="A1201" s="176">
        <v>28</v>
      </c>
      <c r="B1201" s="209" t="s">
        <v>2201</v>
      </c>
      <c r="C1201" s="181" t="s">
        <v>186</v>
      </c>
      <c r="D1201" s="173">
        <v>0.04</v>
      </c>
      <c r="E1201" s="176" t="s">
        <v>30</v>
      </c>
      <c r="F1201" s="176" t="s">
        <v>188</v>
      </c>
      <c r="G1201" s="171" t="s">
        <v>2202</v>
      </c>
      <c r="H1201" s="171"/>
    </row>
    <row r="1202" ht="14.25" spans="1:8">
      <c r="A1202" s="176">
        <v>29</v>
      </c>
      <c r="B1202" s="183" t="s">
        <v>2203</v>
      </c>
      <c r="C1202" s="181" t="s">
        <v>186</v>
      </c>
      <c r="D1202" s="173">
        <v>0.01</v>
      </c>
      <c r="E1202" s="176" t="s">
        <v>30</v>
      </c>
      <c r="F1202" s="176" t="s">
        <v>188</v>
      </c>
      <c r="G1202" s="181" t="s">
        <v>2204</v>
      </c>
      <c r="H1202" s="171"/>
    </row>
    <row r="1203" ht="14.25" spans="1:8">
      <c r="A1203" s="176">
        <v>30</v>
      </c>
      <c r="B1203" s="182" t="s">
        <v>2205</v>
      </c>
      <c r="C1203" s="181" t="s">
        <v>186</v>
      </c>
      <c r="D1203" s="173">
        <v>0.02</v>
      </c>
      <c r="E1203" s="176" t="s">
        <v>30</v>
      </c>
      <c r="F1203" s="176" t="s">
        <v>188</v>
      </c>
      <c r="G1203" s="181" t="s">
        <v>2192</v>
      </c>
      <c r="H1203" s="171"/>
    </row>
    <row r="1204" ht="14.25" spans="1:8">
      <c r="A1204" s="176">
        <v>31</v>
      </c>
      <c r="B1204" s="182" t="s">
        <v>2206</v>
      </c>
      <c r="C1204" s="181" t="s">
        <v>186</v>
      </c>
      <c r="D1204" s="173">
        <v>0.04</v>
      </c>
      <c r="E1204" s="176" t="s">
        <v>30</v>
      </c>
      <c r="F1204" s="176" t="s">
        <v>188</v>
      </c>
      <c r="G1204" s="181" t="s">
        <v>2207</v>
      </c>
      <c r="H1204" s="171"/>
    </row>
    <row r="1205" ht="14.25" spans="1:8">
      <c r="A1205" s="176">
        <v>32</v>
      </c>
      <c r="B1205" s="182" t="s">
        <v>2208</v>
      </c>
      <c r="C1205" s="181" t="s">
        <v>186</v>
      </c>
      <c r="D1205" s="173">
        <v>0.02</v>
      </c>
      <c r="E1205" s="176" t="s">
        <v>30</v>
      </c>
      <c r="F1205" s="176" t="s">
        <v>188</v>
      </c>
      <c r="G1205" s="181" t="s">
        <v>2209</v>
      </c>
      <c r="H1205" s="171"/>
    </row>
    <row r="1206" ht="14.25" spans="1:8">
      <c r="A1206" s="176">
        <v>33</v>
      </c>
      <c r="B1206" s="182" t="s">
        <v>2210</v>
      </c>
      <c r="C1206" s="181" t="s">
        <v>186</v>
      </c>
      <c r="D1206" s="173">
        <v>0.04</v>
      </c>
      <c r="E1206" s="176" t="s">
        <v>30</v>
      </c>
      <c r="F1206" s="176" t="s">
        <v>188</v>
      </c>
      <c r="G1206" s="181" t="s">
        <v>2211</v>
      </c>
      <c r="H1206" s="171"/>
    </row>
    <row r="1207" ht="14.25" spans="1:8">
      <c r="A1207" s="176">
        <v>34</v>
      </c>
      <c r="B1207" s="182" t="s">
        <v>2212</v>
      </c>
      <c r="C1207" s="181" t="s">
        <v>186</v>
      </c>
      <c r="D1207" s="173">
        <v>0.04</v>
      </c>
      <c r="E1207" s="176" t="s">
        <v>30</v>
      </c>
      <c r="F1207" s="176" t="s">
        <v>188</v>
      </c>
      <c r="G1207" s="181" t="s">
        <v>2213</v>
      </c>
      <c r="H1207" s="171"/>
    </row>
    <row r="1208" ht="14.25" spans="1:8">
      <c r="A1208" s="176">
        <v>35</v>
      </c>
      <c r="B1208" s="182" t="s">
        <v>2214</v>
      </c>
      <c r="C1208" s="181" t="s">
        <v>186</v>
      </c>
      <c r="D1208" s="173">
        <v>0.03</v>
      </c>
      <c r="E1208" s="176" t="s">
        <v>30</v>
      </c>
      <c r="F1208" s="176" t="s">
        <v>188</v>
      </c>
      <c r="G1208" s="181" t="s">
        <v>2215</v>
      </c>
      <c r="H1208" s="171"/>
    </row>
    <row r="1209" ht="14.25" spans="1:8">
      <c r="A1209" s="176">
        <v>36</v>
      </c>
      <c r="B1209" s="182" t="s">
        <v>2216</v>
      </c>
      <c r="C1209" s="181" t="s">
        <v>186</v>
      </c>
      <c r="D1209" s="173">
        <v>0.02</v>
      </c>
      <c r="E1209" s="176" t="s">
        <v>30</v>
      </c>
      <c r="F1209" s="176" t="s">
        <v>188</v>
      </c>
      <c r="G1209" s="181" t="s">
        <v>1792</v>
      </c>
      <c r="H1209" s="171"/>
    </row>
    <row r="1210" ht="14.25" spans="1:8">
      <c r="A1210" s="176">
        <v>37</v>
      </c>
      <c r="B1210" s="182" t="s">
        <v>2217</v>
      </c>
      <c r="C1210" s="181" t="s">
        <v>186</v>
      </c>
      <c r="D1210" s="173">
        <v>0.02</v>
      </c>
      <c r="E1210" s="176" t="s">
        <v>30</v>
      </c>
      <c r="F1210" s="176" t="s">
        <v>188</v>
      </c>
      <c r="G1210" s="181" t="s">
        <v>2218</v>
      </c>
      <c r="H1210" s="171"/>
    </row>
    <row r="1211" ht="14.25" spans="1:8">
      <c r="A1211" s="176">
        <v>38</v>
      </c>
      <c r="B1211" s="182" t="s">
        <v>2219</v>
      </c>
      <c r="C1211" s="181" t="s">
        <v>186</v>
      </c>
      <c r="D1211" s="173">
        <v>0.02</v>
      </c>
      <c r="E1211" s="176" t="s">
        <v>30</v>
      </c>
      <c r="F1211" s="176" t="s">
        <v>188</v>
      </c>
      <c r="G1211" s="181" t="s">
        <v>2220</v>
      </c>
      <c r="H1211" s="171"/>
    </row>
    <row r="1212" ht="14.25" spans="1:8">
      <c r="A1212" s="176">
        <v>39</v>
      </c>
      <c r="B1212" s="182" t="s">
        <v>2221</v>
      </c>
      <c r="C1212" s="181" t="s">
        <v>186</v>
      </c>
      <c r="D1212" s="173">
        <v>0.04</v>
      </c>
      <c r="E1212" s="176" t="s">
        <v>30</v>
      </c>
      <c r="F1212" s="176" t="s">
        <v>188</v>
      </c>
      <c r="G1212" s="181" t="s">
        <v>2222</v>
      </c>
      <c r="H1212" s="171"/>
    </row>
    <row r="1213" ht="14.25" spans="1:8">
      <c r="A1213" s="176">
        <v>40</v>
      </c>
      <c r="B1213" s="182" t="s">
        <v>2223</v>
      </c>
      <c r="C1213" s="181" t="s">
        <v>186</v>
      </c>
      <c r="D1213" s="173">
        <v>0.02</v>
      </c>
      <c r="E1213" s="176" t="s">
        <v>30</v>
      </c>
      <c r="F1213" s="176" t="s">
        <v>188</v>
      </c>
      <c r="G1213" s="181" t="s">
        <v>2224</v>
      </c>
      <c r="H1213" s="171"/>
    </row>
    <row r="1214" ht="14.25" spans="1:8">
      <c r="A1214" s="176">
        <v>41</v>
      </c>
      <c r="B1214" s="182" t="s">
        <v>2225</v>
      </c>
      <c r="C1214" s="181" t="s">
        <v>186</v>
      </c>
      <c r="D1214" s="173">
        <v>0.04</v>
      </c>
      <c r="E1214" s="176" t="s">
        <v>30</v>
      </c>
      <c r="F1214" s="176" t="s">
        <v>188</v>
      </c>
      <c r="G1214" s="181" t="s">
        <v>2226</v>
      </c>
      <c r="H1214" s="171"/>
    </row>
    <row r="1215" ht="14.25" spans="1:8">
      <c r="A1215" s="176">
        <v>42</v>
      </c>
      <c r="B1215" s="182" t="s">
        <v>2227</v>
      </c>
      <c r="C1215" s="181" t="s">
        <v>186</v>
      </c>
      <c r="D1215" s="173">
        <v>0.03</v>
      </c>
      <c r="E1215" s="176" t="s">
        <v>30</v>
      </c>
      <c r="F1215" s="176" t="s">
        <v>188</v>
      </c>
      <c r="G1215" s="181" t="s">
        <v>2228</v>
      </c>
      <c r="H1215" s="171"/>
    </row>
    <row r="1216" ht="14.25" spans="1:8">
      <c r="A1216" s="176">
        <v>43</v>
      </c>
      <c r="B1216" s="182" t="s">
        <v>2229</v>
      </c>
      <c r="C1216" s="181" t="s">
        <v>186</v>
      </c>
      <c r="D1216" s="173">
        <v>0.02</v>
      </c>
      <c r="E1216" s="176" t="s">
        <v>30</v>
      </c>
      <c r="F1216" s="176" t="s">
        <v>188</v>
      </c>
      <c r="G1216" s="181" t="s">
        <v>2230</v>
      </c>
      <c r="H1216" s="171"/>
    </row>
    <row r="1217" ht="14.25" spans="1:8">
      <c r="A1217" s="176">
        <v>44</v>
      </c>
      <c r="B1217" s="182" t="s">
        <v>2231</v>
      </c>
      <c r="C1217" s="181" t="s">
        <v>186</v>
      </c>
      <c r="D1217" s="173">
        <v>0.02</v>
      </c>
      <c r="E1217" s="176" t="s">
        <v>30</v>
      </c>
      <c r="F1217" s="176" t="s">
        <v>188</v>
      </c>
      <c r="G1217" s="181" t="s">
        <v>2232</v>
      </c>
      <c r="H1217" s="171"/>
    </row>
    <row r="1218" ht="14.25" spans="1:8">
      <c r="A1218" s="176">
        <v>45</v>
      </c>
      <c r="B1218" s="182" t="s">
        <v>2233</v>
      </c>
      <c r="C1218" s="181" t="s">
        <v>186</v>
      </c>
      <c r="D1218" s="173">
        <v>0.04</v>
      </c>
      <c r="E1218" s="176" t="s">
        <v>30</v>
      </c>
      <c r="F1218" s="176" t="s">
        <v>188</v>
      </c>
      <c r="G1218" s="181" t="s">
        <v>2207</v>
      </c>
      <c r="H1218" s="171"/>
    </row>
    <row r="1219" ht="14.25" spans="1:8">
      <c r="A1219" s="176">
        <v>46</v>
      </c>
      <c r="B1219" s="182" t="s">
        <v>2234</v>
      </c>
      <c r="C1219" s="181" t="s">
        <v>186</v>
      </c>
      <c r="D1219" s="173">
        <v>0.02</v>
      </c>
      <c r="E1219" s="176" t="s">
        <v>30</v>
      </c>
      <c r="F1219" s="176" t="s">
        <v>188</v>
      </c>
      <c r="G1219" s="181" t="s">
        <v>2235</v>
      </c>
      <c r="H1219" s="171"/>
    </row>
    <row r="1220" ht="14.25" spans="1:8">
      <c r="A1220" s="176">
        <v>47</v>
      </c>
      <c r="B1220" s="182" t="s">
        <v>2236</v>
      </c>
      <c r="C1220" s="181" t="s">
        <v>186</v>
      </c>
      <c r="D1220" s="173">
        <v>0.04</v>
      </c>
      <c r="E1220" s="176" t="s">
        <v>30</v>
      </c>
      <c r="F1220" s="176" t="s">
        <v>188</v>
      </c>
      <c r="G1220" s="181" t="s">
        <v>827</v>
      </c>
      <c r="H1220" s="171"/>
    </row>
    <row r="1221" ht="14.25" spans="1:8">
      <c r="A1221" s="176">
        <v>48</v>
      </c>
      <c r="B1221" s="182" t="s">
        <v>2237</v>
      </c>
      <c r="C1221" s="181" t="s">
        <v>186</v>
      </c>
      <c r="D1221" s="173">
        <v>0.01</v>
      </c>
      <c r="E1221" s="176" t="s">
        <v>30</v>
      </c>
      <c r="F1221" s="176" t="s">
        <v>188</v>
      </c>
      <c r="G1221" s="181" t="s">
        <v>2238</v>
      </c>
      <c r="H1221" s="171"/>
    </row>
    <row r="1222" ht="14.25" spans="1:8">
      <c r="A1222" s="176">
        <v>49</v>
      </c>
      <c r="B1222" s="182" t="s">
        <v>2239</v>
      </c>
      <c r="C1222" s="181" t="s">
        <v>186</v>
      </c>
      <c r="D1222" s="173">
        <v>0.04</v>
      </c>
      <c r="E1222" s="176" t="s">
        <v>30</v>
      </c>
      <c r="F1222" s="176" t="s">
        <v>188</v>
      </c>
      <c r="G1222" s="181" t="s">
        <v>1717</v>
      </c>
      <c r="H1222" s="171"/>
    </row>
    <row r="1223" ht="14.25" spans="1:8">
      <c r="A1223" s="176">
        <v>50</v>
      </c>
      <c r="B1223" s="182" t="s">
        <v>2240</v>
      </c>
      <c r="C1223" s="181" t="s">
        <v>186</v>
      </c>
      <c r="D1223" s="173">
        <v>0.02</v>
      </c>
      <c r="E1223" s="176" t="s">
        <v>30</v>
      </c>
      <c r="F1223" s="176" t="s">
        <v>188</v>
      </c>
      <c r="G1223" s="181" t="s">
        <v>2241</v>
      </c>
      <c r="H1223" s="171"/>
    </row>
    <row r="1224" ht="14.25" spans="1:8">
      <c r="A1224" s="176">
        <v>51</v>
      </c>
      <c r="B1224" s="182" t="s">
        <v>667</v>
      </c>
      <c r="C1224" s="181" t="s">
        <v>186</v>
      </c>
      <c r="D1224" s="173">
        <v>0.01</v>
      </c>
      <c r="E1224" s="176" t="s">
        <v>30</v>
      </c>
      <c r="F1224" s="176" t="s">
        <v>188</v>
      </c>
      <c r="G1224" s="181" t="s">
        <v>2242</v>
      </c>
      <c r="H1224" s="171"/>
    </row>
    <row r="1225" ht="14.25" spans="1:8">
      <c r="A1225" s="176">
        <v>52</v>
      </c>
      <c r="B1225" s="182" t="s">
        <v>2243</v>
      </c>
      <c r="C1225" s="181" t="s">
        <v>186</v>
      </c>
      <c r="D1225" s="173">
        <v>0.04</v>
      </c>
      <c r="E1225" s="176" t="s">
        <v>30</v>
      </c>
      <c r="F1225" s="176" t="s">
        <v>188</v>
      </c>
      <c r="G1225" s="181" t="s">
        <v>2226</v>
      </c>
      <c r="H1225" s="171"/>
    </row>
    <row r="1226" ht="14.25" spans="1:8">
      <c r="A1226" s="176">
        <v>53</v>
      </c>
      <c r="B1226" s="182" t="s">
        <v>2244</v>
      </c>
      <c r="C1226" s="181" t="s">
        <v>186</v>
      </c>
      <c r="D1226" s="173">
        <v>0.02</v>
      </c>
      <c r="E1226" s="176" t="s">
        <v>30</v>
      </c>
      <c r="F1226" s="176" t="s">
        <v>188</v>
      </c>
      <c r="G1226" s="181" t="s">
        <v>2245</v>
      </c>
      <c r="H1226" s="171"/>
    </row>
    <row r="1227" ht="14.25" spans="1:8">
      <c r="A1227" s="176">
        <v>54</v>
      </c>
      <c r="B1227" s="182" t="s">
        <v>2246</v>
      </c>
      <c r="C1227" s="181" t="s">
        <v>186</v>
      </c>
      <c r="D1227" s="173">
        <v>0.01</v>
      </c>
      <c r="E1227" s="176" t="s">
        <v>30</v>
      </c>
      <c r="F1227" s="176" t="s">
        <v>188</v>
      </c>
      <c r="G1227" s="181" t="s">
        <v>2247</v>
      </c>
      <c r="H1227" s="171"/>
    </row>
    <row r="1228" ht="14.25" spans="1:8">
      <c r="A1228" s="176">
        <v>55</v>
      </c>
      <c r="B1228" s="182" t="s">
        <v>2248</v>
      </c>
      <c r="C1228" s="181" t="s">
        <v>186</v>
      </c>
      <c r="D1228" s="173">
        <v>0.04</v>
      </c>
      <c r="E1228" s="176" t="s">
        <v>30</v>
      </c>
      <c r="F1228" s="176" t="s">
        <v>188</v>
      </c>
      <c r="G1228" s="181" t="s">
        <v>2188</v>
      </c>
      <c r="H1228" s="171"/>
    </row>
    <row r="1229" ht="14.25" spans="1:8">
      <c r="A1229" s="176">
        <v>56</v>
      </c>
      <c r="B1229" s="182" t="s">
        <v>2249</v>
      </c>
      <c r="C1229" s="181" t="s">
        <v>186</v>
      </c>
      <c r="D1229" s="173">
        <v>0.01</v>
      </c>
      <c r="E1229" s="176" t="s">
        <v>30</v>
      </c>
      <c r="F1229" s="176" t="s">
        <v>188</v>
      </c>
      <c r="G1229" s="181" t="s">
        <v>1207</v>
      </c>
      <c r="H1229" s="171"/>
    </row>
    <row r="1230" ht="14.25" spans="1:8">
      <c r="A1230" s="176">
        <v>57</v>
      </c>
      <c r="B1230" s="182" t="s">
        <v>2250</v>
      </c>
      <c r="C1230" s="181" t="s">
        <v>186</v>
      </c>
      <c r="D1230" s="173">
        <v>0.02</v>
      </c>
      <c r="E1230" s="176" t="s">
        <v>30</v>
      </c>
      <c r="F1230" s="176" t="s">
        <v>188</v>
      </c>
      <c r="G1230" s="181" t="s">
        <v>2151</v>
      </c>
      <c r="H1230" s="171"/>
    </row>
    <row r="1231" ht="14.25" spans="1:8">
      <c r="A1231" s="176">
        <v>58</v>
      </c>
      <c r="B1231" s="182" t="s">
        <v>2251</v>
      </c>
      <c r="C1231" s="181" t="s">
        <v>186</v>
      </c>
      <c r="D1231" s="173">
        <v>0.01</v>
      </c>
      <c r="E1231" s="176" t="s">
        <v>30</v>
      </c>
      <c r="F1231" s="176" t="s">
        <v>188</v>
      </c>
      <c r="G1231" s="181" t="s">
        <v>2252</v>
      </c>
      <c r="H1231" s="171"/>
    </row>
    <row r="1232" ht="14.25" spans="1:8">
      <c r="A1232" s="176">
        <v>59</v>
      </c>
      <c r="B1232" s="182" t="s">
        <v>2253</v>
      </c>
      <c r="C1232" s="181" t="s">
        <v>186</v>
      </c>
      <c r="D1232" s="173">
        <v>0.01</v>
      </c>
      <c r="E1232" s="176" t="s">
        <v>30</v>
      </c>
      <c r="F1232" s="176" t="s">
        <v>188</v>
      </c>
      <c r="G1232" s="181" t="s">
        <v>2254</v>
      </c>
      <c r="H1232" s="171"/>
    </row>
    <row r="1233" ht="14.25" spans="1:8">
      <c r="A1233" s="176">
        <v>60</v>
      </c>
      <c r="B1233" s="182" t="s">
        <v>2255</v>
      </c>
      <c r="C1233" s="181" t="s">
        <v>186</v>
      </c>
      <c r="D1233" s="173">
        <v>0.01</v>
      </c>
      <c r="E1233" s="176" t="s">
        <v>30</v>
      </c>
      <c r="F1233" s="176" t="s">
        <v>188</v>
      </c>
      <c r="G1233" s="181" t="s">
        <v>2256</v>
      </c>
      <c r="H1233" s="171"/>
    </row>
    <row r="1234" ht="14.25" spans="1:8">
      <c r="A1234" s="176">
        <v>61</v>
      </c>
      <c r="B1234" s="182" t="s">
        <v>2257</v>
      </c>
      <c r="C1234" s="181" t="s">
        <v>186</v>
      </c>
      <c r="D1234" s="173">
        <v>0.05</v>
      </c>
      <c r="E1234" s="176" t="s">
        <v>30</v>
      </c>
      <c r="F1234" s="176" t="s">
        <v>188</v>
      </c>
      <c r="G1234" s="181" t="s">
        <v>2258</v>
      </c>
      <c r="H1234" s="171"/>
    </row>
    <row r="1235" ht="14.25" spans="1:8">
      <c r="A1235" s="176">
        <v>62</v>
      </c>
      <c r="B1235" s="182" t="s">
        <v>2257</v>
      </c>
      <c r="C1235" s="181" t="s">
        <v>186</v>
      </c>
      <c r="D1235" s="173">
        <v>0.05</v>
      </c>
      <c r="E1235" s="176" t="s">
        <v>30</v>
      </c>
      <c r="F1235" s="176" t="s">
        <v>188</v>
      </c>
      <c r="G1235" s="181" t="s">
        <v>2259</v>
      </c>
      <c r="H1235" s="171"/>
    </row>
    <row r="1236" ht="14.25" spans="1:8">
      <c r="A1236" s="176">
        <v>63</v>
      </c>
      <c r="B1236" s="182" t="s">
        <v>2257</v>
      </c>
      <c r="C1236" s="181" t="s">
        <v>186</v>
      </c>
      <c r="D1236" s="173">
        <v>0.05</v>
      </c>
      <c r="E1236" s="176" t="s">
        <v>30</v>
      </c>
      <c r="F1236" s="176" t="s">
        <v>188</v>
      </c>
      <c r="G1236" s="181" t="s">
        <v>2260</v>
      </c>
      <c r="H1236" s="171"/>
    </row>
    <row r="1237" ht="14.25" spans="1:8">
      <c r="A1237" s="176">
        <v>64</v>
      </c>
      <c r="B1237" s="182" t="s">
        <v>2257</v>
      </c>
      <c r="C1237" s="181" t="s">
        <v>186</v>
      </c>
      <c r="D1237" s="173">
        <v>0.05</v>
      </c>
      <c r="E1237" s="176" t="s">
        <v>30</v>
      </c>
      <c r="F1237" s="176" t="s">
        <v>188</v>
      </c>
      <c r="G1237" s="181" t="s">
        <v>2261</v>
      </c>
      <c r="H1237" s="171"/>
    </row>
    <row r="1238" ht="14.25" spans="1:8">
      <c r="A1238" s="176">
        <v>65</v>
      </c>
      <c r="B1238" s="182" t="s">
        <v>2257</v>
      </c>
      <c r="C1238" s="181" t="s">
        <v>186</v>
      </c>
      <c r="D1238" s="173">
        <v>0.05</v>
      </c>
      <c r="E1238" s="176" t="s">
        <v>30</v>
      </c>
      <c r="F1238" s="176" t="s">
        <v>188</v>
      </c>
      <c r="G1238" s="181" t="s">
        <v>2262</v>
      </c>
      <c r="H1238" s="171"/>
    </row>
    <row r="1239" ht="14.25" spans="1:8">
      <c r="A1239" s="176">
        <v>66</v>
      </c>
      <c r="B1239" s="182" t="s">
        <v>2263</v>
      </c>
      <c r="C1239" s="181" t="s">
        <v>186</v>
      </c>
      <c r="D1239" s="173">
        <v>0.04</v>
      </c>
      <c r="E1239" s="176" t="s">
        <v>30</v>
      </c>
      <c r="F1239" s="176" t="s">
        <v>188</v>
      </c>
      <c r="G1239" s="181" t="s">
        <v>2186</v>
      </c>
      <c r="H1239" s="171"/>
    </row>
    <row r="1240" ht="14.25" spans="1:8">
      <c r="A1240" s="176">
        <v>67</v>
      </c>
      <c r="B1240" s="182" t="s">
        <v>2264</v>
      </c>
      <c r="C1240" s="181" t="s">
        <v>186</v>
      </c>
      <c r="D1240" s="173">
        <v>0.04</v>
      </c>
      <c r="E1240" s="176" t="s">
        <v>30</v>
      </c>
      <c r="F1240" s="176" t="s">
        <v>188</v>
      </c>
      <c r="G1240" s="181" t="s">
        <v>2202</v>
      </c>
      <c r="H1240" s="171"/>
    </row>
    <row r="1241" ht="14.25" spans="1:8">
      <c r="A1241" s="176">
        <v>68</v>
      </c>
      <c r="B1241" s="182" t="s">
        <v>2109</v>
      </c>
      <c r="C1241" s="181" t="s">
        <v>186</v>
      </c>
      <c r="D1241" s="173">
        <v>0.01</v>
      </c>
      <c r="E1241" s="176" t="s">
        <v>30</v>
      </c>
      <c r="F1241" s="176" t="s">
        <v>188</v>
      </c>
      <c r="G1241" s="181" t="s">
        <v>2265</v>
      </c>
      <c r="H1241" s="171"/>
    </row>
    <row r="1242" ht="14.25" spans="1:8">
      <c r="A1242" s="176">
        <v>69</v>
      </c>
      <c r="B1242" s="182" t="s">
        <v>2266</v>
      </c>
      <c r="C1242" s="181" t="s">
        <v>186</v>
      </c>
      <c r="D1242" s="173">
        <v>0.04</v>
      </c>
      <c r="E1242" s="176" t="s">
        <v>30</v>
      </c>
      <c r="F1242" s="176" t="s">
        <v>188</v>
      </c>
      <c r="G1242" s="181" t="s">
        <v>2267</v>
      </c>
      <c r="H1242" s="171"/>
    </row>
    <row r="1243" ht="14.25" spans="1:8">
      <c r="A1243" s="176">
        <v>70</v>
      </c>
      <c r="B1243" s="226" t="s">
        <v>2268</v>
      </c>
      <c r="C1243" s="181" t="s">
        <v>186</v>
      </c>
      <c r="D1243" s="173">
        <v>0.2</v>
      </c>
      <c r="E1243" s="227" t="s">
        <v>30</v>
      </c>
      <c r="F1243" s="227" t="s">
        <v>188</v>
      </c>
      <c r="G1243" s="181" t="s">
        <v>2269</v>
      </c>
      <c r="H1243" s="171"/>
    </row>
    <row r="1244" ht="14.25" spans="1:8">
      <c r="A1244" s="176">
        <v>71</v>
      </c>
      <c r="B1244" s="182" t="s">
        <v>405</v>
      </c>
      <c r="C1244" s="181" t="s">
        <v>186</v>
      </c>
      <c r="D1244" s="173">
        <v>0.02</v>
      </c>
      <c r="E1244" s="176" t="s">
        <v>30</v>
      </c>
      <c r="F1244" s="176" t="s">
        <v>188</v>
      </c>
      <c r="G1244" s="181" t="s">
        <v>2270</v>
      </c>
      <c r="H1244" s="171" t="s">
        <v>672</v>
      </c>
    </row>
    <row r="1245" ht="14.25" spans="1:8">
      <c r="A1245" s="176">
        <v>72</v>
      </c>
      <c r="B1245" s="175" t="s">
        <v>2271</v>
      </c>
      <c r="C1245" s="181" t="s">
        <v>186</v>
      </c>
      <c r="D1245" s="173">
        <v>0.02</v>
      </c>
      <c r="E1245" s="176" t="s">
        <v>30</v>
      </c>
      <c r="F1245" s="176" t="s">
        <v>188</v>
      </c>
      <c r="G1245" s="181" t="s">
        <v>2272</v>
      </c>
      <c r="H1245" s="171"/>
    </row>
    <row r="1246" ht="25.5" spans="1:8">
      <c r="A1246" s="176">
        <v>73</v>
      </c>
      <c r="B1246" s="175" t="s">
        <v>2273</v>
      </c>
      <c r="C1246" s="181" t="s">
        <v>186</v>
      </c>
      <c r="D1246" s="173">
        <v>0.04</v>
      </c>
      <c r="E1246" s="176" t="s">
        <v>30</v>
      </c>
      <c r="F1246" s="176" t="s">
        <v>188</v>
      </c>
      <c r="G1246" s="181" t="s">
        <v>2274</v>
      </c>
      <c r="H1246" s="171" t="s">
        <v>701</v>
      </c>
    </row>
    <row r="1247" ht="14.25" spans="1:8">
      <c r="A1247" s="176">
        <v>74</v>
      </c>
      <c r="B1247" s="175" t="s">
        <v>2275</v>
      </c>
      <c r="C1247" s="181" t="s">
        <v>186</v>
      </c>
      <c r="D1247" s="173">
        <v>0.02</v>
      </c>
      <c r="E1247" s="176" t="s">
        <v>30</v>
      </c>
      <c r="F1247" s="176" t="s">
        <v>188</v>
      </c>
      <c r="G1247" s="181" t="s">
        <v>2182</v>
      </c>
      <c r="H1247" s="171"/>
    </row>
    <row r="1248" ht="14.25" spans="1:8">
      <c r="A1248" s="176">
        <v>75</v>
      </c>
      <c r="B1248" s="175" t="s">
        <v>2276</v>
      </c>
      <c r="C1248" s="181" t="s">
        <v>186</v>
      </c>
      <c r="D1248" s="173">
        <v>0.02</v>
      </c>
      <c r="E1248" s="176" t="s">
        <v>30</v>
      </c>
      <c r="F1248" s="176" t="s">
        <v>188</v>
      </c>
      <c r="G1248" s="181" t="s">
        <v>2277</v>
      </c>
      <c r="H1248" s="171"/>
    </row>
    <row r="1249" ht="14.25" spans="1:8">
      <c r="A1249" s="176">
        <v>76</v>
      </c>
      <c r="B1249" s="175" t="s">
        <v>2278</v>
      </c>
      <c r="C1249" s="181" t="s">
        <v>186</v>
      </c>
      <c r="D1249" s="173">
        <v>0.02</v>
      </c>
      <c r="E1249" s="176" t="s">
        <v>30</v>
      </c>
      <c r="F1249" s="176" t="s">
        <v>188</v>
      </c>
      <c r="G1249" s="181" t="s">
        <v>2279</v>
      </c>
      <c r="H1249" s="171"/>
    </row>
    <row r="1250" ht="14.25" spans="1:8">
      <c r="A1250" s="176">
        <v>77</v>
      </c>
      <c r="B1250" s="175" t="s">
        <v>2280</v>
      </c>
      <c r="C1250" s="181" t="s">
        <v>186</v>
      </c>
      <c r="D1250" s="173">
        <v>0.02</v>
      </c>
      <c r="E1250" s="176" t="s">
        <v>30</v>
      </c>
      <c r="F1250" s="176" t="s">
        <v>188</v>
      </c>
      <c r="G1250" s="181" t="s">
        <v>2281</v>
      </c>
      <c r="H1250" s="171"/>
    </row>
    <row r="1251" ht="14.25" spans="1:8">
      <c r="A1251" s="176">
        <v>78</v>
      </c>
      <c r="B1251" s="175" t="s">
        <v>2282</v>
      </c>
      <c r="C1251" s="181" t="s">
        <v>186</v>
      </c>
      <c r="D1251" s="173">
        <v>0.05</v>
      </c>
      <c r="E1251" s="176" t="s">
        <v>30</v>
      </c>
      <c r="F1251" s="176" t="s">
        <v>188</v>
      </c>
      <c r="G1251" s="181" t="s">
        <v>2283</v>
      </c>
      <c r="H1251" s="171"/>
    </row>
    <row r="1252" ht="14.25" spans="1:8">
      <c r="A1252" s="176">
        <v>79</v>
      </c>
      <c r="B1252" s="175" t="s">
        <v>2284</v>
      </c>
      <c r="C1252" s="181" t="s">
        <v>186</v>
      </c>
      <c r="D1252" s="173">
        <v>0.01</v>
      </c>
      <c r="E1252" s="176" t="s">
        <v>30</v>
      </c>
      <c r="F1252" s="176" t="s">
        <v>188</v>
      </c>
      <c r="G1252" s="181" t="s">
        <v>2285</v>
      </c>
      <c r="H1252" s="171"/>
    </row>
    <row r="1253" ht="14.25" spans="1:8">
      <c r="A1253" s="176">
        <v>80</v>
      </c>
      <c r="B1253" s="175" t="s">
        <v>2286</v>
      </c>
      <c r="C1253" s="181" t="s">
        <v>186</v>
      </c>
      <c r="D1253" s="173">
        <v>0.04</v>
      </c>
      <c r="E1253" s="176" t="s">
        <v>30</v>
      </c>
      <c r="F1253" s="176" t="s">
        <v>188</v>
      </c>
      <c r="G1253" s="181" t="s">
        <v>2188</v>
      </c>
      <c r="H1253" s="171"/>
    </row>
    <row r="1254" ht="14.25" spans="1:8">
      <c r="A1254" s="176">
        <v>81</v>
      </c>
      <c r="B1254" s="175" t="s">
        <v>2287</v>
      </c>
      <c r="C1254" s="181" t="s">
        <v>186</v>
      </c>
      <c r="D1254" s="173">
        <v>0.02</v>
      </c>
      <c r="E1254" s="176" t="s">
        <v>30</v>
      </c>
      <c r="F1254" s="176" t="s">
        <v>188</v>
      </c>
      <c r="G1254" s="181" t="s">
        <v>2288</v>
      </c>
      <c r="H1254" s="171"/>
    </row>
    <row r="1255" ht="14.25" spans="1:8">
      <c r="A1255" s="176">
        <v>82</v>
      </c>
      <c r="B1255" s="175" t="s">
        <v>1183</v>
      </c>
      <c r="C1255" s="181" t="s">
        <v>186</v>
      </c>
      <c r="D1255" s="173">
        <v>0.02</v>
      </c>
      <c r="E1255" s="176" t="s">
        <v>30</v>
      </c>
      <c r="F1255" s="176" t="s">
        <v>188</v>
      </c>
      <c r="G1255" s="181" t="s">
        <v>2289</v>
      </c>
      <c r="H1255" s="171"/>
    </row>
    <row r="1256" ht="14.25" spans="1:8">
      <c r="A1256" s="176">
        <v>83</v>
      </c>
      <c r="B1256" s="175" t="s">
        <v>2290</v>
      </c>
      <c r="C1256" s="181" t="s">
        <v>186</v>
      </c>
      <c r="D1256" s="173">
        <v>0.01</v>
      </c>
      <c r="E1256" s="176" t="s">
        <v>30</v>
      </c>
      <c r="F1256" s="176" t="s">
        <v>188</v>
      </c>
      <c r="G1256" s="181" t="s">
        <v>2192</v>
      </c>
      <c r="H1256" s="171"/>
    </row>
    <row r="1257" ht="14.25" spans="1:8">
      <c r="A1257" s="176">
        <v>84</v>
      </c>
      <c r="B1257" s="175" t="s">
        <v>2291</v>
      </c>
      <c r="C1257" s="181" t="s">
        <v>186</v>
      </c>
      <c r="D1257" s="173">
        <v>0.08</v>
      </c>
      <c r="E1257" s="176" t="s">
        <v>30</v>
      </c>
      <c r="F1257" s="176" t="s">
        <v>188</v>
      </c>
      <c r="G1257" s="181" t="s">
        <v>2226</v>
      </c>
      <c r="H1257" s="171"/>
    </row>
    <row r="1258" ht="14.25" spans="1:8">
      <c r="A1258" s="176">
        <v>85</v>
      </c>
      <c r="B1258" s="175" t="s">
        <v>2292</v>
      </c>
      <c r="C1258" s="181" t="s">
        <v>186</v>
      </c>
      <c r="D1258" s="173">
        <v>0.02</v>
      </c>
      <c r="E1258" s="176" t="s">
        <v>30</v>
      </c>
      <c r="F1258" s="176" t="s">
        <v>188</v>
      </c>
      <c r="G1258" s="181" t="s">
        <v>2293</v>
      </c>
      <c r="H1258" s="171"/>
    </row>
    <row r="1259" ht="14.25" spans="1:8">
      <c r="A1259" s="176">
        <v>86</v>
      </c>
      <c r="B1259" s="182" t="s">
        <v>2294</v>
      </c>
      <c r="C1259" s="181" t="s">
        <v>186</v>
      </c>
      <c r="D1259" s="173">
        <v>0.02</v>
      </c>
      <c r="E1259" s="176" t="s">
        <v>30</v>
      </c>
      <c r="F1259" s="176" t="s">
        <v>188</v>
      </c>
      <c r="G1259" s="181" t="s">
        <v>2295</v>
      </c>
      <c r="H1259" s="171"/>
    </row>
    <row r="1260" ht="14.25" spans="1:8">
      <c r="A1260" s="176">
        <v>87</v>
      </c>
      <c r="B1260" s="182" t="s">
        <v>2250</v>
      </c>
      <c r="C1260" s="181" t="s">
        <v>186</v>
      </c>
      <c r="D1260" s="173">
        <v>0.04</v>
      </c>
      <c r="E1260" s="176" t="s">
        <v>30</v>
      </c>
      <c r="F1260" s="176" t="s">
        <v>188</v>
      </c>
      <c r="G1260" s="181" t="s">
        <v>2151</v>
      </c>
      <c r="H1260" s="171"/>
    </row>
    <row r="1261" ht="14.25" spans="1:8">
      <c r="A1261" s="176">
        <v>88</v>
      </c>
      <c r="B1261" s="182" t="s">
        <v>2296</v>
      </c>
      <c r="C1261" s="181" t="s">
        <v>186</v>
      </c>
      <c r="D1261" s="173">
        <v>0.09</v>
      </c>
      <c r="E1261" s="176" t="s">
        <v>30</v>
      </c>
      <c r="F1261" s="176" t="s">
        <v>188</v>
      </c>
      <c r="G1261" s="181" t="s">
        <v>2297</v>
      </c>
      <c r="H1261" s="171"/>
    </row>
    <row r="1262" ht="25.5" spans="1:8">
      <c r="A1262" s="176">
        <v>89</v>
      </c>
      <c r="B1262" s="175" t="s">
        <v>2298</v>
      </c>
      <c r="C1262" s="181" t="s">
        <v>186</v>
      </c>
      <c r="D1262" s="173">
        <v>0.02</v>
      </c>
      <c r="E1262" s="176" t="s">
        <v>30</v>
      </c>
      <c r="F1262" s="176" t="s">
        <v>188</v>
      </c>
      <c r="G1262" s="171" t="s">
        <v>2299</v>
      </c>
      <c r="H1262" s="171" t="s">
        <v>1883</v>
      </c>
    </row>
    <row r="1263" ht="14.25" spans="1:8">
      <c r="A1263" s="176">
        <v>90</v>
      </c>
      <c r="B1263" s="171" t="s">
        <v>2300</v>
      </c>
      <c r="C1263" s="181" t="s">
        <v>186</v>
      </c>
      <c r="D1263" s="173">
        <v>0.02</v>
      </c>
      <c r="E1263" s="176" t="s">
        <v>30</v>
      </c>
      <c r="F1263" s="176" t="s">
        <v>188</v>
      </c>
      <c r="G1263" s="171" t="s">
        <v>2301</v>
      </c>
      <c r="H1263" s="171"/>
    </row>
    <row r="1264" ht="14.25" spans="1:8">
      <c r="A1264" s="176">
        <v>91</v>
      </c>
      <c r="B1264" s="171" t="s">
        <v>2302</v>
      </c>
      <c r="C1264" s="181" t="s">
        <v>186</v>
      </c>
      <c r="D1264" s="173">
        <v>0.04</v>
      </c>
      <c r="E1264" s="176" t="s">
        <v>30</v>
      </c>
      <c r="F1264" s="176" t="s">
        <v>188</v>
      </c>
      <c r="G1264" s="171" t="s">
        <v>2303</v>
      </c>
      <c r="H1264" s="171"/>
    </row>
    <row r="1265" ht="25.5" spans="1:8">
      <c r="A1265" s="176">
        <v>92</v>
      </c>
      <c r="B1265" s="171" t="s">
        <v>2304</v>
      </c>
      <c r="C1265" s="181" t="s">
        <v>186</v>
      </c>
      <c r="D1265" s="173">
        <v>0.04</v>
      </c>
      <c r="E1265" s="176" t="s">
        <v>30</v>
      </c>
      <c r="F1265" s="176" t="s">
        <v>188</v>
      </c>
      <c r="G1265" s="171" t="s">
        <v>2305</v>
      </c>
      <c r="H1265" s="171" t="s">
        <v>634</v>
      </c>
    </row>
    <row r="1266" ht="14.25" spans="1:8">
      <c r="A1266" s="176">
        <v>93</v>
      </c>
      <c r="B1266" s="171" t="s">
        <v>2212</v>
      </c>
      <c r="C1266" s="181" t="s">
        <v>186</v>
      </c>
      <c r="D1266" s="173">
        <v>0.04</v>
      </c>
      <c r="E1266" s="176" t="s">
        <v>30</v>
      </c>
      <c r="F1266" s="176" t="s">
        <v>188</v>
      </c>
      <c r="G1266" s="171" t="s">
        <v>469</v>
      </c>
      <c r="H1266" s="171"/>
    </row>
    <row r="1267" ht="25.5" spans="1:8">
      <c r="A1267" s="176">
        <v>94</v>
      </c>
      <c r="B1267" s="171" t="s">
        <v>2306</v>
      </c>
      <c r="C1267" s="181" t="s">
        <v>186</v>
      </c>
      <c r="D1267" s="173">
        <v>0.06</v>
      </c>
      <c r="E1267" s="176" t="s">
        <v>30</v>
      </c>
      <c r="F1267" s="176" t="s">
        <v>188</v>
      </c>
      <c r="G1267" s="171" t="s">
        <v>2307</v>
      </c>
      <c r="H1267" s="171" t="s">
        <v>1420</v>
      </c>
    </row>
    <row r="1268" ht="25.5" spans="1:8">
      <c r="A1268" s="176">
        <v>95</v>
      </c>
      <c r="B1268" s="171" t="s">
        <v>2308</v>
      </c>
      <c r="C1268" s="181" t="s">
        <v>186</v>
      </c>
      <c r="D1268" s="173">
        <v>0.06</v>
      </c>
      <c r="E1268" s="176" t="s">
        <v>30</v>
      </c>
      <c r="F1268" s="176" t="s">
        <v>188</v>
      </c>
      <c r="G1268" s="171" t="s">
        <v>2309</v>
      </c>
      <c r="H1268" s="171" t="s">
        <v>1420</v>
      </c>
    </row>
    <row r="1269" ht="14.25" spans="1:8">
      <c r="A1269" s="176">
        <v>96</v>
      </c>
      <c r="B1269" s="171" t="s">
        <v>2310</v>
      </c>
      <c r="C1269" s="181" t="s">
        <v>186</v>
      </c>
      <c r="D1269" s="173">
        <v>0.04</v>
      </c>
      <c r="E1269" s="176" t="s">
        <v>30</v>
      </c>
      <c r="F1269" s="176" t="s">
        <v>188</v>
      </c>
      <c r="G1269" s="171" t="s">
        <v>2132</v>
      </c>
      <c r="H1269" s="171"/>
    </row>
    <row r="1270" ht="14.25" spans="1:8">
      <c r="A1270" s="176">
        <v>97</v>
      </c>
      <c r="B1270" s="171" t="s">
        <v>850</v>
      </c>
      <c r="C1270" s="181" t="s">
        <v>186</v>
      </c>
      <c r="D1270" s="173">
        <v>0.04</v>
      </c>
      <c r="E1270" s="176" t="s">
        <v>30</v>
      </c>
      <c r="F1270" s="176" t="s">
        <v>188</v>
      </c>
      <c r="G1270" s="171" t="s">
        <v>2311</v>
      </c>
      <c r="H1270" s="171"/>
    </row>
    <row r="1271" ht="14.25" spans="1:8">
      <c r="A1271" s="176">
        <v>98</v>
      </c>
      <c r="B1271" s="171" t="s">
        <v>850</v>
      </c>
      <c r="C1271" s="181" t="s">
        <v>186</v>
      </c>
      <c r="D1271" s="173">
        <v>0.04</v>
      </c>
      <c r="E1271" s="176" t="s">
        <v>30</v>
      </c>
      <c r="F1271" s="176" t="s">
        <v>188</v>
      </c>
      <c r="G1271" s="171" t="s">
        <v>2312</v>
      </c>
      <c r="H1271" s="171"/>
    </row>
    <row r="1272" ht="25.5" spans="1:8">
      <c r="A1272" s="176">
        <v>99</v>
      </c>
      <c r="B1272" s="171" t="s">
        <v>2313</v>
      </c>
      <c r="C1272" s="181" t="s">
        <v>186</v>
      </c>
      <c r="D1272" s="173">
        <v>0.2</v>
      </c>
      <c r="E1272" s="176" t="s">
        <v>30</v>
      </c>
      <c r="F1272" s="176" t="s">
        <v>188</v>
      </c>
      <c r="G1272" s="171" t="s">
        <v>2314</v>
      </c>
      <c r="H1272" s="171" t="s">
        <v>2315</v>
      </c>
    </row>
    <row r="1273" ht="14.25" spans="1:8">
      <c r="A1273" s="176">
        <v>100</v>
      </c>
      <c r="B1273" s="171" t="s">
        <v>2316</v>
      </c>
      <c r="C1273" s="181" t="s">
        <v>186</v>
      </c>
      <c r="D1273" s="173">
        <v>0.17</v>
      </c>
      <c r="E1273" s="176" t="s">
        <v>30</v>
      </c>
      <c r="F1273" s="176" t="s">
        <v>188</v>
      </c>
      <c r="G1273" s="171" t="s">
        <v>2317</v>
      </c>
      <c r="H1273" s="171"/>
    </row>
    <row r="1274" ht="14.25" spans="1:8">
      <c r="A1274" s="176">
        <v>101</v>
      </c>
      <c r="B1274" s="171" t="s">
        <v>2318</v>
      </c>
      <c r="C1274" s="181" t="s">
        <v>186</v>
      </c>
      <c r="D1274" s="173">
        <v>0.1</v>
      </c>
      <c r="E1274" s="176" t="s">
        <v>30</v>
      </c>
      <c r="F1274" s="176" t="s">
        <v>188</v>
      </c>
      <c r="G1274" s="171" t="s">
        <v>2319</v>
      </c>
      <c r="H1274" s="171"/>
    </row>
    <row r="1275" ht="14.25" spans="1:8">
      <c r="A1275" s="176">
        <v>102</v>
      </c>
      <c r="B1275" s="171" t="s">
        <v>2233</v>
      </c>
      <c r="C1275" s="181" t="s">
        <v>186</v>
      </c>
      <c r="D1275" s="173">
        <v>0.02</v>
      </c>
      <c r="E1275" s="176" t="s">
        <v>30</v>
      </c>
      <c r="F1275" s="176" t="s">
        <v>188</v>
      </c>
      <c r="G1275" s="171" t="s">
        <v>2320</v>
      </c>
      <c r="H1275" s="171"/>
    </row>
    <row r="1276" ht="14.25" spans="1:8">
      <c r="A1276" s="176">
        <v>103</v>
      </c>
      <c r="B1276" s="171" t="s">
        <v>2321</v>
      </c>
      <c r="C1276" s="181" t="s">
        <v>186</v>
      </c>
      <c r="D1276" s="173">
        <v>0.04</v>
      </c>
      <c r="E1276" s="176" t="s">
        <v>30</v>
      </c>
      <c r="F1276" s="176" t="s">
        <v>188</v>
      </c>
      <c r="G1276" s="171" t="s">
        <v>2322</v>
      </c>
      <c r="H1276" s="171"/>
    </row>
    <row r="1277" ht="14.25" spans="1:8">
      <c r="A1277" s="176">
        <v>104</v>
      </c>
      <c r="B1277" s="171" t="s">
        <v>2323</v>
      </c>
      <c r="C1277" s="181" t="s">
        <v>186</v>
      </c>
      <c r="D1277" s="173">
        <v>0.03</v>
      </c>
      <c r="E1277" s="176" t="s">
        <v>30</v>
      </c>
      <c r="F1277" s="176" t="s">
        <v>188</v>
      </c>
      <c r="G1277" s="171" t="s">
        <v>2324</v>
      </c>
      <c r="H1277" s="171"/>
    </row>
    <row r="1278" ht="14.25" spans="1:8">
      <c r="A1278" s="176">
        <v>105</v>
      </c>
      <c r="B1278" s="171" t="s">
        <v>2325</v>
      </c>
      <c r="C1278" s="181" t="s">
        <v>186</v>
      </c>
      <c r="D1278" s="173">
        <v>0.02</v>
      </c>
      <c r="E1278" s="176" t="s">
        <v>30</v>
      </c>
      <c r="F1278" s="176" t="s">
        <v>188</v>
      </c>
      <c r="G1278" s="171" t="s">
        <v>2326</v>
      </c>
      <c r="H1278" s="171"/>
    </row>
    <row r="1279" ht="14.25" spans="1:8">
      <c r="A1279" s="176">
        <v>106</v>
      </c>
      <c r="B1279" s="171" t="s">
        <v>2327</v>
      </c>
      <c r="C1279" s="181" t="s">
        <v>186</v>
      </c>
      <c r="D1279" s="173">
        <v>0.02</v>
      </c>
      <c r="E1279" s="176" t="s">
        <v>30</v>
      </c>
      <c r="F1279" s="176" t="s">
        <v>188</v>
      </c>
      <c r="G1279" s="171" t="s">
        <v>2328</v>
      </c>
      <c r="H1279" s="171"/>
    </row>
    <row r="1280" ht="14.25" spans="1:8">
      <c r="A1280" s="176">
        <v>107</v>
      </c>
      <c r="B1280" s="171" t="s">
        <v>2189</v>
      </c>
      <c r="C1280" s="181" t="s">
        <v>186</v>
      </c>
      <c r="D1280" s="173">
        <v>0.02</v>
      </c>
      <c r="E1280" s="176" t="s">
        <v>30</v>
      </c>
      <c r="F1280" s="176" t="s">
        <v>188</v>
      </c>
      <c r="G1280" s="171" t="s">
        <v>2329</v>
      </c>
      <c r="H1280" s="171"/>
    </row>
    <row r="1281" ht="14.25" spans="1:8">
      <c r="A1281" s="176">
        <v>108</v>
      </c>
      <c r="B1281" s="171" t="s">
        <v>2308</v>
      </c>
      <c r="C1281" s="181" t="s">
        <v>186</v>
      </c>
      <c r="D1281" s="173">
        <v>0.1</v>
      </c>
      <c r="E1281" s="176" t="s">
        <v>30</v>
      </c>
      <c r="F1281" s="176" t="s">
        <v>188</v>
      </c>
      <c r="G1281" s="171" t="s">
        <v>2330</v>
      </c>
      <c r="H1281" s="171"/>
    </row>
    <row r="1282" ht="14.25" spans="1:8">
      <c r="A1282" s="176">
        <v>109</v>
      </c>
      <c r="B1282" s="171" t="s">
        <v>2331</v>
      </c>
      <c r="C1282" s="181" t="s">
        <v>186</v>
      </c>
      <c r="D1282" s="173">
        <v>0.01</v>
      </c>
      <c r="E1282" s="176" t="s">
        <v>30</v>
      </c>
      <c r="F1282" s="176" t="s">
        <v>188</v>
      </c>
      <c r="G1282" s="171" t="s">
        <v>2332</v>
      </c>
      <c r="H1282" s="171" t="s">
        <v>672</v>
      </c>
    </row>
    <row r="1283" ht="14.25" spans="1:8">
      <c r="A1283" s="176">
        <v>110</v>
      </c>
      <c r="B1283" s="171" t="s">
        <v>2333</v>
      </c>
      <c r="C1283" s="181" t="s">
        <v>186</v>
      </c>
      <c r="D1283" s="173">
        <v>0.2</v>
      </c>
      <c r="E1283" s="176" t="s">
        <v>30</v>
      </c>
      <c r="F1283" s="176" t="s">
        <v>188</v>
      </c>
      <c r="G1283" s="171" t="s">
        <v>2334</v>
      </c>
      <c r="H1283" s="171"/>
    </row>
    <row r="1284" ht="14.25" spans="1:8">
      <c r="A1284" s="176">
        <v>111</v>
      </c>
      <c r="B1284" s="171" t="s">
        <v>2335</v>
      </c>
      <c r="C1284" s="181" t="s">
        <v>186</v>
      </c>
      <c r="D1284" s="173">
        <v>0.01</v>
      </c>
      <c r="E1284" s="176" t="s">
        <v>30</v>
      </c>
      <c r="F1284" s="176" t="s">
        <v>188</v>
      </c>
      <c r="G1284" s="171" t="s">
        <v>2336</v>
      </c>
      <c r="H1284" s="171"/>
    </row>
    <row r="1285" ht="14.25" spans="1:8">
      <c r="A1285" s="176">
        <v>112</v>
      </c>
      <c r="B1285" s="171" t="s">
        <v>2208</v>
      </c>
      <c r="C1285" s="181" t="s">
        <v>186</v>
      </c>
      <c r="D1285" s="173">
        <v>0.03</v>
      </c>
      <c r="E1285" s="176" t="s">
        <v>30</v>
      </c>
      <c r="F1285" s="176" t="s">
        <v>188</v>
      </c>
      <c r="G1285" s="171" t="s">
        <v>2209</v>
      </c>
      <c r="H1285" s="171"/>
    </row>
    <row r="1286" ht="14.25" spans="1:8">
      <c r="A1286" s="176">
        <v>113</v>
      </c>
      <c r="B1286" s="171" t="s">
        <v>2337</v>
      </c>
      <c r="C1286" s="181" t="s">
        <v>186</v>
      </c>
      <c r="D1286" s="173">
        <v>0.1</v>
      </c>
      <c r="E1286" s="176" t="s">
        <v>30</v>
      </c>
      <c r="F1286" s="176" t="s">
        <v>188</v>
      </c>
      <c r="G1286" s="171" t="s">
        <v>2338</v>
      </c>
      <c r="H1286" s="171"/>
    </row>
    <row r="1287" ht="14.25" spans="1:8">
      <c r="A1287" s="176">
        <v>114</v>
      </c>
      <c r="B1287" s="171" t="s">
        <v>2339</v>
      </c>
      <c r="C1287" s="181" t="s">
        <v>186</v>
      </c>
      <c r="D1287" s="173">
        <v>0.03</v>
      </c>
      <c r="E1287" s="176" t="s">
        <v>30</v>
      </c>
      <c r="F1287" s="176" t="s">
        <v>188</v>
      </c>
      <c r="G1287" s="171" t="s">
        <v>2340</v>
      </c>
      <c r="H1287" s="171"/>
    </row>
    <row r="1288" ht="14.25" spans="1:8">
      <c r="A1288" s="176">
        <v>115</v>
      </c>
      <c r="B1288" s="171" t="s">
        <v>2339</v>
      </c>
      <c r="C1288" s="181" t="s">
        <v>186</v>
      </c>
      <c r="D1288" s="173">
        <v>0.03</v>
      </c>
      <c r="E1288" s="176" t="s">
        <v>30</v>
      </c>
      <c r="F1288" s="176" t="s">
        <v>188</v>
      </c>
      <c r="G1288" s="171" t="s">
        <v>2341</v>
      </c>
      <c r="H1288" s="171"/>
    </row>
    <row r="1289" ht="14.25" spans="1:8">
      <c r="A1289" s="176">
        <v>116</v>
      </c>
      <c r="B1289" s="175" t="s">
        <v>2342</v>
      </c>
      <c r="C1289" s="181" t="s">
        <v>186</v>
      </c>
      <c r="D1289" s="173">
        <v>0.04</v>
      </c>
      <c r="E1289" s="170" t="s">
        <v>30</v>
      </c>
      <c r="F1289" s="170" t="s">
        <v>188</v>
      </c>
      <c r="G1289" s="171" t="s">
        <v>2343</v>
      </c>
      <c r="H1289" s="171"/>
    </row>
    <row r="1290" ht="14.25" spans="1:8">
      <c r="A1290" s="176">
        <v>117</v>
      </c>
      <c r="B1290" s="175" t="s">
        <v>2344</v>
      </c>
      <c r="C1290" s="181" t="s">
        <v>186</v>
      </c>
      <c r="D1290" s="173">
        <v>0.03</v>
      </c>
      <c r="E1290" s="170" t="s">
        <v>30</v>
      </c>
      <c r="F1290" s="170" t="s">
        <v>188</v>
      </c>
      <c r="G1290" s="171" t="s">
        <v>2345</v>
      </c>
      <c r="H1290" s="171"/>
    </row>
    <row r="1291" ht="14.25" spans="1:8">
      <c r="A1291" s="176">
        <v>118</v>
      </c>
      <c r="B1291" s="175" t="s">
        <v>2346</v>
      </c>
      <c r="C1291" s="181" t="s">
        <v>186</v>
      </c>
      <c r="D1291" s="173">
        <v>0.03</v>
      </c>
      <c r="E1291" s="170" t="s">
        <v>30</v>
      </c>
      <c r="F1291" s="170" t="s">
        <v>188</v>
      </c>
      <c r="G1291" s="171" t="s">
        <v>2347</v>
      </c>
      <c r="H1291" s="171"/>
    </row>
    <row r="1292" ht="14.25" spans="1:8">
      <c r="A1292" s="176">
        <v>119</v>
      </c>
      <c r="B1292" s="175" t="s">
        <v>2348</v>
      </c>
      <c r="C1292" s="181" t="s">
        <v>186</v>
      </c>
      <c r="D1292" s="173">
        <v>0.02</v>
      </c>
      <c r="E1292" s="170" t="s">
        <v>30</v>
      </c>
      <c r="F1292" s="170" t="s">
        <v>188</v>
      </c>
      <c r="G1292" s="171" t="s">
        <v>2349</v>
      </c>
      <c r="H1292" s="171"/>
    </row>
    <row r="1293" ht="14.25" spans="1:8">
      <c r="A1293" s="176">
        <v>120</v>
      </c>
      <c r="B1293" s="175" t="s">
        <v>1793</v>
      </c>
      <c r="C1293" s="181" t="s">
        <v>186</v>
      </c>
      <c r="D1293" s="173">
        <v>0.02</v>
      </c>
      <c r="E1293" s="170" t="s">
        <v>30</v>
      </c>
      <c r="F1293" s="170" t="s">
        <v>2350</v>
      </c>
      <c r="G1293" s="171" t="s">
        <v>2351</v>
      </c>
      <c r="H1293" s="171"/>
    </row>
    <row r="1294" ht="14.25" spans="1:8">
      <c r="A1294" s="176">
        <v>121</v>
      </c>
      <c r="B1294" s="175" t="s">
        <v>2266</v>
      </c>
      <c r="C1294" s="181" t="s">
        <v>186</v>
      </c>
      <c r="D1294" s="173">
        <v>0.02</v>
      </c>
      <c r="E1294" s="170" t="s">
        <v>30</v>
      </c>
      <c r="F1294" s="170" t="s">
        <v>188</v>
      </c>
      <c r="G1294" s="171" t="s">
        <v>2267</v>
      </c>
      <c r="H1294" s="171"/>
    </row>
    <row r="1295" ht="14.25" spans="1:8">
      <c r="A1295" s="176">
        <v>122</v>
      </c>
      <c r="B1295" s="175" t="s">
        <v>2266</v>
      </c>
      <c r="C1295" s="181" t="s">
        <v>186</v>
      </c>
      <c r="D1295" s="173">
        <v>0.02</v>
      </c>
      <c r="E1295" s="170" t="s">
        <v>30</v>
      </c>
      <c r="F1295" s="170" t="s">
        <v>188</v>
      </c>
      <c r="G1295" s="171" t="s">
        <v>2352</v>
      </c>
      <c r="H1295" s="171"/>
    </row>
    <row r="1296" ht="14.25" spans="1:8">
      <c r="A1296" s="176">
        <v>123</v>
      </c>
      <c r="B1296" s="175" t="s">
        <v>2353</v>
      </c>
      <c r="C1296" s="181" t="s">
        <v>186</v>
      </c>
      <c r="D1296" s="173">
        <v>0.04</v>
      </c>
      <c r="E1296" s="170" t="s">
        <v>30</v>
      </c>
      <c r="F1296" s="170" t="s">
        <v>188</v>
      </c>
      <c r="G1296" s="171" t="s">
        <v>2354</v>
      </c>
      <c r="H1296" s="171"/>
    </row>
    <row r="1297" ht="14.25" spans="1:8">
      <c r="A1297" s="176">
        <v>124</v>
      </c>
      <c r="B1297" s="175" t="s">
        <v>2246</v>
      </c>
      <c r="C1297" s="181" t="s">
        <v>186</v>
      </c>
      <c r="D1297" s="173">
        <v>0.02</v>
      </c>
      <c r="E1297" s="170" t="s">
        <v>30</v>
      </c>
      <c r="F1297" s="170" t="s">
        <v>188</v>
      </c>
      <c r="G1297" s="171" t="s">
        <v>2355</v>
      </c>
      <c r="H1297" s="171"/>
    </row>
    <row r="1298" ht="14.25" spans="1:8">
      <c r="A1298" s="176">
        <v>125</v>
      </c>
      <c r="B1298" s="175" t="s">
        <v>2356</v>
      </c>
      <c r="C1298" s="181" t="s">
        <v>186</v>
      </c>
      <c r="D1298" s="173">
        <v>0.02</v>
      </c>
      <c r="E1298" s="170" t="s">
        <v>30</v>
      </c>
      <c r="F1298" s="170" t="s">
        <v>188</v>
      </c>
      <c r="G1298" s="171" t="s">
        <v>2357</v>
      </c>
      <c r="H1298" s="171" t="s">
        <v>672</v>
      </c>
    </row>
    <row r="1299" ht="14.25" spans="1:8">
      <c r="A1299" s="176">
        <v>126</v>
      </c>
      <c r="B1299" s="175" t="s">
        <v>2358</v>
      </c>
      <c r="C1299" s="181" t="s">
        <v>186</v>
      </c>
      <c r="D1299" s="173">
        <v>0.02</v>
      </c>
      <c r="E1299" s="170" t="s">
        <v>30</v>
      </c>
      <c r="F1299" s="170" t="s">
        <v>188</v>
      </c>
      <c r="G1299" s="171" t="s">
        <v>2359</v>
      </c>
      <c r="H1299" s="171"/>
    </row>
    <row r="1300" ht="14.25" spans="1:8">
      <c r="A1300" s="176">
        <v>127</v>
      </c>
      <c r="B1300" s="175" t="s">
        <v>2237</v>
      </c>
      <c r="C1300" s="181" t="s">
        <v>186</v>
      </c>
      <c r="D1300" s="173">
        <v>0.01</v>
      </c>
      <c r="E1300" s="170" t="s">
        <v>30</v>
      </c>
      <c r="F1300" s="170" t="s">
        <v>188</v>
      </c>
      <c r="G1300" s="171" t="s">
        <v>2238</v>
      </c>
      <c r="H1300" s="171"/>
    </row>
    <row r="1301" ht="14.25" spans="1:8">
      <c r="A1301" s="176">
        <v>128</v>
      </c>
      <c r="B1301" s="175" t="s">
        <v>2360</v>
      </c>
      <c r="C1301" s="181" t="s">
        <v>186</v>
      </c>
      <c r="D1301" s="173">
        <v>0.01</v>
      </c>
      <c r="E1301" s="170" t="s">
        <v>30</v>
      </c>
      <c r="F1301" s="170" t="s">
        <v>188</v>
      </c>
      <c r="G1301" s="171" t="s">
        <v>2361</v>
      </c>
      <c r="H1301" s="171"/>
    </row>
    <row r="1302" ht="14.25" spans="1:8">
      <c r="A1302" s="176">
        <v>129</v>
      </c>
      <c r="B1302" s="175" t="s">
        <v>2362</v>
      </c>
      <c r="C1302" s="181" t="s">
        <v>186</v>
      </c>
      <c r="D1302" s="173">
        <v>0.02</v>
      </c>
      <c r="E1302" s="170" t="s">
        <v>30</v>
      </c>
      <c r="F1302" s="170" t="s">
        <v>188</v>
      </c>
      <c r="G1302" s="171" t="s">
        <v>2363</v>
      </c>
      <c r="H1302" s="171"/>
    </row>
    <row r="1303" ht="14.25" spans="1:8">
      <c r="A1303" s="176">
        <v>130</v>
      </c>
      <c r="B1303" s="175" t="s">
        <v>2364</v>
      </c>
      <c r="C1303" s="181" t="s">
        <v>186</v>
      </c>
      <c r="D1303" s="173">
        <v>0.03</v>
      </c>
      <c r="E1303" s="170" t="s">
        <v>30</v>
      </c>
      <c r="F1303" s="170" t="s">
        <v>188</v>
      </c>
      <c r="G1303" s="171" t="s">
        <v>2365</v>
      </c>
      <c r="H1303" s="171"/>
    </row>
    <row r="1304" ht="14.25" spans="1:8">
      <c r="A1304" s="176">
        <v>131</v>
      </c>
      <c r="B1304" s="175" t="s">
        <v>2308</v>
      </c>
      <c r="C1304" s="181" t="s">
        <v>186</v>
      </c>
      <c r="D1304" s="173">
        <v>0.05</v>
      </c>
      <c r="E1304" s="170" t="s">
        <v>30</v>
      </c>
      <c r="F1304" s="170" t="s">
        <v>188</v>
      </c>
      <c r="G1304" s="171" t="s">
        <v>2366</v>
      </c>
      <c r="H1304" s="171"/>
    </row>
    <row r="1305" ht="25.5" spans="1:8">
      <c r="A1305" s="176">
        <v>132</v>
      </c>
      <c r="B1305" s="175" t="s">
        <v>1221</v>
      </c>
      <c r="C1305" s="181" t="s">
        <v>186</v>
      </c>
      <c r="D1305" s="173">
        <v>0.11</v>
      </c>
      <c r="E1305" s="170" t="s">
        <v>30</v>
      </c>
      <c r="F1305" s="170" t="s">
        <v>188</v>
      </c>
      <c r="G1305" s="171" t="s">
        <v>2367</v>
      </c>
      <c r="H1305" s="171" t="s">
        <v>2368</v>
      </c>
    </row>
    <row r="1306" ht="14.25" spans="1:8">
      <c r="A1306" s="176">
        <v>133</v>
      </c>
      <c r="B1306" s="175" t="s">
        <v>2369</v>
      </c>
      <c r="C1306" s="181" t="s">
        <v>186</v>
      </c>
      <c r="D1306" s="173">
        <v>0.02</v>
      </c>
      <c r="E1306" s="170" t="s">
        <v>30</v>
      </c>
      <c r="F1306" s="170" t="s">
        <v>188</v>
      </c>
      <c r="G1306" s="171" t="s">
        <v>2370</v>
      </c>
      <c r="H1306" s="171" t="s">
        <v>672</v>
      </c>
    </row>
    <row r="1307" ht="14.25" spans="1:8">
      <c r="A1307" s="176">
        <v>134</v>
      </c>
      <c r="B1307" s="175" t="s">
        <v>2371</v>
      </c>
      <c r="C1307" s="181" t="s">
        <v>186</v>
      </c>
      <c r="D1307" s="173">
        <v>0.02</v>
      </c>
      <c r="E1307" s="170" t="s">
        <v>30</v>
      </c>
      <c r="F1307" s="170" t="s">
        <v>188</v>
      </c>
      <c r="G1307" s="171" t="s">
        <v>2372</v>
      </c>
      <c r="H1307" s="171"/>
    </row>
    <row r="1308" ht="14.25" spans="1:8">
      <c r="A1308" s="176">
        <v>135</v>
      </c>
      <c r="B1308" s="175" t="s">
        <v>2373</v>
      </c>
      <c r="C1308" s="181" t="s">
        <v>186</v>
      </c>
      <c r="D1308" s="173">
        <v>0.02</v>
      </c>
      <c r="E1308" s="170" t="s">
        <v>30</v>
      </c>
      <c r="F1308" s="170" t="s">
        <v>188</v>
      </c>
      <c r="G1308" s="171" t="s">
        <v>2374</v>
      </c>
      <c r="H1308" s="171"/>
    </row>
    <row r="1309" ht="14.25" spans="1:8">
      <c r="A1309" s="176">
        <v>136</v>
      </c>
      <c r="B1309" s="175" t="s">
        <v>2375</v>
      </c>
      <c r="C1309" s="181" t="s">
        <v>186</v>
      </c>
      <c r="D1309" s="173">
        <v>0.04</v>
      </c>
      <c r="E1309" s="170" t="s">
        <v>30</v>
      </c>
      <c r="F1309" s="170" t="s">
        <v>188</v>
      </c>
      <c r="G1309" s="171" t="s">
        <v>2376</v>
      </c>
      <c r="H1309" s="171"/>
    </row>
    <row r="1310" ht="14.25" spans="1:8">
      <c r="A1310" s="176">
        <v>137</v>
      </c>
      <c r="B1310" s="175" t="s">
        <v>2377</v>
      </c>
      <c r="C1310" s="181" t="s">
        <v>186</v>
      </c>
      <c r="D1310" s="173">
        <v>0.1</v>
      </c>
      <c r="E1310" s="170" t="s">
        <v>30</v>
      </c>
      <c r="F1310" s="170" t="s">
        <v>188</v>
      </c>
      <c r="G1310" s="171" t="s">
        <v>2378</v>
      </c>
      <c r="H1310" s="171"/>
    </row>
    <row r="1311" ht="14.25" spans="1:8">
      <c r="A1311" s="176">
        <v>138</v>
      </c>
      <c r="B1311" s="175" t="s">
        <v>2379</v>
      </c>
      <c r="C1311" s="181" t="s">
        <v>186</v>
      </c>
      <c r="D1311" s="173">
        <v>0.06</v>
      </c>
      <c r="E1311" s="170" t="s">
        <v>30</v>
      </c>
      <c r="F1311" s="170" t="s">
        <v>188</v>
      </c>
      <c r="G1311" s="171" t="s">
        <v>2380</v>
      </c>
      <c r="H1311" s="171"/>
    </row>
    <row r="1312" ht="14.25" spans="1:8">
      <c r="A1312" s="176">
        <v>139</v>
      </c>
      <c r="B1312" s="175" t="s">
        <v>2313</v>
      </c>
      <c r="C1312" s="181" t="s">
        <v>186</v>
      </c>
      <c r="D1312" s="173">
        <v>0.05</v>
      </c>
      <c r="E1312" s="170" t="s">
        <v>30</v>
      </c>
      <c r="F1312" s="170" t="s">
        <v>188</v>
      </c>
      <c r="G1312" s="171" t="s">
        <v>2314</v>
      </c>
      <c r="H1312" s="171"/>
    </row>
    <row r="1313" ht="14.25" spans="1:8">
      <c r="A1313" s="176">
        <v>140</v>
      </c>
      <c r="B1313" s="183" t="s">
        <v>2381</v>
      </c>
      <c r="C1313" s="181" t="s">
        <v>186</v>
      </c>
      <c r="D1313" s="173">
        <v>0.09</v>
      </c>
      <c r="E1313" s="170" t="s">
        <v>30</v>
      </c>
      <c r="F1313" s="170" t="s">
        <v>188</v>
      </c>
      <c r="G1313" s="171" t="s">
        <v>2382</v>
      </c>
      <c r="H1313" s="171"/>
    </row>
    <row r="1314" ht="14.25" spans="1:8">
      <c r="A1314" s="176">
        <v>141</v>
      </c>
      <c r="B1314" s="183" t="s">
        <v>2383</v>
      </c>
      <c r="C1314" s="181" t="s">
        <v>186</v>
      </c>
      <c r="D1314" s="173">
        <v>0.03</v>
      </c>
      <c r="E1314" s="170" t="s">
        <v>30</v>
      </c>
      <c r="F1314" s="170" t="s">
        <v>188</v>
      </c>
      <c r="G1314" s="171" t="s">
        <v>2384</v>
      </c>
      <c r="H1314" s="171"/>
    </row>
    <row r="1315" ht="14.25" spans="1:8">
      <c r="A1315" s="176">
        <v>142</v>
      </c>
      <c r="B1315" s="183" t="s">
        <v>2385</v>
      </c>
      <c r="C1315" s="181" t="s">
        <v>186</v>
      </c>
      <c r="D1315" s="173">
        <v>0.03</v>
      </c>
      <c r="E1315" s="170" t="s">
        <v>30</v>
      </c>
      <c r="F1315" s="170" t="s">
        <v>188</v>
      </c>
      <c r="G1315" s="171" t="s">
        <v>2386</v>
      </c>
      <c r="H1315" s="171"/>
    </row>
    <row r="1316" ht="14.25" spans="1:8">
      <c r="A1316" s="176">
        <v>143</v>
      </c>
      <c r="B1316" s="183" t="s">
        <v>2387</v>
      </c>
      <c r="C1316" s="181" t="s">
        <v>186</v>
      </c>
      <c r="D1316" s="173">
        <v>0.06</v>
      </c>
      <c r="E1316" s="170" t="s">
        <v>30</v>
      </c>
      <c r="F1316" s="170" t="s">
        <v>188</v>
      </c>
      <c r="G1316" s="171" t="s">
        <v>2163</v>
      </c>
      <c r="H1316" s="171"/>
    </row>
    <row r="1317" ht="14.25" spans="1:8">
      <c r="A1317" s="176">
        <v>144</v>
      </c>
      <c r="B1317" s="183" t="s">
        <v>2388</v>
      </c>
      <c r="C1317" s="181" t="s">
        <v>186</v>
      </c>
      <c r="D1317" s="173">
        <v>0.05</v>
      </c>
      <c r="E1317" s="170" t="s">
        <v>30</v>
      </c>
      <c r="F1317" s="170" t="s">
        <v>188</v>
      </c>
      <c r="G1317" s="171" t="s">
        <v>2389</v>
      </c>
      <c r="H1317" s="171"/>
    </row>
    <row r="1318" ht="14.25" spans="1:8">
      <c r="A1318" s="176">
        <v>145</v>
      </c>
      <c r="B1318" s="183" t="s">
        <v>2390</v>
      </c>
      <c r="C1318" s="181" t="s">
        <v>186</v>
      </c>
      <c r="D1318" s="173">
        <v>0.06</v>
      </c>
      <c r="E1318" s="170" t="s">
        <v>30</v>
      </c>
      <c r="F1318" s="170" t="s">
        <v>188</v>
      </c>
      <c r="G1318" s="171" t="s">
        <v>2391</v>
      </c>
      <c r="H1318" s="171"/>
    </row>
    <row r="1319" ht="14.25" spans="1:8">
      <c r="A1319" s="176">
        <v>146</v>
      </c>
      <c r="B1319" s="183" t="s">
        <v>2392</v>
      </c>
      <c r="C1319" s="181" t="s">
        <v>186</v>
      </c>
      <c r="D1319" s="173">
        <v>0.04</v>
      </c>
      <c r="E1319" s="170" t="s">
        <v>30</v>
      </c>
      <c r="F1319" s="170" t="s">
        <v>188</v>
      </c>
      <c r="G1319" s="171" t="s">
        <v>2230</v>
      </c>
      <c r="H1319" s="171"/>
    </row>
    <row r="1320" ht="14.25" spans="1:8">
      <c r="A1320" s="176">
        <v>147</v>
      </c>
      <c r="B1320" s="183" t="s">
        <v>2393</v>
      </c>
      <c r="C1320" s="181" t="s">
        <v>186</v>
      </c>
      <c r="D1320" s="173">
        <v>0.01</v>
      </c>
      <c r="E1320" s="170" t="s">
        <v>30</v>
      </c>
      <c r="F1320" s="170" t="s">
        <v>188</v>
      </c>
      <c r="G1320" s="171" t="s">
        <v>2349</v>
      </c>
      <c r="H1320" s="171"/>
    </row>
    <row r="1321" ht="14.25" spans="1:8">
      <c r="A1321" s="176">
        <v>148</v>
      </c>
      <c r="B1321" s="183" t="s">
        <v>2239</v>
      </c>
      <c r="C1321" s="181" t="s">
        <v>186</v>
      </c>
      <c r="D1321" s="173">
        <v>0.3</v>
      </c>
      <c r="E1321" s="170" t="s">
        <v>30</v>
      </c>
      <c r="F1321" s="170" t="s">
        <v>188</v>
      </c>
      <c r="G1321" s="171" t="s">
        <v>1717</v>
      </c>
      <c r="H1321" s="171"/>
    </row>
    <row r="1322" ht="14.25" spans="1:8">
      <c r="A1322" s="176">
        <v>149</v>
      </c>
      <c r="B1322" s="183" t="s">
        <v>2394</v>
      </c>
      <c r="C1322" s="181" t="s">
        <v>186</v>
      </c>
      <c r="D1322" s="173">
        <v>0.02</v>
      </c>
      <c r="E1322" s="170" t="s">
        <v>30</v>
      </c>
      <c r="F1322" s="170" t="s">
        <v>188</v>
      </c>
      <c r="G1322" s="171" t="s">
        <v>2395</v>
      </c>
      <c r="H1322" s="171"/>
    </row>
    <row r="1323" ht="14.25" spans="1:8">
      <c r="A1323" s="176">
        <v>150</v>
      </c>
      <c r="B1323" s="183" t="s">
        <v>2396</v>
      </c>
      <c r="C1323" s="181" t="s">
        <v>186</v>
      </c>
      <c r="D1323" s="173">
        <v>0.03</v>
      </c>
      <c r="E1323" s="170" t="s">
        <v>30</v>
      </c>
      <c r="F1323" s="170" t="s">
        <v>188</v>
      </c>
      <c r="G1323" s="171" t="s">
        <v>2397</v>
      </c>
      <c r="H1323" s="171"/>
    </row>
    <row r="1324" ht="14.25" spans="1:8">
      <c r="A1324" s="176">
        <v>151</v>
      </c>
      <c r="B1324" s="183" t="s">
        <v>2385</v>
      </c>
      <c r="C1324" s="181" t="s">
        <v>186</v>
      </c>
      <c r="D1324" s="173">
        <v>0.06</v>
      </c>
      <c r="E1324" s="170" t="s">
        <v>30</v>
      </c>
      <c r="F1324" s="170" t="s">
        <v>188</v>
      </c>
      <c r="G1324" s="171" t="s">
        <v>2398</v>
      </c>
      <c r="H1324" s="171"/>
    </row>
    <row r="1325" ht="14.25" spans="1:8">
      <c r="A1325" s="176">
        <v>152</v>
      </c>
      <c r="B1325" s="183" t="s">
        <v>2399</v>
      </c>
      <c r="C1325" s="181" t="s">
        <v>186</v>
      </c>
      <c r="D1325" s="173">
        <v>0.04</v>
      </c>
      <c r="E1325" s="170" t="s">
        <v>30</v>
      </c>
      <c r="F1325" s="170" t="s">
        <v>188</v>
      </c>
      <c r="G1325" s="171" t="s">
        <v>2400</v>
      </c>
      <c r="H1325" s="171"/>
    </row>
    <row r="1326" ht="14.25" spans="1:8">
      <c r="A1326" s="176">
        <v>153</v>
      </c>
      <c r="B1326" s="183" t="s">
        <v>2401</v>
      </c>
      <c r="C1326" s="181" t="s">
        <v>186</v>
      </c>
      <c r="D1326" s="173">
        <v>0.04</v>
      </c>
      <c r="E1326" s="170" t="s">
        <v>30</v>
      </c>
      <c r="F1326" s="170" t="s">
        <v>188</v>
      </c>
      <c r="G1326" s="171" t="s">
        <v>2402</v>
      </c>
      <c r="H1326" s="171"/>
    </row>
    <row r="1327" ht="14.25" spans="1:8">
      <c r="A1327" s="176">
        <v>154</v>
      </c>
      <c r="B1327" s="183" t="s">
        <v>2403</v>
      </c>
      <c r="C1327" s="181" t="s">
        <v>186</v>
      </c>
      <c r="D1327" s="173">
        <v>0.03</v>
      </c>
      <c r="E1327" s="170" t="s">
        <v>30</v>
      </c>
      <c r="F1327" s="170" t="s">
        <v>188</v>
      </c>
      <c r="G1327" s="171" t="s">
        <v>2404</v>
      </c>
      <c r="H1327" s="171"/>
    </row>
    <row r="1328" ht="14.25" spans="1:8">
      <c r="A1328" s="176">
        <v>155</v>
      </c>
      <c r="B1328" s="183" t="s">
        <v>2405</v>
      </c>
      <c r="C1328" s="181" t="s">
        <v>186</v>
      </c>
      <c r="D1328" s="173">
        <v>0.04</v>
      </c>
      <c r="E1328" s="170" t="s">
        <v>30</v>
      </c>
      <c r="F1328" s="170" t="s">
        <v>188</v>
      </c>
      <c r="G1328" s="171" t="s">
        <v>2232</v>
      </c>
      <c r="H1328" s="171"/>
    </row>
    <row r="1329" ht="14.25" spans="1:8">
      <c r="A1329" s="176">
        <v>156</v>
      </c>
      <c r="B1329" s="183" t="s">
        <v>2273</v>
      </c>
      <c r="C1329" s="181" t="s">
        <v>186</v>
      </c>
      <c r="D1329" s="173">
        <v>0.05</v>
      </c>
      <c r="E1329" s="170" t="s">
        <v>30</v>
      </c>
      <c r="F1329" s="170" t="s">
        <v>188</v>
      </c>
      <c r="G1329" s="171" t="s">
        <v>2274</v>
      </c>
      <c r="H1329" s="171"/>
    </row>
    <row r="1330" ht="14.25" spans="1:8">
      <c r="A1330" s="176">
        <v>157</v>
      </c>
      <c r="B1330" s="183" t="s">
        <v>2290</v>
      </c>
      <c r="C1330" s="181" t="s">
        <v>186</v>
      </c>
      <c r="D1330" s="173">
        <v>0.02</v>
      </c>
      <c r="E1330" s="170" t="s">
        <v>30</v>
      </c>
      <c r="F1330" s="170" t="s">
        <v>188</v>
      </c>
      <c r="G1330" s="171" t="s">
        <v>2192</v>
      </c>
      <c r="H1330" s="171"/>
    </row>
    <row r="1331" ht="14.25" spans="1:8">
      <c r="A1331" s="176">
        <v>158</v>
      </c>
      <c r="B1331" s="183" t="s">
        <v>2154</v>
      </c>
      <c r="C1331" s="181" t="s">
        <v>186</v>
      </c>
      <c r="D1331" s="173">
        <v>0.06</v>
      </c>
      <c r="E1331" s="170" t="s">
        <v>30</v>
      </c>
      <c r="F1331" s="170" t="s">
        <v>188</v>
      </c>
      <c r="G1331" s="171" t="s">
        <v>2155</v>
      </c>
      <c r="H1331" s="171"/>
    </row>
    <row r="1332" ht="14.25" spans="1:8">
      <c r="A1332" s="176">
        <v>159</v>
      </c>
      <c r="B1332" s="228" t="s">
        <v>2406</v>
      </c>
      <c r="C1332" s="181" t="s">
        <v>186</v>
      </c>
      <c r="D1332" s="173">
        <v>0.03</v>
      </c>
      <c r="E1332" s="170" t="s">
        <v>30</v>
      </c>
      <c r="F1332" s="170" t="s">
        <v>188</v>
      </c>
      <c r="G1332" s="211" t="s">
        <v>2277</v>
      </c>
      <c r="H1332" s="171"/>
    </row>
    <row r="1333" ht="14.25" spans="1:8">
      <c r="A1333" s="176">
        <v>160</v>
      </c>
      <c r="B1333" s="228" t="s">
        <v>2407</v>
      </c>
      <c r="C1333" s="181" t="s">
        <v>186</v>
      </c>
      <c r="D1333" s="173">
        <v>0.02</v>
      </c>
      <c r="E1333" s="170" t="s">
        <v>30</v>
      </c>
      <c r="F1333" s="170" t="s">
        <v>188</v>
      </c>
      <c r="G1333" s="211" t="s">
        <v>2408</v>
      </c>
      <c r="H1333" s="195"/>
    </row>
    <row r="1334" ht="14.25" spans="1:8">
      <c r="A1334" s="176">
        <v>161</v>
      </c>
      <c r="B1334" s="228" t="s">
        <v>2409</v>
      </c>
      <c r="C1334" s="181" t="s">
        <v>186</v>
      </c>
      <c r="D1334" s="173">
        <v>0.02</v>
      </c>
      <c r="E1334" s="170" t="s">
        <v>30</v>
      </c>
      <c r="F1334" s="170" t="s">
        <v>188</v>
      </c>
      <c r="G1334" s="211" t="s">
        <v>2410</v>
      </c>
      <c r="H1334" s="171"/>
    </row>
    <row r="1335" ht="14.25" spans="1:8">
      <c r="A1335" s="176">
        <v>162</v>
      </c>
      <c r="B1335" s="228" t="s">
        <v>2411</v>
      </c>
      <c r="C1335" s="181" t="s">
        <v>186</v>
      </c>
      <c r="D1335" s="173">
        <v>0.03</v>
      </c>
      <c r="E1335" s="170" t="s">
        <v>30</v>
      </c>
      <c r="F1335" s="170" t="s">
        <v>188</v>
      </c>
      <c r="G1335" s="211" t="s">
        <v>2412</v>
      </c>
      <c r="H1335" s="171"/>
    </row>
    <row r="1336" ht="14.25" spans="1:8">
      <c r="A1336" s="176">
        <v>163</v>
      </c>
      <c r="B1336" s="228" t="s">
        <v>2413</v>
      </c>
      <c r="C1336" s="181" t="s">
        <v>186</v>
      </c>
      <c r="D1336" s="173">
        <v>0.06</v>
      </c>
      <c r="E1336" s="170" t="s">
        <v>30</v>
      </c>
      <c r="F1336" s="170" t="s">
        <v>188</v>
      </c>
      <c r="G1336" s="211" t="s">
        <v>2414</v>
      </c>
      <c r="H1336" s="171"/>
    </row>
    <row r="1337" ht="14.25" spans="1:8">
      <c r="A1337" s="176">
        <v>164</v>
      </c>
      <c r="B1337" s="228" t="s">
        <v>2415</v>
      </c>
      <c r="C1337" s="181" t="s">
        <v>186</v>
      </c>
      <c r="D1337" s="173">
        <v>0.07</v>
      </c>
      <c r="E1337" s="170" t="s">
        <v>30</v>
      </c>
      <c r="F1337" s="170" t="s">
        <v>188</v>
      </c>
      <c r="G1337" s="211" t="s">
        <v>2416</v>
      </c>
      <c r="H1337" s="171"/>
    </row>
    <row r="1338" ht="14.25" spans="1:8">
      <c r="A1338" s="176">
        <v>165</v>
      </c>
      <c r="B1338" s="228" t="s">
        <v>2417</v>
      </c>
      <c r="C1338" s="181" t="s">
        <v>186</v>
      </c>
      <c r="D1338" s="173">
        <v>0.03</v>
      </c>
      <c r="E1338" s="170" t="s">
        <v>30</v>
      </c>
      <c r="F1338" s="170" t="s">
        <v>188</v>
      </c>
      <c r="G1338" s="211" t="s">
        <v>2418</v>
      </c>
      <c r="H1338" s="171"/>
    </row>
    <row r="1339" ht="14.25" spans="1:8">
      <c r="A1339" s="176">
        <v>166</v>
      </c>
      <c r="B1339" s="228" t="s">
        <v>2417</v>
      </c>
      <c r="C1339" s="181" t="s">
        <v>186</v>
      </c>
      <c r="D1339" s="173">
        <v>0.06</v>
      </c>
      <c r="E1339" s="170" t="s">
        <v>30</v>
      </c>
      <c r="F1339" s="170" t="s">
        <v>188</v>
      </c>
      <c r="G1339" s="211" t="s">
        <v>2419</v>
      </c>
      <c r="H1339" s="171"/>
    </row>
    <row r="1340" ht="14.25" spans="1:8">
      <c r="A1340" s="176">
        <v>167</v>
      </c>
      <c r="B1340" s="228" t="s">
        <v>2208</v>
      </c>
      <c r="C1340" s="181" t="s">
        <v>186</v>
      </c>
      <c r="D1340" s="173">
        <v>0.01</v>
      </c>
      <c r="E1340" s="170" t="s">
        <v>30</v>
      </c>
      <c r="F1340" s="170" t="s">
        <v>188</v>
      </c>
      <c r="G1340" s="211" t="s">
        <v>2209</v>
      </c>
      <c r="H1340" s="171"/>
    </row>
    <row r="1341" ht="14.25" spans="1:8">
      <c r="A1341" s="176">
        <v>168</v>
      </c>
      <c r="B1341" s="229" t="s">
        <v>2420</v>
      </c>
      <c r="C1341" s="181" t="s">
        <v>186</v>
      </c>
      <c r="D1341" s="173">
        <v>0.03</v>
      </c>
      <c r="E1341" s="170" t="s">
        <v>30</v>
      </c>
      <c r="F1341" s="170" t="s">
        <v>188</v>
      </c>
      <c r="G1341" s="211" t="s">
        <v>2376</v>
      </c>
      <c r="H1341" s="171"/>
    </row>
    <row r="1342" ht="14.25" spans="1:8">
      <c r="A1342" s="176">
        <v>169</v>
      </c>
      <c r="B1342" s="183" t="s">
        <v>2421</v>
      </c>
      <c r="C1342" s="181" t="s">
        <v>186</v>
      </c>
      <c r="D1342" s="173">
        <v>0.02</v>
      </c>
      <c r="E1342" s="170" t="s">
        <v>30</v>
      </c>
      <c r="F1342" s="170" t="s">
        <v>188</v>
      </c>
      <c r="G1342" s="211" t="s">
        <v>2422</v>
      </c>
      <c r="H1342" s="171"/>
    </row>
    <row r="1343" ht="14.25" spans="1:8">
      <c r="A1343" s="176">
        <v>170</v>
      </c>
      <c r="B1343" s="182" t="s">
        <v>2423</v>
      </c>
      <c r="C1343" s="181" t="s">
        <v>186</v>
      </c>
      <c r="D1343" s="173">
        <v>0.06</v>
      </c>
      <c r="E1343" s="170" t="s">
        <v>30</v>
      </c>
      <c r="F1343" s="170" t="s">
        <v>188</v>
      </c>
      <c r="G1343" s="211" t="s">
        <v>2424</v>
      </c>
      <c r="H1343" s="171"/>
    </row>
    <row r="1344" ht="14.25" spans="1:8">
      <c r="A1344" s="176">
        <v>171</v>
      </c>
      <c r="B1344" s="184" t="s">
        <v>2425</v>
      </c>
      <c r="C1344" s="181" t="s">
        <v>186</v>
      </c>
      <c r="D1344" s="173">
        <v>0.11</v>
      </c>
      <c r="E1344" s="170" t="s">
        <v>30</v>
      </c>
      <c r="F1344" s="170" t="s">
        <v>188</v>
      </c>
      <c r="G1344" s="211" t="s">
        <v>2426</v>
      </c>
      <c r="H1344" s="171"/>
    </row>
    <row r="1345" ht="14.25" spans="1:8">
      <c r="A1345" s="176">
        <v>172</v>
      </c>
      <c r="B1345" s="184" t="s">
        <v>2156</v>
      </c>
      <c r="C1345" s="181" t="s">
        <v>186</v>
      </c>
      <c r="D1345" s="173">
        <v>0.05</v>
      </c>
      <c r="E1345" s="170" t="s">
        <v>30</v>
      </c>
      <c r="F1345" s="170" t="s">
        <v>188</v>
      </c>
      <c r="G1345" s="211" t="s">
        <v>2157</v>
      </c>
      <c r="H1345" s="171"/>
    </row>
    <row r="1346" ht="14.25" spans="1:8">
      <c r="A1346" s="176">
        <v>173</v>
      </c>
      <c r="B1346" s="184" t="s">
        <v>2427</v>
      </c>
      <c r="C1346" s="181" t="s">
        <v>186</v>
      </c>
      <c r="D1346" s="173">
        <v>0.06</v>
      </c>
      <c r="E1346" s="170" t="s">
        <v>30</v>
      </c>
      <c r="F1346" s="170" t="s">
        <v>188</v>
      </c>
      <c r="G1346" s="211" t="s">
        <v>2428</v>
      </c>
      <c r="H1346" s="171"/>
    </row>
    <row r="1347" ht="14.25" spans="1:8">
      <c r="A1347" s="176">
        <v>174</v>
      </c>
      <c r="B1347" s="184" t="s">
        <v>2429</v>
      </c>
      <c r="C1347" s="181" t="s">
        <v>186</v>
      </c>
      <c r="D1347" s="173">
        <v>0.02</v>
      </c>
      <c r="E1347" s="170" t="s">
        <v>30</v>
      </c>
      <c r="F1347" s="170" t="s">
        <v>188</v>
      </c>
      <c r="G1347" s="211" t="s">
        <v>2182</v>
      </c>
      <c r="H1347" s="171"/>
    </row>
    <row r="1348" ht="14.25" spans="1:8">
      <c r="A1348" s="206" t="s">
        <v>2430</v>
      </c>
      <c r="B1348" s="223" t="s">
        <v>305</v>
      </c>
      <c r="C1348" s="230"/>
      <c r="D1348" s="207"/>
      <c r="E1348" s="212"/>
      <c r="F1348" s="231"/>
      <c r="G1348" s="230"/>
      <c r="H1348" s="213"/>
    </row>
    <row r="1349" ht="14.25" spans="1:8">
      <c r="A1349" s="176">
        <v>1</v>
      </c>
      <c r="B1349" s="171" t="s">
        <v>2431</v>
      </c>
      <c r="C1349" s="171" t="s">
        <v>90</v>
      </c>
      <c r="D1349" s="173">
        <v>0.01</v>
      </c>
      <c r="E1349" s="204" t="s">
        <v>30</v>
      </c>
      <c r="F1349" s="204" t="s">
        <v>188</v>
      </c>
      <c r="G1349" s="183" t="s">
        <v>2432</v>
      </c>
      <c r="H1349" s="171"/>
    </row>
    <row r="1350" ht="14.25" spans="1:8">
      <c r="A1350" s="232">
        <v>2</v>
      </c>
      <c r="B1350" s="171" t="s">
        <v>2433</v>
      </c>
      <c r="C1350" s="171" t="s">
        <v>90</v>
      </c>
      <c r="D1350" s="173">
        <v>0.01</v>
      </c>
      <c r="E1350" s="204" t="s">
        <v>30</v>
      </c>
      <c r="F1350" s="204" t="s">
        <v>188</v>
      </c>
      <c r="G1350" s="183" t="s">
        <v>1543</v>
      </c>
      <c r="H1350" s="171"/>
    </row>
    <row r="1351" ht="14.25" spans="1:8">
      <c r="A1351" s="176">
        <v>3</v>
      </c>
      <c r="B1351" s="171" t="s">
        <v>2434</v>
      </c>
      <c r="C1351" s="171" t="s">
        <v>90</v>
      </c>
      <c r="D1351" s="173">
        <v>0.01</v>
      </c>
      <c r="E1351" s="204" t="s">
        <v>30</v>
      </c>
      <c r="F1351" s="204" t="s">
        <v>188</v>
      </c>
      <c r="G1351" s="183" t="s">
        <v>2435</v>
      </c>
      <c r="H1351" s="171"/>
    </row>
    <row r="1352" ht="14.25" spans="1:8">
      <c r="A1352" s="232">
        <v>4</v>
      </c>
      <c r="B1352" s="171" t="s">
        <v>2436</v>
      </c>
      <c r="C1352" s="171" t="s">
        <v>90</v>
      </c>
      <c r="D1352" s="173">
        <v>0.02</v>
      </c>
      <c r="E1352" s="204" t="s">
        <v>30</v>
      </c>
      <c r="F1352" s="204" t="s">
        <v>188</v>
      </c>
      <c r="G1352" s="183" t="s">
        <v>2437</v>
      </c>
      <c r="H1352" s="171"/>
    </row>
    <row r="1353" ht="14.25" spans="1:8">
      <c r="A1353" s="176">
        <v>5</v>
      </c>
      <c r="B1353" s="171" t="s">
        <v>2438</v>
      </c>
      <c r="C1353" s="171" t="s">
        <v>90</v>
      </c>
      <c r="D1353" s="173">
        <v>0.04</v>
      </c>
      <c r="E1353" s="204" t="s">
        <v>30</v>
      </c>
      <c r="F1353" s="204" t="s">
        <v>188</v>
      </c>
      <c r="G1353" s="183" t="s">
        <v>2439</v>
      </c>
      <c r="H1353" s="171"/>
    </row>
    <row r="1354" ht="14.25" spans="1:8">
      <c r="A1354" s="232">
        <v>6</v>
      </c>
      <c r="B1354" s="171" t="s">
        <v>2440</v>
      </c>
      <c r="C1354" s="171" t="s">
        <v>90</v>
      </c>
      <c r="D1354" s="173">
        <v>0.02</v>
      </c>
      <c r="E1354" s="204" t="s">
        <v>30</v>
      </c>
      <c r="F1354" s="204" t="s">
        <v>188</v>
      </c>
      <c r="G1354" s="183" t="s">
        <v>2441</v>
      </c>
      <c r="H1354" s="171"/>
    </row>
    <row r="1355" ht="14.25" spans="1:8">
      <c r="A1355" s="176">
        <v>7</v>
      </c>
      <c r="B1355" s="171" t="s">
        <v>2442</v>
      </c>
      <c r="C1355" s="171" t="s">
        <v>90</v>
      </c>
      <c r="D1355" s="173">
        <v>0.01</v>
      </c>
      <c r="E1355" s="204" t="s">
        <v>30</v>
      </c>
      <c r="F1355" s="204" t="s">
        <v>188</v>
      </c>
      <c r="G1355" s="183" t="s">
        <v>2443</v>
      </c>
      <c r="H1355" s="171"/>
    </row>
    <row r="1356" ht="14.25" spans="1:8">
      <c r="A1356" s="232">
        <v>8</v>
      </c>
      <c r="B1356" s="171" t="s">
        <v>2444</v>
      </c>
      <c r="C1356" s="171" t="s">
        <v>90</v>
      </c>
      <c r="D1356" s="173">
        <v>0.01</v>
      </c>
      <c r="E1356" s="204" t="s">
        <v>30</v>
      </c>
      <c r="F1356" s="204" t="s">
        <v>188</v>
      </c>
      <c r="G1356" s="183" t="s">
        <v>2445</v>
      </c>
      <c r="H1356" s="171"/>
    </row>
    <row r="1357" ht="14.25" spans="1:8">
      <c r="A1357" s="176">
        <v>9</v>
      </c>
      <c r="B1357" s="171" t="s">
        <v>2446</v>
      </c>
      <c r="C1357" s="171" t="s">
        <v>90</v>
      </c>
      <c r="D1357" s="173">
        <v>0.01</v>
      </c>
      <c r="E1357" s="204" t="s">
        <v>30</v>
      </c>
      <c r="F1357" s="204" t="s">
        <v>188</v>
      </c>
      <c r="G1357" s="183" t="s">
        <v>2447</v>
      </c>
      <c r="H1357" s="171"/>
    </row>
    <row r="1358" ht="14.25" spans="1:8">
      <c r="A1358" s="232">
        <v>10</v>
      </c>
      <c r="B1358" s="171" t="s">
        <v>2448</v>
      </c>
      <c r="C1358" s="171" t="s">
        <v>90</v>
      </c>
      <c r="D1358" s="173">
        <v>0.02</v>
      </c>
      <c r="E1358" s="204" t="s">
        <v>30</v>
      </c>
      <c r="F1358" s="204" t="s">
        <v>188</v>
      </c>
      <c r="G1358" s="183" t="s">
        <v>2449</v>
      </c>
      <c r="H1358" s="171"/>
    </row>
    <row r="1359" ht="14.25" spans="1:8">
      <c r="A1359" s="176">
        <v>11</v>
      </c>
      <c r="B1359" s="171" t="s">
        <v>2450</v>
      </c>
      <c r="C1359" s="171" t="s">
        <v>90</v>
      </c>
      <c r="D1359" s="173">
        <v>0.04</v>
      </c>
      <c r="E1359" s="204" t="s">
        <v>30</v>
      </c>
      <c r="F1359" s="204" t="s">
        <v>188</v>
      </c>
      <c r="G1359" s="183" t="s">
        <v>2451</v>
      </c>
      <c r="H1359" s="171"/>
    </row>
    <row r="1360" ht="14.25" spans="1:8">
      <c r="A1360" s="232">
        <v>12</v>
      </c>
      <c r="B1360" s="171" t="s">
        <v>2452</v>
      </c>
      <c r="C1360" s="171" t="s">
        <v>90</v>
      </c>
      <c r="D1360" s="173">
        <v>0.02</v>
      </c>
      <c r="E1360" s="204" t="s">
        <v>30</v>
      </c>
      <c r="F1360" s="204" t="s">
        <v>188</v>
      </c>
      <c r="G1360" s="183" t="s">
        <v>2453</v>
      </c>
      <c r="H1360" s="171"/>
    </row>
    <row r="1361" ht="14.25" spans="1:8">
      <c r="A1361" s="176">
        <v>13</v>
      </c>
      <c r="B1361" s="171" t="s">
        <v>2454</v>
      </c>
      <c r="C1361" s="171" t="s">
        <v>90</v>
      </c>
      <c r="D1361" s="173">
        <v>0.03</v>
      </c>
      <c r="E1361" s="204" t="s">
        <v>30</v>
      </c>
      <c r="F1361" s="204" t="s">
        <v>188</v>
      </c>
      <c r="G1361" s="183" t="s">
        <v>1939</v>
      </c>
      <c r="H1361" s="171"/>
    </row>
    <row r="1362" ht="14.25" spans="1:8">
      <c r="A1362" s="232">
        <v>14</v>
      </c>
      <c r="B1362" s="171" t="s">
        <v>2455</v>
      </c>
      <c r="C1362" s="171" t="s">
        <v>90</v>
      </c>
      <c r="D1362" s="173">
        <v>0.04</v>
      </c>
      <c r="E1362" s="204" t="s">
        <v>30</v>
      </c>
      <c r="F1362" s="204" t="s">
        <v>188</v>
      </c>
      <c r="G1362" s="183" t="s">
        <v>2456</v>
      </c>
      <c r="H1362" s="171"/>
    </row>
    <row r="1363" ht="14.25" spans="1:8">
      <c r="A1363" s="176">
        <v>15</v>
      </c>
      <c r="B1363" s="171" t="s">
        <v>2457</v>
      </c>
      <c r="C1363" s="171" t="s">
        <v>90</v>
      </c>
      <c r="D1363" s="173">
        <v>0.03</v>
      </c>
      <c r="E1363" s="204" t="s">
        <v>30</v>
      </c>
      <c r="F1363" s="204" t="s">
        <v>188</v>
      </c>
      <c r="G1363" s="183" t="s">
        <v>2458</v>
      </c>
      <c r="H1363" s="171"/>
    </row>
    <row r="1364" ht="14.25" spans="1:8">
      <c r="A1364" s="232">
        <v>16</v>
      </c>
      <c r="B1364" s="171" t="s">
        <v>2459</v>
      </c>
      <c r="C1364" s="171" t="s">
        <v>90</v>
      </c>
      <c r="D1364" s="173">
        <v>0.03</v>
      </c>
      <c r="E1364" s="204" t="s">
        <v>30</v>
      </c>
      <c r="F1364" s="204" t="s">
        <v>188</v>
      </c>
      <c r="G1364" s="183" t="s">
        <v>2460</v>
      </c>
      <c r="H1364" s="171"/>
    </row>
    <row r="1365" ht="14.25" spans="1:8">
      <c r="A1365" s="176">
        <v>17</v>
      </c>
      <c r="B1365" s="171" t="s">
        <v>2461</v>
      </c>
      <c r="C1365" s="171" t="s">
        <v>90</v>
      </c>
      <c r="D1365" s="173">
        <v>0.04</v>
      </c>
      <c r="E1365" s="204" t="s">
        <v>30</v>
      </c>
      <c r="F1365" s="204" t="s">
        <v>188</v>
      </c>
      <c r="G1365" s="183" t="s">
        <v>2462</v>
      </c>
      <c r="H1365" s="171"/>
    </row>
    <row r="1366" ht="14.25" spans="1:8">
      <c r="A1366" s="232">
        <v>18</v>
      </c>
      <c r="B1366" s="171" t="s">
        <v>925</v>
      </c>
      <c r="C1366" s="171" t="s">
        <v>90</v>
      </c>
      <c r="D1366" s="173">
        <v>0.04</v>
      </c>
      <c r="E1366" s="204" t="s">
        <v>30</v>
      </c>
      <c r="F1366" s="204" t="s">
        <v>188</v>
      </c>
      <c r="G1366" s="183" t="s">
        <v>2463</v>
      </c>
      <c r="H1366" s="171"/>
    </row>
    <row r="1367" ht="14.25" spans="1:8">
      <c r="A1367" s="176">
        <v>19</v>
      </c>
      <c r="B1367" s="171" t="s">
        <v>2464</v>
      </c>
      <c r="C1367" s="171" t="s">
        <v>90</v>
      </c>
      <c r="D1367" s="173">
        <v>0.02</v>
      </c>
      <c r="E1367" s="204" t="s">
        <v>30</v>
      </c>
      <c r="F1367" s="204" t="s">
        <v>188</v>
      </c>
      <c r="G1367" s="183" t="s">
        <v>2465</v>
      </c>
      <c r="H1367" s="171"/>
    </row>
    <row r="1368" ht="14.25" spans="1:8">
      <c r="A1368" s="232">
        <v>20</v>
      </c>
      <c r="B1368" s="171" t="s">
        <v>2466</v>
      </c>
      <c r="C1368" s="171" t="s">
        <v>90</v>
      </c>
      <c r="D1368" s="173">
        <v>0.04</v>
      </c>
      <c r="E1368" s="204" t="s">
        <v>30</v>
      </c>
      <c r="F1368" s="204" t="s">
        <v>188</v>
      </c>
      <c r="G1368" s="183" t="s">
        <v>2467</v>
      </c>
      <c r="H1368" s="171"/>
    </row>
    <row r="1369" ht="14.25" spans="1:8">
      <c r="A1369" s="176">
        <v>21</v>
      </c>
      <c r="B1369" s="171" t="s">
        <v>2468</v>
      </c>
      <c r="C1369" s="171" t="s">
        <v>90</v>
      </c>
      <c r="D1369" s="173">
        <v>0.04</v>
      </c>
      <c r="E1369" s="204" t="s">
        <v>30</v>
      </c>
      <c r="F1369" s="204" t="s">
        <v>188</v>
      </c>
      <c r="G1369" s="183" t="s">
        <v>2469</v>
      </c>
      <c r="H1369" s="171"/>
    </row>
    <row r="1370" ht="14.25" spans="1:8">
      <c r="A1370" s="232">
        <v>22</v>
      </c>
      <c r="B1370" s="171" t="s">
        <v>2468</v>
      </c>
      <c r="C1370" s="171" t="s">
        <v>90</v>
      </c>
      <c r="D1370" s="173">
        <v>0.04</v>
      </c>
      <c r="E1370" s="204" t="s">
        <v>30</v>
      </c>
      <c r="F1370" s="204" t="s">
        <v>188</v>
      </c>
      <c r="G1370" s="183" t="s">
        <v>2470</v>
      </c>
      <c r="H1370" s="171"/>
    </row>
    <row r="1371" ht="14.25" spans="1:8">
      <c r="A1371" s="176">
        <v>23</v>
      </c>
      <c r="B1371" s="171" t="s">
        <v>2471</v>
      </c>
      <c r="C1371" s="171" t="s">
        <v>90</v>
      </c>
      <c r="D1371" s="173">
        <v>0.04</v>
      </c>
      <c r="E1371" s="204" t="s">
        <v>30</v>
      </c>
      <c r="F1371" s="204" t="s">
        <v>188</v>
      </c>
      <c r="G1371" s="183" t="s">
        <v>2472</v>
      </c>
      <c r="H1371" s="171"/>
    </row>
    <row r="1372" ht="14.25" spans="1:8">
      <c r="A1372" s="232">
        <v>24</v>
      </c>
      <c r="B1372" s="171" t="s">
        <v>2473</v>
      </c>
      <c r="C1372" s="171" t="s">
        <v>90</v>
      </c>
      <c r="D1372" s="173">
        <v>0.02</v>
      </c>
      <c r="E1372" s="204" t="s">
        <v>30</v>
      </c>
      <c r="F1372" s="204" t="s">
        <v>188</v>
      </c>
      <c r="G1372" s="183" t="s">
        <v>2474</v>
      </c>
      <c r="H1372" s="171"/>
    </row>
    <row r="1373" ht="14.25" spans="1:8">
      <c r="A1373" s="176">
        <v>25</v>
      </c>
      <c r="B1373" s="171" t="s">
        <v>2475</v>
      </c>
      <c r="C1373" s="171" t="s">
        <v>90</v>
      </c>
      <c r="D1373" s="173">
        <v>0.02</v>
      </c>
      <c r="E1373" s="204" t="s">
        <v>30</v>
      </c>
      <c r="F1373" s="204" t="s">
        <v>188</v>
      </c>
      <c r="G1373" s="183" t="s">
        <v>2476</v>
      </c>
      <c r="H1373" s="171"/>
    </row>
    <row r="1374" ht="14.25" spans="1:8">
      <c r="A1374" s="232">
        <v>26</v>
      </c>
      <c r="B1374" s="171" t="s">
        <v>2477</v>
      </c>
      <c r="C1374" s="171" t="s">
        <v>90</v>
      </c>
      <c r="D1374" s="173">
        <v>0.01</v>
      </c>
      <c r="E1374" s="204" t="s">
        <v>30</v>
      </c>
      <c r="F1374" s="204" t="s">
        <v>188</v>
      </c>
      <c r="G1374" s="183" t="s">
        <v>2478</v>
      </c>
      <c r="H1374" s="171"/>
    </row>
    <row r="1375" ht="14.25" spans="1:8">
      <c r="A1375" s="176">
        <v>27</v>
      </c>
      <c r="B1375" s="171" t="s">
        <v>2479</v>
      </c>
      <c r="C1375" s="171" t="s">
        <v>90</v>
      </c>
      <c r="D1375" s="173">
        <v>0.02</v>
      </c>
      <c r="E1375" s="204" t="s">
        <v>30</v>
      </c>
      <c r="F1375" s="204" t="s">
        <v>188</v>
      </c>
      <c r="G1375" s="183" t="s">
        <v>2480</v>
      </c>
      <c r="H1375" s="171"/>
    </row>
    <row r="1376" ht="14.25" spans="1:8">
      <c r="A1376" s="232">
        <v>28</v>
      </c>
      <c r="B1376" s="171" t="s">
        <v>2468</v>
      </c>
      <c r="C1376" s="171" t="s">
        <v>90</v>
      </c>
      <c r="D1376" s="173">
        <v>0.04</v>
      </c>
      <c r="E1376" s="204" t="s">
        <v>30</v>
      </c>
      <c r="F1376" s="204" t="s">
        <v>188</v>
      </c>
      <c r="G1376" s="183" t="s">
        <v>2481</v>
      </c>
      <c r="H1376" s="171"/>
    </row>
    <row r="1377" ht="14.25" spans="1:8">
      <c r="A1377" s="176">
        <v>29</v>
      </c>
      <c r="B1377" s="171" t="s">
        <v>2482</v>
      </c>
      <c r="C1377" s="171" t="s">
        <v>90</v>
      </c>
      <c r="D1377" s="173">
        <v>0.02</v>
      </c>
      <c r="E1377" s="204" t="s">
        <v>30</v>
      </c>
      <c r="F1377" s="204" t="s">
        <v>188</v>
      </c>
      <c r="G1377" s="183" t="s">
        <v>2483</v>
      </c>
      <c r="H1377" s="171"/>
    </row>
    <row r="1378" ht="14.25" spans="1:8">
      <c r="A1378" s="232">
        <v>30</v>
      </c>
      <c r="B1378" s="171" t="s">
        <v>1174</v>
      </c>
      <c r="C1378" s="171" t="s">
        <v>90</v>
      </c>
      <c r="D1378" s="173">
        <v>0.01</v>
      </c>
      <c r="E1378" s="204" t="s">
        <v>30</v>
      </c>
      <c r="F1378" s="204" t="s">
        <v>188</v>
      </c>
      <c r="G1378" s="183" t="s">
        <v>2484</v>
      </c>
      <c r="H1378" s="171"/>
    </row>
    <row r="1379" ht="14.25" spans="1:8">
      <c r="A1379" s="176">
        <v>31</v>
      </c>
      <c r="B1379" s="171" t="s">
        <v>2485</v>
      </c>
      <c r="C1379" s="171" t="s">
        <v>90</v>
      </c>
      <c r="D1379" s="173">
        <v>0.04</v>
      </c>
      <c r="E1379" s="204" t="s">
        <v>30</v>
      </c>
      <c r="F1379" s="204" t="s">
        <v>188</v>
      </c>
      <c r="G1379" s="183" t="s">
        <v>2486</v>
      </c>
      <c r="H1379" s="171"/>
    </row>
    <row r="1380" ht="14.25" spans="1:8">
      <c r="A1380" s="232">
        <v>32</v>
      </c>
      <c r="B1380" s="171" t="s">
        <v>2487</v>
      </c>
      <c r="C1380" s="171" t="s">
        <v>90</v>
      </c>
      <c r="D1380" s="173">
        <v>0.02</v>
      </c>
      <c r="E1380" s="204" t="s">
        <v>30</v>
      </c>
      <c r="F1380" s="204" t="s">
        <v>188</v>
      </c>
      <c r="G1380" s="183" t="s">
        <v>2488</v>
      </c>
      <c r="H1380" s="171"/>
    </row>
    <row r="1381" ht="14.25" spans="1:8">
      <c r="A1381" s="176">
        <v>33</v>
      </c>
      <c r="B1381" s="171" t="s">
        <v>2489</v>
      </c>
      <c r="C1381" s="171" t="s">
        <v>90</v>
      </c>
      <c r="D1381" s="173">
        <v>0.02</v>
      </c>
      <c r="E1381" s="204" t="s">
        <v>30</v>
      </c>
      <c r="F1381" s="204" t="s">
        <v>188</v>
      </c>
      <c r="G1381" s="183" t="s">
        <v>2490</v>
      </c>
      <c r="H1381" s="171"/>
    </row>
    <row r="1382" ht="14.25" spans="1:8">
      <c r="A1382" s="232">
        <v>34</v>
      </c>
      <c r="B1382" s="171" t="s">
        <v>2491</v>
      </c>
      <c r="C1382" s="171" t="s">
        <v>90</v>
      </c>
      <c r="D1382" s="173">
        <v>0.01</v>
      </c>
      <c r="E1382" s="204" t="s">
        <v>2492</v>
      </c>
      <c r="F1382" s="204" t="s">
        <v>188</v>
      </c>
      <c r="G1382" s="183" t="s">
        <v>2493</v>
      </c>
      <c r="H1382" s="171"/>
    </row>
    <row r="1383" ht="14.25" spans="1:8">
      <c r="A1383" s="176">
        <v>35</v>
      </c>
      <c r="B1383" s="171" t="s">
        <v>1066</v>
      </c>
      <c r="C1383" s="171" t="s">
        <v>90</v>
      </c>
      <c r="D1383" s="173">
        <v>0.03</v>
      </c>
      <c r="E1383" s="204" t="s">
        <v>30</v>
      </c>
      <c r="F1383" s="204" t="s">
        <v>188</v>
      </c>
      <c r="G1383" s="183" t="s">
        <v>2494</v>
      </c>
      <c r="H1383" s="171"/>
    </row>
    <row r="1384" ht="14.25" spans="1:8">
      <c r="A1384" s="232">
        <v>36</v>
      </c>
      <c r="B1384" s="171" t="s">
        <v>2495</v>
      </c>
      <c r="C1384" s="171" t="s">
        <v>90</v>
      </c>
      <c r="D1384" s="173">
        <v>0.02</v>
      </c>
      <c r="E1384" s="204" t="s">
        <v>30</v>
      </c>
      <c r="F1384" s="204" t="s">
        <v>188</v>
      </c>
      <c r="G1384" s="183" t="s">
        <v>2496</v>
      </c>
      <c r="H1384" s="171"/>
    </row>
    <row r="1385" ht="14.25" spans="1:8">
      <c r="A1385" s="176">
        <v>37</v>
      </c>
      <c r="B1385" s="171" t="s">
        <v>2497</v>
      </c>
      <c r="C1385" s="171" t="s">
        <v>90</v>
      </c>
      <c r="D1385" s="173">
        <v>0.01</v>
      </c>
      <c r="E1385" s="204" t="s">
        <v>30</v>
      </c>
      <c r="F1385" s="204" t="s">
        <v>188</v>
      </c>
      <c r="G1385" s="183" t="s">
        <v>2498</v>
      </c>
      <c r="H1385" s="171"/>
    </row>
    <row r="1386" ht="14.25" spans="1:8">
      <c r="A1386" s="232">
        <v>38</v>
      </c>
      <c r="B1386" s="171" t="s">
        <v>2499</v>
      </c>
      <c r="C1386" s="171" t="s">
        <v>90</v>
      </c>
      <c r="D1386" s="173">
        <v>0.02</v>
      </c>
      <c r="E1386" s="204" t="s">
        <v>30</v>
      </c>
      <c r="F1386" s="204" t="s">
        <v>188</v>
      </c>
      <c r="G1386" s="183" t="s">
        <v>2500</v>
      </c>
      <c r="H1386" s="171"/>
    </row>
    <row r="1387" ht="14.25" spans="1:8">
      <c r="A1387" s="176">
        <v>39</v>
      </c>
      <c r="B1387" s="171" t="s">
        <v>2501</v>
      </c>
      <c r="C1387" s="171" t="s">
        <v>90</v>
      </c>
      <c r="D1387" s="173">
        <v>0.03</v>
      </c>
      <c r="E1387" s="204" t="s">
        <v>30</v>
      </c>
      <c r="F1387" s="204" t="s">
        <v>188</v>
      </c>
      <c r="G1387" s="183" t="s">
        <v>2502</v>
      </c>
      <c r="H1387" s="171"/>
    </row>
    <row r="1388" ht="14.25" spans="1:8">
      <c r="A1388" s="232">
        <v>40</v>
      </c>
      <c r="B1388" s="171" t="s">
        <v>2503</v>
      </c>
      <c r="C1388" s="171" t="s">
        <v>90</v>
      </c>
      <c r="D1388" s="173">
        <v>0.04</v>
      </c>
      <c r="E1388" s="204" t="s">
        <v>30</v>
      </c>
      <c r="F1388" s="204" t="s">
        <v>188</v>
      </c>
      <c r="G1388" s="183" t="s">
        <v>2504</v>
      </c>
      <c r="H1388" s="171"/>
    </row>
    <row r="1389" ht="14.25" spans="1:8">
      <c r="A1389" s="176">
        <v>41</v>
      </c>
      <c r="B1389" s="171" t="s">
        <v>2505</v>
      </c>
      <c r="C1389" s="171" t="s">
        <v>90</v>
      </c>
      <c r="D1389" s="173">
        <v>0.04</v>
      </c>
      <c r="E1389" s="204" t="s">
        <v>30</v>
      </c>
      <c r="F1389" s="204" t="s">
        <v>188</v>
      </c>
      <c r="G1389" s="183" t="s">
        <v>2506</v>
      </c>
      <c r="H1389" s="171"/>
    </row>
    <row r="1390" ht="14.25" spans="1:8">
      <c r="A1390" s="232">
        <v>42</v>
      </c>
      <c r="B1390" s="171" t="s">
        <v>2507</v>
      </c>
      <c r="C1390" s="171" t="s">
        <v>90</v>
      </c>
      <c r="D1390" s="173">
        <v>0.02</v>
      </c>
      <c r="E1390" s="204" t="s">
        <v>30</v>
      </c>
      <c r="F1390" s="204" t="s">
        <v>188</v>
      </c>
      <c r="G1390" s="183" t="s">
        <v>2508</v>
      </c>
      <c r="H1390" s="171"/>
    </row>
    <row r="1391" ht="14.25" spans="1:8">
      <c r="A1391" s="176">
        <v>43</v>
      </c>
      <c r="B1391" s="171" t="s">
        <v>2509</v>
      </c>
      <c r="C1391" s="171" t="s">
        <v>90</v>
      </c>
      <c r="D1391" s="173">
        <v>0.04</v>
      </c>
      <c r="E1391" s="204" t="s">
        <v>30</v>
      </c>
      <c r="F1391" s="204" t="s">
        <v>188</v>
      </c>
      <c r="G1391" s="183" t="s">
        <v>2510</v>
      </c>
      <c r="H1391" s="171"/>
    </row>
    <row r="1392" ht="14.25" spans="1:8">
      <c r="A1392" s="232">
        <v>44</v>
      </c>
      <c r="B1392" s="171" t="s">
        <v>2511</v>
      </c>
      <c r="C1392" s="171" t="s">
        <v>90</v>
      </c>
      <c r="D1392" s="173">
        <v>0.01</v>
      </c>
      <c r="E1392" s="204" t="s">
        <v>30</v>
      </c>
      <c r="F1392" s="204" t="s">
        <v>188</v>
      </c>
      <c r="G1392" s="183" t="s">
        <v>2512</v>
      </c>
      <c r="H1392" s="171"/>
    </row>
    <row r="1393" ht="14.25" spans="1:8">
      <c r="A1393" s="176">
        <v>45</v>
      </c>
      <c r="B1393" s="171" t="s">
        <v>2513</v>
      </c>
      <c r="C1393" s="171" t="s">
        <v>90</v>
      </c>
      <c r="D1393" s="173">
        <v>0.01</v>
      </c>
      <c r="E1393" s="204" t="s">
        <v>30</v>
      </c>
      <c r="F1393" s="204" t="s">
        <v>188</v>
      </c>
      <c r="G1393" s="183" t="s">
        <v>1031</v>
      </c>
      <c r="H1393" s="171"/>
    </row>
    <row r="1394" ht="14.25" spans="1:8">
      <c r="A1394" s="232">
        <v>46</v>
      </c>
      <c r="B1394" s="171" t="s">
        <v>2514</v>
      </c>
      <c r="C1394" s="171" t="s">
        <v>90</v>
      </c>
      <c r="D1394" s="173">
        <v>0.04</v>
      </c>
      <c r="E1394" s="204" t="s">
        <v>30</v>
      </c>
      <c r="F1394" s="204" t="s">
        <v>188</v>
      </c>
      <c r="G1394" s="183" t="s">
        <v>1460</v>
      </c>
      <c r="H1394" s="171"/>
    </row>
    <row r="1395" ht="14.25" spans="1:8">
      <c r="A1395" s="176">
        <v>47</v>
      </c>
      <c r="B1395" s="171" t="s">
        <v>2515</v>
      </c>
      <c r="C1395" s="171" t="s">
        <v>90</v>
      </c>
      <c r="D1395" s="173">
        <v>0.1</v>
      </c>
      <c r="E1395" s="204" t="s">
        <v>30</v>
      </c>
      <c r="F1395" s="204" t="s">
        <v>188</v>
      </c>
      <c r="G1395" s="183" t="s">
        <v>2516</v>
      </c>
      <c r="H1395" s="171"/>
    </row>
    <row r="1396" ht="14.25" spans="1:8">
      <c r="A1396" s="232">
        <v>48</v>
      </c>
      <c r="B1396" s="171" t="s">
        <v>2517</v>
      </c>
      <c r="C1396" s="171" t="s">
        <v>90</v>
      </c>
      <c r="D1396" s="173">
        <v>0.04</v>
      </c>
      <c r="E1396" s="204" t="s">
        <v>30</v>
      </c>
      <c r="F1396" s="204" t="s">
        <v>188</v>
      </c>
      <c r="G1396" s="183" t="s">
        <v>2518</v>
      </c>
      <c r="H1396" s="171"/>
    </row>
    <row r="1397" ht="14.25" spans="1:8">
      <c r="A1397" s="176">
        <v>49</v>
      </c>
      <c r="B1397" s="171" t="s">
        <v>2052</v>
      </c>
      <c r="C1397" s="171" t="s">
        <v>90</v>
      </c>
      <c r="D1397" s="173">
        <v>0.04</v>
      </c>
      <c r="E1397" s="204" t="s">
        <v>30</v>
      </c>
      <c r="F1397" s="204" t="s">
        <v>188</v>
      </c>
      <c r="G1397" s="183" t="s">
        <v>2519</v>
      </c>
      <c r="H1397" s="171"/>
    </row>
    <row r="1398" ht="14.25" spans="1:8">
      <c r="A1398" s="232">
        <v>50</v>
      </c>
      <c r="B1398" s="171" t="s">
        <v>2520</v>
      </c>
      <c r="C1398" s="171" t="s">
        <v>90</v>
      </c>
      <c r="D1398" s="173">
        <v>0.04</v>
      </c>
      <c r="E1398" s="204" t="s">
        <v>30</v>
      </c>
      <c r="F1398" s="204" t="s">
        <v>188</v>
      </c>
      <c r="G1398" s="183" t="s">
        <v>2521</v>
      </c>
      <c r="H1398" s="171"/>
    </row>
    <row r="1399" ht="14.25" spans="1:8">
      <c r="A1399" s="176">
        <v>51</v>
      </c>
      <c r="B1399" s="171" t="s">
        <v>2028</v>
      </c>
      <c r="C1399" s="171" t="s">
        <v>90</v>
      </c>
      <c r="D1399" s="173">
        <v>0.09</v>
      </c>
      <c r="E1399" s="204" t="s">
        <v>30</v>
      </c>
      <c r="F1399" s="204" t="s">
        <v>188</v>
      </c>
      <c r="G1399" s="183" t="s">
        <v>2522</v>
      </c>
      <c r="H1399" s="171"/>
    </row>
    <row r="1400" ht="14.25" spans="1:8">
      <c r="A1400" s="232">
        <v>52</v>
      </c>
      <c r="B1400" s="175" t="s">
        <v>2523</v>
      </c>
      <c r="C1400" s="171" t="s">
        <v>90</v>
      </c>
      <c r="D1400" s="173">
        <v>0.03</v>
      </c>
      <c r="E1400" s="204" t="s">
        <v>30</v>
      </c>
      <c r="F1400" s="204" t="s">
        <v>188</v>
      </c>
      <c r="G1400" s="183" t="s">
        <v>2524</v>
      </c>
      <c r="H1400" s="171"/>
    </row>
    <row r="1401" ht="14.25" spans="1:8">
      <c r="A1401" s="176">
        <v>53</v>
      </c>
      <c r="B1401" s="175" t="s">
        <v>2525</v>
      </c>
      <c r="C1401" s="171" t="s">
        <v>90</v>
      </c>
      <c r="D1401" s="173">
        <v>0.04</v>
      </c>
      <c r="E1401" s="204" t="s">
        <v>30</v>
      </c>
      <c r="F1401" s="204" t="s">
        <v>188</v>
      </c>
      <c r="G1401" s="183" t="s">
        <v>2526</v>
      </c>
      <c r="H1401" s="171"/>
    </row>
    <row r="1402" ht="14.25" spans="1:8">
      <c r="A1402" s="232">
        <v>54</v>
      </c>
      <c r="B1402" s="175" t="s">
        <v>2527</v>
      </c>
      <c r="C1402" s="171" t="s">
        <v>90</v>
      </c>
      <c r="D1402" s="173">
        <v>0.01</v>
      </c>
      <c r="E1402" s="204" t="s">
        <v>30</v>
      </c>
      <c r="F1402" s="204" t="s">
        <v>188</v>
      </c>
      <c r="G1402" s="183" t="s">
        <v>2528</v>
      </c>
      <c r="H1402" s="171"/>
    </row>
    <row r="1403" ht="14.25" spans="1:8">
      <c r="A1403" s="176">
        <v>55</v>
      </c>
      <c r="B1403" s="175" t="s">
        <v>2527</v>
      </c>
      <c r="C1403" s="171" t="s">
        <v>90</v>
      </c>
      <c r="D1403" s="173">
        <v>0.01</v>
      </c>
      <c r="E1403" s="204" t="s">
        <v>30</v>
      </c>
      <c r="F1403" s="204" t="s">
        <v>188</v>
      </c>
      <c r="G1403" s="183" t="s">
        <v>2529</v>
      </c>
      <c r="H1403" s="171"/>
    </row>
    <row r="1404" ht="14.25" spans="1:8">
      <c r="A1404" s="232">
        <v>56</v>
      </c>
      <c r="B1404" s="175" t="s">
        <v>2530</v>
      </c>
      <c r="C1404" s="171" t="s">
        <v>90</v>
      </c>
      <c r="D1404" s="173">
        <v>0.04</v>
      </c>
      <c r="E1404" s="204" t="s">
        <v>30</v>
      </c>
      <c r="F1404" s="204" t="s">
        <v>188</v>
      </c>
      <c r="G1404" s="183" t="s">
        <v>2531</v>
      </c>
      <c r="H1404" s="171"/>
    </row>
    <row r="1405" ht="14.25" spans="1:8">
      <c r="A1405" s="176">
        <v>57</v>
      </c>
      <c r="B1405" s="175" t="s">
        <v>2532</v>
      </c>
      <c r="C1405" s="171" t="s">
        <v>90</v>
      </c>
      <c r="D1405" s="173">
        <v>0.03</v>
      </c>
      <c r="E1405" s="204" t="s">
        <v>30</v>
      </c>
      <c r="F1405" s="204" t="s">
        <v>188</v>
      </c>
      <c r="G1405" s="183" t="s">
        <v>2533</v>
      </c>
      <c r="H1405" s="171"/>
    </row>
    <row r="1406" ht="14.25" spans="1:8">
      <c r="A1406" s="232">
        <v>58</v>
      </c>
      <c r="B1406" s="175" t="s">
        <v>2534</v>
      </c>
      <c r="C1406" s="171" t="s">
        <v>90</v>
      </c>
      <c r="D1406" s="173">
        <v>0.02</v>
      </c>
      <c r="E1406" s="204" t="s">
        <v>30</v>
      </c>
      <c r="F1406" s="204" t="s">
        <v>188</v>
      </c>
      <c r="G1406" s="183" t="s">
        <v>2535</v>
      </c>
      <c r="H1406" s="171"/>
    </row>
    <row r="1407" ht="14.25" spans="1:8">
      <c r="A1407" s="176">
        <v>59</v>
      </c>
      <c r="B1407" s="175" t="s">
        <v>2233</v>
      </c>
      <c r="C1407" s="171" t="s">
        <v>90</v>
      </c>
      <c r="D1407" s="173">
        <v>0.04</v>
      </c>
      <c r="E1407" s="204" t="s">
        <v>30</v>
      </c>
      <c r="F1407" s="204" t="s">
        <v>188</v>
      </c>
      <c r="G1407" s="183" t="s">
        <v>2536</v>
      </c>
      <c r="H1407" s="171"/>
    </row>
    <row r="1408" ht="14.25" spans="1:8">
      <c r="A1408" s="232">
        <v>60</v>
      </c>
      <c r="B1408" s="175" t="s">
        <v>2537</v>
      </c>
      <c r="C1408" s="171" t="s">
        <v>90</v>
      </c>
      <c r="D1408" s="173">
        <v>0.04</v>
      </c>
      <c r="E1408" s="204" t="s">
        <v>30</v>
      </c>
      <c r="F1408" s="204" t="s">
        <v>188</v>
      </c>
      <c r="G1408" s="183" t="s">
        <v>2538</v>
      </c>
      <c r="H1408" s="171"/>
    </row>
    <row r="1409" ht="14.25" spans="1:8">
      <c r="A1409" s="176">
        <v>61</v>
      </c>
      <c r="B1409" s="175" t="s">
        <v>2537</v>
      </c>
      <c r="C1409" s="171" t="s">
        <v>90</v>
      </c>
      <c r="D1409" s="173">
        <v>0.04</v>
      </c>
      <c r="E1409" s="204" t="s">
        <v>30</v>
      </c>
      <c r="F1409" s="204" t="s">
        <v>188</v>
      </c>
      <c r="G1409" s="183" t="s">
        <v>2539</v>
      </c>
      <c r="H1409" s="171"/>
    </row>
    <row r="1410" ht="14.25" spans="1:8">
      <c r="A1410" s="232">
        <v>62</v>
      </c>
      <c r="B1410" s="175" t="s">
        <v>2540</v>
      </c>
      <c r="C1410" s="171" t="s">
        <v>90</v>
      </c>
      <c r="D1410" s="173">
        <v>0.03</v>
      </c>
      <c r="E1410" s="204" t="s">
        <v>30</v>
      </c>
      <c r="F1410" s="204" t="s">
        <v>188</v>
      </c>
      <c r="G1410" s="183" t="s">
        <v>2541</v>
      </c>
      <c r="H1410" s="171"/>
    </row>
    <row r="1411" ht="14.25" spans="1:8">
      <c r="A1411" s="176">
        <v>63</v>
      </c>
      <c r="B1411" s="175" t="s">
        <v>2499</v>
      </c>
      <c r="C1411" s="171" t="s">
        <v>90</v>
      </c>
      <c r="D1411" s="173">
        <v>0.02</v>
      </c>
      <c r="E1411" s="204" t="s">
        <v>30</v>
      </c>
      <c r="F1411" s="204" t="s">
        <v>188</v>
      </c>
      <c r="G1411" s="183" t="s">
        <v>2542</v>
      </c>
      <c r="H1411" s="171"/>
    </row>
    <row r="1412" ht="14.25" spans="1:8">
      <c r="A1412" s="232">
        <v>64</v>
      </c>
      <c r="B1412" s="175" t="s">
        <v>2543</v>
      </c>
      <c r="C1412" s="171" t="s">
        <v>90</v>
      </c>
      <c r="D1412" s="173">
        <v>0.1</v>
      </c>
      <c r="E1412" s="204" t="s">
        <v>30</v>
      </c>
      <c r="F1412" s="204" t="s">
        <v>188</v>
      </c>
      <c r="G1412" s="183" t="s">
        <v>2462</v>
      </c>
      <c r="H1412" s="171"/>
    </row>
    <row r="1413" ht="14.25" spans="1:8">
      <c r="A1413" s="176">
        <v>65</v>
      </c>
      <c r="B1413" s="175" t="s">
        <v>2505</v>
      </c>
      <c r="C1413" s="171" t="s">
        <v>90</v>
      </c>
      <c r="D1413" s="173">
        <v>0.12</v>
      </c>
      <c r="E1413" s="204" t="s">
        <v>30</v>
      </c>
      <c r="F1413" s="204" t="s">
        <v>188</v>
      </c>
      <c r="G1413" s="183" t="s">
        <v>2506</v>
      </c>
      <c r="H1413" s="171"/>
    </row>
    <row r="1414" ht="14.25" spans="1:8">
      <c r="A1414" s="232">
        <v>66</v>
      </c>
      <c r="B1414" s="175" t="s">
        <v>2544</v>
      </c>
      <c r="C1414" s="171" t="s">
        <v>90</v>
      </c>
      <c r="D1414" s="173">
        <v>0.3</v>
      </c>
      <c r="E1414" s="204" t="s">
        <v>30</v>
      </c>
      <c r="F1414" s="204" t="s">
        <v>188</v>
      </c>
      <c r="G1414" s="183" t="s">
        <v>2545</v>
      </c>
      <c r="H1414" s="171"/>
    </row>
    <row r="1415" ht="14.25" spans="1:8">
      <c r="A1415" s="176">
        <v>67</v>
      </c>
      <c r="B1415" s="175" t="s">
        <v>2544</v>
      </c>
      <c r="C1415" s="171" t="s">
        <v>90</v>
      </c>
      <c r="D1415" s="173">
        <v>0.1</v>
      </c>
      <c r="E1415" s="204" t="s">
        <v>30</v>
      </c>
      <c r="F1415" s="204" t="s">
        <v>188</v>
      </c>
      <c r="G1415" s="183" t="s">
        <v>2546</v>
      </c>
      <c r="H1415" s="171"/>
    </row>
    <row r="1416" ht="25.5" spans="1:8">
      <c r="A1416" s="232">
        <v>68</v>
      </c>
      <c r="B1416" s="175" t="s">
        <v>2547</v>
      </c>
      <c r="C1416" s="171" t="s">
        <v>90</v>
      </c>
      <c r="D1416" s="173">
        <v>0.35</v>
      </c>
      <c r="E1416" s="204" t="s">
        <v>30</v>
      </c>
      <c r="F1416" s="204" t="s">
        <v>188</v>
      </c>
      <c r="G1416" s="183" t="s">
        <v>2510</v>
      </c>
      <c r="H1416" s="171"/>
    </row>
    <row r="1417" ht="14.25" spans="1:8">
      <c r="A1417" s="176">
        <v>69</v>
      </c>
      <c r="B1417" s="175" t="s">
        <v>2548</v>
      </c>
      <c r="C1417" s="171" t="s">
        <v>90</v>
      </c>
      <c r="D1417" s="173">
        <v>0.02</v>
      </c>
      <c r="E1417" s="204" t="s">
        <v>30</v>
      </c>
      <c r="F1417" s="204" t="s">
        <v>188</v>
      </c>
      <c r="G1417" s="183" t="s">
        <v>2549</v>
      </c>
      <c r="H1417" s="171"/>
    </row>
    <row r="1418" ht="14.25" spans="1:8">
      <c r="A1418" s="232">
        <v>70</v>
      </c>
      <c r="B1418" s="175" t="s">
        <v>2550</v>
      </c>
      <c r="C1418" s="171" t="s">
        <v>90</v>
      </c>
      <c r="D1418" s="173">
        <v>0.04</v>
      </c>
      <c r="E1418" s="204" t="s">
        <v>30</v>
      </c>
      <c r="F1418" s="204" t="s">
        <v>188</v>
      </c>
      <c r="G1418" s="183" t="s">
        <v>2551</v>
      </c>
      <c r="H1418" s="171"/>
    </row>
    <row r="1419" ht="14.25" spans="1:8">
      <c r="A1419" s="176">
        <v>71</v>
      </c>
      <c r="B1419" s="175" t="s">
        <v>2052</v>
      </c>
      <c r="C1419" s="171" t="s">
        <v>90</v>
      </c>
      <c r="D1419" s="173">
        <v>0.15</v>
      </c>
      <c r="E1419" s="204" t="s">
        <v>30</v>
      </c>
      <c r="F1419" s="204" t="s">
        <v>188</v>
      </c>
      <c r="G1419" s="183" t="s">
        <v>2519</v>
      </c>
      <c r="H1419" s="171"/>
    </row>
    <row r="1420" ht="14.25" spans="1:8">
      <c r="A1420" s="232">
        <v>72</v>
      </c>
      <c r="B1420" s="175" t="s">
        <v>2552</v>
      </c>
      <c r="C1420" s="171" t="s">
        <v>90</v>
      </c>
      <c r="D1420" s="173">
        <v>0.06</v>
      </c>
      <c r="E1420" s="204" t="s">
        <v>30</v>
      </c>
      <c r="F1420" s="204" t="s">
        <v>188</v>
      </c>
      <c r="G1420" s="183" t="s">
        <v>420</v>
      </c>
      <c r="H1420" s="171"/>
    </row>
    <row r="1421" ht="14.25" spans="1:8">
      <c r="A1421" s="176">
        <v>73</v>
      </c>
      <c r="B1421" s="175" t="s">
        <v>1346</v>
      </c>
      <c r="C1421" s="171" t="s">
        <v>90</v>
      </c>
      <c r="D1421" s="173">
        <v>0.03</v>
      </c>
      <c r="E1421" s="204" t="s">
        <v>30</v>
      </c>
      <c r="F1421" s="204" t="s">
        <v>188</v>
      </c>
      <c r="G1421" s="183" t="s">
        <v>2553</v>
      </c>
      <c r="H1421" s="171"/>
    </row>
    <row r="1422" ht="14.25" spans="1:8">
      <c r="A1422" s="232">
        <v>74</v>
      </c>
      <c r="B1422" s="175" t="s">
        <v>708</v>
      </c>
      <c r="C1422" s="171" t="s">
        <v>90</v>
      </c>
      <c r="D1422" s="173">
        <v>0.01</v>
      </c>
      <c r="E1422" s="204" t="s">
        <v>30</v>
      </c>
      <c r="F1422" s="204" t="s">
        <v>188</v>
      </c>
      <c r="G1422" s="183" t="s">
        <v>2506</v>
      </c>
      <c r="H1422" s="171"/>
    </row>
    <row r="1423" ht="14.25" spans="1:8">
      <c r="A1423" s="176">
        <v>75</v>
      </c>
      <c r="B1423" s="175" t="s">
        <v>2554</v>
      </c>
      <c r="C1423" s="171" t="s">
        <v>90</v>
      </c>
      <c r="D1423" s="173">
        <v>0.04</v>
      </c>
      <c r="E1423" s="204" t="s">
        <v>30</v>
      </c>
      <c r="F1423" s="204" t="s">
        <v>188</v>
      </c>
      <c r="G1423" s="183" t="s">
        <v>2555</v>
      </c>
      <c r="H1423" s="171"/>
    </row>
    <row r="1424" ht="14.25" spans="1:8">
      <c r="A1424" s="232">
        <v>76</v>
      </c>
      <c r="B1424" s="175" t="s">
        <v>2556</v>
      </c>
      <c r="C1424" s="171" t="s">
        <v>90</v>
      </c>
      <c r="D1424" s="173">
        <v>0.01</v>
      </c>
      <c r="E1424" s="204" t="s">
        <v>30</v>
      </c>
      <c r="F1424" s="204" t="s">
        <v>188</v>
      </c>
      <c r="G1424" s="183" t="s">
        <v>2557</v>
      </c>
      <c r="H1424" s="171"/>
    </row>
    <row r="1425" ht="14.25" spans="1:8">
      <c r="A1425" s="176">
        <v>77</v>
      </c>
      <c r="B1425" s="175" t="s">
        <v>405</v>
      </c>
      <c r="C1425" s="171" t="s">
        <v>90</v>
      </c>
      <c r="D1425" s="173">
        <v>0.02</v>
      </c>
      <c r="E1425" s="204" t="s">
        <v>30</v>
      </c>
      <c r="F1425" s="204" t="s">
        <v>188</v>
      </c>
      <c r="G1425" s="183" t="s">
        <v>2558</v>
      </c>
      <c r="H1425" s="171"/>
    </row>
    <row r="1426" ht="14.25" spans="1:8">
      <c r="A1426" s="232">
        <v>78</v>
      </c>
      <c r="B1426" s="175" t="s">
        <v>2559</v>
      </c>
      <c r="C1426" s="171" t="s">
        <v>90</v>
      </c>
      <c r="D1426" s="173">
        <v>0.25</v>
      </c>
      <c r="E1426" s="204" t="s">
        <v>30</v>
      </c>
      <c r="F1426" s="204" t="s">
        <v>188</v>
      </c>
      <c r="G1426" s="183" t="s">
        <v>2560</v>
      </c>
      <c r="H1426" s="171"/>
    </row>
    <row r="1427" ht="14.25" spans="1:8">
      <c r="A1427" s="176">
        <v>79</v>
      </c>
      <c r="B1427" s="175" t="s">
        <v>2561</v>
      </c>
      <c r="C1427" s="171" t="s">
        <v>90</v>
      </c>
      <c r="D1427" s="173">
        <v>0.01</v>
      </c>
      <c r="E1427" s="204" t="s">
        <v>30</v>
      </c>
      <c r="F1427" s="204" t="s">
        <v>188</v>
      </c>
      <c r="G1427" s="183" t="s">
        <v>2562</v>
      </c>
      <c r="H1427" s="171"/>
    </row>
    <row r="1428" ht="14.25" spans="1:8">
      <c r="A1428" s="232">
        <v>80</v>
      </c>
      <c r="B1428" s="175" t="s">
        <v>2563</v>
      </c>
      <c r="C1428" s="171" t="s">
        <v>90</v>
      </c>
      <c r="D1428" s="173">
        <v>0.02</v>
      </c>
      <c r="E1428" s="204" t="s">
        <v>30</v>
      </c>
      <c r="F1428" s="204" t="s">
        <v>188</v>
      </c>
      <c r="G1428" s="183" t="s">
        <v>2564</v>
      </c>
      <c r="H1428" s="171"/>
    </row>
    <row r="1429" ht="14.25" spans="1:8">
      <c r="A1429" s="176">
        <v>81</v>
      </c>
      <c r="B1429" s="175" t="s">
        <v>2565</v>
      </c>
      <c r="C1429" s="171" t="s">
        <v>90</v>
      </c>
      <c r="D1429" s="173">
        <v>0.01</v>
      </c>
      <c r="E1429" s="204" t="s">
        <v>30</v>
      </c>
      <c r="F1429" s="204" t="s">
        <v>188</v>
      </c>
      <c r="G1429" s="183" t="s">
        <v>2566</v>
      </c>
      <c r="H1429" s="171"/>
    </row>
    <row r="1430" ht="14.25" spans="1:8">
      <c r="A1430" s="232">
        <v>82</v>
      </c>
      <c r="B1430" s="175" t="s">
        <v>2514</v>
      </c>
      <c r="C1430" s="171" t="s">
        <v>90</v>
      </c>
      <c r="D1430" s="173">
        <v>0.04</v>
      </c>
      <c r="E1430" s="204" t="s">
        <v>30</v>
      </c>
      <c r="F1430" s="204" t="s">
        <v>188</v>
      </c>
      <c r="G1430" s="183" t="s">
        <v>2567</v>
      </c>
      <c r="H1430" s="171"/>
    </row>
    <row r="1431" ht="14.25" spans="1:8">
      <c r="A1431" s="176">
        <v>83</v>
      </c>
      <c r="B1431" s="175" t="s">
        <v>2568</v>
      </c>
      <c r="C1431" s="171" t="s">
        <v>90</v>
      </c>
      <c r="D1431" s="173">
        <v>0.09</v>
      </c>
      <c r="E1431" s="204" t="s">
        <v>30</v>
      </c>
      <c r="F1431" s="204" t="s">
        <v>188</v>
      </c>
      <c r="G1431" s="183" t="s">
        <v>2569</v>
      </c>
      <c r="H1431" s="171"/>
    </row>
    <row r="1432" ht="14.25" spans="1:8">
      <c r="A1432" s="232">
        <v>84</v>
      </c>
      <c r="B1432" s="175" t="s">
        <v>2568</v>
      </c>
      <c r="C1432" s="171" t="s">
        <v>90</v>
      </c>
      <c r="D1432" s="173">
        <v>0.09</v>
      </c>
      <c r="E1432" s="204" t="s">
        <v>30</v>
      </c>
      <c r="F1432" s="204" t="s">
        <v>188</v>
      </c>
      <c r="G1432" s="183" t="s">
        <v>2570</v>
      </c>
      <c r="H1432" s="171"/>
    </row>
    <row r="1433" ht="14.25" spans="1:8">
      <c r="A1433" s="176">
        <v>85</v>
      </c>
      <c r="B1433" s="175" t="s">
        <v>2571</v>
      </c>
      <c r="C1433" s="171" t="s">
        <v>90</v>
      </c>
      <c r="D1433" s="173">
        <v>0.02</v>
      </c>
      <c r="E1433" s="204" t="s">
        <v>30</v>
      </c>
      <c r="F1433" s="204" t="s">
        <v>188</v>
      </c>
      <c r="G1433" s="183" t="s">
        <v>2572</v>
      </c>
      <c r="H1433" s="171"/>
    </row>
    <row r="1434" ht="14.25" spans="1:8">
      <c r="A1434" s="232">
        <v>86</v>
      </c>
      <c r="B1434" s="175" t="s">
        <v>2573</v>
      </c>
      <c r="C1434" s="171" t="s">
        <v>90</v>
      </c>
      <c r="D1434" s="173">
        <v>0.1</v>
      </c>
      <c r="E1434" s="204" t="s">
        <v>30</v>
      </c>
      <c r="F1434" s="204" t="s">
        <v>188</v>
      </c>
      <c r="G1434" s="183" t="s">
        <v>2574</v>
      </c>
      <c r="H1434" s="171"/>
    </row>
    <row r="1435" ht="14.25" spans="1:8">
      <c r="A1435" s="176">
        <v>87</v>
      </c>
      <c r="B1435" s="175" t="s">
        <v>2575</v>
      </c>
      <c r="C1435" s="171" t="s">
        <v>90</v>
      </c>
      <c r="D1435" s="173">
        <v>0.05</v>
      </c>
      <c r="E1435" s="204" t="s">
        <v>30</v>
      </c>
      <c r="F1435" s="204" t="s">
        <v>188</v>
      </c>
      <c r="G1435" s="183" t="s">
        <v>2576</v>
      </c>
      <c r="H1435" s="171"/>
    </row>
    <row r="1436" ht="14.25" spans="1:8">
      <c r="A1436" s="232">
        <v>88</v>
      </c>
      <c r="B1436" s="175" t="s">
        <v>2577</v>
      </c>
      <c r="C1436" s="171" t="s">
        <v>90</v>
      </c>
      <c r="D1436" s="173">
        <v>0.02</v>
      </c>
      <c r="E1436" s="204" t="s">
        <v>30</v>
      </c>
      <c r="F1436" s="204" t="s">
        <v>188</v>
      </c>
      <c r="G1436" s="183" t="s">
        <v>2578</v>
      </c>
      <c r="H1436" s="171"/>
    </row>
    <row r="1437" ht="14.25" spans="1:8">
      <c r="A1437" s="176">
        <v>89</v>
      </c>
      <c r="B1437" s="175" t="s">
        <v>2579</v>
      </c>
      <c r="C1437" s="171" t="s">
        <v>90</v>
      </c>
      <c r="D1437" s="173">
        <v>0.02</v>
      </c>
      <c r="E1437" s="204" t="s">
        <v>30</v>
      </c>
      <c r="F1437" s="204" t="s">
        <v>188</v>
      </c>
      <c r="G1437" s="183" t="s">
        <v>2580</v>
      </c>
      <c r="H1437" s="171"/>
    </row>
    <row r="1438" ht="14.25" spans="1:8">
      <c r="A1438" s="232">
        <v>90</v>
      </c>
      <c r="B1438" s="175" t="s">
        <v>2581</v>
      </c>
      <c r="C1438" s="171" t="s">
        <v>90</v>
      </c>
      <c r="D1438" s="173">
        <v>0.02</v>
      </c>
      <c r="E1438" s="204" t="s">
        <v>30</v>
      </c>
      <c r="F1438" s="204" t="s">
        <v>188</v>
      </c>
      <c r="G1438" s="183" t="s">
        <v>2582</v>
      </c>
      <c r="H1438" s="171"/>
    </row>
    <row r="1439" ht="14.25" spans="1:8">
      <c r="A1439" s="176">
        <v>91</v>
      </c>
      <c r="B1439" s="175" t="s">
        <v>2583</v>
      </c>
      <c r="C1439" s="171" t="s">
        <v>90</v>
      </c>
      <c r="D1439" s="173">
        <v>0.01</v>
      </c>
      <c r="E1439" s="204" t="s">
        <v>30</v>
      </c>
      <c r="F1439" s="204" t="s">
        <v>188</v>
      </c>
      <c r="G1439" s="183" t="s">
        <v>2584</v>
      </c>
      <c r="H1439" s="171"/>
    </row>
    <row r="1440" ht="14.25" spans="1:8">
      <c r="A1440" s="232">
        <v>92</v>
      </c>
      <c r="B1440" s="175" t="s">
        <v>2585</v>
      </c>
      <c r="C1440" s="171" t="s">
        <v>90</v>
      </c>
      <c r="D1440" s="173">
        <v>0.03</v>
      </c>
      <c r="E1440" s="204" t="s">
        <v>30</v>
      </c>
      <c r="F1440" s="204" t="s">
        <v>188</v>
      </c>
      <c r="G1440" s="183" t="s">
        <v>2586</v>
      </c>
      <c r="H1440" s="171"/>
    </row>
    <row r="1441" ht="14.25" spans="1:8">
      <c r="A1441" s="176">
        <v>93</v>
      </c>
      <c r="B1441" s="175" t="s">
        <v>959</v>
      </c>
      <c r="C1441" s="171" t="s">
        <v>90</v>
      </c>
      <c r="D1441" s="173">
        <v>0.02</v>
      </c>
      <c r="E1441" s="204" t="s">
        <v>30</v>
      </c>
      <c r="F1441" s="204" t="s">
        <v>188</v>
      </c>
      <c r="G1441" s="183" t="s">
        <v>2587</v>
      </c>
      <c r="H1441" s="171"/>
    </row>
    <row r="1442" ht="14.25" spans="1:8">
      <c r="A1442" s="232">
        <v>94</v>
      </c>
      <c r="B1442" s="175" t="s">
        <v>1919</v>
      </c>
      <c r="C1442" s="171" t="s">
        <v>90</v>
      </c>
      <c r="D1442" s="173">
        <v>0.01</v>
      </c>
      <c r="E1442" s="204" t="s">
        <v>30</v>
      </c>
      <c r="F1442" s="204" t="s">
        <v>188</v>
      </c>
      <c r="G1442" s="183" t="s">
        <v>2588</v>
      </c>
      <c r="H1442" s="171"/>
    </row>
    <row r="1443" ht="14.25" spans="1:8">
      <c r="A1443" s="176">
        <v>95</v>
      </c>
      <c r="B1443" s="175" t="s">
        <v>889</v>
      </c>
      <c r="C1443" s="171" t="s">
        <v>90</v>
      </c>
      <c r="D1443" s="173">
        <v>0.01</v>
      </c>
      <c r="E1443" s="204" t="s">
        <v>30</v>
      </c>
      <c r="F1443" s="204" t="s">
        <v>188</v>
      </c>
      <c r="G1443" s="183" t="s">
        <v>2589</v>
      </c>
      <c r="H1443" s="171"/>
    </row>
    <row r="1444" ht="14.25" spans="1:8">
      <c r="A1444" s="232">
        <v>96</v>
      </c>
      <c r="B1444" s="175" t="s">
        <v>1280</v>
      </c>
      <c r="C1444" s="171" t="s">
        <v>90</v>
      </c>
      <c r="D1444" s="173">
        <v>0.02</v>
      </c>
      <c r="E1444" s="204" t="s">
        <v>30</v>
      </c>
      <c r="F1444" s="204" t="s">
        <v>188</v>
      </c>
      <c r="G1444" s="183" t="s">
        <v>2590</v>
      </c>
      <c r="H1444" s="171"/>
    </row>
    <row r="1445" ht="14.25" spans="1:8">
      <c r="A1445" s="176">
        <v>97</v>
      </c>
      <c r="B1445" s="175" t="s">
        <v>2591</v>
      </c>
      <c r="C1445" s="171" t="s">
        <v>90</v>
      </c>
      <c r="D1445" s="173">
        <v>0.01</v>
      </c>
      <c r="E1445" s="204" t="s">
        <v>30</v>
      </c>
      <c r="F1445" s="204" t="s">
        <v>188</v>
      </c>
      <c r="G1445" s="183" t="s">
        <v>2592</v>
      </c>
      <c r="H1445" s="171"/>
    </row>
    <row r="1446" ht="14.25" spans="1:8">
      <c r="A1446" s="232">
        <v>98</v>
      </c>
      <c r="B1446" s="175" t="s">
        <v>2593</v>
      </c>
      <c r="C1446" s="171" t="s">
        <v>90</v>
      </c>
      <c r="D1446" s="173">
        <v>0.01</v>
      </c>
      <c r="E1446" s="204" t="s">
        <v>30</v>
      </c>
      <c r="F1446" s="204" t="s">
        <v>188</v>
      </c>
      <c r="G1446" s="183" t="s">
        <v>2594</v>
      </c>
      <c r="H1446" s="171"/>
    </row>
    <row r="1447" ht="14.25" spans="1:8">
      <c r="A1447" s="176">
        <v>99</v>
      </c>
      <c r="B1447" s="175" t="s">
        <v>2593</v>
      </c>
      <c r="C1447" s="171" t="s">
        <v>90</v>
      </c>
      <c r="D1447" s="173">
        <v>0.01</v>
      </c>
      <c r="E1447" s="204" t="s">
        <v>30</v>
      </c>
      <c r="F1447" s="204" t="s">
        <v>188</v>
      </c>
      <c r="G1447" s="183" t="s">
        <v>2595</v>
      </c>
      <c r="H1447" s="171"/>
    </row>
    <row r="1448" ht="14.25" spans="1:8">
      <c r="A1448" s="232">
        <v>100</v>
      </c>
      <c r="B1448" s="175" t="s">
        <v>2596</v>
      </c>
      <c r="C1448" s="171" t="s">
        <v>90</v>
      </c>
      <c r="D1448" s="173">
        <v>0.1</v>
      </c>
      <c r="E1448" s="204" t="s">
        <v>30</v>
      </c>
      <c r="F1448" s="204" t="s">
        <v>188</v>
      </c>
      <c r="G1448" s="183" t="s">
        <v>2597</v>
      </c>
      <c r="H1448" s="171"/>
    </row>
    <row r="1449" ht="14.25" spans="1:8">
      <c r="A1449" s="176">
        <v>101</v>
      </c>
      <c r="B1449" s="175" t="s">
        <v>2482</v>
      </c>
      <c r="C1449" s="171" t="s">
        <v>90</v>
      </c>
      <c r="D1449" s="173">
        <v>0.01</v>
      </c>
      <c r="E1449" s="204" t="s">
        <v>30</v>
      </c>
      <c r="F1449" s="204" t="s">
        <v>188</v>
      </c>
      <c r="G1449" s="183" t="s">
        <v>2598</v>
      </c>
      <c r="H1449" s="171"/>
    </row>
    <row r="1450" ht="14.25" spans="1:8">
      <c r="A1450" s="232">
        <v>102</v>
      </c>
      <c r="B1450" s="175" t="s">
        <v>2599</v>
      </c>
      <c r="C1450" s="171" t="s">
        <v>90</v>
      </c>
      <c r="D1450" s="173">
        <v>0.01</v>
      </c>
      <c r="E1450" s="204" t="s">
        <v>30</v>
      </c>
      <c r="F1450" s="204" t="s">
        <v>188</v>
      </c>
      <c r="G1450" s="183" t="s">
        <v>2600</v>
      </c>
      <c r="H1450" s="171"/>
    </row>
    <row r="1451" ht="14.25" spans="1:8">
      <c r="A1451" s="176">
        <v>103</v>
      </c>
      <c r="B1451" s="175" t="s">
        <v>2601</v>
      </c>
      <c r="C1451" s="171" t="s">
        <v>90</v>
      </c>
      <c r="D1451" s="173">
        <v>0.02</v>
      </c>
      <c r="E1451" s="204" t="s">
        <v>30</v>
      </c>
      <c r="F1451" s="204" t="s">
        <v>188</v>
      </c>
      <c r="G1451" s="183" t="s">
        <v>2602</v>
      </c>
      <c r="H1451" s="171"/>
    </row>
    <row r="1452" ht="14.25" spans="1:8">
      <c r="A1452" s="232">
        <v>104</v>
      </c>
      <c r="B1452" s="175" t="s">
        <v>2603</v>
      </c>
      <c r="C1452" s="171" t="s">
        <v>90</v>
      </c>
      <c r="D1452" s="173">
        <v>0.015</v>
      </c>
      <c r="E1452" s="204" t="s">
        <v>30</v>
      </c>
      <c r="F1452" s="204" t="s">
        <v>188</v>
      </c>
      <c r="G1452" s="183" t="s">
        <v>2604</v>
      </c>
      <c r="H1452" s="171"/>
    </row>
    <row r="1453" ht="14.25" spans="1:8">
      <c r="A1453" s="176">
        <v>105</v>
      </c>
      <c r="B1453" s="175" t="s">
        <v>2461</v>
      </c>
      <c r="C1453" s="171" t="s">
        <v>90</v>
      </c>
      <c r="D1453" s="173">
        <v>0.1</v>
      </c>
      <c r="E1453" s="204" t="s">
        <v>30</v>
      </c>
      <c r="F1453" s="204" t="s">
        <v>188</v>
      </c>
      <c r="G1453" s="183" t="s">
        <v>2597</v>
      </c>
      <c r="H1453" s="171"/>
    </row>
    <row r="1454" ht="14.25" spans="1:8">
      <c r="A1454" s="232">
        <v>106</v>
      </c>
      <c r="B1454" s="175" t="s">
        <v>2605</v>
      </c>
      <c r="C1454" s="171" t="s">
        <v>90</v>
      </c>
      <c r="D1454" s="173">
        <v>0.03</v>
      </c>
      <c r="E1454" s="204" t="s">
        <v>30</v>
      </c>
      <c r="F1454" s="204" t="s">
        <v>188</v>
      </c>
      <c r="G1454" s="183" t="s">
        <v>2606</v>
      </c>
      <c r="H1454" s="171"/>
    </row>
    <row r="1455" ht="14.25" spans="1:8">
      <c r="A1455" s="176">
        <v>107</v>
      </c>
      <c r="B1455" s="175" t="s">
        <v>2607</v>
      </c>
      <c r="C1455" s="171" t="s">
        <v>90</v>
      </c>
      <c r="D1455" s="173">
        <v>0.11</v>
      </c>
      <c r="E1455" s="204" t="s">
        <v>30</v>
      </c>
      <c r="F1455" s="204" t="s">
        <v>188</v>
      </c>
      <c r="G1455" s="183" t="s">
        <v>2510</v>
      </c>
      <c r="H1455" s="171"/>
    </row>
    <row r="1456" ht="14.25" spans="1:8">
      <c r="A1456" s="232">
        <v>108</v>
      </c>
      <c r="B1456" s="175" t="s">
        <v>2554</v>
      </c>
      <c r="C1456" s="171" t="s">
        <v>90</v>
      </c>
      <c r="D1456" s="173">
        <v>0.1</v>
      </c>
      <c r="E1456" s="204" t="s">
        <v>30</v>
      </c>
      <c r="F1456" s="204" t="s">
        <v>188</v>
      </c>
      <c r="G1456" s="183" t="s">
        <v>2555</v>
      </c>
      <c r="H1456" s="171"/>
    </row>
    <row r="1457" ht="14.25" spans="1:8">
      <c r="A1457" s="176">
        <v>109</v>
      </c>
      <c r="B1457" s="175" t="s">
        <v>2608</v>
      </c>
      <c r="C1457" s="171" t="s">
        <v>90</v>
      </c>
      <c r="D1457" s="173">
        <v>0.23</v>
      </c>
      <c r="E1457" s="204" t="s">
        <v>30</v>
      </c>
      <c r="F1457" s="204" t="s">
        <v>188</v>
      </c>
      <c r="G1457" s="183" t="s">
        <v>2609</v>
      </c>
      <c r="H1457" s="171"/>
    </row>
    <row r="1458" ht="14.25" spans="1:8">
      <c r="A1458" s="232">
        <v>110</v>
      </c>
      <c r="B1458" s="175" t="s">
        <v>2610</v>
      </c>
      <c r="C1458" s="171" t="s">
        <v>90</v>
      </c>
      <c r="D1458" s="173">
        <v>0.04</v>
      </c>
      <c r="E1458" s="204" t="s">
        <v>30</v>
      </c>
      <c r="F1458" s="204" t="s">
        <v>188</v>
      </c>
      <c r="G1458" s="183" t="s">
        <v>2611</v>
      </c>
      <c r="H1458" s="171"/>
    </row>
    <row r="1459" ht="14.25" spans="1:8">
      <c r="A1459" s="176">
        <v>111</v>
      </c>
      <c r="B1459" s="175" t="s">
        <v>2610</v>
      </c>
      <c r="C1459" s="171" t="s">
        <v>90</v>
      </c>
      <c r="D1459" s="173">
        <v>0.04</v>
      </c>
      <c r="E1459" s="204" t="s">
        <v>30</v>
      </c>
      <c r="F1459" s="204" t="s">
        <v>188</v>
      </c>
      <c r="G1459" s="183" t="s">
        <v>2612</v>
      </c>
      <c r="H1459" s="171"/>
    </row>
    <row r="1460" ht="14.25" spans="1:8">
      <c r="A1460" s="232">
        <v>112</v>
      </c>
      <c r="B1460" s="175" t="s">
        <v>2613</v>
      </c>
      <c r="C1460" s="171" t="s">
        <v>90</v>
      </c>
      <c r="D1460" s="173">
        <v>0.02</v>
      </c>
      <c r="E1460" s="204" t="s">
        <v>30</v>
      </c>
      <c r="F1460" s="204" t="s">
        <v>188</v>
      </c>
      <c r="G1460" s="183" t="s">
        <v>2614</v>
      </c>
      <c r="H1460" s="171"/>
    </row>
    <row r="1461" ht="14.25" spans="1:8">
      <c r="A1461" s="176">
        <v>113</v>
      </c>
      <c r="B1461" s="175" t="s">
        <v>2615</v>
      </c>
      <c r="C1461" s="171" t="s">
        <v>90</v>
      </c>
      <c r="D1461" s="173">
        <v>0.01</v>
      </c>
      <c r="E1461" s="204" t="s">
        <v>30</v>
      </c>
      <c r="F1461" s="204" t="s">
        <v>188</v>
      </c>
      <c r="G1461" s="183" t="s">
        <v>2616</v>
      </c>
      <c r="H1461" s="171"/>
    </row>
    <row r="1462" ht="14.25" spans="1:8">
      <c r="A1462" s="232">
        <v>114</v>
      </c>
      <c r="B1462" s="175" t="s">
        <v>2615</v>
      </c>
      <c r="C1462" s="171" t="s">
        <v>90</v>
      </c>
      <c r="D1462" s="173">
        <v>0.01</v>
      </c>
      <c r="E1462" s="204" t="s">
        <v>30</v>
      </c>
      <c r="F1462" s="204" t="s">
        <v>188</v>
      </c>
      <c r="G1462" s="183" t="s">
        <v>2617</v>
      </c>
      <c r="H1462" s="171"/>
    </row>
    <row r="1463" ht="14.25" spans="1:8">
      <c r="A1463" s="176">
        <v>115</v>
      </c>
      <c r="B1463" s="233" t="s">
        <v>2618</v>
      </c>
      <c r="C1463" s="171" t="s">
        <v>90</v>
      </c>
      <c r="D1463" s="173">
        <v>0.03</v>
      </c>
      <c r="E1463" s="204" t="s">
        <v>30</v>
      </c>
      <c r="F1463" s="204" t="s">
        <v>188</v>
      </c>
      <c r="G1463" s="183" t="s">
        <v>2619</v>
      </c>
      <c r="H1463" s="171"/>
    </row>
    <row r="1464" ht="14.25" spans="1:8">
      <c r="A1464" s="232">
        <v>116</v>
      </c>
      <c r="B1464" s="233" t="s">
        <v>2618</v>
      </c>
      <c r="C1464" s="171" t="s">
        <v>90</v>
      </c>
      <c r="D1464" s="173">
        <v>0.1</v>
      </c>
      <c r="E1464" s="204" t="s">
        <v>30</v>
      </c>
      <c r="F1464" s="204" t="s">
        <v>188</v>
      </c>
      <c r="G1464" s="183" t="s">
        <v>2620</v>
      </c>
      <c r="H1464" s="171"/>
    </row>
    <row r="1465" ht="14.25" spans="1:8">
      <c r="A1465" s="176">
        <v>117</v>
      </c>
      <c r="B1465" s="233" t="s">
        <v>2554</v>
      </c>
      <c r="C1465" s="171" t="s">
        <v>90</v>
      </c>
      <c r="D1465" s="173">
        <v>0.1</v>
      </c>
      <c r="E1465" s="204" t="s">
        <v>30</v>
      </c>
      <c r="F1465" s="204" t="s">
        <v>188</v>
      </c>
      <c r="G1465" s="183" t="s">
        <v>2555</v>
      </c>
      <c r="H1465" s="171"/>
    </row>
    <row r="1466" ht="14.25" spans="1:8">
      <c r="A1466" s="232">
        <v>118</v>
      </c>
      <c r="B1466" s="233" t="s">
        <v>2621</v>
      </c>
      <c r="C1466" s="171" t="s">
        <v>90</v>
      </c>
      <c r="D1466" s="173">
        <v>0.05</v>
      </c>
      <c r="E1466" s="204" t="s">
        <v>30</v>
      </c>
      <c r="F1466" s="204" t="s">
        <v>188</v>
      </c>
      <c r="G1466" s="183" t="s">
        <v>2622</v>
      </c>
      <c r="H1466" s="171"/>
    </row>
    <row r="1467" ht="14.25" spans="1:8">
      <c r="A1467" s="176">
        <v>119</v>
      </c>
      <c r="B1467" s="175" t="s">
        <v>1919</v>
      </c>
      <c r="C1467" s="171" t="s">
        <v>90</v>
      </c>
      <c r="D1467" s="173">
        <v>0.05</v>
      </c>
      <c r="E1467" s="204" t="s">
        <v>30</v>
      </c>
      <c r="F1467" s="204" t="s">
        <v>188</v>
      </c>
      <c r="G1467" s="183" t="s">
        <v>2623</v>
      </c>
      <c r="H1467" s="171"/>
    </row>
    <row r="1468" ht="14.25" spans="1:8">
      <c r="A1468" s="232">
        <v>120</v>
      </c>
      <c r="B1468" s="175" t="s">
        <v>2436</v>
      </c>
      <c r="C1468" s="171" t="s">
        <v>90</v>
      </c>
      <c r="D1468" s="173">
        <v>0.04</v>
      </c>
      <c r="E1468" s="204" t="s">
        <v>30</v>
      </c>
      <c r="F1468" s="204" t="s">
        <v>188</v>
      </c>
      <c r="G1468" s="183" t="s">
        <v>2624</v>
      </c>
      <c r="H1468" s="171"/>
    </row>
    <row r="1469" ht="14.25" spans="1:8">
      <c r="A1469" s="176">
        <v>121</v>
      </c>
      <c r="B1469" s="181" t="s">
        <v>2625</v>
      </c>
      <c r="C1469" s="171" t="s">
        <v>90</v>
      </c>
      <c r="D1469" s="173">
        <v>0.02</v>
      </c>
      <c r="E1469" s="234" t="s">
        <v>30</v>
      </c>
      <c r="F1469" s="204" t="s">
        <v>188</v>
      </c>
      <c r="G1469" s="183" t="s">
        <v>2626</v>
      </c>
      <c r="H1469" s="171" t="s">
        <v>593</v>
      </c>
    </row>
    <row r="1470" ht="14.25" spans="1:8">
      <c r="A1470" s="232">
        <v>122</v>
      </c>
      <c r="B1470" s="181" t="s">
        <v>2627</v>
      </c>
      <c r="C1470" s="171" t="s">
        <v>90</v>
      </c>
      <c r="D1470" s="173">
        <v>0.04</v>
      </c>
      <c r="E1470" s="234" t="s">
        <v>30</v>
      </c>
      <c r="F1470" s="204" t="s">
        <v>188</v>
      </c>
      <c r="G1470" s="183" t="s">
        <v>2628</v>
      </c>
      <c r="H1470" s="171" t="s">
        <v>672</v>
      </c>
    </row>
    <row r="1471" ht="14.25" spans="1:8">
      <c r="A1471" s="176">
        <v>123</v>
      </c>
      <c r="B1471" s="181" t="s">
        <v>2629</v>
      </c>
      <c r="C1471" s="171" t="s">
        <v>90</v>
      </c>
      <c r="D1471" s="173">
        <v>0.06</v>
      </c>
      <c r="E1471" s="234" t="s">
        <v>30</v>
      </c>
      <c r="F1471" s="204" t="s">
        <v>188</v>
      </c>
      <c r="G1471" s="183" t="s">
        <v>2630</v>
      </c>
      <c r="H1471" s="171"/>
    </row>
    <row r="1472" ht="14.25" spans="1:8">
      <c r="A1472" s="232">
        <v>124</v>
      </c>
      <c r="B1472" s="181" t="s">
        <v>2631</v>
      </c>
      <c r="C1472" s="171" t="s">
        <v>90</v>
      </c>
      <c r="D1472" s="173">
        <v>0.04</v>
      </c>
      <c r="E1472" s="234" t="s">
        <v>30</v>
      </c>
      <c r="F1472" s="204" t="s">
        <v>188</v>
      </c>
      <c r="G1472" s="183" t="s">
        <v>2632</v>
      </c>
      <c r="H1472" s="171"/>
    </row>
    <row r="1473" ht="14.25" spans="1:8">
      <c r="A1473" s="176">
        <v>125</v>
      </c>
      <c r="B1473" s="181" t="s">
        <v>2633</v>
      </c>
      <c r="C1473" s="171" t="s">
        <v>90</v>
      </c>
      <c r="D1473" s="173">
        <v>0.03</v>
      </c>
      <c r="E1473" s="234" t="s">
        <v>30</v>
      </c>
      <c r="F1473" s="204" t="s">
        <v>188</v>
      </c>
      <c r="G1473" s="183" t="s">
        <v>2634</v>
      </c>
      <c r="H1473" s="171" t="s">
        <v>672</v>
      </c>
    </row>
    <row r="1474" ht="14.25" spans="1:8">
      <c r="A1474" s="232">
        <v>126</v>
      </c>
      <c r="B1474" s="181" t="s">
        <v>2635</v>
      </c>
      <c r="C1474" s="171" t="s">
        <v>90</v>
      </c>
      <c r="D1474" s="173">
        <v>0.02</v>
      </c>
      <c r="E1474" s="234" t="s">
        <v>30</v>
      </c>
      <c r="F1474" s="204" t="s">
        <v>188</v>
      </c>
      <c r="G1474" s="183" t="s">
        <v>2590</v>
      </c>
      <c r="H1474" s="171"/>
    </row>
    <row r="1475" ht="14.25" spans="1:8">
      <c r="A1475" s="176">
        <v>127</v>
      </c>
      <c r="B1475" s="181" t="s">
        <v>2636</v>
      </c>
      <c r="C1475" s="171" t="s">
        <v>90</v>
      </c>
      <c r="D1475" s="173">
        <v>0.02</v>
      </c>
      <c r="E1475" s="234" t="s">
        <v>30</v>
      </c>
      <c r="F1475" s="204" t="s">
        <v>188</v>
      </c>
      <c r="G1475" s="183" t="s">
        <v>2637</v>
      </c>
      <c r="H1475" s="171"/>
    </row>
    <row r="1476" ht="14.25" spans="1:8">
      <c r="A1476" s="232">
        <v>128</v>
      </c>
      <c r="B1476" s="181" t="s">
        <v>2636</v>
      </c>
      <c r="C1476" s="171" t="s">
        <v>90</v>
      </c>
      <c r="D1476" s="173">
        <v>0.02</v>
      </c>
      <c r="E1476" s="234" t="s">
        <v>30</v>
      </c>
      <c r="F1476" s="204" t="s">
        <v>188</v>
      </c>
      <c r="G1476" s="183" t="s">
        <v>2638</v>
      </c>
      <c r="H1476" s="171"/>
    </row>
    <row r="1477" ht="14.25" spans="1:8">
      <c r="A1477" s="176">
        <v>129</v>
      </c>
      <c r="B1477" s="235" t="s">
        <v>2639</v>
      </c>
      <c r="C1477" s="171" t="s">
        <v>90</v>
      </c>
      <c r="D1477" s="173">
        <v>0.04</v>
      </c>
      <c r="E1477" s="234" t="s">
        <v>30</v>
      </c>
      <c r="F1477" s="204" t="s">
        <v>188</v>
      </c>
      <c r="G1477" s="183" t="s">
        <v>2640</v>
      </c>
      <c r="H1477" s="171"/>
    </row>
    <row r="1478" ht="14.25" spans="1:8">
      <c r="A1478" s="232">
        <v>130</v>
      </c>
      <c r="B1478" s="235" t="s">
        <v>2641</v>
      </c>
      <c r="C1478" s="171" t="s">
        <v>90</v>
      </c>
      <c r="D1478" s="173">
        <v>0.02</v>
      </c>
      <c r="E1478" s="234" t="s">
        <v>30</v>
      </c>
      <c r="F1478" s="204" t="s">
        <v>188</v>
      </c>
      <c r="G1478" s="183" t="s">
        <v>2642</v>
      </c>
      <c r="H1478" s="171"/>
    </row>
    <row r="1479" ht="14.25" spans="1:8">
      <c r="A1479" s="176">
        <v>131</v>
      </c>
      <c r="B1479" s="235" t="s">
        <v>2643</v>
      </c>
      <c r="C1479" s="171" t="s">
        <v>90</v>
      </c>
      <c r="D1479" s="173">
        <v>0.02</v>
      </c>
      <c r="E1479" s="234" t="s">
        <v>30</v>
      </c>
      <c r="F1479" s="204" t="s">
        <v>188</v>
      </c>
      <c r="G1479" s="183" t="s">
        <v>2644</v>
      </c>
      <c r="H1479" s="171"/>
    </row>
    <row r="1480" ht="14.25" spans="1:8">
      <c r="A1480" s="232">
        <v>132</v>
      </c>
      <c r="B1480" s="235" t="s">
        <v>2537</v>
      </c>
      <c r="C1480" s="171" t="s">
        <v>90</v>
      </c>
      <c r="D1480" s="173">
        <v>0.04</v>
      </c>
      <c r="E1480" s="234" t="s">
        <v>30</v>
      </c>
      <c r="F1480" s="204" t="s">
        <v>188</v>
      </c>
      <c r="G1480" s="183" t="s">
        <v>2538</v>
      </c>
      <c r="H1480" s="171"/>
    </row>
    <row r="1481" ht="14.25" spans="1:8">
      <c r="A1481" s="176">
        <v>133</v>
      </c>
      <c r="B1481" s="175" t="s">
        <v>2540</v>
      </c>
      <c r="C1481" s="171" t="s">
        <v>90</v>
      </c>
      <c r="D1481" s="173">
        <v>0.06</v>
      </c>
      <c r="E1481" s="234" t="s">
        <v>30</v>
      </c>
      <c r="F1481" s="204" t="s">
        <v>188</v>
      </c>
      <c r="G1481" s="183" t="s">
        <v>2645</v>
      </c>
      <c r="H1481" s="171"/>
    </row>
    <row r="1482" ht="14.25" spans="1:8">
      <c r="A1482" s="232">
        <v>134</v>
      </c>
      <c r="B1482" s="175" t="s">
        <v>2646</v>
      </c>
      <c r="C1482" s="171" t="s">
        <v>90</v>
      </c>
      <c r="D1482" s="173">
        <v>0.1</v>
      </c>
      <c r="E1482" s="234" t="s">
        <v>30</v>
      </c>
      <c r="F1482" s="204" t="s">
        <v>188</v>
      </c>
      <c r="G1482" s="183" t="s">
        <v>2647</v>
      </c>
      <c r="H1482" s="171"/>
    </row>
    <row r="1483" ht="14.25" spans="1:8">
      <c r="A1483" s="176">
        <v>135</v>
      </c>
      <c r="B1483" s="236" t="s">
        <v>2648</v>
      </c>
      <c r="C1483" s="171" t="s">
        <v>90</v>
      </c>
      <c r="D1483" s="173">
        <v>0.03</v>
      </c>
      <c r="E1483" s="234" t="s">
        <v>30</v>
      </c>
      <c r="F1483" s="204" t="s">
        <v>188</v>
      </c>
      <c r="G1483" s="183" t="s">
        <v>2649</v>
      </c>
      <c r="H1483" s="171" t="s">
        <v>672</v>
      </c>
    </row>
    <row r="1484" ht="14.25" spans="1:8">
      <c r="A1484" s="232">
        <v>136</v>
      </c>
      <c r="B1484" s="236" t="s">
        <v>2650</v>
      </c>
      <c r="C1484" s="171" t="s">
        <v>90</v>
      </c>
      <c r="D1484" s="173">
        <v>0.02</v>
      </c>
      <c r="E1484" s="234" t="s">
        <v>30</v>
      </c>
      <c r="F1484" s="204" t="s">
        <v>188</v>
      </c>
      <c r="G1484" s="183" t="s">
        <v>2651</v>
      </c>
      <c r="H1484" s="171"/>
    </row>
    <row r="1485" ht="14.25" spans="1:8">
      <c r="A1485" s="176">
        <v>137</v>
      </c>
      <c r="B1485" s="237" t="s">
        <v>2652</v>
      </c>
      <c r="C1485" s="171" t="s">
        <v>90</v>
      </c>
      <c r="D1485" s="173">
        <v>0.02</v>
      </c>
      <c r="E1485" s="234" t="s">
        <v>30</v>
      </c>
      <c r="F1485" s="204" t="s">
        <v>188</v>
      </c>
      <c r="G1485" s="183" t="s">
        <v>2653</v>
      </c>
      <c r="H1485" s="171"/>
    </row>
    <row r="1486" ht="14.25" spans="1:8">
      <c r="A1486" s="232">
        <v>138</v>
      </c>
      <c r="B1486" s="237" t="s">
        <v>1135</v>
      </c>
      <c r="C1486" s="171" t="s">
        <v>90</v>
      </c>
      <c r="D1486" s="173">
        <v>0.1</v>
      </c>
      <c r="E1486" s="234" t="s">
        <v>30</v>
      </c>
      <c r="F1486" s="204" t="s">
        <v>188</v>
      </c>
      <c r="G1486" s="183" t="s">
        <v>2654</v>
      </c>
      <c r="H1486" s="171"/>
    </row>
    <row r="1487" ht="14.25" spans="1:8">
      <c r="A1487" s="176">
        <v>139</v>
      </c>
      <c r="B1487" s="175" t="s">
        <v>2601</v>
      </c>
      <c r="C1487" s="171" t="s">
        <v>90</v>
      </c>
      <c r="D1487" s="173">
        <v>0.02</v>
      </c>
      <c r="E1487" s="234" t="s">
        <v>30</v>
      </c>
      <c r="F1487" s="204" t="s">
        <v>188</v>
      </c>
      <c r="G1487" s="183" t="s">
        <v>2602</v>
      </c>
      <c r="H1487" s="171"/>
    </row>
    <row r="1488" ht="14.25" spans="1:8">
      <c r="A1488" s="232">
        <v>140</v>
      </c>
      <c r="B1488" s="237" t="s">
        <v>2479</v>
      </c>
      <c r="C1488" s="171" t="s">
        <v>90</v>
      </c>
      <c r="D1488" s="173">
        <v>0.02</v>
      </c>
      <c r="E1488" s="234" t="s">
        <v>30</v>
      </c>
      <c r="F1488" s="204" t="s">
        <v>188</v>
      </c>
      <c r="G1488" s="183" t="s">
        <v>2655</v>
      </c>
      <c r="H1488" s="171" t="s">
        <v>672</v>
      </c>
    </row>
    <row r="1489" ht="25.5" spans="1:8">
      <c r="A1489" s="176">
        <v>141</v>
      </c>
      <c r="B1489" s="237" t="s">
        <v>2656</v>
      </c>
      <c r="C1489" s="171" t="s">
        <v>90</v>
      </c>
      <c r="D1489" s="173">
        <v>0.04</v>
      </c>
      <c r="E1489" s="234" t="s">
        <v>30</v>
      </c>
      <c r="F1489" s="204" t="s">
        <v>188</v>
      </c>
      <c r="G1489" s="183" t="s">
        <v>2657</v>
      </c>
      <c r="H1489" s="171" t="s">
        <v>634</v>
      </c>
    </row>
    <row r="1490" ht="14.25" spans="1:8">
      <c r="A1490" s="232">
        <v>142</v>
      </c>
      <c r="B1490" s="237" t="s">
        <v>2658</v>
      </c>
      <c r="C1490" s="171" t="s">
        <v>90</v>
      </c>
      <c r="D1490" s="173">
        <v>0.02</v>
      </c>
      <c r="E1490" s="234" t="s">
        <v>30</v>
      </c>
      <c r="F1490" s="204" t="s">
        <v>188</v>
      </c>
      <c r="G1490" s="183" t="s">
        <v>2580</v>
      </c>
      <c r="H1490" s="171" t="s">
        <v>672</v>
      </c>
    </row>
    <row r="1491" ht="14.25" spans="1:8">
      <c r="A1491" s="176">
        <v>143</v>
      </c>
      <c r="B1491" s="237" t="s">
        <v>947</v>
      </c>
      <c r="C1491" s="171" t="s">
        <v>90</v>
      </c>
      <c r="D1491" s="173">
        <v>0.05</v>
      </c>
      <c r="E1491" s="234" t="s">
        <v>30</v>
      </c>
      <c r="F1491" s="204" t="s">
        <v>188</v>
      </c>
      <c r="G1491" s="183" t="s">
        <v>2659</v>
      </c>
      <c r="H1491" s="171"/>
    </row>
    <row r="1492" ht="14.25" spans="1:8">
      <c r="A1492" s="232">
        <v>144</v>
      </c>
      <c r="B1492" s="237" t="s">
        <v>2660</v>
      </c>
      <c r="C1492" s="171" t="s">
        <v>90</v>
      </c>
      <c r="D1492" s="173">
        <v>0.01</v>
      </c>
      <c r="E1492" s="234" t="s">
        <v>30</v>
      </c>
      <c r="F1492" s="204" t="s">
        <v>188</v>
      </c>
      <c r="G1492" s="183" t="s">
        <v>2661</v>
      </c>
      <c r="H1492" s="171" t="s">
        <v>2662</v>
      </c>
    </row>
    <row r="1493" ht="14.25" spans="1:8">
      <c r="A1493" s="176">
        <v>145</v>
      </c>
      <c r="B1493" s="237" t="s">
        <v>2663</v>
      </c>
      <c r="C1493" s="171" t="s">
        <v>90</v>
      </c>
      <c r="D1493" s="173">
        <v>0.02</v>
      </c>
      <c r="E1493" s="234" t="s">
        <v>30</v>
      </c>
      <c r="F1493" s="204" t="s">
        <v>188</v>
      </c>
      <c r="G1493" s="183" t="s">
        <v>2664</v>
      </c>
      <c r="H1493" s="171"/>
    </row>
    <row r="1494" ht="14.25" spans="1:8">
      <c r="A1494" s="232">
        <v>146</v>
      </c>
      <c r="B1494" s="237" t="s">
        <v>2665</v>
      </c>
      <c r="C1494" s="171" t="s">
        <v>90</v>
      </c>
      <c r="D1494" s="173">
        <v>0.02</v>
      </c>
      <c r="E1494" s="234" t="s">
        <v>30</v>
      </c>
      <c r="F1494" s="204" t="s">
        <v>188</v>
      </c>
      <c r="G1494" s="183" t="s">
        <v>2666</v>
      </c>
      <c r="H1494" s="171"/>
    </row>
    <row r="1495" ht="14.25" spans="1:8">
      <c r="A1495" s="176">
        <v>147</v>
      </c>
      <c r="B1495" s="237" t="s">
        <v>2665</v>
      </c>
      <c r="C1495" s="171" t="s">
        <v>90</v>
      </c>
      <c r="D1495" s="173">
        <v>0.02</v>
      </c>
      <c r="E1495" s="234" t="s">
        <v>30</v>
      </c>
      <c r="F1495" s="204" t="s">
        <v>188</v>
      </c>
      <c r="G1495" s="183" t="s">
        <v>2667</v>
      </c>
      <c r="H1495" s="171"/>
    </row>
    <row r="1496" ht="14.25" spans="1:8">
      <c r="A1496" s="232">
        <v>148</v>
      </c>
      <c r="B1496" s="237" t="s">
        <v>2639</v>
      </c>
      <c r="C1496" s="171" t="s">
        <v>90</v>
      </c>
      <c r="D1496" s="173">
        <v>0.02</v>
      </c>
      <c r="E1496" s="234" t="s">
        <v>30</v>
      </c>
      <c r="F1496" s="204" t="s">
        <v>188</v>
      </c>
      <c r="G1496" s="183" t="s">
        <v>2668</v>
      </c>
      <c r="H1496" s="171"/>
    </row>
    <row r="1497" ht="14.25" spans="1:8">
      <c r="A1497" s="176">
        <v>149</v>
      </c>
      <c r="B1497" s="237" t="s">
        <v>2639</v>
      </c>
      <c r="C1497" s="171" t="s">
        <v>90</v>
      </c>
      <c r="D1497" s="173">
        <v>0.02</v>
      </c>
      <c r="E1497" s="234" t="s">
        <v>30</v>
      </c>
      <c r="F1497" s="204" t="s">
        <v>188</v>
      </c>
      <c r="G1497" s="183" t="s">
        <v>2669</v>
      </c>
      <c r="H1497" s="171"/>
    </row>
    <row r="1498" ht="14.25" spans="1:8">
      <c r="A1498" s="232">
        <v>150</v>
      </c>
      <c r="B1498" s="237" t="s">
        <v>2670</v>
      </c>
      <c r="C1498" s="171" t="s">
        <v>90</v>
      </c>
      <c r="D1498" s="173">
        <v>0.02</v>
      </c>
      <c r="E1498" s="234" t="s">
        <v>30</v>
      </c>
      <c r="F1498" s="204" t="s">
        <v>188</v>
      </c>
      <c r="G1498" s="183" t="s">
        <v>2671</v>
      </c>
      <c r="H1498" s="171"/>
    </row>
    <row r="1499" ht="14.25" spans="1:8">
      <c r="A1499" s="176">
        <v>151</v>
      </c>
      <c r="B1499" s="237" t="s">
        <v>2672</v>
      </c>
      <c r="C1499" s="171" t="s">
        <v>90</v>
      </c>
      <c r="D1499" s="173">
        <v>0.02</v>
      </c>
      <c r="E1499" s="234" t="s">
        <v>30</v>
      </c>
      <c r="F1499" s="204" t="s">
        <v>188</v>
      </c>
      <c r="G1499" s="183" t="s">
        <v>2673</v>
      </c>
      <c r="H1499" s="171"/>
    </row>
    <row r="1500" ht="14.25" spans="1:8">
      <c r="A1500" s="232">
        <v>152</v>
      </c>
      <c r="B1500" s="237" t="s">
        <v>2674</v>
      </c>
      <c r="C1500" s="171" t="s">
        <v>90</v>
      </c>
      <c r="D1500" s="173">
        <v>0.02</v>
      </c>
      <c r="E1500" s="234" t="s">
        <v>30</v>
      </c>
      <c r="F1500" s="204" t="s">
        <v>188</v>
      </c>
      <c r="G1500" s="183" t="s">
        <v>2675</v>
      </c>
      <c r="H1500" s="171"/>
    </row>
    <row r="1501" ht="14.25" spans="1:8">
      <c r="A1501" s="176">
        <v>153</v>
      </c>
      <c r="B1501" s="237" t="s">
        <v>2674</v>
      </c>
      <c r="C1501" s="171" t="s">
        <v>90</v>
      </c>
      <c r="D1501" s="173">
        <v>0.03</v>
      </c>
      <c r="E1501" s="234" t="s">
        <v>30</v>
      </c>
      <c r="F1501" s="204" t="s">
        <v>188</v>
      </c>
      <c r="G1501" s="183" t="s">
        <v>2676</v>
      </c>
      <c r="H1501" s="171"/>
    </row>
    <row r="1502" ht="14.25" spans="1:8">
      <c r="A1502" s="232">
        <v>154</v>
      </c>
      <c r="B1502" s="237" t="s">
        <v>2674</v>
      </c>
      <c r="C1502" s="171" t="s">
        <v>90</v>
      </c>
      <c r="D1502" s="173">
        <v>0.03</v>
      </c>
      <c r="E1502" s="234" t="s">
        <v>30</v>
      </c>
      <c r="F1502" s="204" t="s">
        <v>188</v>
      </c>
      <c r="G1502" s="183" t="s">
        <v>2677</v>
      </c>
      <c r="H1502" s="171"/>
    </row>
    <row r="1503" ht="14.25" spans="1:8">
      <c r="A1503" s="176">
        <v>155</v>
      </c>
      <c r="B1503" s="237" t="s">
        <v>2678</v>
      </c>
      <c r="C1503" s="171" t="s">
        <v>90</v>
      </c>
      <c r="D1503" s="173">
        <v>0.02</v>
      </c>
      <c r="E1503" s="234" t="s">
        <v>30</v>
      </c>
      <c r="F1503" s="204" t="s">
        <v>188</v>
      </c>
      <c r="G1503" s="183" t="s">
        <v>2679</v>
      </c>
      <c r="H1503" s="171"/>
    </row>
    <row r="1504" ht="14.25" spans="1:8">
      <c r="A1504" s="232">
        <v>156</v>
      </c>
      <c r="B1504" s="237" t="s">
        <v>2482</v>
      </c>
      <c r="C1504" s="171" t="s">
        <v>90</v>
      </c>
      <c r="D1504" s="173">
        <v>0.02</v>
      </c>
      <c r="E1504" s="234" t="s">
        <v>30</v>
      </c>
      <c r="F1504" s="204" t="s">
        <v>188</v>
      </c>
      <c r="G1504" s="183" t="s">
        <v>2680</v>
      </c>
      <c r="H1504" s="171"/>
    </row>
    <row r="1505" ht="14.25" spans="1:8">
      <c r="A1505" s="176">
        <v>157</v>
      </c>
      <c r="B1505" s="175" t="s">
        <v>2681</v>
      </c>
      <c r="C1505" s="171" t="s">
        <v>90</v>
      </c>
      <c r="D1505" s="173">
        <v>0.02</v>
      </c>
      <c r="E1505" s="234" t="s">
        <v>30</v>
      </c>
      <c r="F1505" s="204" t="s">
        <v>188</v>
      </c>
      <c r="G1505" s="183" t="s">
        <v>2682</v>
      </c>
      <c r="H1505" s="171"/>
    </row>
    <row r="1506" ht="14.25" spans="1:8">
      <c r="A1506" s="232">
        <v>158</v>
      </c>
      <c r="B1506" s="175" t="s">
        <v>2683</v>
      </c>
      <c r="C1506" s="171" t="s">
        <v>90</v>
      </c>
      <c r="D1506" s="173">
        <v>0.02</v>
      </c>
      <c r="E1506" s="234" t="s">
        <v>30</v>
      </c>
      <c r="F1506" s="204" t="s">
        <v>188</v>
      </c>
      <c r="G1506" s="183" t="s">
        <v>2684</v>
      </c>
      <c r="H1506" s="171"/>
    </row>
    <row r="1507" ht="14.25" spans="1:8">
      <c r="A1507" s="176">
        <v>159</v>
      </c>
      <c r="B1507" s="175" t="s">
        <v>2683</v>
      </c>
      <c r="C1507" s="171" t="s">
        <v>90</v>
      </c>
      <c r="D1507" s="173">
        <v>0.02</v>
      </c>
      <c r="E1507" s="234" t="s">
        <v>30</v>
      </c>
      <c r="F1507" s="204" t="s">
        <v>188</v>
      </c>
      <c r="G1507" s="183" t="s">
        <v>2685</v>
      </c>
      <c r="H1507" s="171"/>
    </row>
    <row r="1508" ht="14.25" spans="1:8">
      <c r="A1508" s="232">
        <v>160</v>
      </c>
      <c r="B1508" s="175" t="s">
        <v>2683</v>
      </c>
      <c r="C1508" s="171" t="s">
        <v>90</v>
      </c>
      <c r="D1508" s="173">
        <v>0.02</v>
      </c>
      <c r="E1508" s="234" t="s">
        <v>30</v>
      </c>
      <c r="F1508" s="204" t="s">
        <v>188</v>
      </c>
      <c r="G1508" s="183" t="s">
        <v>2686</v>
      </c>
      <c r="H1508" s="171"/>
    </row>
    <row r="1509" ht="14.25" spans="1:8">
      <c r="A1509" s="176">
        <v>161</v>
      </c>
      <c r="B1509" s="175" t="s">
        <v>2683</v>
      </c>
      <c r="C1509" s="171" t="s">
        <v>90</v>
      </c>
      <c r="D1509" s="173">
        <v>0.02</v>
      </c>
      <c r="E1509" s="234" t="s">
        <v>30</v>
      </c>
      <c r="F1509" s="204" t="s">
        <v>188</v>
      </c>
      <c r="G1509" s="183" t="s">
        <v>2687</v>
      </c>
      <c r="H1509" s="171"/>
    </row>
    <row r="1510" ht="14.25" spans="1:8">
      <c r="A1510" s="232">
        <v>162</v>
      </c>
      <c r="B1510" s="175" t="s">
        <v>2683</v>
      </c>
      <c r="C1510" s="171" t="s">
        <v>90</v>
      </c>
      <c r="D1510" s="173">
        <v>0.02</v>
      </c>
      <c r="E1510" s="234" t="s">
        <v>30</v>
      </c>
      <c r="F1510" s="204" t="s">
        <v>188</v>
      </c>
      <c r="G1510" s="183" t="s">
        <v>2688</v>
      </c>
      <c r="H1510" s="171"/>
    </row>
    <row r="1511" ht="14.25" spans="1:8">
      <c r="A1511" s="176">
        <v>163</v>
      </c>
      <c r="B1511" s="215" t="s">
        <v>2689</v>
      </c>
      <c r="C1511" s="171" t="s">
        <v>90</v>
      </c>
      <c r="D1511" s="173">
        <v>0.04</v>
      </c>
      <c r="E1511" s="234" t="s">
        <v>30</v>
      </c>
      <c r="F1511" s="204" t="s">
        <v>188</v>
      </c>
      <c r="G1511" s="183" t="s">
        <v>2690</v>
      </c>
      <c r="H1511" s="171"/>
    </row>
    <row r="1512" ht="14.25" spans="1:8">
      <c r="A1512" s="232">
        <v>164</v>
      </c>
      <c r="B1512" s="215" t="s">
        <v>2691</v>
      </c>
      <c r="C1512" s="171" t="s">
        <v>90</v>
      </c>
      <c r="D1512" s="173">
        <v>0.04</v>
      </c>
      <c r="E1512" s="234" t="s">
        <v>30</v>
      </c>
      <c r="F1512" s="204" t="s">
        <v>188</v>
      </c>
      <c r="G1512" s="183" t="s">
        <v>2692</v>
      </c>
      <c r="H1512" s="171"/>
    </row>
    <row r="1513" ht="14.25" spans="1:8">
      <c r="A1513" s="176">
        <v>165</v>
      </c>
      <c r="B1513" s="215" t="s">
        <v>2693</v>
      </c>
      <c r="C1513" s="171" t="s">
        <v>90</v>
      </c>
      <c r="D1513" s="173">
        <v>0.02</v>
      </c>
      <c r="E1513" s="234" t="s">
        <v>30</v>
      </c>
      <c r="F1513" s="204" t="s">
        <v>188</v>
      </c>
      <c r="G1513" s="183" t="s">
        <v>2694</v>
      </c>
      <c r="H1513" s="171"/>
    </row>
    <row r="1514" ht="14.25" spans="1:8">
      <c r="A1514" s="232">
        <v>166</v>
      </c>
      <c r="B1514" s="215" t="s">
        <v>2695</v>
      </c>
      <c r="C1514" s="171" t="s">
        <v>90</v>
      </c>
      <c r="D1514" s="173">
        <v>0.03</v>
      </c>
      <c r="E1514" s="234" t="s">
        <v>30</v>
      </c>
      <c r="F1514" s="204" t="s">
        <v>188</v>
      </c>
      <c r="G1514" s="183" t="s">
        <v>2696</v>
      </c>
      <c r="H1514" s="171"/>
    </row>
    <row r="1515" ht="14.25" spans="1:8">
      <c r="A1515" s="176">
        <v>167</v>
      </c>
      <c r="B1515" s="215" t="s">
        <v>2697</v>
      </c>
      <c r="C1515" s="171" t="s">
        <v>90</v>
      </c>
      <c r="D1515" s="173">
        <v>0.02</v>
      </c>
      <c r="E1515" s="234" t="s">
        <v>30</v>
      </c>
      <c r="F1515" s="204" t="s">
        <v>188</v>
      </c>
      <c r="G1515" s="183" t="s">
        <v>2698</v>
      </c>
      <c r="H1515" s="171" t="s">
        <v>672</v>
      </c>
    </row>
    <row r="1516" ht="25.5" spans="1:8">
      <c r="A1516" s="232">
        <v>168</v>
      </c>
      <c r="B1516" s="215" t="s">
        <v>959</v>
      </c>
      <c r="C1516" s="171" t="s">
        <v>90</v>
      </c>
      <c r="D1516" s="173">
        <v>0.03</v>
      </c>
      <c r="E1516" s="234" t="s">
        <v>30</v>
      </c>
      <c r="F1516" s="204" t="s">
        <v>188</v>
      </c>
      <c r="G1516" s="183" t="s">
        <v>2584</v>
      </c>
      <c r="H1516" s="171" t="s">
        <v>634</v>
      </c>
    </row>
    <row r="1517" ht="14.25" spans="1:8">
      <c r="A1517" s="176">
        <v>169</v>
      </c>
      <c r="B1517" s="215" t="s">
        <v>2699</v>
      </c>
      <c r="C1517" s="171" t="s">
        <v>90</v>
      </c>
      <c r="D1517" s="173">
        <v>0.02</v>
      </c>
      <c r="E1517" s="234" t="s">
        <v>30</v>
      </c>
      <c r="F1517" s="204" t="s">
        <v>188</v>
      </c>
      <c r="G1517" s="183" t="s">
        <v>2700</v>
      </c>
      <c r="H1517" s="171"/>
    </row>
    <row r="1518" ht="14.25" spans="1:8">
      <c r="A1518" s="232">
        <v>170</v>
      </c>
      <c r="B1518" s="215" t="s">
        <v>2701</v>
      </c>
      <c r="C1518" s="171" t="s">
        <v>90</v>
      </c>
      <c r="D1518" s="173">
        <v>0.02</v>
      </c>
      <c r="E1518" s="234" t="s">
        <v>30</v>
      </c>
      <c r="F1518" s="204" t="s">
        <v>188</v>
      </c>
      <c r="G1518" s="183" t="s">
        <v>2702</v>
      </c>
      <c r="H1518" s="171"/>
    </row>
    <row r="1519" ht="14.25" spans="1:8">
      <c r="A1519" s="176">
        <v>171</v>
      </c>
      <c r="B1519" s="175" t="s">
        <v>2703</v>
      </c>
      <c r="C1519" s="171" t="s">
        <v>90</v>
      </c>
      <c r="D1519" s="173">
        <v>0.01</v>
      </c>
      <c r="E1519" s="234" t="s">
        <v>30</v>
      </c>
      <c r="F1519" s="204" t="s">
        <v>188</v>
      </c>
      <c r="G1519" s="183" t="s">
        <v>2704</v>
      </c>
      <c r="H1519" s="171"/>
    </row>
    <row r="1520" ht="14.25" spans="1:8">
      <c r="A1520" s="232">
        <v>172</v>
      </c>
      <c r="B1520" s="215" t="s">
        <v>2705</v>
      </c>
      <c r="C1520" s="171" t="s">
        <v>90</v>
      </c>
      <c r="D1520" s="173">
        <v>0.01</v>
      </c>
      <c r="E1520" s="234" t="s">
        <v>30</v>
      </c>
      <c r="F1520" s="204" t="s">
        <v>188</v>
      </c>
      <c r="G1520" s="183" t="s">
        <v>2542</v>
      </c>
      <c r="H1520" s="171"/>
    </row>
    <row r="1521" ht="14.25" spans="1:8">
      <c r="A1521" s="176">
        <v>173</v>
      </c>
      <c r="B1521" s="175" t="s">
        <v>2706</v>
      </c>
      <c r="C1521" s="171" t="s">
        <v>90</v>
      </c>
      <c r="D1521" s="173">
        <v>0.04</v>
      </c>
      <c r="E1521" s="234" t="s">
        <v>30</v>
      </c>
      <c r="F1521" s="204" t="s">
        <v>188</v>
      </c>
      <c r="G1521" s="183" t="s">
        <v>2707</v>
      </c>
      <c r="H1521" s="171"/>
    </row>
    <row r="1522" ht="14.25" spans="1:8">
      <c r="A1522" s="232">
        <v>174</v>
      </c>
      <c r="B1522" s="175" t="s">
        <v>2708</v>
      </c>
      <c r="C1522" s="171" t="s">
        <v>90</v>
      </c>
      <c r="D1522" s="173">
        <v>0.04</v>
      </c>
      <c r="E1522" s="234" t="s">
        <v>30</v>
      </c>
      <c r="F1522" s="204" t="s">
        <v>188</v>
      </c>
      <c r="G1522" s="183" t="s">
        <v>2709</v>
      </c>
      <c r="H1522" s="171" t="s">
        <v>672</v>
      </c>
    </row>
    <row r="1523" ht="14.25" spans="1:8">
      <c r="A1523" s="176">
        <v>175</v>
      </c>
      <c r="B1523" s="175" t="s">
        <v>2710</v>
      </c>
      <c r="C1523" s="171" t="s">
        <v>90</v>
      </c>
      <c r="D1523" s="173">
        <v>0.02</v>
      </c>
      <c r="E1523" s="234" t="s">
        <v>30</v>
      </c>
      <c r="F1523" s="204" t="s">
        <v>188</v>
      </c>
      <c r="G1523" s="183" t="s">
        <v>2711</v>
      </c>
      <c r="H1523" s="171"/>
    </row>
    <row r="1524" ht="14.25" spans="1:8">
      <c r="A1524" s="232">
        <v>176</v>
      </c>
      <c r="B1524" s="175" t="s">
        <v>2710</v>
      </c>
      <c r="C1524" s="171" t="s">
        <v>90</v>
      </c>
      <c r="D1524" s="173">
        <v>0.02</v>
      </c>
      <c r="E1524" s="234" t="s">
        <v>30</v>
      </c>
      <c r="F1524" s="204" t="s">
        <v>188</v>
      </c>
      <c r="G1524" s="183" t="s">
        <v>2712</v>
      </c>
      <c r="H1524" s="171"/>
    </row>
    <row r="1525" ht="14.25" spans="1:8">
      <c r="A1525" s="176">
        <v>177</v>
      </c>
      <c r="B1525" s="175" t="s">
        <v>2713</v>
      </c>
      <c r="C1525" s="171" t="s">
        <v>90</v>
      </c>
      <c r="D1525" s="173">
        <v>0.02</v>
      </c>
      <c r="E1525" s="234" t="s">
        <v>30</v>
      </c>
      <c r="F1525" s="204" t="s">
        <v>188</v>
      </c>
      <c r="G1525" s="183" t="s">
        <v>2714</v>
      </c>
      <c r="H1525" s="171"/>
    </row>
    <row r="1526" ht="14.25" spans="1:8">
      <c r="A1526" s="232">
        <v>178</v>
      </c>
      <c r="B1526" s="175" t="s">
        <v>2713</v>
      </c>
      <c r="C1526" s="171" t="s">
        <v>90</v>
      </c>
      <c r="D1526" s="173">
        <v>0.02</v>
      </c>
      <c r="E1526" s="234" t="s">
        <v>30</v>
      </c>
      <c r="F1526" s="204" t="s">
        <v>188</v>
      </c>
      <c r="G1526" s="183" t="s">
        <v>2715</v>
      </c>
      <c r="H1526" s="171"/>
    </row>
    <row r="1527" ht="14.25" spans="1:8">
      <c r="A1527" s="176">
        <v>179</v>
      </c>
      <c r="B1527" s="175" t="s">
        <v>2608</v>
      </c>
      <c r="C1527" s="171" t="s">
        <v>90</v>
      </c>
      <c r="D1527" s="173">
        <v>0.02</v>
      </c>
      <c r="E1527" s="234" t="s">
        <v>30</v>
      </c>
      <c r="F1527" s="204" t="s">
        <v>188</v>
      </c>
      <c r="G1527" s="183" t="s">
        <v>2716</v>
      </c>
      <c r="H1527" s="171"/>
    </row>
    <row r="1528" ht="14.25" spans="1:8">
      <c r="A1528" s="232">
        <v>180</v>
      </c>
      <c r="B1528" s="175" t="s">
        <v>2717</v>
      </c>
      <c r="C1528" s="171" t="s">
        <v>90</v>
      </c>
      <c r="D1528" s="173">
        <v>0.02</v>
      </c>
      <c r="E1528" s="234" t="s">
        <v>30</v>
      </c>
      <c r="F1528" s="204" t="s">
        <v>188</v>
      </c>
      <c r="G1528" s="183" t="s">
        <v>2718</v>
      </c>
      <c r="H1528" s="171"/>
    </row>
    <row r="1529" ht="14.25" spans="1:8">
      <c r="A1529" s="176">
        <v>181</v>
      </c>
      <c r="B1529" s="175" t="s">
        <v>2719</v>
      </c>
      <c r="C1529" s="171" t="s">
        <v>90</v>
      </c>
      <c r="D1529" s="173">
        <v>0.02</v>
      </c>
      <c r="E1529" s="234" t="s">
        <v>30</v>
      </c>
      <c r="F1529" s="204" t="s">
        <v>188</v>
      </c>
      <c r="G1529" s="183" t="s">
        <v>2720</v>
      </c>
      <c r="H1529" s="171"/>
    </row>
    <row r="1530" ht="14.25" spans="1:8">
      <c r="A1530" s="232">
        <v>182</v>
      </c>
      <c r="B1530" s="175" t="s">
        <v>2721</v>
      </c>
      <c r="C1530" s="171" t="s">
        <v>90</v>
      </c>
      <c r="D1530" s="173">
        <v>0.02</v>
      </c>
      <c r="E1530" s="234" t="s">
        <v>30</v>
      </c>
      <c r="F1530" s="204" t="s">
        <v>188</v>
      </c>
      <c r="G1530" s="183" t="s">
        <v>816</v>
      </c>
      <c r="H1530" s="171"/>
    </row>
    <row r="1531" ht="14.25" spans="1:8">
      <c r="A1531" s="176">
        <v>183</v>
      </c>
      <c r="B1531" s="175" t="s">
        <v>2608</v>
      </c>
      <c r="C1531" s="171" t="s">
        <v>90</v>
      </c>
      <c r="D1531" s="173">
        <v>0.02</v>
      </c>
      <c r="E1531" s="234" t="s">
        <v>30</v>
      </c>
      <c r="F1531" s="204" t="s">
        <v>188</v>
      </c>
      <c r="G1531" s="183" t="s">
        <v>2722</v>
      </c>
      <c r="H1531" s="171"/>
    </row>
    <row r="1532" ht="14.25" spans="1:8">
      <c r="A1532" s="232">
        <v>184</v>
      </c>
      <c r="B1532" s="175" t="s">
        <v>2608</v>
      </c>
      <c r="C1532" s="171" t="s">
        <v>90</v>
      </c>
      <c r="D1532" s="173">
        <v>0.02</v>
      </c>
      <c r="E1532" s="234" t="s">
        <v>30</v>
      </c>
      <c r="F1532" s="204" t="s">
        <v>188</v>
      </c>
      <c r="G1532" s="183" t="s">
        <v>2723</v>
      </c>
      <c r="H1532" s="171"/>
    </row>
    <row r="1533" ht="14.25" spans="1:8">
      <c r="A1533" s="176">
        <v>185</v>
      </c>
      <c r="B1533" s="175" t="s">
        <v>2724</v>
      </c>
      <c r="C1533" s="171" t="s">
        <v>90</v>
      </c>
      <c r="D1533" s="173">
        <v>0.03</v>
      </c>
      <c r="E1533" s="234" t="s">
        <v>30</v>
      </c>
      <c r="F1533" s="204" t="s">
        <v>188</v>
      </c>
      <c r="G1533" s="183" t="s">
        <v>2725</v>
      </c>
      <c r="H1533" s="171"/>
    </row>
    <row r="1534" ht="14.25" spans="1:8">
      <c r="A1534" s="232">
        <v>186</v>
      </c>
      <c r="B1534" s="175" t="s">
        <v>2724</v>
      </c>
      <c r="C1534" s="171" t="s">
        <v>90</v>
      </c>
      <c r="D1534" s="173">
        <v>0.1</v>
      </c>
      <c r="E1534" s="234" t="s">
        <v>30</v>
      </c>
      <c r="F1534" s="204" t="s">
        <v>188</v>
      </c>
      <c r="G1534" s="183" t="s">
        <v>2726</v>
      </c>
      <c r="H1534" s="171"/>
    </row>
    <row r="1535" ht="14.25" spans="1:8">
      <c r="A1535" s="176">
        <v>187</v>
      </c>
      <c r="B1535" s="175" t="s">
        <v>2727</v>
      </c>
      <c r="C1535" s="171" t="s">
        <v>90</v>
      </c>
      <c r="D1535" s="173">
        <v>0.3</v>
      </c>
      <c r="E1535" s="234" t="s">
        <v>30</v>
      </c>
      <c r="F1535" s="204" t="s">
        <v>188</v>
      </c>
      <c r="G1535" s="183" t="s">
        <v>2481</v>
      </c>
      <c r="H1535" s="171"/>
    </row>
    <row r="1536" ht="14.25" spans="1:8">
      <c r="A1536" s="232">
        <v>188</v>
      </c>
      <c r="B1536" s="175" t="s">
        <v>2615</v>
      </c>
      <c r="C1536" s="171" t="s">
        <v>90</v>
      </c>
      <c r="D1536" s="173">
        <v>0.28</v>
      </c>
      <c r="E1536" s="234" t="s">
        <v>30</v>
      </c>
      <c r="F1536" s="204" t="s">
        <v>188</v>
      </c>
      <c r="G1536" s="183" t="s">
        <v>2728</v>
      </c>
      <c r="H1536" s="171"/>
    </row>
    <row r="1537" ht="14.25" spans="1:8">
      <c r="A1537" s="176">
        <v>189</v>
      </c>
      <c r="B1537" s="175" t="s">
        <v>2729</v>
      </c>
      <c r="C1537" s="171" t="s">
        <v>90</v>
      </c>
      <c r="D1537" s="173">
        <v>0.12</v>
      </c>
      <c r="E1537" s="234" t="s">
        <v>30</v>
      </c>
      <c r="F1537" s="204" t="s">
        <v>188</v>
      </c>
      <c r="G1537" s="183" t="s">
        <v>2612</v>
      </c>
      <c r="H1537" s="171" t="s">
        <v>672</v>
      </c>
    </row>
    <row r="1538" ht="25.5" spans="1:8">
      <c r="A1538" s="232">
        <v>190</v>
      </c>
      <c r="B1538" s="175" t="s">
        <v>2729</v>
      </c>
      <c r="C1538" s="171" t="s">
        <v>90</v>
      </c>
      <c r="D1538" s="173">
        <v>0.08</v>
      </c>
      <c r="E1538" s="234" t="s">
        <v>30</v>
      </c>
      <c r="F1538" s="204" t="s">
        <v>188</v>
      </c>
      <c r="G1538" s="183" t="s">
        <v>2611</v>
      </c>
      <c r="H1538" s="171" t="s">
        <v>2730</v>
      </c>
    </row>
    <row r="1539" ht="14.25" spans="1:8">
      <c r="A1539" s="176">
        <v>191</v>
      </c>
      <c r="B1539" s="175" t="s">
        <v>2731</v>
      </c>
      <c r="C1539" s="171" t="s">
        <v>90</v>
      </c>
      <c r="D1539" s="173">
        <v>0.07</v>
      </c>
      <c r="E1539" s="234" t="s">
        <v>30</v>
      </c>
      <c r="F1539" s="204" t="s">
        <v>188</v>
      </c>
      <c r="G1539" s="171" t="s">
        <v>2732</v>
      </c>
      <c r="H1539" s="171"/>
    </row>
    <row r="1540" ht="14.25" spans="1:8">
      <c r="A1540" s="232">
        <v>192</v>
      </c>
      <c r="B1540" s="175" t="s">
        <v>2733</v>
      </c>
      <c r="C1540" s="171" t="s">
        <v>90</v>
      </c>
      <c r="D1540" s="173">
        <v>0.16</v>
      </c>
      <c r="E1540" s="234" t="s">
        <v>30</v>
      </c>
      <c r="F1540" s="204" t="s">
        <v>188</v>
      </c>
      <c r="G1540" s="171" t="s">
        <v>2734</v>
      </c>
      <c r="H1540" s="171"/>
    </row>
    <row r="1541" ht="14.25" spans="1:8">
      <c r="A1541" s="176">
        <v>193</v>
      </c>
      <c r="B1541" s="175" t="s">
        <v>2735</v>
      </c>
      <c r="C1541" s="171" t="s">
        <v>90</v>
      </c>
      <c r="D1541" s="173">
        <v>0.15</v>
      </c>
      <c r="E1541" s="234" t="s">
        <v>30</v>
      </c>
      <c r="F1541" s="204" t="s">
        <v>188</v>
      </c>
      <c r="G1541" s="171" t="s">
        <v>2736</v>
      </c>
      <c r="H1541" s="171"/>
    </row>
    <row r="1542" ht="14.25" spans="1:8">
      <c r="A1542" s="232">
        <v>194</v>
      </c>
      <c r="B1542" s="175" t="s">
        <v>2737</v>
      </c>
      <c r="C1542" s="171" t="s">
        <v>90</v>
      </c>
      <c r="D1542" s="173">
        <v>0.16</v>
      </c>
      <c r="E1542" s="234" t="s">
        <v>30</v>
      </c>
      <c r="F1542" s="204" t="s">
        <v>188</v>
      </c>
      <c r="G1542" s="171" t="s">
        <v>2738</v>
      </c>
      <c r="H1542" s="171"/>
    </row>
    <row r="1543" ht="14.25" spans="1:8">
      <c r="A1543" s="176">
        <v>195</v>
      </c>
      <c r="B1543" s="175" t="s">
        <v>2737</v>
      </c>
      <c r="C1543" s="171" t="s">
        <v>90</v>
      </c>
      <c r="D1543" s="173">
        <v>0.23</v>
      </c>
      <c r="E1543" s="234" t="s">
        <v>30</v>
      </c>
      <c r="F1543" s="204" t="s">
        <v>188</v>
      </c>
      <c r="G1543" s="171" t="s">
        <v>2739</v>
      </c>
      <c r="H1543" s="171"/>
    </row>
    <row r="1544" ht="14.25" spans="1:8">
      <c r="A1544" s="232">
        <v>196</v>
      </c>
      <c r="B1544" s="175" t="s">
        <v>2514</v>
      </c>
      <c r="C1544" s="171" t="s">
        <v>90</v>
      </c>
      <c r="D1544" s="173">
        <v>0.04</v>
      </c>
      <c r="E1544" s="234" t="s">
        <v>30</v>
      </c>
      <c r="F1544" s="204" t="s">
        <v>188</v>
      </c>
      <c r="G1544" s="171" t="s">
        <v>2740</v>
      </c>
      <c r="H1544" s="171"/>
    </row>
    <row r="1545" ht="14.25" spans="1:8">
      <c r="A1545" s="176">
        <v>197</v>
      </c>
      <c r="B1545" s="175" t="s">
        <v>2741</v>
      </c>
      <c r="C1545" s="171" t="s">
        <v>90</v>
      </c>
      <c r="D1545" s="173">
        <v>0.27</v>
      </c>
      <c r="E1545" s="234" t="s">
        <v>30</v>
      </c>
      <c r="F1545" s="204" t="s">
        <v>188</v>
      </c>
      <c r="G1545" s="189" t="s">
        <v>1930</v>
      </c>
      <c r="H1545" s="171"/>
    </row>
    <row r="1546" ht="14.25" spans="1:8">
      <c r="A1546" s="232">
        <v>198</v>
      </c>
      <c r="B1546" s="175" t="s">
        <v>2742</v>
      </c>
      <c r="C1546" s="171" t="s">
        <v>90</v>
      </c>
      <c r="D1546" s="173">
        <v>0.05</v>
      </c>
      <c r="E1546" s="234" t="s">
        <v>30</v>
      </c>
      <c r="F1546" s="204" t="s">
        <v>188</v>
      </c>
      <c r="G1546" s="189" t="s">
        <v>2743</v>
      </c>
      <c r="H1546" s="171"/>
    </row>
    <row r="1547" ht="14.25" spans="1:8">
      <c r="A1547" s="176">
        <v>199</v>
      </c>
      <c r="B1547" s="175" t="s">
        <v>2742</v>
      </c>
      <c r="C1547" s="171" t="s">
        <v>90</v>
      </c>
      <c r="D1547" s="173">
        <v>0.05</v>
      </c>
      <c r="E1547" s="234" t="s">
        <v>30</v>
      </c>
      <c r="F1547" s="204" t="s">
        <v>188</v>
      </c>
      <c r="G1547" s="189" t="s">
        <v>2744</v>
      </c>
      <c r="H1547" s="171"/>
    </row>
    <row r="1548" ht="14.25" spans="1:8">
      <c r="A1548" s="232">
        <v>200</v>
      </c>
      <c r="B1548" s="175" t="s">
        <v>2742</v>
      </c>
      <c r="C1548" s="171" t="s">
        <v>90</v>
      </c>
      <c r="D1548" s="173">
        <v>0.01</v>
      </c>
      <c r="E1548" s="234" t="s">
        <v>30</v>
      </c>
      <c r="F1548" s="204" t="s">
        <v>188</v>
      </c>
      <c r="G1548" s="189" t="s">
        <v>2745</v>
      </c>
      <c r="H1548" s="171"/>
    </row>
    <row r="1549" ht="14.25" spans="1:8">
      <c r="A1549" s="176">
        <v>201</v>
      </c>
      <c r="B1549" s="175" t="s">
        <v>554</v>
      </c>
      <c r="C1549" s="171" t="s">
        <v>90</v>
      </c>
      <c r="D1549" s="173">
        <v>0.03</v>
      </c>
      <c r="E1549" s="234" t="s">
        <v>30</v>
      </c>
      <c r="F1549" s="204" t="s">
        <v>188</v>
      </c>
      <c r="G1549" s="189" t="s">
        <v>2746</v>
      </c>
      <c r="H1549" s="171"/>
    </row>
    <row r="1550" ht="14.25" spans="1:8">
      <c r="A1550" s="232">
        <v>202</v>
      </c>
      <c r="B1550" s="175" t="s">
        <v>2747</v>
      </c>
      <c r="C1550" s="171" t="s">
        <v>90</v>
      </c>
      <c r="D1550" s="173">
        <v>0.06</v>
      </c>
      <c r="E1550" s="234" t="s">
        <v>30</v>
      </c>
      <c r="F1550" s="204" t="s">
        <v>188</v>
      </c>
      <c r="G1550" s="189" t="s">
        <v>2748</v>
      </c>
      <c r="H1550" s="171"/>
    </row>
    <row r="1551" ht="14.25" spans="1:8">
      <c r="A1551" s="176">
        <v>203</v>
      </c>
      <c r="B1551" s="175" t="s">
        <v>1442</v>
      </c>
      <c r="C1551" s="171" t="s">
        <v>90</v>
      </c>
      <c r="D1551" s="173">
        <v>0.05</v>
      </c>
      <c r="E1551" s="234" t="s">
        <v>30</v>
      </c>
      <c r="F1551" s="204" t="s">
        <v>188</v>
      </c>
      <c r="G1551" s="189" t="s">
        <v>2749</v>
      </c>
      <c r="H1551" s="171"/>
    </row>
    <row r="1552" ht="14.25" spans="1:8">
      <c r="A1552" s="232">
        <v>204</v>
      </c>
      <c r="B1552" s="175" t="s">
        <v>1697</v>
      </c>
      <c r="C1552" s="171" t="s">
        <v>90</v>
      </c>
      <c r="D1552" s="173">
        <v>0.21</v>
      </c>
      <c r="E1552" s="234" t="s">
        <v>30</v>
      </c>
      <c r="F1552" s="204" t="s">
        <v>188</v>
      </c>
      <c r="G1552" s="189" t="s">
        <v>2750</v>
      </c>
      <c r="H1552" s="171"/>
    </row>
    <row r="1553" ht="25.5" spans="1:8">
      <c r="A1553" s="176">
        <v>205</v>
      </c>
      <c r="B1553" s="175" t="s">
        <v>2751</v>
      </c>
      <c r="C1553" s="171" t="s">
        <v>90</v>
      </c>
      <c r="D1553" s="173">
        <v>0.11</v>
      </c>
      <c r="E1553" s="234" t="s">
        <v>30</v>
      </c>
      <c r="F1553" s="204" t="s">
        <v>188</v>
      </c>
      <c r="G1553" s="189" t="s">
        <v>2752</v>
      </c>
      <c r="H1553" s="171" t="s">
        <v>1888</v>
      </c>
    </row>
    <row r="1554" ht="14.25" spans="1:8">
      <c r="A1554" s="232">
        <v>206</v>
      </c>
      <c r="B1554" s="175" t="s">
        <v>2751</v>
      </c>
      <c r="C1554" s="171" t="s">
        <v>90</v>
      </c>
      <c r="D1554" s="173">
        <v>0.1</v>
      </c>
      <c r="E1554" s="234" t="s">
        <v>30</v>
      </c>
      <c r="F1554" s="204" t="s">
        <v>188</v>
      </c>
      <c r="G1554" s="189" t="s">
        <v>2753</v>
      </c>
      <c r="H1554" s="171" t="s">
        <v>672</v>
      </c>
    </row>
    <row r="1555" ht="14.25" spans="1:8">
      <c r="A1555" s="176">
        <v>207</v>
      </c>
      <c r="B1555" s="175" t="s">
        <v>2754</v>
      </c>
      <c r="C1555" s="171" t="s">
        <v>90</v>
      </c>
      <c r="D1555" s="173">
        <v>0.02</v>
      </c>
      <c r="E1555" s="234" t="s">
        <v>30</v>
      </c>
      <c r="F1555" s="204" t="s">
        <v>188</v>
      </c>
      <c r="G1555" s="189" t="s">
        <v>2755</v>
      </c>
      <c r="H1555" s="171" t="s">
        <v>672</v>
      </c>
    </row>
    <row r="1556" ht="14.25" spans="1:8">
      <c r="A1556" s="232">
        <v>208</v>
      </c>
      <c r="B1556" s="175" t="s">
        <v>2754</v>
      </c>
      <c r="C1556" s="171" t="s">
        <v>90</v>
      </c>
      <c r="D1556" s="173">
        <v>0.02</v>
      </c>
      <c r="E1556" s="234" t="s">
        <v>30</v>
      </c>
      <c r="F1556" s="204" t="s">
        <v>188</v>
      </c>
      <c r="G1556" s="189" t="s">
        <v>2756</v>
      </c>
      <c r="H1556" s="171" t="s">
        <v>672</v>
      </c>
    </row>
    <row r="1557" ht="14.25" spans="1:8">
      <c r="A1557" s="176">
        <v>209</v>
      </c>
      <c r="B1557" s="175" t="s">
        <v>2757</v>
      </c>
      <c r="C1557" s="171" t="s">
        <v>90</v>
      </c>
      <c r="D1557" s="173">
        <v>0.25</v>
      </c>
      <c r="E1557" s="234" t="s">
        <v>30</v>
      </c>
      <c r="F1557" s="204" t="s">
        <v>188</v>
      </c>
      <c r="G1557" s="189" t="s">
        <v>2758</v>
      </c>
      <c r="H1557" s="171"/>
    </row>
    <row r="1558" ht="14.25" spans="1:8">
      <c r="A1558" s="232">
        <v>210</v>
      </c>
      <c r="B1558" s="175" t="s">
        <v>2759</v>
      </c>
      <c r="C1558" s="171" t="s">
        <v>90</v>
      </c>
      <c r="D1558" s="173">
        <v>0.36</v>
      </c>
      <c r="E1558" s="234" t="s">
        <v>30</v>
      </c>
      <c r="F1558" s="204" t="s">
        <v>188</v>
      </c>
      <c r="G1558" s="189" t="s">
        <v>2760</v>
      </c>
      <c r="H1558" s="171"/>
    </row>
    <row r="1559" ht="14.25" spans="1:8">
      <c r="A1559" s="176">
        <v>211</v>
      </c>
      <c r="B1559" s="175" t="s">
        <v>2761</v>
      </c>
      <c r="C1559" s="171" t="s">
        <v>90</v>
      </c>
      <c r="D1559" s="173">
        <v>0.05</v>
      </c>
      <c r="E1559" s="234" t="s">
        <v>30</v>
      </c>
      <c r="F1559" s="204" t="s">
        <v>188</v>
      </c>
      <c r="G1559" s="189" t="s">
        <v>2762</v>
      </c>
      <c r="H1559" s="171" t="s">
        <v>672</v>
      </c>
    </row>
    <row r="1560" ht="14.25" spans="1:8">
      <c r="A1560" s="232">
        <v>212</v>
      </c>
      <c r="B1560" s="175" t="s">
        <v>2763</v>
      </c>
      <c r="C1560" s="171" t="s">
        <v>90</v>
      </c>
      <c r="D1560" s="173">
        <v>0.42</v>
      </c>
      <c r="E1560" s="234" t="s">
        <v>30</v>
      </c>
      <c r="F1560" s="204" t="s">
        <v>188</v>
      </c>
      <c r="G1560" s="189" t="s">
        <v>2764</v>
      </c>
      <c r="H1560" s="171"/>
    </row>
    <row r="1561" ht="14.25" spans="1:8">
      <c r="A1561" s="176">
        <v>213</v>
      </c>
      <c r="B1561" s="175" t="s">
        <v>2751</v>
      </c>
      <c r="C1561" s="171" t="s">
        <v>90</v>
      </c>
      <c r="D1561" s="173">
        <v>0.28</v>
      </c>
      <c r="E1561" s="234" t="s">
        <v>30</v>
      </c>
      <c r="F1561" s="204" t="s">
        <v>188</v>
      </c>
      <c r="G1561" s="189" t="s">
        <v>2765</v>
      </c>
      <c r="H1561" s="171"/>
    </row>
    <row r="1562" ht="25.5" spans="1:8">
      <c r="A1562" s="232">
        <v>214</v>
      </c>
      <c r="B1562" s="175" t="s">
        <v>2733</v>
      </c>
      <c r="C1562" s="171" t="s">
        <v>90</v>
      </c>
      <c r="D1562" s="173">
        <v>0.16</v>
      </c>
      <c r="E1562" s="234" t="s">
        <v>30</v>
      </c>
      <c r="F1562" s="204" t="s">
        <v>188</v>
      </c>
      <c r="G1562" s="189" t="s">
        <v>2766</v>
      </c>
      <c r="H1562" s="171" t="s">
        <v>2767</v>
      </c>
    </row>
    <row r="1563" ht="14.25" spans="1:8">
      <c r="A1563" s="176">
        <v>215</v>
      </c>
      <c r="B1563" s="175" t="s">
        <v>2768</v>
      </c>
      <c r="C1563" s="171" t="s">
        <v>90</v>
      </c>
      <c r="D1563" s="173">
        <v>0.26</v>
      </c>
      <c r="E1563" s="234" t="s">
        <v>30</v>
      </c>
      <c r="F1563" s="204" t="s">
        <v>188</v>
      </c>
      <c r="G1563" s="189" t="s">
        <v>2769</v>
      </c>
      <c r="H1563" s="171"/>
    </row>
    <row r="1564" ht="14.25" spans="1:8">
      <c r="A1564" s="232">
        <v>216</v>
      </c>
      <c r="B1564" s="175" t="s">
        <v>2751</v>
      </c>
      <c r="C1564" s="171" t="s">
        <v>90</v>
      </c>
      <c r="D1564" s="173">
        <v>0.03</v>
      </c>
      <c r="E1564" s="234" t="s">
        <v>30</v>
      </c>
      <c r="F1564" s="204" t="s">
        <v>188</v>
      </c>
      <c r="G1564" s="189" t="s">
        <v>2770</v>
      </c>
      <c r="H1564" s="171" t="s">
        <v>672</v>
      </c>
    </row>
    <row r="1565" ht="25.5" spans="1:8">
      <c r="A1565" s="176">
        <v>217</v>
      </c>
      <c r="B1565" s="175" t="s">
        <v>2771</v>
      </c>
      <c r="C1565" s="171" t="s">
        <v>90</v>
      </c>
      <c r="D1565" s="173">
        <v>0.08</v>
      </c>
      <c r="E1565" s="234" t="s">
        <v>30</v>
      </c>
      <c r="F1565" s="204" t="s">
        <v>188</v>
      </c>
      <c r="G1565" s="189" t="s">
        <v>2772</v>
      </c>
      <c r="H1565" s="171" t="s">
        <v>2773</v>
      </c>
    </row>
    <row r="1566" ht="25.5" spans="1:8">
      <c r="A1566" s="232">
        <v>218</v>
      </c>
      <c r="B1566" s="175" t="s">
        <v>2774</v>
      </c>
      <c r="C1566" s="171" t="s">
        <v>90</v>
      </c>
      <c r="D1566" s="173">
        <v>0.04</v>
      </c>
      <c r="E1566" s="234" t="s">
        <v>30</v>
      </c>
      <c r="F1566" s="204" t="s">
        <v>188</v>
      </c>
      <c r="G1566" s="189" t="s">
        <v>2775</v>
      </c>
      <c r="H1566" s="171" t="s">
        <v>634</v>
      </c>
    </row>
    <row r="1567" ht="25.5" spans="1:8">
      <c r="A1567" s="176">
        <v>219</v>
      </c>
      <c r="B1567" s="175" t="s">
        <v>2751</v>
      </c>
      <c r="C1567" s="171" t="s">
        <v>90</v>
      </c>
      <c r="D1567" s="173">
        <v>0.08</v>
      </c>
      <c r="E1567" s="234" t="s">
        <v>30</v>
      </c>
      <c r="F1567" s="204" t="s">
        <v>188</v>
      </c>
      <c r="G1567" s="189" t="s">
        <v>464</v>
      </c>
      <c r="H1567" s="171" t="s">
        <v>669</v>
      </c>
    </row>
    <row r="1568" ht="14.25" spans="1:8">
      <c r="A1568" s="232">
        <v>220</v>
      </c>
      <c r="B1568" s="175" t="s">
        <v>2776</v>
      </c>
      <c r="C1568" s="171" t="s">
        <v>90</v>
      </c>
      <c r="D1568" s="173">
        <v>0.12</v>
      </c>
      <c r="E1568" s="234" t="s">
        <v>30</v>
      </c>
      <c r="F1568" s="204" t="s">
        <v>188</v>
      </c>
      <c r="G1568" s="189" t="s">
        <v>2777</v>
      </c>
      <c r="H1568" s="171"/>
    </row>
    <row r="1569" ht="14.25" spans="1:8">
      <c r="A1569" s="176">
        <v>221</v>
      </c>
      <c r="B1569" s="175" t="s">
        <v>2776</v>
      </c>
      <c r="C1569" s="171" t="s">
        <v>90</v>
      </c>
      <c r="D1569" s="173">
        <v>0.12</v>
      </c>
      <c r="E1569" s="234" t="s">
        <v>30</v>
      </c>
      <c r="F1569" s="204" t="s">
        <v>188</v>
      </c>
      <c r="G1569" s="189" t="s">
        <v>2778</v>
      </c>
      <c r="H1569" s="171"/>
    </row>
    <row r="1570" ht="14.25" spans="1:8">
      <c r="A1570" s="232">
        <v>222</v>
      </c>
      <c r="B1570" s="175" t="s">
        <v>2779</v>
      </c>
      <c r="C1570" s="171" t="s">
        <v>90</v>
      </c>
      <c r="D1570" s="173">
        <v>0.08</v>
      </c>
      <c r="E1570" s="234" t="s">
        <v>30</v>
      </c>
      <c r="F1570" s="204" t="s">
        <v>188</v>
      </c>
      <c r="G1570" s="189" t="s">
        <v>2764</v>
      </c>
      <c r="H1570" s="171"/>
    </row>
    <row r="1571" ht="14.25" spans="1:8">
      <c r="A1571" s="176">
        <v>223</v>
      </c>
      <c r="B1571" s="175" t="s">
        <v>2780</v>
      </c>
      <c r="C1571" s="171" t="s">
        <v>90</v>
      </c>
      <c r="D1571" s="173">
        <v>0.09</v>
      </c>
      <c r="E1571" s="234" t="s">
        <v>30</v>
      </c>
      <c r="F1571" s="204" t="s">
        <v>188</v>
      </c>
      <c r="G1571" s="189" t="s">
        <v>2781</v>
      </c>
      <c r="H1571" s="171"/>
    </row>
    <row r="1572" ht="14.25" spans="1:8">
      <c r="A1572" s="232">
        <v>224</v>
      </c>
      <c r="B1572" s="175" t="s">
        <v>2485</v>
      </c>
      <c r="C1572" s="171" t="s">
        <v>90</v>
      </c>
      <c r="D1572" s="173">
        <v>0.02</v>
      </c>
      <c r="E1572" s="234" t="s">
        <v>30</v>
      </c>
      <c r="F1572" s="204" t="s">
        <v>188</v>
      </c>
      <c r="G1572" s="189" t="s">
        <v>2782</v>
      </c>
      <c r="H1572" s="171" t="s">
        <v>672</v>
      </c>
    </row>
    <row r="1573" ht="14.25" spans="1:8">
      <c r="A1573" s="176">
        <v>225</v>
      </c>
      <c r="B1573" s="175" t="s">
        <v>2485</v>
      </c>
      <c r="C1573" s="171" t="s">
        <v>90</v>
      </c>
      <c r="D1573" s="173">
        <v>0.02</v>
      </c>
      <c r="E1573" s="234" t="s">
        <v>30</v>
      </c>
      <c r="F1573" s="204" t="s">
        <v>188</v>
      </c>
      <c r="G1573" s="189" t="s">
        <v>2783</v>
      </c>
      <c r="H1573" s="171" t="s">
        <v>672</v>
      </c>
    </row>
    <row r="1574" ht="14.25" spans="1:8">
      <c r="A1574" s="232">
        <v>226</v>
      </c>
      <c r="B1574" s="175" t="s">
        <v>708</v>
      </c>
      <c r="C1574" s="171" t="s">
        <v>90</v>
      </c>
      <c r="D1574" s="173">
        <v>0.22</v>
      </c>
      <c r="E1574" s="234" t="s">
        <v>30</v>
      </c>
      <c r="F1574" s="204" t="s">
        <v>188</v>
      </c>
      <c r="G1574" s="189" t="s">
        <v>2784</v>
      </c>
      <c r="H1574" s="171"/>
    </row>
    <row r="1575" ht="25.5" spans="1:8">
      <c r="A1575" s="176">
        <v>227</v>
      </c>
      <c r="B1575" s="175" t="s">
        <v>2436</v>
      </c>
      <c r="C1575" s="171" t="s">
        <v>90</v>
      </c>
      <c r="D1575" s="173">
        <v>0.35</v>
      </c>
      <c r="E1575" s="234" t="s">
        <v>30</v>
      </c>
      <c r="F1575" s="204" t="s">
        <v>188</v>
      </c>
      <c r="G1575" s="189" t="s">
        <v>2624</v>
      </c>
      <c r="H1575" s="171" t="s">
        <v>640</v>
      </c>
    </row>
    <row r="1576" ht="25.5" spans="1:8">
      <c r="A1576" s="232">
        <v>228</v>
      </c>
      <c r="B1576" s="175" t="s">
        <v>2785</v>
      </c>
      <c r="C1576" s="171" t="s">
        <v>90</v>
      </c>
      <c r="D1576" s="173">
        <v>0.6</v>
      </c>
      <c r="E1576" s="234" t="s">
        <v>30</v>
      </c>
      <c r="F1576" s="204" t="s">
        <v>188</v>
      </c>
      <c r="G1576" s="189" t="s">
        <v>2786</v>
      </c>
      <c r="H1576" s="171"/>
    </row>
    <row r="1577" ht="14.25" spans="1:8">
      <c r="A1577" s="176">
        <v>229</v>
      </c>
      <c r="B1577" s="175" t="s">
        <v>2787</v>
      </c>
      <c r="C1577" s="171" t="s">
        <v>90</v>
      </c>
      <c r="D1577" s="173">
        <v>0.01</v>
      </c>
      <c r="E1577" s="234" t="s">
        <v>30</v>
      </c>
      <c r="F1577" s="204" t="s">
        <v>188</v>
      </c>
      <c r="G1577" s="189" t="s">
        <v>2788</v>
      </c>
      <c r="H1577" s="171"/>
    </row>
    <row r="1578" ht="14.25" spans="1:8">
      <c r="A1578" s="232">
        <v>230</v>
      </c>
      <c r="B1578" s="181" t="s">
        <v>2789</v>
      </c>
      <c r="C1578" s="171" t="s">
        <v>90</v>
      </c>
      <c r="D1578" s="173">
        <v>0.02</v>
      </c>
      <c r="E1578" s="234" t="s">
        <v>30</v>
      </c>
      <c r="F1578" s="204" t="s">
        <v>188</v>
      </c>
      <c r="G1578" s="189" t="s">
        <v>2790</v>
      </c>
      <c r="H1578" s="171"/>
    </row>
    <row r="1579" ht="14.25" spans="1:8">
      <c r="A1579" s="176">
        <v>231</v>
      </c>
      <c r="B1579" s="181" t="s">
        <v>2791</v>
      </c>
      <c r="C1579" s="171" t="s">
        <v>90</v>
      </c>
      <c r="D1579" s="173">
        <v>0.02</v>
      </c>
      <c r="E1579" s="234" t="s">
        <v>30</v>
      </c>
      <c r="F1579" s="204" t="s">
        <v>188</v>
      </c>
      <c r="G1579" s="189" t="s">
        <v>2792</v>
      </c>
      <c r="H1579" s="171"/>
    </row>
    <row r="1580" ht="14.25" spans="1:8">
      <c r="A1580" s="232">
        <v>232</v>
      </c>
      <c r="B1580" s="181" t="s">
        <v>2793</v>
      </c>
      <c r="C1580" s="171" t="s">
        <v>90</v>
      </c>
      <c r="D1580" s="173">
        <v>0.02</v>
      </c>
      <c r="E1580" s="234" t="s">
        <v>30</v>
      </c>
      <c r="F1580" s="204" t="s">
        <v>188</v>
      </c>
      <c r="G1580" s="189" t="s">
        <v>2794</v>
      </c>
      <c r="H1580" s="171"/>
    </row>
    <row r="1581" ht="14.25" spans="1:8">
      <c r="A1581" s="176">
        <v>233</v>
      </c>
      <c r="B1581" s="181" t="s">
        <v>2795</v>
      </c>
      <c r="C1581" s="171" t="s">
        <v>90</v>
      </c>
      <c r="D1581" s="173">
        <v>0.01</v>
      </c>
      <c r="E1581" s="234" t="s">
        <v>30</v>
      </c>
      <c r="F1581" s="204" t="s">
        <v>188</v>
      </c>
      <c r="G1581" s="189" t="s">
        <v>2673</v>
      </c>
      <c r="H1581" s="171"/>
    </row>
    <row r="1582" ht="14.25" spans="1:8">
      <c r="A1582" s="232">
        <v>234</v>
      </c>
      <c r="B1582" s="181" t="s">
        <v>2796</v>
      </c>
      <c r="C1582" s="171" t="s">
        <v>90</v>
      </c>
      <c r="D1582" s="173">
        <v>0.04</v>
      </c>
      <c r="E1582" s="234" t="s">
        <v>30</v>
      </c>
      <c r="F1582" s="204" t="s">
        <v>188</v>
      </c>
      <c r="G1582" s="189" t="s">
        <v>2797</v>
      </c>
      <c r="H1582" s="171"/>
    </row>
    <row r="1583" ht="14.25" spans="1:8">
      <c r="A1583" s="176">
        <v>235</v>
      </c>
      <c r="B1583" s="175" t="s">
        <v>2321</v>
      </c>
      <c r="C1583" s="171" t="s">
        <v>90</v>
      </c>
      <c r="D1583" s="173">
        <v>0.04</v>
      </c>
      <c r="E1583" s="234" t="s">
        <v>30</v>
      </c>
      <c r="F1583" s="204" t="s">
        <v>188</v>
      </c>
      <c r="G1583" s="189" t="s">
        <v>2798</v>
      </c>
      <c r="H1583" s="171"/>
    </row>
    <row r="1584" ht="14.25" spans="1:8">
      <c r="A1584" s="232">
        <v>236</v>
      </c>
      <c r="B1584" s="175" t="s">
        <v>2799</v>
      </c>
      <c r="C1584" s="171" t="s">
        <v>90</v>
      </c>
      <c r="D1584" s="173">
        <v>0.01</v>
      </c>
      <c r="E1584" s="234" t="s">
        <v>30</v>
      </c>
      <c r="F1584" s="204" t="s">
        <v>188</v>
      </c>
      <c r="G1584" s="189" t="s">
        <v>2800</v>
      </c>
      <c r="H1584" s="171"/>
    </row>
    <row r="1585" ht="14.25" spans="1:8">
      <c r="A1585" s="176">
        <v>237</v>
      </c>
      <c r="B1585" s="175" t="s">
        <v>2523</v>
      </c>
      <c r="C1585" s="171" t="s">
        <v>90</v>
      </c>
      <c r="D1585" s="173">
        <v>0.1</v>
      </c>
      <c r="E1585" s="234" t="s">
        <v>30</v>
      </c>
      <c r="F1585" s="204" t="s">
        <v>188</v>
      </c>
      <c r="G1585" s="189" t="s">
        <v>2524</v>
      </c>
      <c r="H1585" s="171"/>
    </row>
    <row r="1586" ht="14.25" spans="1:8">
      <c r="A1586" s="232">
        <v>238</v>
      </c>
      <c r="B1586" s="175" t="s">
        <v>2801</v>
      </c>
      <c r="C1586" s="171" t="s">
        <v>90</v>
      </c>
      <c r="D1586" s="173">
        <v>0.03</v>
      </c>
      <c r="E1586" s="234" t="s">
        <v>30</v>
      </c>
      <c r="F1586" s="204" t="s">
        <v>188</v>
      </c>
      <c r="G1586" s="189" t="s">
        <v>2802</v>
      </c>
      <c r="H1586" s="171"/>
    </row>
    <row r="1587" ht="14.25" spans="1:8">
      <c r="A1587" s="176">
        <v>239</v>
      </c>
      <c r="B1587" s="175" t="s">
        <v>2803</v>
      </c>
      <c r="C1587" s="171" t="s">
        <v>90</v>
      </c>
      <c r="D1587" s="173">
        <v>0.05</v>
      </c>
      <c r="E1587" s="234" t="s">
        <v>30</v>
      </c>
      <c r="F1587" s="204" t="s">
        <v>188</v>
      </c>
      <c r="G1587" s="189" t="s">
        <v>2804</v>
      </c>
      <c r="H1587" s="171"/>
    </row>
    <row r="1588" ht="14.25" spans="1:8">
      <c r="A1588" s="232">
        <v>240</v>
      </c>
      <c r="B1588" s="175" t="s">
        <v>2803</v>
      </c>
      <c r="C1588" s="171" t="s">
        <v>90</v>
      </c>
      <c r="D1588" s="173">
        <v>0.01</v>
      </c>
      <c r="E1588" s="234" t="s">
        <v>30</v>
      </c>
      <c r="F1588" s="204" t="s">
        <v>188</v>
      </c>
      <c r="G1588" s="189" t="s">
        <v>2805</v>
      </c>
      <c r="H1588" s="171"/>
    </row>
    <row r="1589" ht="14.25" spans="1:8">
      <c r="A1589" s="176">
        <v>241</v>
      </c>
      <c r="B1589" s="175" t="s">
        <v>2806</v>
      </c>
      <c r="C1589" s="171" t="s">
        <v>90</v>
      </c>
      <c r="D1589" s="173">
        <v>0.03</v>
      </c>
      <c r="E1589" s="234" t="s">
        <v>30</v>
      </c>
      <c r="F1589" s="204" t="s">
        <v>188</v>
      </c>
      <c r="G1589" s="189" t="s">
        <v>2807</v>
      </c>
      <c r="H1589" s="171"/>
    </row>
    <row r="1590" ht="14.25" spans="1:8">
      <c r="A1590" s="232">
        <v>242</v>
      </c>
      <c r="B1590" s="175" t="s">
        <v>2485</v>
      </c>
      <c r="C1590" s="171" t="s">
        <v>90</v>
      </c>
      <c r="D1590" s="173">
        <v>0.02</v>
      </c>
      <c r="E1590" s="234" t="s">
        <v>30</v>
      </c>
      <c r="F1590" s="204" t="s">
        <v>188</v>
      </c>
      <c r="G1590" s="189" t="s">
        <v>2782</v>
      </c>
      <c r="H1590" s="171"/>
    </row>
    <row r="1591" ht="14.25" spans="1:8">
      <c r="A1591" s="176">
        <v>243</v>
      </c>
      <c r="B1591" s="175" t="s">
        <v>2485</v>
      </c>
      <c r="C1591" s="171" t="s">
        <v>90</v>
      </c>
      <c r="D1591" s="173">
        <v>0.03</v>
      </c>
      <c r="E1591" s="234" t="s">
        <v>30</v>
      </c>
      <c r="F1591" s="204" t="s">
        <v>188</v>
      </c>
      <c r="G1591" s="189" t="s">
        <v>2783</v>
      </c>
      <c r="H1591" s="171"/>
    </row>
    <row r="1592" ht="14.25" spans="1:8">
      <c r="A1592" s="232">
        <v>244</v>
      </c>
      <c r="B1592" s="175" t="s">
        <v>2808</v>
      </c>
      <c r="C1592" s="171" t="s">
        <v>90</v>
      </c>
      <c r="D1592" s="173">
        <v>0.04</v>
      </c>
      <c r="E1592" s="234" t="s">
        <v>30</v>
      </c>
      <c r="F1592" s="204" t="s">
        <v>188</v>
      </c>
      <c r="G1592" s="189" t="s">
        <v>2809</v>
      </c>
      <c r="H1592" s="171"/>
    </row>
    <row r="1593" ht="14.25" spans="1:8">
      <c r="A1593" s="176">
        <v>245</v>
      </c>
      <c r="B1593" s="175" t="s">
        <v>2523</v>
      </c>
      <c r="C1593" s="171" t="s">
        <v>90</v>
      </c>
      <c r="D1593" s="173">
        <v>0.04</v>
      </c>
      <c r="E1593" s="234" t="s">
        <v>30</v>
      </c>
      <c r="F1593" s="204" t="s">
        <v>188</v>
      </c>
      <c r="G1593" s="189" t="s">
        <v>2810</v>
      </c>
      <c r="H1593" s="171"/>
    </row>
    <row r="1594" ht="14.25" spans="1:8">
      <c r="A1594" s="232">
        <v>246</v>
      </c>
      <c r="B1594" s="175" t="s">
        <v>2523</v>
      </c>
      <c r="C1594" s="171" t="s">
        <v>90</v>
      </c>
      <c r="D1594" s="173">
        <v>0.04</v>
      </c>
      <c r="E1594" s="234" t="s">
        <v>30</v>
      </c>
      <c r="F1594" s="204" t="s">
        <v>188</v>
      </c>
      <c r="G1594" s="189" t="s">
        <v>2811</v>
      </c>
      <c r="H1594" s="171"/>
    </row>
    <row r="1595" ht="14.25" spans="1:8">
      <c r="A1595" s="176">
        <v>247</v>
      </c>
      <c r="B1595" s="175" t="s">
        <v>2812</v>
      </c>
      <c r="C1595" s="171" t="s">
        <v>90</v>
      </c>
      <c r="D1595" s="173">
        <v>0.04</v>
      </c>
      <c r="E1595" s="234" t="s">
        <v>30</v>
      </c>
      <c r="F1595" s="204" t="s">
        <v>188</v>
      </c>
      <c r="G1595" s="189" t="s">
        <v>2813</v>
      </c>
      <c r="H1595" s="171"/>
    </row>
    <row r="1596" ht="14.25" spans="1:8">
      <c r="A1596" s="232">
        <v>248</v>
      </c>
      <c r="B1596" s="175" t="s">
        <v>2814</v>
      </c>
      <c r="C1596" s="171" t="s">
        <v>90</v>
      </c>
      <c r="D1596" s="173">
        <v>0.02</v>
      </c>
      <c r="E1596" s="234" t="s">
        <v>30</v>
      </c>
      <c r="F1596" s="204" t="s">
        <v>188</v>
      </c>
      <c r="G1596" s="189" t="s">
        <v>2815</v>
      </c>
      <c r="H1596" s="171"/>
    </row>
    <row r="1597" ht="14.25" spans="1:8">
      <c r="A1597" s="176">
        <v>249</v>
      </c>
      <c r="B1597" s="175" t="s">
        <v>2816</v>
      </c>
      <c r="C1597" s="171" t="s">
        <v>90</v>
      </c>
      <c r="D1597" s="173">
        <v>0.02</v>
      </c>
      <c r="E1597" s="234" t="s">
        <v>30</v>
      </c>
      <c r="F1597" s="204" t="s">
        <v>188</v>
      </c>
      <c r="G1597" s="189" t="s">
        <v>2529</v>
      </c>
      <c r="H1597" s="171"/>
    </row>
    <row r="1598" ht="14.25" spans="1:8">
      <c r="A1598" s="232">
        <v>250</v>
      </c>
      <c r="B1598" s="175" t="s">
        <v>2817</v>
      </c>
      <c r="C1598" s="171" t="s">
        <v>90</v>
      </c>
      <c r="D1598" s="173">
        <v>0.05</v>
      </c>
      <c r="E1598" s="234" t="s">
        <v>30</v>
      </c>
      <c r="F1598" s="204" t="s">
        <v>188</v>
      </c>
      <c r="G1598" s="189" t="s">
        <v>2818</v>
      </c>
      <c r="H1598" s="171"/>
    </row>
    <row r="1599" ht="14.25" spans="1:8">
      <c r="A1599" s="176">
        <v>251</v>
      </c>
      <c r="B1599" s="175" t="s">
        <v>2819</v>
      </c>
      <c r="C1599" s="171" t="s">
        <v>90</v>
      </c>
      <c r="D1599" s="173">
        <v>0.1</v>
      </c>
      <c r="E1599" s="234" t="s">
        <v>30</v>
      </c>
      <c r="F1599" s="204" t="s">
        <v>188</v>
      </c>
      <c r="G1599" s="189" t="s">
        <v>2820</v>
      </c>
      <c r="H1599" s="171"/>
    </row>
    <row r="1600" ht="14.25" spans="1:8">
      <c r="A1600" s="232">
        <v>252</v>
      </c>
      <c r="B1600" s="175" t="s">
        <v>2819</v>
      </c>
      <c r="C1600" s="171" t="s">
        <v>90</v>
      </c>
      <c r="D1600" s="173">
        <v>0.1</v>
      </c>
      <c r="E1600" s="234" t="s">
        <v>30</v>
      </c>
      <c r="F1600" s="204" t="s">
        <v>188</v>
      </c>
      <c r="G1600" s="189" t="s">
        <v>2821</v>
      </c>
      <c r="H1600" s="171"/>
    </row>
    <row r="1601" ht="14.25" spans="1:8">
      <c r="A1601" s="176">
        <v>253</v>
      </c>
      <c r="B1601" s="175" t="s">
        <v>2822</v>
      </c>
      <c r="C1601" s="171" t="s">
        <v>90</v>
      </c>
      <c r="D1601" s="173">
        <v>0.1</v>
      </c>
      <c r="E1601" s="234" t="s">
        <v>30</v>
      </c>
      <c r="F1601" s="204" t="s">
        <v>188</v>
      </c>
      <c r="G1601" s="189" t="s">
        <v>2823</v>
      </c>
      <c r="H1601" s="171"/>
    </row>
    <row r="1602" ht="14.25" spans="1:8">
      <c r="A1602" s="232">
        <v>254</v>
      </c>
      <c r="B1602" s="175" t="s">
        <v>2824</v>
      </c>
      <c r="C1602" s="171" t="s">
        <v>90</v>
      </c>
      <c r="D1602" s="173">
        <v>0.02</v>
      </c>
      <c r="E1602" s="234" t="s">
        <v>30</v>
      </c>
      <c r="F1602" s="204" t="s">
        <v>188</v>
      </c>
      <c r="G1602" s="189" t="s">
        <v>2825</v>
      </c>
      <c r="H1602" s="171"/>
    </row>
    <row r="1603" ht="14.25" spans="1:8">
      <c r="A1603" s="176">
        <v>255</v>
      </c>
      <c r="B1603" s="175" t="s">
        <v>2826</v>
      </c>
      <c r="C1603" s="171" t="s">
        <v>90</v>
      </c>
      <c r="D1603" s="173">
        <v>0.01</v>
      </c>
      <c r="E1603" s="234" t="s">
        <v>30</v>
      </c>
      <c r="F1603" s="204" t="s">
        <v>188</v>
      </c>
      <c r="G1603" s="189" t="s">
        <v>2827</v>
      </c>
      <c r="H1603" s="171"/>
    </row>
    <row r="1604" ht="14.25" spans="1:8">
      <c r="A1604" s="232">
        <v>256</v>
      </c>
      <c r="B1604" s="175" t="s">
        <v>2791</v>
      </c>
      <c r="C1604" s="171" t="s">
        <v>90</v>
      </c>
      <c r="D1604" s="173">
        <v>0.01</v>
      </c>
      <c r="E1604" s="234" t="s">
        <v>30</v>
      </c>
      <c r="F1604" s="204" t="s">
        <v>188</v>
      </c>
      <c r="G1604" s="189" t="s">
        <v>2828</v>
      </c>
      <c r="H1604" s="171"/>
    </row>
    <row r="1605" ht="14.25" spans="1:8">
      <c r="A1605" s="176">
        <v>257</v>
      </c>
      <c r="B1605" s="175" t="s">
        <v>2829</v>
      </c>
      <c r="C1605" s="171" t="s">
        <v>90</v>
      </c>
      <c r="D1605" s="173">
        <v>0.01</v>
      </c>
      <c r="E1605" s="234" t="s">
        <v>30</v>
      </c>
      <c r="F1605" s="204" t="s">
        <v>188</v>
      </c>
      <c r="G1605" s="189" t="s">
        <v>2830</v>
      </c>
      <c r="H1605" s="171"/>
    </row>
    <row r="1606" ht="14.25" spans="1:8">
      <c r="A1606" s="232">
        <v>258</v>
      </c>
      <c r="B1606" s="175" t="s">
        <v>2831</v>
      </c>
      <c r="C1606" s="171" t="s">
        <v>90</v>
      </c>
      <c r="D1606" s="173">
        <v>0.01</v>
      </c>
      <c r="E1606" s="234" t="s">
        <v>30</v>
      </c>
      <c r="F1606" s="204" t="s">
        <v>188</v>
      </c>
      <c r="G1606" s="189" t="s">
        <v>2832</v>
      </c>
      <c r="H1606" s="171"/>
    </row>
    <row r="1607" ht="14.25" spans="1:8">
      <c r="A1607" s="176">
        <v>259</v>
      </c>
      <c r="B1607" s="175" t="s">
        <v>2833</v>
      </c>
      <c r="C1607" s="171" t="s">
        <v>90</v>
      </c>
      <c r="D1607" s="173">
        <v>0.01</v>
      </c>
      <c r="E1607" s="234" t="s">
        <v>30</v>
      </c>
      <c r="F1607" s="204" t="s">
        <v>188</v>
      </c>
      <c r="G1607" s="189" t="s">
        <v>2834</v>
      </c>
      <c r="H1607" s="171"/>
    </row>
    <row r="1608" ht="14.25" spans="1:8">
      <c r="A1608" s="232">
        <v>260</v>
      </c>
      <c r="B1608" s="175" t="s">
        <v>2835</v>
      </c>
      <c r="C1608" s="171" t="s">
        <v>90</v>
      </c>
      <c r="D1608" s="173">
        <v>0.01</v>
      </c>
      <c r="E1608" s="234" t="s">
        <v>30</v>
      </c>
      <c r="F1608" s="204" t="s">
        <v>188</v>
      </c>
      <c r="G1608" s="189" t="s">
        <v>2836</v>
      </c>
      <c r="H1608" s="171"/>
    </row>
    <row r="1609" ht="14.25" spans="1:8">
      <c r="A1609" s="176">
        <v>261</v>
      </c>
      <c r="B1609" s="175" t="s">
        <v>2473</v>
      </c>
      <c r="C1609" s="171" t="s">
        <v>90</v>
      </c>
      <c r="D1609" s="173">
        <v>0.05</v>
      </c>
      <c r="E1609" s="234" t="s">
        <v>30</v>
      </c>
      <c r="F1609" s="204" t="s">
        <v>188</v>
      </c>
      <c r="G1609" s="189" t="s">
        <v>2837</v>
      </c>
      <c r="H1609" s="171"/>
    </row>
    <row r="1610" ht="14.25" spans="1:8">
      <c r="A1610" s="232">
        <v>262</v>
      </c>
      <c r="B1610" s="175" t="s">
        <v>2838</v>
      </c>
      <c r="C1610" s="171" t="s">
        <v>90</v>
      </c>
      <c r="D1610" s="173">
        <v>0.02</v>
      </c>
      <c r="E1610" s="170" t="s">
        <v>30</v>
      </c>
      <c r="F1610" s="170" t="s">
        <v>188</v>
      </c>
      <c r="G1610" s="189" t="s">
        <v>2775</v>
      </c>
      <c r="H1610" s="171"/>
    </row>
    <row r="1611" ht="14.25" spans="1:8">
      <c r="A1611" s="176">
        <v>263</v>
      </c>
      <c r="B1611" s="175" t="s">
        <v>2839</v>
      </c>
      <c r="C1611" s="171" t="s">
        <v>90</v>
      </c>
      <c r="D1611" s="173">
        <v>0.08</v>
      </c>
      <c r="E1611" s="170" t="s">
        <v>30</v>
      </c>
      <c r="F1611" s="170" t="s">
        <v>188</v>
      </c>
      <c r="G1611" s="189" t="s">
        <v>2840</v>
      </c>
      <c r="H1611" s="171"/>
    </row>
    <row r="1612" ht="14.25" spans="1:8">
      <c r="A1612" s="232">
        <v>264</v>
      </c>
      <c r="B1612" s="175" t="s">
        <v>2774</v>
      </c>
      <c r="C1612" s="171" t="s">
        <v>90</v>
      </c>
      <c r="D1612" s="173">
        <v>0.04</v>
      </c>
      <c r="E1612" s="170" t="s">
        <v>30</v>
      </c>
      <c r="F1612" s="170" t="s">
        <v>188</v>
      </c>
      <c r="G1612" s="189" t="s">
        <v>2841</v>
      </c>
      <c r="H1612" s="171"/>
    </row>
    <row r="1613" ht="14.25" spans="1:8">
      <c r="A1613" s="176">
        <v>265</v>
      </c>
      <c r="B1613" s="175" t="s">
        <v>2321</v>
      </c>
      <c r="C1613" s="171" t="s">
        <v>90</v>
      </c>
      <c r="D1613" s="173">
        <v>0.03</v>
      </c>
      <c r="E1613" s="170" t="s">
        <v>30</v>
      </c>
      <c r="F1613" s="170" t="s">
        <v>188</v>
      </c>
      <c r="G1613" s="189" t="s">
        <v>2798</v>
      </c>
      <c r="H1613" s="171"/>
    </row>
    <row r="1614" ht="14.25" spans="1:8">
      <c r="A1614" s="232">
        <v>266</v>
      </c>
      <c r="B1614" s="175" t="s">
        <v>2842</v>
      </c>
      <c r="C1614" s="171" t="s">
        <v>90</v>
      </c>
      <c r="D1614" s="173">
        <v>0.05</v>
      </c>
      <c r="E1614" s="170" t="s">
        <v>30</v>
      </c>
      <c r="F1614" s="170" t="s">
        <v>188</v>
      </c>
      <c r="G1614" s="189" t="s">
        <v>2843</v>
      </c>
      <c r="H1614" s="171"/>
    </row>
    <row r="1615" ht="14.25" spans="1:8">
      <c r="A1615" s="176">
        <v>267</v>
      </c>
      <c r="B1615" s="175" t="s">
        <v>2844</v>
      </c>
      <c r="C1615" s="171" t="s">
        <v>90</v>
      </c>
      <c r="D1615" s="173">
        <v>0.05</v>
      </c>
      <c r="E1615" s="170" t="s">
        <v>30</v>
      </c>
      <c r="F1615" s="170" t="s">
        <v>188</v>
      </c>
      <c r="G1615" s="189" t="s">
        <v>2845</v>
      </c>
      <c r="H1615" s="171"/>
    </row>
    <row r="1616" ht="14.25" spans="1:8">
      <c r="A1616" s="232">
        <v>268</v>
      </c>
      <c r="B1616" s="175" t="s">
        <v>2846</v>
      </c>
      <c r="C1616" s="171" t="s">
        <v>90</v>
      </c>
      <c r="D1616" s="173">
        <v>0.05</v>
      </c>
      <c r="E1616" s="170" t="s">
        <v>30</v>
      </c>
      <c r="F1616" s="170" t="s">
        <v>188</v>
      </c>
      <c r="G1616" s="189" t="s">
        <v>2847</v>
      </c>
      <c r="H1616" s="171"/>
    </row>
    <row r="1617" ht="14.25" spans="1:8">
      <c r="A1617" s="176">
        <v>269</v>
      </c>
      <c r="B1617" s="175" t="s">
        <v>2846</v>
      </c>
      <c r="C1617" s="171" t="s">
        <v>90</v>
      </c>
      <c r="D1617" s="173">
        <v>0.02</v>
      </c>
      <c r="E1617" s="170" t="s">
        <v>30</v>
      </c>
      <c r="F1617" s="170" t="s">
        <v>188</v>
      </c>
      <c r="G1617" s="189" t="s">
        <v>2848</v>
      </c>
      <c r="H1617" s="171"/>
    </row>
    <row r="1618" ht="14.25" spans="1:8">
      <c r="A1618" s="232">
        <v>270</v>
      </c>
      <c r="B1618" s="175" t="s">
        <v>2849</v>
      </c>
      <c r="C1618" s="171" t="s">
        <v>90</v>
      </c>
      <c r="D1618" s="173">
        <v>0.08</v>
      </c>
      <c r="E1618" s="170" t="s">
        <v>30</v>
      </c>
      <c r="F1618" s="170" t="s">
        <v>188</v>
      </c>
      <c r="G1618" s="189" t="s">
        <v>2850</v>
      </c>
      <c r="H1618" s="171"/>
    </row>
    <row r="1619" ht="14.25" spans="1:8">
      <c r="A1619" s="176">
        <v>271</v>
      </c>
      <c r="B1619" s="175" t="s">
        <v>2851</v>
      </c>
      <c r="C1619" s="171" t="s">
        <v>90</v>
      </c>
      <c r="D1619" s="173">
        <v>0.04</v>
      </c>
      <c r="E1619" s="170" t="s">
        <v>30</v>
      </c>
      <c r="F1619" s="170" t="s">
        <v>188</v>
      </c>
      <c r="G1619" s="189" t="s">
        <v>2852</v>
      </c>
      <c r="H1619" s="171"/>
    </row>
    <row r="1620" ht="14.25" spans="1:8">
      <c r="A1620" s="232">
        <v>272</v>
      </c>
      <c r="B1620" s="175" t="s">
        <v>2853</v>
      </c>
      <c r="C1620" s="171" t="s">
        <v>90</v>
      </c>
      <c r="D1620" s="173">
        <v>0.04</v>
      </c>
      <c r="E1620" s="170" t="s">
        <v>30</v>
      </c>
      <c r="F1620" s="170" t="s">
        <v>188</v>
      </c>
      <c r="G1620" s="189" t="s">
        <v>2854</v>
      </c>
      <c r="H1620" s="171"/>
    </row>
    <row r="1621" ht="14.25" spans="1:8">
      <c r="A1621" s="176">
        <v>273</v>
      </c>
      <c r="B1621" s="175" t="s">
        <v>2855</v>
      </c>
      <c r="C1621" s="171" t="s">
        <v>90</v>
      </c>
      <c r="D1621" s="173">
        <v>0.02</v>
      </c>
      <c r="E1621" s="170" t="s">
        <v>30</v>
      </c>
      <c r="F1621" s="170" t="s">
        <v>188</v>
      </c>
      <c r="G1621" s="189" t="s">
        <v>2856</v>
      </c>
      <c r="H1621" s="171"/>
    </row>
    <row r="1622" ht="14.25" spans="1:8">
      <c r="A1622" s="232">
        <v>274</v>
      </c>
      <c r="B1622" s="175" t="s">
        <v>543</v>
      </c>
      <c r="C1622" s="171" t="s">
        <v>90</v>
      </c>
      <c r="D1622" s="173">
        <v>0.02</v>
      </c>
      <c r="E1622" s="170" t="s">
        <v>30</v>
      </c>
      <c r="F1622" s="170" t="s">
        <v>188</v>
      </c>
      <c r="G1622" s="189" t="s">
        <v>2017</v>
      </c>
      <c r="H1622" s="171"/>
    </row>
    <row r="1623" ht="14.25" spans="1:8">
      <c r="A1623" s="176">
        <v>275</v>
      </c>
      <c r="B1623" s="175" t="s">
        <v>2427</v>
      </c>
      <c r="C1623" s="171" t="s">
        <v>90</v>
      </c>
      <c r="D1623" s="173">
        <v>0.05</v>
      </c>
      <c r="E1623" s="170" t="s">
        <v>30</v>
      </c>
      <c r="F1623" s="170" t="s">
        <v>188</v>
      </c>
      <c r="G1623" s="189" t="s">
        <v>2857</v>
      </c>
      <c r="H1623" s="171"/>
    </row>
    <row r="1624" ht="14.25" spans="1:8">
      <c r="A1624" s="232">
        <v>276</v>
      </c>
      <c r="B1624" s="175" t="s">
        <v>2427</v>
      </c>
      <c r="C1624" s="171" t="s">
        <v>90</v>
      </c>
      <c r="D1624" s="173">
        <v>0.02</v>
      </c>
      <c r="E1624" s="170" t="s">
        <v>30</v>
      </c>
      <c r="F1624" s="170" t="s">
        <v>188</v>
      </c>
      <c r="G1624" s="189" t="s">
        <v>2858</v>
      </c>
      <c r="H1624" s="171"/>
    </row>
    <row r="1625" ht="14.25" spans="1:8">
      <c r="A1625" s="176">
        <v>277</v>
      </c>
      <c r="B1625" s="175" t="s">
        <v>2859</v>
      </c>
      <c r="C1625" s="171" t="s">
        <v>90</v>
      </c>
      <c r="D1625" s="173">
        <v>0.05</v>
      </c>
      <c r="E1625" s="170" t="s">
        <v>30</v>
      </c>
      <c r="F1625" s="170" t="s">
        <v>188</v>
      </c>
      <c r="G1625" s="189" t="s">
        <v>2860</v>
      </c>
      <c r="H1625" s="171"/>
    </row>
    <row r="1626" ht="14.25" spans="1:8">
      <c r="A1626" s="232">
        <v>278</v>
      </c>
      <c r="B1626" s="175" t="s">
        <v>2861</v>
      </c>
      <c r="C1626" s="171" t="s">
        <v>90</v>
      </c>
      <c r="D1626" s="173">
        <v>0.01</v>
      </c>
      <c r="E1626" s="170" t="s">
        <v>30</v>
      </c>
      <c r="F1626" s="170" t="s">
        <v>188</v>
      </c>
      <c r="G1626" s="189" t="s">
        <v>2862</v>
      </c>
      <c r="H1626" s="171"/>
    </row>
    <row r="1627" ht="14.25" spans="1:8">
      <c r="A1627" s="176">
        <v>279</v>
      </c>
      <c r="B1627" s="175" t="s">
        <v>2863</v>
      </c>
      <c r="C1627" s="171" t="s">
        <v>90</v>
      </c>
      <c r="D1627" s="173">
        <v>0.05</v>
      </c>
      <c r="E1627" s="170" t="s">
        <v>30</v>
      </c>
      <c r="F1627" s="170" t="s">
        <v>188</v>
      </c>
      <c r="G1627" s="189" t="s">
        <v>2864</v>
      </c>
      <c r="H1627" s="171"/>
    </row>
    <row r="1628" ht="14.25" spans="1:8">
      <c r="A1628" s="232">
        <v>280</v>
      </c>
      <c r="B1628" s="175" t="s">
        <v>2865</v>
      </c>
      <c r="C1628" s="171" t="s">
        <v>90</v>
      </c>
      <c r="D1628" s="173">
        <v>0.03</v>
      </c>
      <c r="E1628" s="170" t="s">
        <v>30</v>
      </c>
      <c r="F1628" s="170" t="s">
        <v>188</v>
      </c>
      <c r="G1628" s="189" t="s">
        <v>2866</v>
      </c>
      <c r="H1628" s="171"/>
    </row>
    <row r="1629" ht="14.25" spans="1:8">
      <c r="A1629" s="176">
        <v>281</v>
      </c>
      <c r="B1629" s="175" t="s">
        <v>2867</v>
      </c>
      <c r="C1629" s="171" t="s">
        <v>90</v>
      </c>
      <c r="D1629" s="173">
        <v>0.05</v>
      </c>
      <c r="E1629" s="170" t="s">
        <v>30</v>
      </c>
      <c r="F1629" s="170" t="s">
        <v>188</v>
      </c>
      <c r="G1629" s="189" t="s">
        <v>2868</v>
      </c>
      <c r="H1629" s="171"/>
    </row>
    <row r="1630" ht="14.25" spans="1:8">
      <c r="A1630" s="232">
        <v>282</v>
      </c>
      <c r="B1630" s="175" t="s">
        <v>2869</v>
      </c>
      <c r="C1630" s="171" t="s">
        <v>90</v>
      </c>
      <c r="D1630" s="173">
        <v>0.08</v>
      </c>
      <c r="E1630" s="170" t="s">
        <v>30</v>
      </c>
      <c r="F1630" s="170" t="s">
        <v>188</v>
      </c>
      <c r="G1630" s="189" t="s">
        <v>2870</v>
      </c>
      <c r="H1630" s="171"/>
    </row>
    <row r="1631" ht="14.25" spans="1:8">
      <c r="A1631" s="176">
        <v>283</v>
      </c>
      <c r="B1631" s="175" t="s">
        <v>2871</v>
      </c>
      <c r="C1631" s="171" t="s">
        <v>90</v>
      </c>
      <c r="D1631" s="173">
        <v>0.02</v>
      </c>
      <c r="E1631" s="170" t="s">
        <v>30</v>
      </c>
      <c r="F1631" s="170" t="s">
        <v>188</v>
      </c>
      <c r="G1631" s="189" t="s">
        <v>2872</v>
      </c>
      <c r="H1631" s="171"/>
    </row>
    <row r="1632" ht="14.25" spans="1:8">
      <c r="A1632" s="232">
        <v>284</v>
      </c>
      <c r="B1632" s="235" t="s">
        <v>2873</v>
      </c>
      <c r="C1632" s="171" t="s">
        <v>90</v>
      </c>
      <c r="D1632" s="173">
        <v>0.02</v>
      </c>
      <c r="E1632" s="170" t="s">
        <v>30</v>
      </c>
      <c r="F1632" s="170" t="s">
        <v>188</v>
      </c>
      <c r="G1632" s="189" t="s">
        <v>2874</v>
      </c>
      <c r="H1632" s="171"/>
    </row>
    <row r="1633" ht="14.25" spans="1:8">
      <c r="A1633" s="176">
        <v>285</v>
      </c>
      <c r="B1633" s="235" t="s">
        <v>2875</v>
      </c>
      <c r="C1633" s="171" t="s">
        <v>90</v>
      </c>
      <c r="D1633" s="173">
        <v>0.09</v>
      </c>
      <c r="E1633" s="170" t="s">
        <v>30</v>
      </c>
      <c r="F1633" s="170" t="s">
        <v>188</v>
      </c>
      <c r="G1633" s="189" t="s">
        <v>2876</v>
      </c>
      <c r="H1633" s="171"/>
    </row>
    <row r="1634" ht="14.25" spans="1:8">
      <c r="A1634" s="232">
        <v>286</v>
      </c>
      <c r="B1634" s="235" t="s">
        <v>2877</v>
      </c>
      <c r="C1634" s="171" t="s">
        <v>90</v>
      </c>
      <c r="D1634" s="173">
        <v>0.03</v>
      </c>
      <c r="E1634" s="170" t="s">
        <v>30</v>
      </c>
      <c r="F1634" s="170" t="s">
        <v>188</v>
      </c>
      <c r="G1634" s="189" t="s">
        <v>2878</v>
      </c>
      <c r="H1634" s="171"/>
    </row>
    <row r="1635" ht="14.25" spans="1:8">
      <c r="A1635" s="176">
        <v>287</v>
      </c>
      <c r="B1635" s="235" t="s">
        <v>2879</v>
      </c>
      <c r="C1635" s="171" t="s">
        <v>90</v>
      </c>
      <c r="D1635" s="173">
        <v>0.03</v>
      </c>
      <c r="E1635" s="170" t="s">
        <v>30</v>
      </c>
      <c r="F1635" s="170" t="s">
        <v>188</v>
      </c>
      <c r="G1635" s="189" t="s">
        <v>2880</v>
      </c>
      <c r="H1635" s="171"/>
    </row>
    <row r="1636" ht="14.25" spans="1:8">
      <c r="A1636" s="232">
        <v>288</v>
      </c>
      <c r="B1636" s="235" t="s">
        <v>2881</v>
      </c>
      <c r="C1636" s="171" t="s">
        <v>90</v>
      </c>
      <c r="D1636" s="173">
        <v>0.09</v>
      </c>
      <c r="E1636" s="170" t="s">
        <v>30</v>
      </c>
      <c r="F1636" s="170" t="s">
        <v>188</v>
      </c>
      <c r="G1636" s="189" t="s">
        <v>2882</v>
      </c>
      <c r="H1636" s="171"/>
    </row>
    <row r="1637" ht="14.25" spans="1:8">
      <c r="A1637" s="176">
        <v>289</v>
      </c>
      <c r="B1637" s="235" t="s">
        <v>2683</v>
      </c>
      <c r="C1637" s="171" t="s">
        <v>90</v>
      </c>
      <c r="D1637" s="173">
        <v>0.02</v>
      </c>
      <c r="E1637" s="170" t="s">
        <v>30</v>
      </c>
      <c r="F1637" s="170" t="s">
        <v>188</v>
      </c>
      <c r="G1637" s="189" t="s">
        <v>2883</v>
      </c>
      <c r="H1637" s="171"/>
    </row>
    <row r="1638" ht="14.25" spans="1:8">
      <c r="A1638" s="232">
        <v>290</v>
      </c>
      <c r="B1638" s="235" t="s">
        <v>2683</v>
      </c>
      <c r="C1638" s="171" t="s">
        <v>90</v>
      </c>
      <c r="D1638" s="173">
        <v>0.02</v>
      </c>
      <c r="E1638" s="170" t="s">
        <v>30</v>
      </c>
      <c r="F1638" s="170" t="s">
        <v>188</v>
      </c>
      <c r="G1638" s="189" t="s">
        <v>2884</v>
      </c>
      <c r="H1638" s="171"/>
    </row>
    <row r="1639" ht="14.25" spans="1:8">
      <c r="A1639" s="176">
        <v>291</v>
      </c>
      <c r="B1639" s="235" t="s">
        <v>2683</v>
      </c>
      <c r="C1639" s="171" t="s">
        <v>90</v>
      </c>
      <c r="D1639" s="173">
        <v>0.02</v>
      </c>
      <c r="E1639" s="170" t="s">
        <v>30</v>
      </c>
      <c r="F1639" s="170" t="s">
        <v>188</v>
      </c>
      <c r="G1639" s="189" t="s">
        <v>2885</v>
      </c>
      <c r="H1639" s="171"/>
    </row>
    <row r="1640" ht="14.25" spans="1:8">
      <c r="A1640" s="232">
        <v>292</v>
      </c>
      <c r="B1640" s="235" t="s">
        <v>2683</v>
      </c>
      <c r="C1640" s="171" t="s">
        <v>90</v>
      </c>
      <c r="D1640" s="173">
        <v>0.02</v>
      </c>
      <c r="E1640" s="170" t="s">
        <v>30</v>
      </c>
      <c r="F1640" s="170" t="s">
        <v>188</v>
      </c>
      <c r="G1640" s="189" t="s">
        <v>2886</v>
      </c>
      <c r="H1640" s="171"/>
    </row>
    <row r="1641" ht="14.25" spans="1:8">
      <c r="A1641" s="176">
        <v>293</v>
      </c>
      <c r="B1641" s="235" t="s">
        <v>2683</v>
      </c>
      <c r="C1641" s="171" t="s">
        <v>90</v>
      </c>
      <c r="D1641" s="173">
        <v>0.02</v>
      </c>
      <c r="E1641" s="170" t="s">
        <v>30</v>
      </c>
      <c r="F1641" s="170" t="s">
        <v>188</v>
      </c>
      <c r="G1641" s="189" t="s">
        <v>1226</v>
      </c>
      <c r="H1641" s="171"/>
    </row>
    <row r="1642" ht="25.5" spans="1:8">
      <c r="A1642" s="232">
        <v>294</v>
      </c>
      <c r="B1642" s="235" t="s">
        <v>2887</v>
      </c>
      <c r="C1642" s="171" t="s">
        <v>90</v>
      </c>
      <c r="D1642" s="173">
        <v>0.4</v>
      </c>
      <c r="E1642" s="170" t="s">
        <v>30</v>
      </c>
      <c r="F1642" s="170" t="s">
        <v>188</v>
      </c>
      <c r="G1642" s="189" t="s">
        <v>2888</v>
      </c>
      <c r="H1642" s="171"/>
    </row>
    <row r="1643" ht="14.25" spans="1:8">
      <c r="A1643" s="176">
        <v>295</v>
      </c>
      <c r="B1643" s="235" t="s">
        <v>2889</v>
      </c>
      <c r="C1643" s="171" t="s">
        <v>90</v>
      </c>
      <c r="D1643" s="173">
        <v>0.04</v>
      </c>
      <c r="E1643" s="170" t="s">
        <v>30</v>
      </c>
      <c r="F1643" s="170" t="s">
        <v>188</v>
      </c>
      <c r="G1643" s="189" t="s">
        <v>2890</v>
      </c>
      <c r="H1643" s="171"/>
    </row>
    <row r="1644" ht="14.25" spans="1:8">
      <c r="A1644" s="232">
        <v>296</v>
      </c>
      <c r="B1644" s="235" t="s">
        <v>2774</v>
      </c>
      <c r="C1644" s="171" t="s">
        <v>90</v>
      </c>
      <c r="D1644" s="173">
        <v>0.04</v>
      </c>
      <c r="E1644" s="170" t="s">
        <v>30</v>
      </c>
      <c r="F1644" s="170" t="s">
        <v>188</v>
      </c>
      <c r="G1644" s="189" t="s">
        <v>2775</v>
      </c>
      <c r="H1644" s="171"/>
    </row>
    <row r="1645" ht="14.25" spans="1:8">
      <c r="A1645" s="176">
        <v>297</v>
      </c>
      <c r="B1645" s="181" t="s">
        <v>2556</v>
      </c>
      <c r="C1645" s="171" t="s">
        <v>90</v>
      </c>
      <c r="D1645" s="173">
        <v>0.03</v>
      </c>
      <c r="E1645" s="170" t="s">
        <v>30</v>
      </c>
      <c r="F1645" s="170" t="s">
        <v>188</v>
      </c>
      <c r="G1645" s="189" t="s">
        <v>2557</v>
      </c>
      <c r="H1645" s="171"/>
    </row>
    <row r="1646" ht="14.25" spans="1:8">
      <c r="A1646" s="232">
        <v>298</v>
      </c>
      <c r="B1646" s="181" t="s">
        <v>2891</v>
      </c>
      <c r="C1646" s="171" t="s">
        <v>90</v>
      </c>
      <c r="D1646" s="173">
        <v>0.04</v>
      </c>
      <c r="E1646" s="170" t="s">
        <v>30</v>
      </c>
      <c r="F1646" s="170" t="s">
        <v>188</v>
      </c>
      <c r="G1646" s="189" t="s">
        <v>2892</v>
      </c>
      <c r="H1646" s="171"/>
    </row>
    <row r="1647" ht="14.25" spans="1:8">
      <c r="A1647" s="176">
        <v>299</v>
      </c>
      <c r="B1647" s="181" t="s">
        <v>2893</v>
      </c>
      <c r="C1647" s="171" t="s">
        <v>90</v>
      </c>
      <c r="D1647" s="173">
        <v>0.03</v>
      </c>
      <c r="E1647" s="170" t="s">
        <v>30</v>
      </c>
      <c r="F1647" s="170" t="s">
        <v>188</v>
      </c>
      <c r="G1647" s="189" t="s">
        <v>2894</v>
      </c>
      <c r="H1647" s="171"/>
    </row>
    <row r="1648" ht="14.25" spans="1:8">
      <c r="A1648" s="232">
        <v>300</v>
      </c>
      <c r="B1648" s="175" t="s">
        <v>2895</v>
      </c>
      <c r="C1648" s="171" t="s">
        <v>90</v>
      </c>
      <c r="D1648" s="173">
        <v>0.08</v>
      </c>
      <c r="E1648" s="170" t="s">
        <v>30</v>
      </c>
      <c r="F1648" s="170" t="s">
        <v>188</v>
      </c>
      <c r="G1648" s="189" t="s">
        <v>2896</v>
      </c>
      <c r="H1648" s="171"/>
    </row>
    <row r="1649" ht="14.25" spans="1:8">
      <c r="A1649" s="176">
        <v>301</v>
      </c>
      <c r="B1649" s="175" t="s">
        <v>2897</v>
      </c>
      <c r="C1649" s="171" t="s">
        <v>90</v>
      </c>
      <c r="D1649" s="173">
        <v>0.03</v>
      </c>
      <c r="E1649" s="170" t="s">
        <v>30</v>
      </c>
      <c r="F1649" s="170" t="s">
        <v>188</v>
      </c>
      <c r="G1649" s="189" t="s">
        <v>2898</v>
      </c>
      <c r="H1649" s="171"/>
    </row>
    <row r="1650" ht="14.25" spans="1:8">
      <c r="A1650" s="232">
        <v>302</v>
      </c>
      <c r="B1650" s="175" t="s">
        <v>2899</v>
      </c>
      <c r="C1650" s="171" t="s">
        <v>90</v>
      </c>
      <c r="D1650" s="173">
        <v>0.01</v>
      </c>
      <c r="E1650" s="170" t="s">
        <v>30</v>
      </c>
      <c r="F1650" s="170" t="s">
        <v>188</v>
      </c>
      <c r="G1650" s="189" t="s">
        <v>2900</v>
      </c>
      <c r="H1650" s="171"/>
    </row>
    <row r="1651" ht="14.25" spans="1:8">
      <c r="A1651" s="176">
        <v>303</v>
      </c>
      <c r="B1651" s="175" t="s">
        <v>2292</v>
      </c>
      <c r="C1651" s="171" t="s">
        <v>90</v>
      </c>
      <c r="D1651" s="173">
        <v>0.02</v>
      </c>
      <c r="E1651" s="170" t="s">
        <v>30</v>
      </c>
      <c r="F1651" s="170" t="s">
        <v>188</v>
      </c>
      <c r="G1651" s="189" t="s">
        <v>2901</v>
      </c>
      <c r="H1651" s="171"/>
    </row>
    <row r="1652" ht="14.25" spans="1:8">
      <c r="A1652" s="232">
        <v>304</v>
      </c>
      <c r="B1652" s="175" t="s">
        <v>2292</v>
      </c>
      <c r="C1652" s="171" t="s">
        <v>90</v>
      </c>
      <c r="D1652" s="173">
        <v>0.01</v>
      </c>
      <c r="E1652" s="170" t="s">
        <v>30</v>
      </c>
      <c r="F1652" s="170" t="s">
        <v>188</v>
      </c>
      <c r="G1652" s="189" t="s">
        <v>2902</v>
      </c>
      <c r="H1652" s="171"/>
    </row>
    <row r="1653" ht="14.25" spans="1:8">
      <c r="A1653" s="176">
        <v>305</v>
      </c>
      <c r="B1653" s="175" t="s">
        <v>2292</v>
      </c>
      <c r="C1653" s="171" t="s">
        <v>90</v>
      </c>
      <c r="D1653" s="173">
        <v>0.01</v>
      </c>
      <c r="E1653" s="170" t="s">
        <v>30</v>
      </c>
      <c r="F1653" s="170" t="s">
        <v>188</v>
      </c>
      <c r="G1653" s="189" t="s">
        <v>2903</v>
      </c>
      <c r="H1653" s="171"/>
    </row>
    <row r="1654" ht="14.25" spans="1:8">
      <c r="A1654" s="232">
        <v>306</v>
      </c>
      <c r="B1654" s="175" t="s">
        <v>2292</v>
      </c>
      <c r="C1654" s="171" t="s">
        <v>90</v>
      </c>
      <c r="D1654" s="173">
        <v>0.01</v>
      </c>
      <c r="E1654" s="170" t="s">
        <v>30</v>
      </c>
      <c r="F1654" s="170" t="s">
        <v>188</v>
      </c>
      <c r="G1654" s="189" t="s">
        <v>2904</v>
      </c>
      <c r="H1654" s="171"/>
    </row>
    <row r="1655" ht="14.25" spans="1:8">
      <c r="A1655" s="176">
        <v>307</v>
      </c>
      <c r="B1655" s="175" t="s">
        <v>2292</v>
      </c>
      <c r="C1655" s="171" t="s">
        <v>90</v>
      </c>
      <c r="D1655" s="173">
        <v>0.01</v>
      </c>
      <c r="E1655" s="170" t="s">
        <v>30</v>
      </c>
      <c r="F1655" s="170" t="s">
        <v>188</v>
      </c>
      <c r="G1655" s="189" t="s">
        <v>2905</v>
      </c>
      <c r="H1655" s="171"/>
    </row>
    <row r="1656" ht="14.25" spans="1:8">
      <c r="A1656" s="232">
        <v>308</v>
      </c>
      <c r="B1656" s="175" t="s">
        <v>2292</v>
      </c>
      <c r="C1656" s="171" t="s">
        <v>90</v>
      </c>
      <c r="D1656" s="173">
        <v>0.01</v>
      </c>
      <c r="E1656" s="170" t="s">
        <v>30</v>
      </c>
      <c r="F1656" s="170" t="s">
        <v>188</v>
      </c>
      <c r="G1656" s="189" t="s">
        <v>2906</v>
      </c>
      <c r="H1656" s="171"/>
    </row>
    <row r="1657" ht="14.25" spans="1:8">
      <c r="A1657" s="176">
        <v>309</v>
      </c>
      <c r="B1657" s="175" t="s">
        <v>2292</v>
      </c>
      <c r="C1657" s="171" t="s">
        <v>90</v>
      </c>
      <c r="D1657" s="173">
        <v>0.01</v>
      </c>
      <c r="E1657" s="170" t="s">
        <v>30</v>
      </c>
      <c r="F1657" s="170" t="s">
        <v>188</v>
      </c>
      <c r="G1657" s="189" t="s">
        <v>2907</v>
      </c>
      <c r="H1657" s="171"/>
    </row>
    <row r="1658" ht="14.25" spans="1:8">
      <c r="A1658" s="232">
        <v>310</v>
      </c>
      <c r="B1658" s="175" t="s">
        <v>2292</v>
      </c>
      <c r="C1658" s="171" t="s">
        <v>90</v>
      </c>
      <c r="D1658" s="173">
        <v>0.01</v>
      </c>
      <c r="E1658" s="170" t="s">
        <v>30</v>
      </c>
      <c r="F1658" s="170" t="s">
        <v>188</v>
      </c>
      <c r="G1658" s="189" t="s">
        <v>2908</v>
      </c>
      <c r="H1658" s="171"/>
    </row>
    <row r="1659" ht="14.25" spans="1:8">
      <c r="A1659" s="176">
        <v>311</v>
      </c>
      <c r="B1659" s="175" t="s">
        <v>2292</v>
      </c>
      <c r="C1659" s="171" t="s">
        <v>90</v>
      </c>
      <c r="D1659" s="173">
        <v>0.01</v>
      </c>
      <c r="E1659" s="170" t="s">
        <v>30</v>
      </c>
      <c r="F1659" s="170" t="s">
        <v>188</v>
      </c>
      <c r="G1659" s="189" t="s">
        <v>2909</v>
      </c>
      <c r="H1659" s="171"/>
    </row>
    <row r="1660" ht="14.25" spans="1:8">
      <c r="A1660" s="232">
        <v>312</v>
      </c>
      <c r="B1660" s="175" t="s">
        <v>2910</v>
      </c>
      <c r="C1660" s="171" t="s">
        <v>90</v>
      </c>
      <c r="D1660" s="173">
        <v>0.01</v>
      </c>
      <c r="E1660" s="170" t="s">
        <v>30</v>
      </c>
      <c r="F1660" s="170" t="s">
        <v>188</v>
      </c>
      <c r="G1660" s="189" t="s">
        <v>2911</v>
      </c>
      <c r="H1660" s="171"/>
    </row>
    <row r="1661" ht="14.25" spans="1:8">
      <c r="A1661" s="176">
        <v>313</v>
      </c>
      <c r="B1661" s="175" t="s">
        <v>2912</v>
      </c>
      <c r="C1661" s="171" t="s">
        <v>90</v>
      </c>
      <c r="D1661" s="173">
        <v>0.02</v>
      </c>
      <c r="E1661" s="170" t="s">
        <v>30</v>
      </c>
      <c r="F1661" s="170" t="s">
        <v>188</v>
      </c>
      <c r="G1661" s="189" t="s">
        <v>2913</v>
      </c>
      <c r="H1661" s="171"/>
    </row>
    <row r="1662" ht="14.25" spans="1:8">
      <c r="A1662" s="232">
        <v>314</v>
      </c>
      <c r="B1662" s="175" t="s">
        <v>2912</v>
      </c>
      <c r="C1662" s="171" t="s">
        <v>90</v>
      </c>
      <c r="D1662" s="173">
        <v>0.02</v>
      </c>
      <c r="E1662" s="170" t="s">
        <v>30</v>
      </c>
      <c r="F1662" s="170" t="s">
        <v>188</v>
      </c>
      <c r="G1662" s="189" t="s">
        <v>2914</v>
      </c>
      <c r="H1662" s="171"/>
    </row>
    <row r="1663" ht="14.25" spans="1:8">
      <c r="A1663" s="176">
        <v>315</v>
      </c>
      <c r="B1663" s="175" t="s">
        <v>2915</v>
      </c>
      <c r="C1663" s="171" t="s">
        <v>90</v>
      </c>
      <c r="D1663" s="173">
        <v>0.02</v>
      </c>
      <c r="E1663" s="170" t="s">
        <v>30</v>
      </c>
      <c r="F1663" s="170" t="s">
        <v>188</v>
      </c>
      <c r="G1663" s="189" t="s">
        <v>2916</v>
      </c>
      <c r="H1663" s="171"/>
    </row>
    <row r="1664" ht="14.25" spans="1:8">
      <c r="A1664" s="232">
        <v>316</v>
      </c>
      <c r="B1664" s="175" t="s">
        <v>2917</v>
      </c>
      <c r="C1664" s="171" t="s">
        <v>90</v>
      </c>
      <c r="D1664" s="173">
        <v>0.03</v>
      </c>
      <c r="E1664" s="170" t="s">
        <v>30</v>
      </c>
      <c r="F1664" s="170" t="s">
        <v>188</v>
      </c>
      <c r="G1664" s="189" t="s">
        <v>2918</v>
      </c>
      <c r="H1664" s="171"/>
    </row>
    <row r="1665" ht="14.25" spans="1:8">
      <c r="A1665" s="176">
        <v>317</v>
      </c>
      <c r="B1665" s="175" t="s">
        <v>2919</v>
      </c>
      <c r="C1665" s="171" t="s">
        <v>90</v>
      </c>
      <c r="D1665" s="173">
        <v>0.02</v>
      </c>
      <c r="E1665" s="170" t="s">
        <v>30</v>
      </c>
      <c r="F1665" s="170" t="s">
        <v>188</v>
      </c>
      <c r="G1665" s="189" t="s">
        <v>2920</v>
      </c>
      <c r="H1665" s="171"/>
    </row>
    <row r="1666" ht="14.25" spans="1:8">
      <c r="A1666" s="232">
        <v>318</v>
      </c>
      <c r="B1666" s="175" t="s">
        <v>2921</v>
      </c>
      <c r="C1666" s="171" t="s">
        <v>90</v>
      </c>
      <c r="D1666" s="173">
        <v>0.03</v>
      </c>
      <c r="E1666" s="170" t="s">
        <v>30</v>
      </c>
      <c r="F1666" s="170" t="s">
        <v>188</v>
      </c>
      <c r="G1666" s="189" t="s">
        <v>2922</v>
      </c>
      <c r="H1666" s="171"/>
    </row>
    <row r="1667" ht="14.25" spans="1:8">
      <c r="A1667" s="176">
        <v>319</v>
      </c>
      <c r="B1667" s="189" t="s">
        <v>2923</v>
      </c>
      <c r="C1667" s="171" t="s">
        <v>90</v>
      </c>
      <c r="D1667" s="173">
        <v>0.01</v>
      </c>
      <c r="E1667" s="170" t="s">
        <v>30</v>
      </c>
      <c r="F1667" s="170" t="s">
        <v>188</v>
      </c>
      <c r="G1667" s="189" t="s">
        <v>2924</v>
      </c>
      <c r="H1667" s="171"/>
    </row>
    <row r="1668" ht="14.25" spans="1:8">
      <c r="A1668" s="232">
        <v>320</v>
      </c>
      <c r="B1668" s="189" t="s">
        <v>2923</v>
      </c>
      <c r="C1668" s="171" t="s">
        <v>90</v>
      </c>
      <c r="D1668" s="173">
        <v>0.02</v>
      </c>
      <c r="E1668" s="170" t="s">
        <v>30</v>
      </c>
      <c r="F1668" s="170" t="s">
        <v>188</v>
      </c>
      <c r="G1668" s="189" t="s">
        <v>2925</v>
      </c>
      <c r="H1668" s="171"/>
    </row>
    <row r="1669" ht="14.25" spans="1:8">
      <c r="A1669" s="176">
        <v>321</v>
      </c>
      <c r="B1669" s="189" t="s">
        <v>2923</v>
      </c>
      <c r="C1669" s="171" t="s">
        <v>90</v>
      </c>
      <c r="D1669" s="173">
        <v>0.02</v>
      </c>
      <c r="E1669" s="170" t="s">
        <v>30</v>
      </c>
      <c r="F1669" s="170" t="s">
        <v>188</v>
      </c>
      <c r="G1669" s="189" t="s">
        <v>2926</v>
      </c>
      <c r="H1669" s="171"/>
    </row>
    <row r="1670" ht="14.25" spans="1:8">
      <c r="A1670" s="232">
        <v>322</v>
      </c>
      <c r="B1670" s="175" t="s">
        <v>1442</v>
      </c>
      <c r="C1670" s="171" t="s">
        <v>90</v>
      </c>
      <c r="D1670" s="173">
        <v>0.28</v>
      </c>
      <c r="E1670" s="170" t="s">
        <v>30</v>
      </c>
      <c r="F1670" s="170" t="s">
        <v>188</v>
      </c>
      <c r="G1670" s="189" t="s">
        <v>2531</v>
      </c>
      <c r="H1670" s="171"/>
    </row>
    <row r="1671" ht="14.25" spans="1:8">
      <c r="A1671" s="176">
        <v>323</v>
      </c>
      <c r="B1671" s="175" t="s">
        <v>2927</v>
      </c>
      <c r="C1671" s="171" t="s">
        <v>90</v>
      </c>
      <c r="D1671" s="173">
        <v>0.03</v>
      </c>
      <c r="E1671" s="170" t="s">
        <v>30</v>
      </c>
      <c r="F1671" s="170" t="s">
        <v>188</v>
      </c>
      <c r="G1671" s="189" t="s">
        <v>2640</v>
      </c>
      <c r="H1671" s="171"/>
    </row>
    <row r="1672" ht="14.25" spans="1:8">
      <c r="A1672" s="232">
        <v>324</v>
      </c>
      <c r="B1672" s="175" t="s">
        <v>2308</v>
      </c>
      <c r="C1672" s="171" t="s">
        <v>90</v>
      </c>
      <c r="D1672" s="173">
        <v>0.03</v>
      </c>
      <c r="E1672" s="170" t="s">
        <v>30</v>
      </c>
      <c r="F1672" s="170" t="s">
        <v>188</v>
      </c>
      <c r="G1672" s="189" t="s">
        <v>2928</v>
      </c>
      <c r="H1672" s="171"/>
    </row>
    <row r="1673" ht="14.25" spans="1:8">
      <c r="A1673" s="176">
        <v>325</v>
      </c>
      <c r="B1673" s="175" t="s">
        <v>2844</v>
      </c>
      <c r="C1673" s="171" t="s">
        <v>90</v>
      </c>
      <c r="D1673" s="173">
        <v>0.09</v>
      </c>
      <c r="E1673" s="170" t="s">
        <v>30</v>
      </c>
      <c r="F1673" s="170" t="s">
        <v>188</v>
      </c>
      <c r="G1673" s="189" t="s">
        <v>2929</v>
      </c>
      <c r="H1673" s="171"/>
    </row>
    <row r="1674" ht="14.25" spans="1:8">
      <c r="A1674" s="232">
        <v>326</v>
      </c>
      <c r="B1674" s="175" t="s">
        <v>1219</v>
      </c>
      <c r="C1674" s="171" t="s">
        <v>90</v>
      </c>
      <c r="D1674" s="173">
        <v>0.03</v>
      </c>
      <c r="E1674" s="170" t="s">
        <v>30</v>
      </c>
      <c r="F1674" s="170" t="s">
        <v>188</v>
      </c>
      <c r="G1674" s="189" t="s">
        <v>2930</v>
      </c>
      <c r="H1674" s="171"/>
    </row>
    <row r="1675" ht="14.25" spans="1:8">
      <c r="A1675" s="176">
        <v>327</v>
      </c>
      <c r="B1675" s="175" t="s">
        <v>2931</v>
      </c>
      <c r="C1675" s="171" t="s">
        <v>90</v>
      </c>
      <c r="D1675" s="173">
        <v>0.09</v>
      </c>
      <c r="E1675" s="170" t="s">
        <v>30</v>
      </c>
      <c r="F1675" s="170" t="s">
        <v>188</v>
      </c>
      <c r="G1675" s="189" t="s">
        <v>2932</v>
      </c>
      <c r="H1675" s="171"/>
    </row>
    <row r="1676" ht="14.25" spans="1:8">
      <c r="A1676" s="232">
        <v>328</v>
      </c>
      <c r="B1676" s="175" t="s">
        <v>2863</v>
      </c>
      <c r="C1676" s="171" t="s">
        <v>90</v>
      </c>
      <c r="D1676" s="173">
        <v>0.05</v>
      </c>
      <c r="E1676" s="170" t="s">
        <v>30</v>
      </c>
      <c r="F1676" s="170" t="s">
        <v>188</v>
      </c>
      <c r="G1676" s="189" t="s">
        <v>2933</v>
      </c>
      <c r="H1676" s="171"/>
    </row>
    <row r="1677" ht="14.25" spans="1:8">
      <c r="A1677" s="176">
        <v>329</v>
      </c>
      <c r="B1677" s="175" t="s">
        <v>2934</v>
      </c>
      <c r="C1677" s="171" t="s">
        <v>90</v>
      </c>
      <c r="D1677" s="173">
        <v>0.05</v>
      </c>
      <c r="E1677" s="170" t="s">
        <v>30</v>
      </c>
      <c r="F1677" s="170" t="s">
        <v>188</v>
      </c>
      <c r="G1677" s="189" t="s">
        <v>2935</v>
      </c>
      <c r="H1677" s="171"/>
    </row>
    <row r="1678" ht="14.25" spans="1:8">
      <c r="A1678" s="232">
        <v>330</v>
      </c>
      <c r="B1678" s="175" t="s">
        <v>2936</v>
      </c>
      <c r="C1678" s="171" t="s">
        <v>90</v>
      </c>
      <c r="D1678" s="173">
        <v>0.03</v>
      </c>
      <c r="E1678" s="170" t="s">
        <v>30</v>
      </c>
      <c r="F1678" s="170" t="s">
        <v>188</v>
      </c>
      <c r="G1678" s="189" t="s">
        <v>2937</v>
      </c>
      <c r="H1678" s="171"/>
    </row>
    <row r="1679" ht="14.25" spans="1:8">
      <c r="A1679" s="176">
        <v>331</v>
      </c>
      <c r="B1679" s="175" t="s">
        <v>2938</v>
      </c>
      <c r="C1679" s="171" t="s">
        <v>90</v>
      </c>
      <c r="D1679" s="173">
        <v>0.1</v>
      </c>
      <c r="E1679" s="170" t="s">
        <v>30</v>
      </c>
      <c r="F1679" s="170" t="s">
        <v>188</v>
      </c>
      <c r="G1679" s="189" t="s">
        <v>2939</v>
      </c>
      <c r="H1679" s="171"/>
    </row>
    <row r="1680" ht="14.25" spans="1:8">
      <c r="A1680" s="232">
        <v>332</v>
      </c>
      <c r="B1680" s="175" t="s">
        <v>2940</v>
      </c>
      <c r="C1680" s="171" t="s">
        <v>90</v>
      </c>
      <c r="D1680" s="173">
        <v>0.07</v>
      </c>
      <c r="E1680" s="170" t="s">
        <v>30</v>
      </c>
      <c r="F1680" s="170" t="s">
        <v>188</v>
      </c>
      <c r="G1680" s="189" t="s">
        <v>2941</v>
      </c>
      <c r="H1680" s="171"/>
    </row>
    <row r="1681" ht="14.25" spans="1:8">
      <c r="A1681" s="176">
        <v>333</v>
      </c>
      <c r="B1681" s="175" t="s">
        <v>2942</v>
      </c>
      <c r="C1681" s="171" t="s">
        <v>90</v>
      </c>
      <c r="D1681" s="173">
        <v>0.1</v>
      </c>
      <c r="E1681" s="170" t="s">
        <v>30</v>
      </c>
      <c r="F1681" s="170" t="s">
        <v>188</v>
      </c>
      <c r="G1681" s="189" t="s">
        <v>2943</v>
      </c>
      <c r="H1681" s="171"/>
    </row>
    <row r="1682" ht="14.25" spans="1:8">
      <c r="A1682" s="232">
        <v>334</v>
      </c>
      <c r="B1682" s="195" t="s">
        <v>2747</v>
      </c>
      <c r="C1682" s="171" t="s">
        <v>90</v>
      </c>
      <c r="D1682" s="173">
        <v>0.04</v>
      </c>
      <c r="E1682" s="170" t="s">
        <v>30</v>
      </c>
      <c r="F1682" s="170" t="s">
        <v>188</v>
      </c>
      <c r="G1682" s="196" t="s">
        <v>2944</v>
      </c>
      <c r="H1682" s="171"/>
    </row>
    <row r="1683" ht="14.25" spans="1:8">
      <c r="A1683" s="176">
        <v>335</v>
      </c>
      <c r="B1683" s="195" t="s">
        <v>2691</v>
      </c>
      <c r="C1683" s="171" t="s">
        <v>90</v>
      </c>
      <c r="D1683" s="173">
        <v>0.06</v>
      </c>
      <c r="E1683" s="170" t="s">
        <v>30</v>
      </c>
      <c r="F1683" s="170" t="s">
        <v>188</v>
      </c>
      <c r="G1683" s="196" t="s">
        <v>2551</v>
      </c>
      <c r="H1683" s="171"/>
    </row>
    <row r="1684" ht="14.25" spans="1:8">
      <c r="A1684" s="232">
        <v>336</v>
      </c>
      <c r="B1684" s="195" t="s">
        <v>2945</v>
      </c>
      <c r="C1684" s="171" t="s">
        <v>90</v>
      </c>
      <c r="D1684" s="173">
        <v>0.08</v>
      </c>
      <c r="E1684" s="170" t="s">
        <v>30</v>
      </c>
      <c r="F1684" s="170" t="s">
        <v>188</v>
      </c>
      <c r="G1684" s="196" t="s">
        <v>2946</v>
      </c>
      <c r="H1684" s="171"/>
    </row>
    <row r="1685" ht="14.25" spans="1:8">
      <c r="A1685" s="176">
        <v>337</v>
      </c>
      <c r="B1685" s="195" t="s">
        <v>2947</v>
      </c>
      <c r="C1685" s="171" t="s">
        <v>90</v>
      </c>
      <c r="D1685" s="173">
        <v>0.13</v>
      </c>
      <c r="E1685" s="170" t="s">
        <v>30</v>
      </c>
      <c r="F1685" s="170" t="s">
        <v>188</v>
      </c>
      <c r="G1685" s="196" t="s">
        <v>2948</v>
      </c>
      <c r="H1685" s="171"/>
    </row>
    <row r="1686" ht="14.25" spans="1:8">
      <c r="A1686" s="232">
        <v>338</v>
      </c>
      <c r="B1686" s="201" t="s">
        <v>2947</v>
      </c>
      <c r="C1686" s="195" t="s">
        <v>90</v>
      </c>
      <c r="D1686" s="173">
        <v>0.13</v>
      </c>
      <c r="E1686" s="199" t="s">
        <v>30</v>
      </c>
      <c r="F1686" s="199" t="s">
        <v>188</v>
      </c>
      <c r="G1686" s="202" t="s">
        <v>2949</v>
      </c>
      <c r="H1686" s="171"/>
    </row>
    <row r="1687" ht="14.25" spans="1:8">
      <c r="A1687" s="176">
        <v>339</v>
      </c>
      <c r="B1687" s="198" t="s">
        <v>807</v>
      </c>
      <c r="C1687" s="172" t="s">
        <v>90</v>
      </c>
      <c r="D1687" s="173">
        <v>0.06</v>
      </c>
      <c r="E1687" s="199" t="s">
        <v>30</v>
      </c>
      <c r="F1687" s="199" t="s">
        <v>188</v>
      </c>
      <c r="G1687" s="200" t="s">
        <v>2950</v>
      </c>
      <c r="H1687" s="171"/>
    </row>
    <row r="1688" ht="14.25" spans="1:8">
      <c r="A1688" s="232">
        <v>340</v>
      </c>
      <c r="B1688" s="195" t="s">
        <v>2951</v>
      </c>
      <c r="C1688" s="171" t="s">
        <v>90</v>
      </c>
      <c r="D1688" s="173">
        <v>0.06</v>
      </c>
      <c r="E1688" s="170" t="s">
        <v>30</v>
      </c>
      <c r="F1688" s="170" t="s">
        <v>188</v>
      </c>
      <c r="G1688" s="196" t="s">
        <v>2952</v>
      </c>
      <c r="H1688" s="171"/>
    </row>
    <row r="1689" ht="14.25" spans="1:8">
      <c r="A1689" s="176">
        <v>341</v>
      </c>
      <c r="B1689" s="195" t="s">
        <v>2953</v>
      </c>
      <c r="C1689" s="171" t="s">
        <v>90</v>
      </c>
      <c r="D1689" s="173">
        <v>0.09</v>
      </c>
      <c r="E1689" s="170" t="s">
        <v>30</v>
      </c>
      <c r="F1689" s="170" t="s">
        <v>188</v>
      </c>
      <c r="G1689" s="196" t="s">
        <v>2939</v>
      </c>
      <c r="H1689" s="171"/>
    </row>
    <row r="1690" ht="14.25" spans="1:8">
      <c r="A1690" s="232">
        <v>342</v>
      </c>
      <c r="B1690" s="195" t="s">
        <v>2724</v>
      </c>
      <c r="C1690" s="171" t="s">
        <v>90</v>
      </c>
      <c r="D1690" s="173">
        <v>0.06</v>
      </c>
      <c r="E1690" s="170" t="s">
        <v>30</v>
      </c>
      <c r="F1690" s="170" t="s">
        <v>188</v>
      </c>
      <c r="G1690" s="196" t="s">
        <v>2726</v>
      </c>
      <c r="H1690" s="171"/>
    </row>
    <row r="1691" ht="14.25" spans="1:8">
      <c r="A1691" s="176">
        <v>343</v>
      </c>
      <c r="B1691" s="195" t="s">
        <v>2742</v>
      </c>
      <c r="C1691" s="171" t="s">
        <v>90</v>
      </c>
      <c r="D1691" s="173">
        <v>0.01</v>
      </c>
      <c r="E1691" s="170" t="s">
        <v>30</v>
      </c>
      <c r="F1691" s="170" t="s">
        <v>188</v>
      </c>
      <c r="G1691" s="196" t="s">
        <v>2954</v>
      </c>
      <c r="H1691" s="171"/>
    </row>
    <row r="1692" ht="14.25" spans="1:8">
      <c r="A1692" s="232">
        <v>344</v>
      </c>
      <c r="B1692" s="195" t="s">
        <v>2869</v>
      </c>
      <c r="C1692" s="171" t="s">
        <v>90</v>
      </c>
      <c r="D1692" s="173">
        <v>0.08</v>
      </c>
      <c r="E1692" s="170" t="s">
        <v>30</v>
      </c>
      <c r="F1692" s="170" t="s">
        <v>188</v>
      </c>
      <c r="G1692" s="196" t="s">
        <v>2955</v>
      </c>
      <c r="H1692" s="171"/>
    </row>
    <row r="1693" ht="14.25" spans="1:8">
      <c r="A1693" s="176">
        <v>345</v>
      </c>
      <c r="B1693" s="195" t="s">
        <v>2945</v>
      </c>
      <c r="C1693" s="171" t="s">
        <v>90</v>
      </c>
      <c r="D1693" s="173">
        <v>0.08</v>
      </c>
      <c r="E1693" s="170" t="s">
        <v>30</v>
      </c>
      <c r="F1693" s="170" t="s">
        <v>188</v>
      </c>
      <c r="G1693" s="196" t="s">
        <v>2946</v>
      </c>
      <c r="H1693" s="171"/>
    </row>
    <row r="1694" ht="14.25" spans="1:8">
      <c r="A1694" s="161" t="s">
        <v>2956</v>
      </c>
      <c r="B1694" s="166" t="s">
        <v>306</v>
      </c>
      <c r="C1694" s="166"/>
      <c r="D1694" s="167"/>
      <c r="E1694" s="208"/>
      <c r="F1694" s="161"/>
      <c r="G1694" s="166"/>
      <c r="H1694" s="166"/>
    </row>
    <row r="1695" ht="14.25" spans="1:8">
      <c r="A1695" s="176">
        <v>1</v>
      </c>
      <c r="B1695" s="171" t="s">
        <v>2957</v>
      </c>
      <c r="C1695" s="171" t="s">
        <v>35</v>
      </c>
      <c r="D1695" s="173">
        <v>0.02</v>
      </c>
      <c r="E1695" s="176" t="s">
        <v>30</v>
      </c>
      <c r="F1695" s="176" t="s">
        <v>188</v>
      </c>
      <c r="G1695" s="183" t="s">
        <v>2958</v>
      </c>
      <c r="H1695" s="171"/>
    </row>
    <row r="1696" ht="14.25" spans="1:8">
      <c r="A1696" s="176">
        <v>2</v>
      </c>
      <c r="B1696" s="171" t="s">
        <v>2959</v>
      </c>
      <c r="C1696" s="171" t="s">
        <v>35</v>
      </c>
      <c r="D1696" s="173">
        <v>0.01</v>
      </c>
      <c r="E1696" s="176" t="s">
        <v>30</v>
      </c>
      <c r="F1696" s="176" t="s">
        <v>188</v>
      </c>
      <c r="G1696" s="183" t="s">
        <v>2960</v>
      </c>
      <c r="H1696" s="171"/>
    </row>
    <row r="1697" ht="14.25" spans="1:8">
      <c r="A1697" s="176">
        <v>3</v>
      </c>
      <c r="B1697" s="171" t="s">
        <v>2961</v>
      </c>
      <c r="C1697" s="171" t="s">
        <v>35</v>
      </c>
      <c r="D1697" s="173">
        <v>0.02</v>
      </c>
      <c r="E1697" s="176" t="s">
        <v>30</v>
      </c>
      <c r="F1697" s="176" t="s">
        <v>188</v>
      </c>
      <c r="G1697" s="183" t="s">
        <v>2962</v>
      </c>
      <c r="H1697" s="171"/>
    </row>
    <row r="1698" ht="14.25" spans="1:8">
      <c r="A1698" s="176">
        <v>4</v>
      </c>
      <c r="B1698" s="171" t="s">
        <v>2963</v>
      </c>
      <c r="C1698" s="171" t="s">
        <v>35</v>
      </c>
      <c r="D1698" s="173">
        <v>0.01</v>
      </c>
      <c r="E1698" s="176" t="s">
        <v>30</v>
      </c>
      <c r="F1698" s="176" t="s">
        <v>188</v>
      </c>
      <c r="G1698" s="183" t="s">
        <v>2964</v>
      </c>
      <c r="H1698" s="171"/>
    </row>
    <row r="1699" ht="14.25" spans="1:8">
      <c r="A1699" s="176">
        <v>5</v>
      </c>
      <c r="B1699" s="171" t="s">
        <v>2965</v>
      </c>
      <c r="C1699" s="171" t="s">
        <v>35</v>
      </c>
      <c r="D1699" s="173">
        <v>0.05</v>
      </c>
      <c r="E1699" s="176" t="s">
        <v>30</v>
      </c>
      <c r="F1699" s="176" t="s">
        <v>188</v>
      </c>
      <c r="G1699" s="183" t="s">
        <v>2966</v>
      </c>
      <c r="H1699" s="171"/>
    </row>
    <row r="1700" ht="14.25" spans="1:8">
      <c r="A1700" s="176">
        <v>6</v>
      </c>
      <c r="B1700" s="171" t="s">
        <v>1346</v>
      </c>
      <c r="C1700" s="171" t="s">
        <v>35</v>
      </c>
      <c r="D1700" s="173">
        <v>0.02</v>
      </c>
      <c r="E1700" s="176" t="s">
        <v>30</v>
      </c>
      <c r="F1700" s="176" t="s">
        <v>188</v>
      </c>
      <c r="G1700" s="183" t="s">
        <v>2967</v>
      </c>
      <c r="H1700" s="171"/>
    </row>
    <row r="1701" ht="14.25" spans="1:8">
      <c r="A1701" s="176">
        <v>7</v>
      </c>
      <c r="B1701" s="171" t="s">
        <v>2968</v>
      </c>
      <c r="C1701" s="171" t="s">
        <v>35</v>
      </c>
      <c r="D1701" s="173">
        <v>0.02</v>
      </c>
      <c r="E1701" s="176" t="s">
        <v>30</v>
      </c>
      <c r="F1701" s="176" t="s">
        <v>188</v>
      </c>
      <c r="G1701" s="183" t="s">
        <v>2969</v>
      </c>
      <c r="H1701" s="171"/>
    </row>
    <row r="1702" ht="14.25" spans="1:8">
      <c r="A1702" s="176">
        <v>8</v>
      </c>
      <c r="B1702" s="171" t="s">
        <v>2970</v>
      </c>
      <c r="C1702" s="171" t="s">
        <v>35</v>
      </c>
      <c r="D1702" s="173">
        <v>0.02</v>
      </c>
      <c r="E1702" s="176" t="s">
        <v>30</v>
      </c>
      <c r="F1702" s="176" t="s">
        <v>188</v>
      </c>
      <c r="G1702" s="183" t="s">
        <v>2971</v>
      </c>
      <c r="H1702" s="171"/>
    </row>
    <row r="1703" ht="14.25" spans="1:8">
      <c r="A1703" s="176">
        <v>9</v>
      </c>
      <c r="B1703" s="171" t="s">
        <v>2477</v>
      </c>
      <c r="C1703" s="171" t="s">
        <v>35</v>
      </c>
      <c r="D1703" s="173">
        <v>0.04</v>
      </c>
      <c r="E1703" s="176" t="s">
        <v>30</v>
      </c>
      <c r="F1703" s="176" t="s">
        <v>188</v>
      </c>
      <c r="G1703" s="183" t="s">
        <v>2972</v>
      </c>
      <c r="H1703" s="171"/>
    </row>
    <row r="1704" ht="14.25" spans="1:8">
      <c r="A1704" s="176">
        <v>10</v>
      </c>
      <c r="B1704" s="171" t="s">
        <v>2973</v>
      </c>
      <c r="C1704" s="171" t="s">
        <v>35</v>
      </c>
      <c r="D1704" s="173">
        <v>0.01</v>
      </c>
      <c r="E1704" s="176" t="s">
        <v>30</v>
      </c>
      <c r="F1704" s="176" t="s">
        <v>188</v>
      </c>
      <c r="G1704" s="183" t="s">
        <v>2974</v>
      </c>
      <c r="H1704" s="171"/>
    </row>
    <row r="1705" ht="14.25" spans="1:8">
      <c r="A1705" s="176">
        <v>11</v>
      </c>
      <c r="B1705" s="171" t="s">
        <v>2975</v>
      </c>
      <c r="C1705" s="171" t="s">
        <v>35</v>
      </c>
      <c r="D1705" s="173">
        <v>0.02</v>
      </c>
      <c r="E1705" s="176" t="s">
        <v>30</v>
      </c>
      <c r="F1705" s="176" t="s">
        <v>188</v>
      </c>
      <c r="G1705" s="183" t="s">
        <v>2976</v>
      </c>
      <c r="H1705" s="171"/>
    </row>
    <row r="1706" ht="14.25" spans="1:8">
      <c r="A1706" s="176">
        <v>12</v>
      </c>
      <c r="B1706" s="171" t="s">
        <v>2977</v>
      </c>
      <c r="C1706" s="171" t="s">
        <v>35</v>
      </c>
      <c r="D1706" s="173">
        <v>0.02</v>
      </c>
      <c r="E1706" s="176" t="s">
        <v>30</v>
      </c>
      <c r="F1706" s="176" t="s">
        <v>188</v>
      </c>
      <c r="G1706" s="183" t="s">
        <v>2978</v>
      </c>
      <c r="H1706" s="171"/>
    </row>
    <row r="1707" ht="14.25" spans="1:8">
      <c r="A1707" s="176">
        <v>13</v>
      </c>
      <c r="B1707" s="171" t="s">
        <v>2973</v>
      </c>
      <c r="C1707" s="171" t="s">
        <v>35</v>
      </c>
      <c r="D1707" s="173">
        <v>0.12</v>
      </c>
      <c r="E1707" s="176" t="s">
        <v>30</v>
      </c>
      <c r="F1707" s="176" t="s">
        <v>188</v>
      </c>
      <c r="G1707" s="183" t="s">
        <v>2979</v>
      </c>
      <c r="H1707" s="171"/>
    </row>
    <row r="1708" ht="14.25" spans="1:8">
      <c r="A1708" s="176">
        <v>14</v>
      </c>
      <c r="B1708" s="171" t="s">
        <v>2980</v>
      </c>
      <c r="C1708" s="171" t="s">
        <v>35</v>
      </c>
      <c r="D1708" s="173">
        <v>0.04</v>
      </c>
      <c r="E1708" s="176" t="s">
        <v>30</v>
      </c>
      <c r="F1708" s="176" t="s">
        <v>188</v>
      </c>
      <c r="G1708" s="183" t="s">
        <v>2981</v>
      </c>
      <c r="H1708" s="171"/>
    </row>
    <row r="1709" ht="14.25" spans="1:8">
      <c r="A1709" s="176">
        <v>15</v>
      </c>
      <c r="B1709" s="171" t="s">
        <v>2982</v>
      </c>
      <c r="C1709" s="171" t="s">
        <v>35</v>
      </c>
      <c r="D1709" s="173">
        <v>0.02</v>
      </c>
      <c r="E1709" s="176" t="s">
        <v>30</v>
      </c>
      <c r="F1709" s="176" t="s">
        <v>188</v>
      </c>
      <c r="G1709" s="183" t="s">
        <v>2983</v>
      </c>
      <c r="H1709" s="171"/>
    </row>
    <row r="1710" ht="14.25" spans="1:8">
      <c r="A1710" s="176">
        <v>16</v>
      </c>
      <c r="B1710" s="171" t="s">
        <v>2984</v>
      </c>
      <c r="C1710" s="171" t="s">
        <v>35</v>
      </c>
      <c r="D1710" s="173">
        <v>0.02</v>
      </c>
      <c r="E1710" s="176" t="s">
        <v>30</v>
      </c>
      <c r="F1710" s="176" t="s">
        <v>188</v>
      </c>
      <c r="G1710" s="183" t="s">
        <v>2985</v>
      </c>
      <c r="H1710" s="171"/>
    </row>
    <row r="1711" ht="14.25" spans="1:8">
      <c r="A1711" s="176">
        <v>17</v>
      </c>
      <c r="B1711" s="171" t="s">
        <v>2986</v>
      </c>
      <c r="C1711" s="171" t="s">
        <v>35</v>
      </c>
      <c r="D1711" s="173">
        <v>0.01</v>
      </c>
      <c r="E1711" s="176" t="s">
        <v>30</v>
      </c>
      <c r="F1711" s="176" t="s">
        <v>188</v>
      </c>
      <c r="G1711" s="183" t="s">
        <v>2987</v>
      </c>
      <c r="H1711" s="171"/>
    </row>
    <row r="1712" ht="14.25" spans="1:8">
      <c r="A1712" s="176">
        <v>18</v>
      </c>
      <c r="B1712" s="171" t="s">
        <v>2988</v>
      </c>
      <c r="C1712" s="171" t="s">
        <v>35</v>
      </c>
      <c r="D1712" s="173">
        <v>0.02</v>
      </c>
      <c r="E1712" s="176" t="s">
        <v>30</v>
      </c>
      <c r="F1712" s="176" t="s">
        <v>188</v>
      </c>
      <c r="G1712" s="183" t="s">
        <v>2989</v>
      </c>
      <c r="H1712" s="171"/>
    </row>
    <row r="1713" ht="14.25" spans="1:8">
      <c r="A1713" s="176">
        <v>19</v>
      </c>
      <c r="B1713" s="171" t="s">
        <v>2990</v>
      </c>
      <c r="C1713" s="171" t="s">
        <v>35</v>
      </c>
      <c r="D1713" s="173">
        <v>0.02</v>
      </c>
      <c r="E1713" s="176" t="s">
        <v>30</v>
      </c>
      <c r="F1713" s="176" t="s">
        <v>188</v>
      </c>
      <c r="G1713" s="183" t="s">
        <v>2991</v>
      </c>
      <c r="H1713" s="171"/>
    </row>
    <row r="1714" ht="14.25" spans="1:8">
      <c r="A1714" s="176">
        <v>20</v>
      </c>
      <c r="B1714" s="171" t="s">
        <v>2992</v>
      </c>
      <c r="C1714" s="171" t="s">
        <v>35</v>
      </c>
      <c r="D1714" s="173">
        <v>0.01</v>
      </c>
      <c r="E1714" s="176" t="s">
        <v>30</v>
      </c>
      <c r="F1714" s="176" t="s">
        <v>188</v>
      </c>
      <c r="G1714" s="183" t="s">
        <v>2993</v>
      </c>
      <c r="H1714" s="171"/>
    </row>
    <row r="1715" ht="14.25" spans="1:8">
      <c r="A1715" s="176">
        <v>21</v>
      </c>
      <c r="B1715" s="171" t="s">
        <v>2994</v>
      </c>
      <c r="C1715" s="171" t="s">
        <v>35</v>
      </c>
      <c r="D1715" s="173">
        <v>0.02</v>
      </c>
      <c r="E1715" s="176" t="s">
        <v>30</v>
      </c>
      <c r="F1715" s="176" t="s">
        <v>188</v>
      </c>
      <c r="G1715" s="183" t="s">
        <v>2995</v>
      </c>
      <c r="H1715" s="171"/>
    </row>
    <row r="1716" ht="14.25" spans="1:8">
      <c r="A1716" s="176">
        <v>22</v>
      </c>
      <c r="B1716" s="171" t="s">
        <v>2996</v>
      </c>
      <c r="C1716" s="171" t="s">
        <v>35</v>
      </c>
      <c r="D1716" s="173">
        <v>0.02</v>
      </c>
      <c r="E1716" s="176" t="s">
        <v>30</v>
      </c>
      <c r="F1716" s="176" t="s">
        <v>188</v>
      </c>
      <c r="G1716" s="183" t="s">
        <v>2997</v>
      </c>
      <c r="H1716" s="171"/>
    </row>
    <row r="1717" ht="14.25" spans="1:8">
      <c r="A1717" s="176">
        <v>23</v>
      </c>
      <c r="B1717" s="171" t="s">
        <v>2998</v>
      </c>
      <c r="C1717" s="171" t="s">
        <v>35</v>
      </c>
      <c r="D1717" s="173">
        <v>0.02</v>
      </c>
      <c r="E1717" s="176" t="s">
        <v>30</v>
      </c>
      <c r="F1717" s="176" t="s">
        <v>188</v>
      </c>
      <c r="G1717" s="183" t="s">
        <v>2999</v>
      </c>
      <c r="H1717" s="171"/>
    </row>
    <row r="1718" ht="14.25" spans="1:8">
      <c r="A1718" s="176">
        <v>24</v>
      </c>
      <c r="B1718" s="171" t="s">
        <v>3000</v>
      </c>
      <c r="C1718" s="171" t="s">
        <v>35</v>
      </c>
      <c r="D1718" s="173">
        <v>0.02</v>
      </c>
      <c r="E1718" s="176" t="s">
        <v>30</v>
      </c>
      <c r="F1718" s="176" t="s">
        <v>188</v>
      </c>
      <c r="G1718" s="183" t="s">
        <v>3001</v>
      </c>
      <c r="H1718" s="171"/>
    </row>
    <row r="1719" ht="14.25" spans="1:8">
      <c r="A1719" s="176">
        <v>25</v>
      </c>
      <c r="B1719" s="171" t="s">
        <v>3002</v>
      </c>
      <c r="C1719" s="171" t="s">
        <v>35</v>
      </c>
      <c r="D1719" s="173">
        <v>0.02</v>
      </c>
      <c r="E1719" s="176" t="s">
        <v>30</v>
      </c>
      <c r="F1719" s="176" t="s">
        <v>188</v>
      </c>
      <c r="G1719" s="183" t="s">
        <v>2085</v>
      </c>
      <c r="H1719" s="171"/>
    </row>
    <row r="1720" ht="14.25" spans="1:8">
      <c r="A1720" s="176">
        <v>26</v>
      </c>
      <c r="B1720" s="171" t="s">
        <v>3003</v>
      </c>
      <c r="C1720" s="171" t="s">
        <v>35</v>
      </c>
      <c r="D1720" s="173">
        <v>0.02</v>
      </c>
      <c r="E1720" s="176" t="s">
        <v>30</v>
      </c>
      <c r="F1720" s="176" t="s">
        <v>188</v>
      </c>
      <c r="G1720" s="183" t="s">
        <v>3004</v>
      </c>
      <c r="H1720" s="171"/>
    </row>
    <row r="1721" ht="14.25" spans="1:8">
      <c r="A1721" s="176">
        <v>27</v>
      </c>
      <c r="B1721" s="171" t="s">
        <v>2078</v>
      </c>
      <c r="C1721" s="171" t="s">
        <v>35</v>
      </c>
      <c r="D1721" s="173">
        <v>0.01</v>
      </c>
      <c r="E1721" s="176" t="s">
        <v>30</v>
      </c>
      <c r="F1721" s="176" t="s">
        <v>188</v>
      </c>
      <c r="G1721" s="183" t="s">
        <v>3005</v>
      </c>
      <c r="H1721" s="171"/>
    </row>
    <row r="1722" ht="14.25" spans="1:8">
      <c r="A1722" s="176">
        <v>28</v>
      </c>
      <c r="B1722" s="171" t="s">
        <v>3006</v>
      </c>
      <c r="C1722" s="171" t="s">
        <v>35</v>
      </c>
      <c r="D1722" s="173">
        <v>0.1</v>
      </c>
      <c r="E1722" s="176" t="s">
        <v>30</v>
      </c>
      <c r="F1722" s="176" t="s">
        <v>188</v>
      </c>
      <c r="G1722" s="183" t="s">
        <v>3007</v>
      </c>
      <c r="H1722" s="171"/>
    </row>
    <row r="1723" ht="14.25" spans="1:8">
      <c r="A1723" s="176">
        <v>29</v>
      </c>
      <c r="B1723" s="171" t="s">
        <v>3008</v>
      </c>
      <c r="C1723" s="171" t="s">
        <v>35</v>
      </c>
      <c r="D1723" s="173">
        <v>0.02</v>
      </c>
      <c r="E1723" s="176" t="s">
        <v>30</v>
      </c>
      <c r="F1723" s="176" t="s">
        <v>188</v>
      </c>
      <c r="G1723" s="183" t="s">
        <v>3009</v>
      </c>
      <c r="H1723" s="171"/>
    </row>
    <row r="1724" ht="14.25" spans="1:8">
      <c r="A1724" s="176">
        <v>30</v>
      </c>
      <c r="B1724" s="171" t="s">
        <v>1066</v>
      </c>
      <c r="C1724" s="171" t="s">
        <v>35</v>
      </c>
      <c r="D1724" s="173">
        <v>0.01</v>
      </c>
      <c r="E1724" s="176" t="s">
        <v>30</v>
      </c>
      <c r="F1724" s="176" t="s">
        <v>188</v>
      </c>
      <c r="G1724" s="183" t="s">
        <v>3010</v>
      </c>
      <c r="H1724" s="171"/>
    </row>
    <row r="1725" ht="14.25" spans="1:8">
      <c r="A1725" s="176">
        <v>31</v>
      </c>
      <c r="B1725" s="171" t="s">
        <v>3011</v>
      </c>
      <c r="C1725" s="171" t="s">
        <v>35</v>
      </c>
      <c r="D1725" s="173">
        <v>0.03</v>
      </c>
      <c r="E1725" s="176" t="s">
        <v>30</v>
      </c>
      <c r="F1725" s="176" t="s">
        <v>188</v>
      </c>
      <c r="G1725" s="183" t="s">
        <v>3012</v>
      </c>
      <c r="H1725" s="171"/>
    </row>
    <row r="1726" ht="14.25" spans="1:8">
      <c r="A1726" s="176">
        <v>32</v>
      </c>
      <c r="B1726" s="171" t="s">
        <v>3013</v>
      </c>
      <c r="C1726" s="171" t="s">
        <v>35</v>
      </c>
      <c r="D1726" s="173">
        <v>0.02</v>
      </c>
      <c r="E1726" s="176" t="s">
        <v>30</v>
      </c>
      <c r="F1726" s="176" t="s">
        <v>188</v>
      </c>
      <c r="G1726" s="183" t="s">
        <v>3014</v>
      </c>
      <c r="H1726" s="171"/>
    </row>
    <row r="1727" ht="14.25" spans="1:8">
      <c r="A1727" s="176">
        <v>33</v>
      </c>
      <c r="B1727" s="171" t="s">
        <v>3015</v>
      </c>
      <c r="C1727" s="171" t="s">
        <v>35</v>
      </c>
      <c r="D1727" s="173">
        <v>0.09</v>
      </c>
      <c r="E1727" s="176" t="s">
        <v>30</v>
      </c>
      <c r="F1727" s="176" t="s">
        <v>188</v>
      </c>
      <c r="G1727" s="183" t="s">
        <v>3016</v>
      </c>
      <c r="H1727" s="171"/>
    </row>
    <row r="1728" ht="14.25" spans="1:8">
      <c r="A1728" s="176">
        <v>34</v>
      </c>
      <c r="B1728" s="171" t="s">
        <v>3017</v>
      </c>
      <c r="C1728" s="171" t="s">
        <v>35</v>
      </c>
      <c r="D1728" s="173">
        <v>0.1</v>
      </c>
      <c r="E1728" s="176" t="s">
        <v>30</v>
      </c>
      <c r="F1728" s="176" t="s">
        <v>188</v>
      </c>
      <c r="G1728" s="183" t="s">
        <v>3018</v>
      </c>
      <c r="H1728" s="171"/>
    </row>
    <row r="1729" ht="14.25" spans="1:8">
      <c r="A1729" s="176">
        <v>35</v>
      </c>
      <c r="B1729" s="171" t="s">
        <v>3019</v>
      </c>
      <c r="C1729" s="171" t="s">
        <v>35</v>
      </c>
      <c r="D1729" s="173">
        <v>0.1</v>
      </c>
      <c r="E1729" s="176" t="s">
        <v>30</v>
      </c>
      <c r="F1729" s="176" t="s">
        <v>188</v>
      </c>
      <c r="G1729" s="183" t="s">
        <v>3020</v>
      </c>
      <c r="H1729" s="171"/>
    </row>
    <row r="1730" ht="14.25" spans="1:8">
      <c r="A1730" s="176">
        <v>36</v>
      </c>
      <c r="B1730" s="171" t="s">
        <v>3021</v>
      </c>
      <c r="C1730" s="171" t="s">
        <v>35</v>
      </c>
      <c r="D1730" s="173">
        <v>0.16</v>
      </c>
      <c r="E1730" s="176" t="s">
        <v>30</v>
      </c>
      <c r="F1730" s="176" t="s">
        <v>188</v>
      </c>
      <c r="G1730" s="183" t="s">
        <v>3022</v>
      </c>
      <c r="H1730" s="171"/>
    </row>
    <row r="1731" ht="14.25" spans="1:8">
      <c r="A1731" s="176">
        <v>37</v>
      </c>
      <c r="B1731" s="171" t="s">
        <v>3021</v>
      </c>
      <c r="C1731" s="171" t="s">
        <v>35</v>
      </c>
      <c r="D1731" s="173">
        <v>0.16</v>
      </c>
      <c r="E1731" s="176" t="s">
        <v>30</v>
      </c>
      <c r="F1731" s="176" t="s">
        <v>188</v>
      </c>
      <c r="G1731" s="183" t="s">
        <v>3023</v>
      </c>
      <c r="H1731" s="171"/>
    </row>
    <row r="1732" ht="14.25" spans="1:8">
      <c r="A1732" s="176">
        <v>38</v>
      </c>
      <c r="B1732" s="171" t="s">
        <v>3024</v>
      </c>
      <c r="C1732" s="171" t="s">
        <v>35</v>
      </c>
      <c r="D1732" s="173">
        <v>0.02</v>
      </c>
      <c r="E1732" s="176" t="s">
        <v>30</v>
      </c>
      <c r="F1732" s="176" t="s">
        <v>188</v>
      </c>
      <c r="G1732" s="183" t="s">
        <v>3025</v>
      </c>
      <c r="H1732" s="171"/>
    </row>
    <row r="1733" ht="14.25" spans="1:8">
      <c r="A1733" s="176">
        <v>39</v>
      </c>
      <c r="B1733" s="171" t="s">
        <v>3026</v>
      </c>
      <c r="C1733" s="171" t="s">
        <v>35</v>
      </c>
      <c r="D1733" s="173">
        <v>0.02</v>
      </c>
      <c r="E1733" s="176" t="s">
        <v>30</v>
      </c>
      <c r="F1733" s="176" t="s">
        <v>188</v>
      </c>
      <c r="G1733" s="183" t="s">
        <v>3027</v>
      </c>
      <c r="H1733" s="171"/>
    </row>
    <row r="1734" ht="14.25" spans="1:8">
      <c r="A1734" s="176">
        <v>40</v>
      </c>
      <c r="B1734" s="171" t="s">
        <v>3028</v>
      </c>
      <c r="C1734" s="171" t="s">
        <v>35</v>
      </c>
      <c r="D1734" s="173">
        <v>0.04</v>
      </c>
      <c r="E1734" s="176" t="s">
        <v>30</v>
      </c>
      <c r="F1734" s="176" t="s">
        <v>188</v>
      </c>
      <c r="G1734" s="183" t="s">
        <v>3029</v>
      </c>
      <c r="H1734" s="171"/>
    </row>
    <row r="1735" ht="14.25" spans="1:8">
      <c r="A1735" s="176">
        <v>41</v>
      </c>
      <c r="B1735" s="171" t="s">
        <v>3028</v>
      </c>
      <c r="C1735" s="171" t="s">
        <v>35</v>
      </c>
      <c r="D1735" s="173">
        <v>0.04</v>
      </c>
      <c r="E1735" s="176" t="s">
        <v>30</v>
      </c>
      <c r="F1735" s="176" t="s">
        <v>188</v>
      </c>
      <c r="G1735" s="183" t="s">
        <v>3030</v>
      </c>
      <c r="H1735" s="171"/>
    </row>
    <row r="1736" ht="14.25" spans="1:8">
      <c r="A1736" s="176">
        <v>42</v>
      </c>
      <c r="B1736" s="171" t="s">
        <v>3031</v>
      </c>
      <c r="C1736" s="171" t="s">
        <v>35</v>
      </c>
      <c r="D1736" s="173">
        <v>0.1</v>
      </c>
      <c r="E1736" s="176" t="s">
        <v>30</v>
      </c>
      <c r="F1736" s="176" t="s">
        <v>188</v>
      </c>
      <c r="G1736" s="183" t="s">
        <v>3032</v>
      </c>
      <c r="H1736" s="171"/>
    </row>
    <row r="1737" ht="14.25" spans="1:8">
      <c r="A1737" s="176">
        <v>43</v>
      </c>
      <c r="B1737" s="171" t="s">
        <v>2477</v>
      </c>
      <c r="C1737" s="171" t="s">
        <v>35</v>
      </c>
      <c r="D1737" s="173">
        <v>0.08</v>
      </c>
      <c r="E1737" s="176" t="s">
        <v>30</v>
      </c>
      <c r="F1737" s="176" t="s">
        <v>188</v>
      </c>
      <c r="G1737" s="183" t="s">
        <v>3033</v>
      </c>
      <c r="H1737" s="171"/>
    </row>
    <row r="1738" ht="14.25" spans="1:8">
      <c r="A1738" s="176">
        <v>44</v>
      </c>
      <c r="B1738" s="171" t="s">
        <v>2477</v>
      </c>
      <c r="C1738" s="171" t="s">
        <v>35</v>
      </c>
      <c r="D1738" s="173">
        <v>0.02</v>
      </c>
      <c r="E1738" s="176" t="s">
        <v>30</v>
      </c>
      <c r="F1738" s="176" t="s">
        <v>188</v>
      </c>
      <c r="G1738" s="183" t="s">
        <v>2972</v>
      </c>
      <c r="H1738" s="171"/>
    </row>
    <row r="1739" ht="14.25" spans="1:8">
      <c r="A1739" s="176">
        <v>45</v>
      </c>
      <c r="B1739" s="171" t="s">
        <v>3034</v>
      </c>
      <c r="C1739" s="171" t="s">
        <v>35</v>
      </c>
      <c r="D1739" s="173">
        <v>0.03</v>
      </c>
      <c r="E1739" s="176" t="s">
        <v>30</v>
      </c>
      <c r="F1739" s="176" t="s">
        <v>188</v>
      </c>
      <c r="G1739" s="183" t="s">
        <v>3035</v>
      </c>
      <c r="H1739" s="171"/>
    </row>
    <row r="1740" ht="14.25" spans="1:8">
      <c r="A1740" s="176">
        <v>46</v>
      </c>
      <c r="B1740" s="171" t="s">
        <v>3034</v>
      </c>
      <c r="C1740" s="171" t="s">
        <v>35</v>
      </c>
      <c r="D1740" s="173">
        <v>0.02</v>
      </c>
      <c r="E1740" s="176" t="s">
        <v>30</v>
      </c>
      <c r="F1740" s="176" t="s">
        <v>188</v>
      </c>
      <c r="G1740" s="183" t="s">
        <v>3036</v>
      </c>
      <c r="H1740" s="171"/>
    </row>
    <row r="1741" ht="14.25" spans="1:8">
      <c r="A1741" s="176">
        <v>47</v>
      </c>
      <c r="B1741" s="171" t="s">
        <v>3037</v>
      </c>
      <c r="C1741" s="171" t="s">
        <v>35</v>
      </c>
      <c r="D1741" s="173">
        <v>0.03</v>
      </c>
      <c r="E1741" s="176" t="s">
        <v>30</v>
      </c>
      <c r="F1741" s="176" t="s">
        <v>188</v>
      </c>
      <c r="G1741" s="183" t="s">
        <v>3038</v>
      </c>
      <c r="H1741" s="171"/>
    </row>
    <row r="1742" ht="14.25" spans="1:8">
      <c r="A1742" s="176">
        <v>48</v>
      </c>
      <c r="B1742" s="171" t="s">
        <v>3039</v>
      </c>
      <c r="C1742" s="171" t="s">
        <v>35</v>
      </c>
      <c r="D1742" s="173">
        <v>0.05</v>
      </c>
      <c r="E1742" s="176" t="s">
        <v>30</v>
      </c>
      <c r="F1742" s="176" t="s">
        <v>188</v>
      </c>
      <c r="G1742" s="183" t="s">
        <v>3040</v>
      </c>
      <c r="H1742" s="171"/>
    </row>
    <row r="1743" ht="14.25" spans="1:8">
      <c r="A1743" s="176">
        <v>49</v>
      </c>
      <c r="B1743" s="171" t="s">
        <v>3041</v>
      </c>
      <c r="C1743" s="171" t="s">
        <v>35</v>
      </c>
      <c r="D1743" s="173">
        <v>0.02</v>
      </c>
      <c r="E1743" s="176" t="s">
        <v>30</v>
      </c>
      <c r="F1743" s="176" t="s">
        <v>188</v>
      </c>
      <c r="G1743" s="183" t="s">
        <v>3042</v>
      </c>
      <c r="H1743" s="171"/>
    </row>
    <row r="1744" ht="14.25" spans="1:8">
      <c r="A1744" s="176">
        <v>50</v>
      </c>
      <c r="B1744" s="171" t="s">
        <v>3043</v>
      </c>
      <c r="C1744" s="171" t="s">
        <v>35</v>
      </c>
      <c r="D1744" s="173">
        <v>0.08</v>
      </c>
      <c r="E1744" s="176" t="s">
        <v>30</v>
      </c>
      <c r="F1744" s="176" t="s">
        <v>188</v>
      </c>
      <c r="G1744" s="183" t="s">
        <v>3044</v>
      </c>
      <c r="H1744" s="171"/>
    </row>
    <row r="1745" ht="14.25" spans="1:8">
      <c r="A1745" s="176">
        <v>51</v>
      </c>
      <c r="B1745" s="171" t="s">
        <v>3045</v>
      </c>
      <c r="C1745" s="171" t="s">
        <v>35</v>
      </c>
      <c r="D1745" s="173">
        <v>0.06</v>
      </c>
      <c r="E1745" s="176" t="s">
        <v>30</v>
      </c>
      <c r="F1745" s="176" t="s">
        <v>188</v>
      </c>
      <c r="G1745" s="183" t="s">
        <v>3046</v>
      </c>
      <c r="H1745" s="171"/>
    </row>
    <row r="1746" ht="14.25" spans="1:8">
      <c r="A1746" s="176">
        <v>52</v>
      </c>
      <c r="B1746" s="171" t="s">
        <v>3047</v>
      </c>
      <c r="C1746" s="171" t="s">
        <v>35</v>
      </c>
      <c r="D1746" s="173">
        <v>0.04</v>
      </c>
      <c r="E1746" s="176" t="s">
        <v>30</v>
      </c>
      <c r="F1746" s="176" t="s">
        <v>188</v>
      </c>
      <c r="G1746" s="183" t="s">
        <v>3048</v>
      </c>
      <c r="H1746" s="171"/>
    </row>
    <row r="1747" ht="14.25" spans="1:8">
      <c r="A1747" s="176">
        <v>53</v>
      </c>
      <c r="B1747" s="171" t="s">
        <v>3049</v>
      </c>
      <c r="C1747" s="171" t="s">
        <v>35</v>
      </c>
      <c r="D1747" s="173">
        <v>0.01</v>
      </c>
      <c r="E1747" s="176" t="s">
        <v>30</v>
      </c>
      <c r="F1747" s="176" t="s">
        <v>188</v>
      </c>
      <c r="G1747" s="183" t="s">
        <v>3050</v>
      </c>
      <c r="H1747" s="171"/>
    </row>
    <row r="1748" ht="14.25" spans="1:8">
      <c r="A1748" s="176">
        <v>54</v>
      </c>
      <c r="B1748" s="171" t="s">
        <v>3006</v>
      </c>
      <c r="C1748" s="171" t="s">
        <v>35</v>
      </c>
      <c r="D1748" s="173">
        <v>0.1</v>
      </c>
      <c r="E1748" s="176" t="s">
        <v>30</v>
      </c>
      <c r="F1748" s="176" t="s">
        <v>188</v>
      </c>
      <c r="G1748" s="183" t="s">
        <v>3051</v>
      </c>
      <c r="H1748" s="171"/>
    </row>
    <row r="1749" ht="14.25" spans="1:8">
      <c r="A1749" s="176">
        <v>55</v>
      </c>
      <c r="B1749" s="171" t="s">
        <v>3052</v>
      </c>
      <c r="C1749" s="171" t="s">
        <v>35</v>
      </c>
      <c r="D1749" s="173">
        <v>0.04</v>
      </c>
      <c r="E1749" s="176" t="s">
        <v>30</v>
      </c>
      <c r="F1749" s="176" t="s">
        <v>188</v>
      </c>
      <c r="G1749" s="183" t="s">
        <v>3053</v>
      </c>
      <c r="H1749" s="171"/>
    </row>
    <row r="1750" ht="14.25" spans="1:8">
      <c r="A1750" s="176">
        <v>56</v>
      </c>
      <c r="B1750" s="171" t="s">
        <v>3052</v>
      </c>
      <c r="C1750" s="171" t="s">
        <v>35</v>
      </c>
      <c r="D1750" s="173">
        <v>0.04</v>
      </c>
      <c r="E1750" s="176" t="s">
        <v>30</v>
      </c>
      <c r="F1750" s="176" t="s">
        <v>188</v>
      </c>
      <c r="G1750" s="183" t="s">
        <v>3054</v>
      </c>
      <c r="H1750" s="171"/>
    </row>
    <row r="1751" ht="14.25" spans="1:8">
      <c r="A1751" s="176">
        <v>57</v>
      </c>
      <c r="B1751" s="171" t="s">
        <v>3019</v>
      </c>
      <c r="C1751" s="171" t="s">
        <v>35</v>
      </c>
      <c r="D1751" s="173">
        <v>0.08</v>
      </c>
      <c r="E1751" s="176" t="s">
        <v>30</v>
      </c>
      <c r="F1751" s="176" t="s">
        <v>188</v>
      </c>
      <c r="G1751" s="183" t="s">
        <v>3055</v>
      </c>
      <c r="H1751" s="171"/>
    </row>
    <row r="1752" ht="14.25" spans="1:8">
      <c r="A1752" s="176">
        <v>58</v>
      </c>
      <c r="B1752" s="171" t="s">
        <v>3056</v>
      </c>
      <c r="C1752" s="171" t="s">
        <v>35</v>
      </c>
      <c r="D1752" s="173">
        <v>0.03</v>
      </c>
      <c r="E1752" s="176" t="s">
        <v>30</v>
      </c>
      <c r="F1752" s="176" t="s">
        <v>188</v>
      </c>
      <c r="G1752" s="183" t="s">
        <v>3057</v>
      </c>
      <c r="H1752" s="171"/>
    </row>
    <row r="1753" ht="14.25" spans="1:8">
      <c r="A1753" s="176">
        <v>59</v>
      </c>
      <c r="B1753" s="171" t="s">
        <v>3058</v>
      </c>
      <c r="C1753" s="171" t="s">
        <v>35</v>
      </c>
      <c r="D1753" s="173">
        <v>0.05</v>
      </c>
      <c r="E1753" s="176" t="s">
        <v>30</v>
      </c>
      <c r="F1753" s="176" t="s">
        <v>188</v>
      </c>
      <c r="G1753" s="183" t="s">
        <v>3059</v>
      </c>
      <c r="H1753" s="171"/>
    </row>
    <row r="1754" ht="14.25" spans="1:8">
      <c r="A1754" s="176">
        <v>60</v>
      </c>
      <c r="B1754" s="171" t="s">
        <v>2375</v>
      </c>
      <c r="C1754" s="171" t="s">
        <v>35</v>
      </c>
      <c r="D1754" s="173">
        <v>0.04</v>
      </c>
      <c r="E1754" s="176" t="s">
        <v>30</v>
      </c>
      <c r="F1754" s="176" t="s">
        <v>188</v>
      </c>
      <c r="G1754" s="183" t="s">
        <v>3060</v>
      </c>
      <c r="H1754" s="171"/>
    </row>
    <row r="1755" ht="14.25" spans="1:8">
      <c r="A1755" s="176">
        <v>61</v>
      </c>
      <c r="B1755" s="171" t="s">
        <v>3061</v>
      </c>
      <c r="C1755" s="171" t="s">
        <v>35</v>
      </c>
      <c r="D1755" s="173">
        <v>0.01</v>
      </c>
      <c r="E1755" s="176" t="s">
        <v>30</v>
      </c>
      <c r="F1755" s="176" t="s">
        <v>188</v>
      </c>
      <c r="G1755" s="183" t="s">
        <v>3062</v>
      </c>
      <c r="H1755" s="171"/>
    </row>
    <row r="1756" ht="14.25" spans="1:8">
      <c r="A1756" s="176">
        <v>62</v>
      </c>
      <c r="B1756" s="171" t="s">
        <v>3063</v>
      </c>
      <c r="C1756" s="171" t="s">
        <v>35</v>
      </c>
      <c r="D1756" s="173">
        <v>0.06</v>
      </c>
      <c r="E1756" s="176" t="s">
        <v>30</v>
      </c>
      <c r="F1756" s="176" t="s">
        <v>188</v>
      </c>
      <c r="G1756" s="183" t="s">
        <v>3064</v>
      </c>
      <c r="H1756" s="171"/>
    </row>
    <row r="1757" ht="14.25" spans="1:8">
      <c r="A1757" s="176">
        <v>63</v>
      </c>
      <c r="B1757" s="171" t="s">
        <v>3065</v>
      </c>
      <c r="C1757" s="171" t="s">
        <v>35</v>
      </c>
      <c r="D1757" s="173">
        <v>0.8</v>
      </c>
      <c r="E1757" s="176" t="s">
        <v>30</v>
      </c>
      <c r="F1757" s="176" t="s">
        <v>188</v>
      </c>
      <c r="G1757" s="183" t="s">
        <v>3066</v>
      </c>
      <c r="H1757" s="171"/>
    </row>
    <row r="1758" ht="14.25" spans="1:8">
      <c r="A1758" s="176">
        <v>64</v>
      </c>
      <c r="B1758" s="171" t="s">
        <v>3065</v>
      </c>
      <c r="C1758" s="171" t="s">
        <v>35</v>
      </c>
      <c r="D1758" s="173">
        <v>0.1</v>
      </c>
      <c r="E1758" s="176" t="s">
        <v>30</v>
      </c>
      <c r="F1758" s="176" t="s">
        <v>188</v>
      </c>
      <c r="G1758" s="183" t="s">
        <v>3067</v>
      </c>
      <c r="H1758" s="171"/>
    </row>
    <row r="1759" ht="14.25" spans="1:8">
      <c r="A1759" s="176">
        <v>65</v>
      </c>
      <c r="B1759" s="171" t="s">
        <v>3068</v>
      </c>
      <c r="C1759" s="171" t="s">
        <v>35</v>
      </c>
      <c r="D1759" s="173">
        <v>0.04</v>
      </c>
      <c r="E1759" s="176" t="s">
        <v>30</v>
      </c>
      <c r="F1759" s="176" t="s">
        <v>188</v>
      </c>
      <c r="G1759" s="183" t="s">
        <v>3069</v>
      </c>
      <c r="H1759" s="171"/>
    </row>
    <row r="1760" ht="14.25" spans="1:8">
      <c r="A1760" s="176">
        <v>66</v>
      </c>
      <c r="B1760" s="171" t="s">
        <v>3068</v>
      </c>
      <c r="C1760" s="171" t="s">
        <v>35</v>
      </c>
      <c r="D1760" s="173">
        <v>0.04</v>
      </c>
      <c r="E1760" s="176" t="s">
        <v>30</v>
      </c>
      <c r="F1760" s="176" t="s">
        <v>188</v>
      </c>
      <c r="G1760" s="183" t="s">
        <v>3070</v>
      </c>
      <c r="H1760" s="171"/>
    </row>
    <row r="1761" ht="14.25" spans="1:8">
      <c r="A1761" s="176">
        <v>67</v>
      </c>
      <c r="B1761" s="171" t="s">
        <v>3071</v>
      </c>
      <c r="C1761" s="171" t="s">
        <v>35</v>
      </c>
      <c r="D1761" s="173">
        <v>0.02</v>
      </c>
      <c r="E1761" s="176" t="s">
        <v>30</v>
      </c>
      <c r="F1761" s="176" t="s">
        <v>188</v>
      </c>
      <c r="G1761" s="183" t="s">
        <v>2958</v>
      </c>
      <c r="H1761" s="171"/>
    </row>
    <row r="1762" ht="14.25" spans="1:8">
      <c r="A1762" s="176">
        <v>68</v>
      </c>
      <c r="B1762" s="171" t="s">
        <v>3072</v>
      </c>
      <c r="C1762" s="171" t="s">
        <v>35</v>
      </c>
      <c r="D1762" s="173">
        <v>0.02</v>
      </c>
      <c r="E1762" s="176" t="s">
        <v>30</v>
      </c>
      <c r="F1762" s="176" t="s">
        <v>188</v>
      </c>
      <c r="G1762" s="183" t="s">
        <v>3073</v>
      </c>
      <c r="H1762" s="171"/>
    </row>
    <row r="1763" ht="25.5" spans="1:8">
      <c r="A1763" s="176">
        <v>69</v>
      </c>
      <c r="B1763" s="171" t="s">
        <v>3074</v>
      </c>
      <c r="C1763" s="171" t="s">
        <v>35</v>
      </c>
      <c r="D1763" s="173">
        <v>0.04</v>
      </c>
      <c r="E1763" s="176" t="s">
        <v>30</v>
      </c>
      <c r="F1763" s="176" t="s">
        <v>188</v>
      </c>
      <c r="G1763" s="183" t="s">
        <v>3075</v>
      </c>
      <c r="H1763" s="171"/>
    </row>
    <row r="1764" ht="14.25" spans="1:8">
      <c r="A1764" s="176">
        <v>70</v>
      </c>
      <c r="B1764" s="171" t="s">
        <v>512</v>
      </c>
      <c r="C1764" s="171" t="s">
        <v>35</v>
      </c>
      <c r="D1764" s="173">
        <v>0.01</v>
      </c>
      <c r="E1764" s="176" t="s">
        <v>30</v>
      </c>
      <c r="F1764" s="176" t="s">
        <v>188</v>
      </c>
      <c r="G1764" s="183" t="s">
        <v>3076</v>
      </c>
      <c r="H1764" s="171"/>
    </row>
    <row r="1765" ht="14.25" spans="1:8">
      <c r="A1765" s="176">
        <v>71</v>
      </c>
      <c r="B1765" s="171" t="s">
        <v>3077</v>
      </c>
      <c r="C1765" s="171" t="s">
        <v>35</v>
      </c>
      <c r="D1765" s="173">
        <v>0.02</v>
      </c>
      <c r="E1765" s="176" t="s">
        <v>30</v>
      </c>
      <c r="F1765" s="176" t="s">
        <v>188</v>
      </c>
      <c r="G1765" s="183" t="s">
        <v>3078</v>
      </c>
      <c r="H1765" s="171"/>
    </row>
    <row r="1766" ht="14.25" spans="1:8">
      <c r="A1766" s="176">
        <v>72</v>
      </c>
      <c r="B1766" s="171" t="s">
        <v>3079</v>
      </c>
      <c r="C1766" s="171" t="s">
        <v>35</v>
      </c>
      <c r="D1766" s="173">
        <v>0.03</v>
      </c>
      <c r="E1766" s="176" t="s">
        <v>30</v>
      </c>
      <c r="F1766" s="176" t="s">
        <v>188</v>
      </c>
      <c r="G1766" s="183" t="s">
        <v>3080</v>
      </c>
      <c r="H1766" s="171"/>
    </row>
    <row r="1767" ht="14.25" spans="1:8">
      <c r="A1767" s="176">
        <v>73</v>
      </c>
      <c r="B1767" s="171" t="s">
        <v>3081</v>
      </c>
      <c r="C1767" s="171" t="s">
        <v>35</v>
      </c>
      <c r="D1767" s="173">
        <v>0.02</v>
      </c>
      <c r="E1767" s="176" t="s">
        <v>30</v>
      </c>
      <c r="F1767" s="176" t="s">
        <v>188</v>
      </c>
      <c r="G1767" s="183" t="s">
        <v>3082</v>
      </c>
      <c r="H1767" s="171"/>
    </row>
    <row r="1768" ht="14.25" spans="1:8">
      <c r="A1768" s="176">
        <v>74</v>
      </c>
      <c r="B1768" s="171" t="s">
        <v>451</v>
      </c>
      <c r="C1768" s="171" t="s">
        <v>35</v>
      </c>
      <c r="D1768" s="173">
        <v>0.03</v>
      </c>
      <c r="E1768" s="176" t="s">
        <v>30</v>
      </c>
      <c r="F1768" s="176" t="s">
        <v>188</v>
      </c>
      <c r="G1768" s="183" t="s">
        <v>3083</v>
      </c>
      <c r="H1768" s="171"/>
    </row>
    <row r="1769" ht="14.25" spans="1:8">
      <c r="A1769" s="176">
        <v>75</v>
      </c>
      <c r="B1769" s="171" t="s">
        <v>3084</v>
      </c>
      <c r="C1769" s="171" t="s">
        <v>35</v>
      </c>
      <c r="D1769" s="173">
        <v>0.06</v>
      </c>
      <c r="E1769" s="176" t="s">
        <v>30</v>
      </c>
      <c r="F1769" s="176" t="s">
        <v>188</v>
      </c>
      <c r="G1769" s="183" t="s">
        <v>3085</v>
      </c>
      <c r="H1769" s="171"/>
    </row>
    <row r="1770" ht="14.25" spans="1:8">
      <c r="A1770" s="176">
        <v>76</v>
      </c>
      <c r="B1770" s="171" t="s">
        <v>893</v>
      </c>
      <c r="C1770" s="171" t="s">
        <v>35</v>
      </c>
      <c r="D1770" s="173">
        <v>0.04</v>
      </c>
      <c r="E1770" s="176" t="s">
        <v>30</v>
      </c>
      <c r="F1770" s="176" t="s">
        <v>188</v>
      </c>
      <c r="G1770" s="183" t="s">
        <v>3086</v>
      </c>
      <c r="H1770" s="171"/>
    </row>
    <row r="1771" ht="14.25" spans="1:8">
      <c r="A1771" s="176">
        <v>77</v>
      </c>
      <c r="B1771" s="171" t="s">
        <v>3087</v>
      </c>
      <c r="C1771" s="171" t="s">
        <v>35</v>
      </c>
      <c r="D1771" s="173">
        <v>0.03</v>
      </c>
      <c r="E1771" s="176" t="s">
        <v>30</v>
      </c>
      <c r="F1771" s="176" t="s">
        <v>188</v>
      </c>
      <c r="G1771" s="183" t="s">
        <v>3009</v>
      </c>
      <c r="H1771" s="171"/>
    </row>
    <row r="1772" ht="14.25" spans="1:8">
      <c r="A1772" s="176">
        <v>78</v>
      </c>
      <c r="B1772" s="171" t="s">
        <v>3088</v>
      </c>
      <c r="C1772" s="171" t="s">
        <v>35</v>
      </c>
      <c r="D1772" s="173">
        <v>0.03</v>
      </c>
      <c r="E1772" s="176" t="s">
        <v>30</v>
      </c>
      <c r="F1772" s="176" t="s">
        <v>188</v>
      </c>
      <c r="G1772" s="183" t="s">
        <v>3060</v>
      </c>
      <c r="H1772" s="171"/>
    </row>
    <row r="1773" ht="14.25" spans="1:8">
      <c r="A1773" s="176">
        <v>79</v>
      </c>
      <c r="B1773" s="171" t="s">
        <v>3058</v>
      </c>
      <c r="C1773" s="171" t="s">
        <v>35</v>
      </c>
      <c r="D1773" s="173">
        <v>0.01</v>
      </c>
      <c r="E1773" s="176" t="s">
        <v>30</v>
      </c>
      <c r="F1773" s="176" t="s">
        <v>188</v>
      </c>
      <c r="G1773" s="183" t="s">
        <v>3089</v>
      </c>
      <c r="H1773" s="171"/>
    </row>
    <row r="1774" ht="14.25" spans="1:8">
      <c r="A1774" s="176">
        <v>80</v>
      </c>
      <c r="B1774" s="171" t="s">
        <v>3090</v>
      </c>
      <c r="C1774" s="171" t="s">
        <v>35</v>
      </c>
      <c r="D1774" s="173">
        <v>0.02</v>
      </c>
      <c r="E1774" s="176" t="s">
        <v>30</v>
      </c>
      <c r="F1774" s="176" t="s">
        <v>188</v>
      </c>
      <c r="G1774" s="183" t="s">
        <v>3091</v>
      </c>
      <c r="H1774" s="171"/>
    </row>
    <row r="1775" ht="14.25" spans="1:8">
      <c r="A1775" s="176">
        <v>81</v>
      </c>
      <c r="B1775" s="171" t="s">
        <v>3090</v>
      </c>
      <c r="C1775" s="171" t="s">
        <v>35</v>
      </c>
      <c r="D1775" s="173">
        <v>0.02</v>
      </c>
      <c r="E1775" s="176" t="s">
        <v>30</v>
      </c>
      <c r="F1775" s="176" t="s">
        <v>188</v>
      </c>
      <c r="G1775" s="183" t="s">
        <v>3092</v>
      </c>
      <c r="H1775" s="171"/>
    </row>
    <row r="1776" ht="14.25" spans="1:8">
      <c r="A1776" s="176">
        <v>82</v>
      </c>
      <c r="B1776" s="171" t="s">
        <v>3093</v>
      </c>
      <c r="C1776" s="171" t="s">
        <v>35</v>
      </c>
      <c r="D1776" s="173">
        <v>0.04</v>
      </c>
      <c r="E1776" s="176" t="s">
        <v>30</v>
      </c>
      <c r="F1776" s="176" t="s">
        <v>188</v>
      </c>
      <c r="G1776" s="183" t="s">
        <v>3094</v>
      </c>
      <c r="H1776" s="171"/>
    </row>
    <row r="1777" ht="14.25" spans="1:8">
      <c r="A1777" s="176">
        <v>83</v>
      </c>
      <c r="B1777" s="171" t="s">
        <v>2313</v>
      </c>
      <c r="C1777" s="171" t="s">
        <v>35</v>
      </c>
      <c r="D1777" s="173">
        <v>0.03</v>
      </c>
      <c r="E1777" s="176" t="s">
        <v>30</v>
      </c>
      <c r="F1777" s="176" t="s">
        <v>188</v>
      </c>
      <c r="G1777" s="183" t="s">
        <v>1402</v>
      </c>
      <c r="H1777" s="171"/>
    </row>
    <row r="1778" ht="14.25" spans="1:8">
      <c r="A1778" s="176">
        <v>84</v>
      </c>
      <c r="B1778" s="171" t="s">
        <v>2697</v>
      </c>
      <c r="C1778" s="171" t="s">
        <v>35</v>
      </c>
      <c r="D1778" s="173">
        <v>0.02</v>
      </c>
      <c r="E1778" s="176" t="s">
        <v>30</v>
      </c>
      <c r="F1778" s="176" t="s">
        <v>188</v>
      </c>
      <c r="G1778" s="183" t="s">
        <v>3001</v>
      </c>
      <c r="H1778" s="171"/>
    </row>
    <row r="1779" ht="14.25" spans="1:8">
      <c r="A1779" s="176">
        <v>85</v>
      </c>
      <c r="B1779" s="171" t="s">
        <v>3095</v>
      </c>
      <c r="C1779" s="171" t="s">
        <v>35</v>
      </c>
      <c r="D1779" s="173">
        <v>0.02</v>
      </c>
      <c r="E1779" s="176" t="s">
        <v>30</v>
      </c>
      <c r="F1779" s="176" t="s">
        <v>188</v>
      </c>
      <c r="G1779" s="183" t="s">
        <v>3096</v>
      </c>
      <c r="H1779" s="171"/>
    </row>
    <row r="1780" ht="14.25" spans="1:8">
      <c r="A1780" s="176">
        <v>86</v>
      </c>
      <c r="B1780" s="171" t="s">
        <v>3097</v>
      </c>
      <c r="C1780" s="171" t="s">
        <v>35</v>
      </c>
      <c r="D1780" s="173">
        <v>0.04</v>
      </c>
      <c r="E1780" s="176" t="s">
        <v>30</v>
      </c>
      <c r="F1780" s="176" t="s">
        <v>188</v>
      </c>
      <c r="G1780" s="183" t="s">
        <v>3098</v>
      </c>
      <c r="H1780" s="171"/>
    </row>
    <row r="1781" ht="14.25" spans="1:8">
      <c r="A1781" s="176">
        <v>87</v>
      </c>
      <c r="B1781" s="171" t="s">
        <v>3099</v>
      </c>
      <c r="C1781" s="171" t="s">
        <v>35</v>
      </c>
      <c r="D1781" s="173">
        <v>0.04</v>
      </c>
      <c r="E1781" s="176" t="s">
        <v>30</v>
      </c>
      <c r="F1781" s="176" t="s">
        <v>188</v>
      </c>
      <c r="G1781" s="183" t="s">
        <v>3100</v>
      </c>
      <c r="H1781" s="171"/>
    </row>
    <row r="1782" ht="14.25" spans="1:8">
      <c r="A1782" s="176">
        <v>88</v>
      </c>
      <c r="B1782" s="171" t="s">
        <v>3101</v>
      </c>
      <c r="C1782" s="171" t="s">
        <v>35</v>
      </c>
      <c r="D1782" s="173">
        <v>0.02</v>
      </c>
      <c r="E1782" s="176" t="s">
        <v>30</v>
      </c>
      <c r="F1782" s="176" t="s">
        <v>188</v>
      </c>
      <c r="G1782" s="183" t="s">
        <v>3102</v>
      </c>
      <c r="H1782" s="171"/>
    </row>
    <row r="1783" ht="14.25" spans="1:8">
      <c r="A1783" s="176">
        <v>89</v>
      </c>
      <c r="B1783" s="171" t="s">
        <v>3103</v>
      </c>
      <c r="C1783" s="171" t="s">
        <v>35</v>
      </c>
      <c r="D1783" s="173">
        <v>0.06</v>
      </c>
      <c r="E1783" s="176" t="s">
        <v>30</v>
      </c>
      <c r="F1783" s="176" t="s">
        <v>188</v>
      </c>
      <c r="G1783" s="183" t="s">
        <v>3082</v>
      </c>
      <c r="H1783" s="171"/>
    </row>
    <row r="1784" ht="14.25" spans="1:8">
      <c r="A1784" s="176">
        <v>90</v>
      </c>
      <c r="B1784" s="171" t="s">
        <v>3104</v>
      </c>
      <c r="C1784" s="171" t="s">
        <v>35</v>
      </c>
      <c r="D1784" s="173">
        <v>0.02</v>
      </c>
      <c r="E1784" s="176" t="s">
        <v>30</v>
      </c>
      <c r="F1784" s="176" t="s">
        <v>188</v>
      </c>
      <c r="G1784" s="183" t="s">
        <v>3105</v>
      </c>
      <c r="H1784" s="171"/>
    </row>
    <row r="1785" ht="14.25" spans="1:8">
      <c r="A1785" s="176">
        <v>91</v>
      </c>
      <c r="B1785" s="171" t="s">
        <v>3106</v>
      </c>
      <c r="C1785" s="171" t="s">
        <v>35</v>
      </c>
      <c r="D1785" s="173">
        <v>0.04</v>
      </c>
      <c r="E1785" s="176" t="s">
        <v>30</v>
      </c>
      <c r="F1785" s="176" t="s">
        <v>188</v>
      </c>
      <c r="G1785" s="183" t="s">
        <v>3107</v>
      </c>
      <c r="H1785" s="171"/>
    </row>
    <row r="1786" ht="14.25" spans="1:8">
      <c r="A1786" s="176">
        <v>92</v>
      </c>
      <c r="B1786" s="171" t="s">
        <v>3108</v>
      </c>
      <c r="C1786" s="171" t="s">
        <v>35</v>
      </c>
      <c r="D1786" s="173">
        <v>0.02</v>
      </c>
      <c r="E1786" s="176" t="s">
        <v>30</v>
      </c>
      <c r="F1786" s="176" t="s">
        <v>188</v>
      </c>
      <c r="G1786" s="183" t="s">
        <v>3109</v>
      </c>
      <c r="H1786" s="171"/>
    </row>
    <row r="1787" ht="14.25" spans="1:8">
      <c r="A1787" s="176">
        <v>93</v>
      </c>
      <c r="B1787" s="171" t="s">
        <v>3019</v>
      </c>
      <c r="C1787" s="171" t="s">
        <v>35</v>
      </c>
      <c r="D1787" s="173">
        <v>0.1</v>
      </c>
      <c r="E1787" s="176" t="s">
        <v>30</v>
      </c>
      <c r="F1787" s="176" t="s">
        <v>188</v>
      </c>
      <c r="G1787" s="183" t="s">
        <v>3110</v>
      </c>
      <c r="H1787" s="171"/>
    </row>
    <row r="1788" ht="14.25" spans="1:8">
      <c r="A1788" s="176">
        <v>94</v>
      </c>
      <c r="B1788" s="171" t="s">
        <v>3111</v>
      </c>
      <c r="C1788" s="171" t="s">
        <v>35</v>
      </c>
      <c r="D1788" s="173">
        <v>0.06</v>
      </c>
      <c r="E1788" s="176" t="s">
        <v>30</v>
      </c>
      <c r="F1788" s="176" t="s">
        <v>188</v>
      </c>
      <c r="G1788" s="183" t="s">
        <v>3112</v>
      </c>
      <c r="H1788" s="171"/>
    </row>
    <row r="1789" ht="14.25" spans="1:8">
      <c r="A1789" s="176">
        <v>95</v>
      </c>
      <c r="B1789" s="171" t="s">
        <v>3113</v>
      </c>
      <c r="C1789" s="171" t="s">
        <v>35</v>
      </c>
      <c r="D1789" s="173">
        <v>0.03</v>
      </c>
      <c r="E1789" s="176" t="s">
        <v>30</v>
      </c>
      <c r="F1789" s="176" t="s">
        <v>188</v>
      </c>
      <c r="G1789" s="183" t="s">
        <v>3114</v>
      </c>
      <c r="H1789" s="171"/>
    </row>
    <row r="1790" ht="14.25" spans="1:8">
      <c r="A1790" s="176">
        <v>96</v>
      </c>
      <c r="B1790" s="171" t="s">
        <v>3115</v>
      </c>
      <c r="C1790" s="171" t="s">
        <v>35</v>
      </c>
      <c r="D1790" s="173">
        <v>0.02</v>
      </c>
      <c r="E1790" s="176" t="s">
        <v>30</v>
      </c>
      <c r="F1790" s="176" t="s">
        <v>188</v>
      </c>
      <c r="G1790" s="183" t="s">
        <v>3116</v>
      </c>
      <c r="H1790" s="171"/>
    </row>
    <row r="1791" ht="14.25" spans="1:8">
      <c r="A1791" s="176">
        <v>97</v>
      </c>
      <c r="B1791" s="171" t="s">
        <v>3117</v>
      </c>
      <c r="C1791" s="171" t="s">
        <v>35</v>
      </c>
      <c r="D1791" s="173">
        <v>0.01</v>
      </c>
      <c r="E1791" s="176" t="s">
        <v>30</v>
      </c>
      <c r="F1791" s="176" t="s">
        <v>188</v>
      </c>
      <c r="G1791" s="183" t="s">
        <v>3118</v>
      </c>
      <c r="H1791" s="171"/>
    </row>
    <row r="1792" ht="14.25" spans="1:8">
      <c r="A1792" s="176">
        <v>98</v>
      </c>
      <c r="B1792" s="171" t="s">
        <v>3119</v>
      </c>
      <c r="C1792" s="171" t="s">
        <v>35</v>
      </c>
      <c r="D1792" s="173">
        <v>0.01</v>
      </c>
      <c r="E1792" s="176" t="s">
        <v>30</v>
      </c>
      <c r="F1792" s="176" t="s">
        <v>188</v>
      </c>
      <c r="G1792" s="183" t="s">
        <v>3120</v>
      </c>
      <c r="H1792" s="171"/>
    </row>
    <row r="1793" ht="14.25" spans="1:8">
      <c r="A1793" s="176">
        <v>99</v>
      </c>
      <c r="B1793" s="171" t="s">
        <v>3121</v>
      </c>
      <c r="C1793" s="171" t="s">
        <v>35</v>
      </c>
      <c r="D1793" s="173">
        <v>0.01</v>
      </c>
      <c r="E1793" s="176" t="s">
        <v>30</v>
      </c>
      <c r="F1793" s="176" t="s">
        <v>188</v>
      </c>
      <c r="G1793" s="183" t="s">
        <v>3122</v>
      </c>
      <c r="H1793" s="171"/>
    </row>
    <row r="1794" ht="14.25" spans="1:8">
      <c r="A1794" s="176">
        <v>100</v>
      </c>
      <c r="B1794" s="171" t="s">
        <v>3121</v>
      </c>
      <c r="C1794" s="171" t="s">
        <v>35</v>
      </c>
      <c r="D1794" s="173">
        <v>0.02</v>
      </c>
      <c r="E1794" s="176" t="s">
        <v>30</v>
      </c>
      <c r="F1794" s="176" t="s">
        <v>188</v>
      </c>
      <c r="G1794" s="183" t="s">
        <v>3123</v>
      </c>
      <c r="H1794" s="171"/>
    </row>
    <row r="1795" ht="14.25" spans="1:8">
      <c r="A1795" s="176">
        <v>101</v>
      </c>
      <c r="B1795" s="171" t="s">
        <v>3124</v>
      </c>
      <c r="C1795" s="171" t="s">
        <v>35</v>
      </c>
      <c r="D1795" s="173">
        <v>0.01</v>
      </c>
      <c r="E1795" s="176" t="s">
        <v>30</v>
      </c>
      <c r="F1795" s="176" t="s">
        <v>188</v>
      </c>
      <c r="G1795" s="183" t="s">
        <v>3125</v>
      </c>
      <c r="H1795" s="171"/>
    </row>
    <row r="1796" ht="14.25" spans="1:8">
      <c r="A1796" s="176">
        <v>102</v>
      </c>
      <c r="B1796" s="171" t="s">
        <v>3126</v>
      </c>
      <c r="C1796" s="171" t="s">
        <v>35</v>
      </c>
      <c r="D1796" s="173">
        <v>0.04</v>
      </c>
      <c r="E1796" s="176" t="s">
        <v>30</v>
      </c>
      <c r="F1796" s="176" t="s">
        <v>188</v>
      </c>
      <c r="G1796" s="183" t="s">
        <v>3127</v>
      </c>
      <c r="H1796" s="171"/>
    </row>
    <row r="1797" ht="14.25" spans="1:8">
      <c r="A1797" s="176">
        <v>103</v>
      </c>
      <c r="B1797" s="171" t="s">
        <v>3128</v>
      </c>
      <c r="C1797" s="171" t="s">
        <v>35</v>
      </c>
      <c r="D1797" s="173">
        <v>0.03</v>
      </c>
      <c r="E1797" s="176" t="s">
        <v>30</v>
      </c>
      <c r="F1797" s="176" t="s">
        <v>188</v>
      </c>
      <c r="G1797" s="183" t="s">
        <v>3129</v>
      </c>
      <c r="H1797" s="171"/>
    </row>
    <row r="1798" ht="14.25" spans="1:8">
      <c r="A1798" s="176">
        <v>104</v>
      </c>
      <c r="B1798" s="171" t="s">
        <v>3128</v>
      </c>
      <c r="C1798" s="171" t="s">
        <v>35</v>
      </c>
      <c r="D1798" s="173">
        <v>0.03</v>
      </c>
      <c r="E1798" s="176" t="s">
        <v>30</v>
      </c>
      <c r="F1798" s="176" t="s">
        <v>188</v>
      </c>
      <c r="G1798" s="183" t="s">
        <v>3130</v>
      </c>
      <c r="H1798" s="171"/>
    </row>
    <row r="1799" ht="14.25" spans="1:8">
      <c r="A1799" s="176">
        <v>105</v>
      </c>
      <c r="B1799" s="171" t="s">
        <v>3128</v>
      </c>
      <c r="C1799" s="171" t="s">
        <v>35</v>
      </c>
      <c r="D1799" s="173">
        <v>0.03</v>
      </c>
      <c r="E1799" s="176" t="s">
        <v>30</v>
      </c>
      <c r="F1799" s="176" t="s">
        <v>188</v>
      </c>
      <c r="G1799" s="183" t="s">
        <v>3131</v>
      </c>
      <c r="H1799" s="171"/>
    </row>
    <row r="1800" ht="14.25" spans="1:8">
      <c r="A1800" s="176">
        <v>106</v>
      </c>
      <c r="B1800" s="171" t="s">
        <v>3132</v>
      </c>
      <c r="C1800" s="171" t="s">
        <v>35</v>
      </c>
      <c r="D1800" s="173">
        <v>0.03</v>
      </c>
      <c r="E1800" s="176" t="s">
        <v>30</v>
      </c>
      <c r="F1800" s="176" t="s">
        <v>188</v>
      </c>
      <c r="G1800" s="183" t="s">
        <v>3133</v>
      </c>
      <c r="H1800" s="171"/>
    </row>
    <row r="1801" ht="14.25" spans="1:8">
      <c r="A1801" s="176">
        <v>107</v>
      </c>
      <c r="B1801" s="171" t="s">
        <v>3132</v>
      </c>
      <c r="C1801" s="171" t="s">
        <v>35</v>
      </c>
      <c r="D1801" s="173">
        <v>0.03</v>
      </c>
      <c r="E1801" s="176" t="s">
        <v>30</v>
      </c>
      <c r="F1801" s="176" t="s">
        <v>188</v>
      </c>
      <c r="G1801" s="183" t="s">
        <v>3134</v>
      </c>
      <c r="H1801" s="171"/>
    </row>
    <row r="1802" ht="14.25" spans="1:8">
      <c r="A1802" s="176">
        <v>108</v>
      </c>
      <c r="B1802" s="171" t="s">
        <v>3135</v>
      </c>
      <c r="C1802" s="171" t="s">
        <v>35</v>
      </c>
      <c r="D1802" s="173">
        <v>0.05</v>
      </c>
      <c r="E1802" s="176" t="s">
        <v>30</v>
      </c>
      <c r="F1802" s="176" t="s">
        <v>188</v>
      </c>
      <c r="G1802" s="183" t="s">
        <v>3136</v>
      </c>
      <c r="H1802" s="171"/>
    </row>
    <row r="1803" ht="14.25" spans="1:8">
      <c r="A1803" s="176">
        <v>109</v>
      </c>
      <c r="B1803" s="171" t="s">
        <v>3137</v>
      </c>
      <c r="C1803" s="171" t="s">
        <v>35</v>
      </c>
      <c r="D1803" s="173">
        <v>0.05</v>
      </c>
      <c r="E1803" s="176" t="s">
        <v>30</v>
      </c>
      <c r="F1803" s="176" t="s">
        <v>188</v>
      </c>
      <c r="G1803" s="183" t="s">
        <v>2512</v>
      </c>
      <c r="H1803" s="171"/>
    </row>
    <row r="1804" ht="14.25" spans="1:8">
      <c r="A1804" s="176">
        <v>110</v>
      </c>
      <c r="B1804" s="171" t="s">
        <v>3138</v>
      </c>
      <c r="C1804" s="171" t="s">
        <v>35</v>
      </c>
      <c r="D1804" s="173">
        <v>0.03</v>
      </c>
      <c r="E1804" s="176" t="s">
        <v>30</v>
      </c>
      <c r="F1804" s="176" t="s">
        <v>188</v>
      </c>
      <c r="G1804" s="183" t="s">
        <v>3139</v>
      </c>
      <c r="H1804" s="171"/>
    </row>
    <row r="1805" ht="14.25" spans="1:8">
      <c r="A1805" s="176">
        <v>111</v>
      </c>
      <c r="B1805" s="238" t="s">
        <v>3021</v>
      </c>
      <c r="C1805" s="171" t="s">
        <v>35</v>
      </c>
      <c r="D1805" s="173">
        <v>0.2</v>
      </c>
      <c r="E1805" s="239" t="s">
        <v>30</v>
      </c>
      <c r="F1805" s="239" t="s">
        <v>188</v>
      </c>
      <c r="G1805" s="183" t="s">
        <v>3023</v>
      </c>
      <c r="H1805" s="171"/>
    </row>
    <row r="1806" ht="14.25" spans="1:8">
      <c r="A1806" s="176">
        <v>112</v>
      </c>
      <c r="B1806" s="238" t="s">
        <v>3021</v>
      </c>
      <c r="C1806" s="171" t="s">
        <v>35</v>
      </c>
      <c r="D1806" s="173">
        <v>0.2</v>
      </c>
      <c r="E1806" s="239" t="s">
        <v>30</v>
      </c>
      <c r="F1806" s="239" t="s">
        <v>188</v>
      </c>
      <c r="G1806" s="183" t="s">
        <v>3022</v>
      </c>
      <c r="H1806" s="171"/>
    </row>
    <row r="1807" ht="14.25" spans="1:8">
      <c r="A1807" s="176">
        <v>113</v>
      </c>
      <c r="B1807" s="171" t="s">
        <v>3140</v>
      </c>
      <c r="C1807" s="171" t="s">
        <v>35</v>
      </c>
      <c r="D1807" s="173">
        <v>0.03</v>
      </c>
      <c r="E1807" s="176" t="s">
        <v>30</v>
      </c>
      <c r="F1807" s="176" t="s">
        <v>188</v>
      </c>
      <c r="G1807" s="183" t="s">
        <v>3141</v>
      </c>
      <c r="H1807" s="171"/>
    </row>
    <row r="1808" ht="14.25" spans="1:8">
      <c r="A1808" s="176">
        <v>114</v>
      </c>
      <c r="B1808" s="171" t="s">
        <v>3124</v>
      </c>
      <c r="C1808" s="171" t="s">
        <v>35</v>
      </c>
      <c r="D1808" s="173">
        <v>0.04</v>
      </c>
      <c r="E1808" s="176" t="s">
        <v>30</v>
      </c>
      <c r="F1808" s="176" t="s">
        <v>188</v>
      </c>
      <c r="G1808" s="183" t="s">
        <v>548</v>
      </c>
      <c r="H1808" s="171"/>
    </row>
    <row r="1809" ht="25.5" spans="1:8">
      <c r="A1809" s="176">
        <v>115</v>
      </c>
      <c r="B1809" s="171" t="s">
        <v>3142</v>
      </c>
      <c r="C1809" s="171" t="s">
        <v>35</v>
      </c>
      <c r="D1809" s="173">
        <v>0.02</v>
      </c>
      <c r="E1809" s="176" t="s">
        <v>30</v>
      </c>
      <c r="F1809" s="176" t="s">
        <v>188</v>
      </c>
      <c r="G1809" s="183" t="s">
        <v>3143</v>
      </c>
      <c r="H1809" s="171" t="s">
        <v>1883</v>
      </c>
    </row>
    <row r="1810" ht="25.5" spans="1:8">
      <c r="A1810" s="176">
        <v>116</v>
      </c>
      <c r="B1810" s="171" t="s">
        <v>3144</v>
      </c>
      <c r="C1810" s="171" t="s">
        <v>35</v>
      </c>
      <c r="D1810" s="173">
        <v>0.05</v>
      </c>
      <c r="E1810" s="176" t="s">
        <v>30</v>
      </c>
      <c r="F1810" s="176" t="s">
        <v>188</v>
      </c>
      <c r="G1810" s="183" t="s">
        <v>3145</v>
      </c>
      <c r="H1810" s="171" t="s">
        <v>634</v>
      </c>
    </row>
    <row r="1811" ht="14.25" spans="1:8">
      <c r="A1811" s="176">
        <v>117</v>
      </c>
      <c r="B1811" s="171" t="s">
        <v>3146</v>
      </c>
      <c r="C1811" s="171" t="s">
        <v>35</v>
      </c>
      <c r="D1811" s="173">
        <v>0.03</v>
      </c>
      <c r="E1811" s="176" t="s">
        <v>30</v>
      </c>
      <c r="F1811" s="176" t="s">
        <v>188</v>
      </c>
      <c r="G1811" s="183" t="s">
        <v>3147</v>
      </c>
      <c r="H1811" s="171"/>
    </row>
    <row r="1812" ht="14.25" spans="1:8">
      <c r="A1812" s="176">
        <v>118</v>
      </c>
      <c r="B1812" s="171" t="s">
        <v>3148</v>
      </c>
      <c r="C1812" s="171" t="s">
        <v>35</v>
      </c>
      <c r="D1812" s="173">
        <v>0.04</v>
      </c>
      <c r="E1812" s="176" t="s">
        <v>30</v>
      </c>
      <c r="F1812" s="176" t="s">
        <v>188</v>
      </c>
      <c r="G1812" s="183" t="s">
        <v>3149</v>
      </c>
      <c r="H1812" s="171"/>
    </row>
    <row r="1813" ht="14.25" spans="1:8">
      <c r="A1813" s="176">
        <v>119</v>
      </c>
      <c r="B1813" s="171" t="s">
        <v>3150</v>
      </c>
      <c r="C1813" s="171" t="s">
        <v>35</v>
      </c>
      <c r="D1813" s="173">
        <v>0.02</v>
      </c>
      <c r="E1813" s="176" t="s">
        <v>30</v>
      </c>
      <c r="F1813" s="176" t="s">
        <v>188</v>
      </c>
      <c r="G1813" s="183" t="s">
        <v>3151</v>
      </c>
      <c r="H1813" s="171" t="s">
        <v>672</v>
      </c>
    </row>
    <row r="1814" ht="14.25" spans="1:8">
      <c r="A1814" s="176">
        <v>120</v>
      </c>
      <c r="B1814" s="171" t="s">
        <v>3152</v>
      </c>
      <c r="C1814" s="171" t="s">
        <v>35</v>
      </c>
      <c r="D1814" s="173">
        <v>0.02</v>
      </c>
      <c r="E1814" s="176" t="s">
        <v>30</v>
      </c>
      <c r="F1814" s="176" t="s">
        <v>188</v>
      </c>
      <c r="G1814" s="183" t="s">
        <v>3153</v>
      </c>
      <c r="H1814" s="171"/>
    </row>
    <row r="1815" ht="14.25" spans="1:8">
      <c r="A1815" s="176">
        <v>121</v>
      </c>
      <c r="B1815" s="171" t="s">
        <v>3154</v>
      </c>
      <c r="C1815" s="171" t="s">
        <v>35</v>
      </c>
      <c r="D1815" s="173">
        <v>0.05</v>
      </c>
      <c r="E1815" s="176" t="s">
        <v>30</v>
      </c>
      <c r="F1815" s="176" t="s">
        <v>188</v>
      </c>
      <c r="G1815" s="183" t="s">
        <v>3155</v>
      </c>
      <c r="H1815" s="171"/>
    </row>
    <row r="1816" ht="14.25" spans="1:8">
      <c r="A1816" s="176">
        <v>122</v>
      </c>
      <c r="B1816" s="171" t="s">
        <v>3156</v>
      </c>
      <c r="C1816" s="171" t="s">
        <v>35</v>
      </c>
      <c r="D1816" s="173">
        <v>0.04</v>
      </c>
      <c r="E1816" s="176" t="s">
        <v>30</v>
      </c>
      <c r="F1816" s="176" t="s">
        <v>188</v>
      </c>
      <c r="G1816" s="183" t="s">
        <v>3157</v>
      </c>
      <c r="H1816" s="171"/>
    </row>
    <row r="1817" ht="14.25" spans="1:8">
      <c r="A1817" s="176">
        <v>123</v>
      </c>
      <c r="B1817" s="171" t="s">
        <v>3158</v>
      </c>
      <c r="C1817" s="171" t="s">
        <v>35</v>
      </c>
      <c r="D1817" s="173">
        <v>0.02</v>
      </c>
      <c r="E1817" s="176" t="s">
        <v>30</v>
      </c>
      <c r="F1817" s="176" t="s">
        <v>188</v>
      </c>
      <c r="G1817" s="183" t="s">
        <v>3159</v>
      </c>
      <c r="H1817" s="171"/>
    </row>
    <row r="1818" ht="14.25" spans="1:8">
      <c r="A1818" s="176">
        <v>124</v>
      </c>
      <c r="B1818" s="171" t="s">
        <v>3160</v>
      </c>
      <c r="C1818" s="171" t="s">
        <v>35</v>
      </c>
      <c r="D1818" s="173">
        <v>0.01</v>
      </c>
      <c r="E1818" s="176" t="s">
        <v>30</v>
      </c>
      <c r="F1818" s="176" t="s">
        <v>188</v>
      </c>
      <c r="G1818" s="183" t="s">
        <v>3161</v>
      </c>
      <c r="H1818" s="171"/>
    </row>
    <row r="1819" ht="14.25" spans="1:8">
      <c r="A1819" s="176">
        <v>125</v>
      </c>
      <c r="B1819" s="171" t="s">
        <v>3162</v>
      </c>
      <c r="C1819" s="171" t="s">
        <v>35</v>
      </c>
      <c r="D1819" s="173">
        <v>0.01</v>
      </c>
      <c r="E1819" s="176" t="s">
        <v>30</v>
      </c>
      <c r="F1819" s="176" t="s">
        <v>188</v>
      </c>
      <c r="G1819" s="183" t="s">
        <v>3163</v>
      </c>
      <c r="H1819" s="171"/>
    </row>
    <row r="1820" ht="14.25" spans="1:8">
      <c r="A1820" s="176">
        <v>126</v>
      </c>
      <c r="B1820" s="171" t="s">
        <v>3006</v>
      </c>
      <c r="C1820" s="171" t="s">
        <v>35</v>
      </c>
      <c r="D1820" s="173">
        <v>0.1</v>
      </c>
      <c r="E1820" s="176" t="s">
        <v>30</v>
      </c>
      <c r="F1820" s="176" t="s">
        <v>188</v>
      </c>
      <c r="G1820" s="183" t="s">
        <v>3051</v>
      </c>
      <c r="H1820" s="171"/>
    </row>
    <row r="1821" ht="14.25" spans="1:8">
      <c r="A1821" s="176">
        <v>127</v>
      </c>
      <c r="B1821" s="171" t="s">
        <v>3164</v>
      </c>
      <c r="C1821" s="171" t="s">
        <v>35</v>
      </c>
      <c r="D1821" s="173">
        <v>0.02</v>
      </c>
      <c r="E1821" s="176" t="s">
        <v>30</v>
      </c>
      <c r="F1821" s="176" t="s">
        <v>188</v>
      </c>
      <c r="G1821" s="183" t="s">
        <v>3165</v>
      </c>
      <c r="H1821" s="171"/>
    </row>
    <row r="1822" ht="14.25" spans="1:8">
      <c r="A1822" s="176">
        <v>128</v>
      </c>
      <c r="B1822" s="171" t="s">
        <v>3166</v>
      </c>
      <c r="C1822" s="171" t="s">
        <v>35</v>
      </c>
      <c r="D1822" s="173">
        <v>0.01</v>
      </c>
      <c r="E1822" s="176" t="s">
        <v>30</v>
      </c>
      <c r="F1822" s="176" t="s">
        <v>188</v>
      </c>
      <c r="G1822" s="183" t="s">
        <v>3167</v>
      </c>
      <c r="H1822" s="171"/>
    </row>
    <row r="1823" ht="14.25" spans="1:8">
      <c r="A1823" s="176">
        <v>129</v>
      </c>
      <c r="B1823" s="171" t="s">
        <v>3168</v>
      </c>
      <c r="C1823" s="171" t="s">
        <v>35</v>
      </c>
      <c r="D1823" s="173">
        <v>0.04</v>
      </c>
      <c r="E1823" s="176" t="s">
        <v>30</v>
      </c>
      <c r="F1823" s="176" t="s">
        <v>188</v>
      </c>
      <c r="G1823" s="183" t="s">
        <v>3169</v>
      </c>
      <c r="H1823" s="171"/>
    </row>
    <row r="1824" ht="14.25" spans="1:8">
      <c r="A1824" s="176">
        <v>130</v>
      </c>
      <c r="B1824" s="171" t="s">
        <v>3170</v>
      </c>
      <c r="C1824" s="171" t="s">
        <v>35</v>
      </c>
      <c r="D1824" s="173">
        <v>0.04</v>
      </c>
      <c r="E1824" s="176" t="s">
        <v>30</v>
      </c>
      <c r="F1824" s="176" t="s">
        <v>188</v>
      </c>
      <c r="G1824" s="183" t="s">
        <v>3171</v>
      </c>
      <c r="H1824" s="171"/>
    </row>
    <row r="1825" ht="14.25" spans="1:8">
      <c r="A1825" s="176">
        <v>131</v>
      </c>
      <c r="B1825" s="171" t="s">
        <v>3170</v>
      </c>
      <c r="C1825" s="171" t="s">
        <v>35</v>
      </c>
      <c r="D1825" s="173">
        <v>0.04</v>
      </c>
      <c r="E1825" s="176" t="s">
        <v>30</v>
      </c>
      <c r="F1825" s="176" t="s">
        <v>188</v>
      </c>
      <c r="G1825" s="183" t="s">
        <v>3172</v>
      </c>
      <c r="H1825" s="171"/>
    </row>
    <row r="1826" ht="14.25" spans="1:8">
      <c r="A1826" s="176">
        <v>132</v>
      </c>
      <c r="B1826" s="171" t="s">
        <v>3170</v>
      </c>
      <c r="C1826" s="171" t="s">
        <v>35</v>
      </c>
      <c r="D1826" s="173">
        <v>0.04</v>
      </c>
      <c r="E1826" s="176" t="s">
        <v>30</v>
      </c>
      <c r="F1826" s="176" t="s">
        <v>188</v>
      </c>
      <c r="G1826" s="183" t="s">
        <v>3173</v>
      </c>
      <c r="H1826" s="171"/>
    </row>
    <row r="1827" ht="14.25" spans="1:8">
      <c r="A1827" s="176">
        <v>133</v>
      </c>
      <c r="B1827" s="171" t="s">
        <v>3174</v>
      </c>
      <c r="C1827" s="171" t="s">
        <v>35</v>
      </c>
      <c r="D1827" s="173">
        <v>0.03</v>
      </c>
      <c r="E1827" s="176" t="s">
        <v>30</v>
      </c>
      <c r="F1827" s="176" t="s">
        <v>188</v>
      </c>
      <c r="G1827" s="183" t="s">
        <v>3175</v>
      </c>
      <c r="H1827" s="171"/>
    </row>
    <row r="1828" ht="14.25" spans="1:8">
      <c r="A1828" s="176">
        <v>134</v>
      </c>
      <c r="B1828" s="171" t="s">
        <v>3174</v>
      </c>
      <c r="C1828" s="171" t="s">
        <v>35</v>
      </c>
      <c r="D1828" s="173">
        <v>0.02</v>
      </c>
      <c r="E1828" s="176" t="s">
        <v>30</v>
      </c>
      <c r="F1828" s="176" t="s">
        <v>188</v>
      </c>
      <c r="G1828" s="183" t="s">
        <v>3176</v>
      </c>
      <c r="H1828" s="171"/>
    </row>
    <row r="1829" ht="14.25" spans="1:8">
      <c r="A1829" s="176">
        <v>135</v>
      </c>
      <c r="B1829" s="171" t="s">
        <v>3177</v>
      </c>
      <c r="C1829" s="171" t="s">
        <v>35</v>
      </c>
      <c r="D1829" s="173">
        <v>0.02</v>
      </c>
      <c r="E1829" s="176" t="s">
        <v>30</v>
      </c>
      <c r="F1829" s="176" t="s">
        <v>188</v>
      </c>
      <c r="G1829" s="183" t="s">
        <v>3178</v>
      </c>
      <c r="H1829" s="171"/>
    </row>
    <row r="1830" ht="14.25" spans="1:8">
      <c r="A1830" s="176">
        <v>136</v>
      </c>
      <c r="B1830" s="171" t="s">
        <v>3179</v>
      </c>
      <c r="C1830" s="171" t="s">
        <v>35</v>
      </c>
      <c r="D1830" s="173">
        <v>0.06</v>
      </c>
      <c r="E1830" s="176" t="s">
        <v>30</v>
      </c>
      <c r="F1830" s="176" t="s">
        <v>188</v>
      </c>
      <c r="G1830" s="183" t="s">
        <v>3180</v>
      </c>
      <c r="H1830" s="171"/>
    </row>
    <row r="1831" ht="14.25" spans="1:8">
      <c r="A1831" s="176">
        <v>137</v>
      </c>
      <c r="B1831" s="171" t="s">
        <v>3181</v>
      </c>
      <c r="C1831" s="171" t="s">
        <v>35</v>
      </c>
      <c r="D1831" s="173">
        <v>0.02</v>
      </c>
      <c r="E1831" s="176" t="s">
        <v>30</v>
      </c>
      <c r="F1831" s="176" t="s">
        <v>188</v>
      </c>
      <c r="G1831" s="183" t="s">
        <v>3182</v>
      </c>
      <c r="H1831" s="171"/>
    </row>
    <row r="1832" ht="14.25" spans="1:8">
      <c r="A1832" s="176">
        <v>138</v>
      </c>
      <c r="B1832" s="171" t="s">
        <v>3183</v>
      </c>
      <c r="C1832" s="171" t="s">
        <v>35</v>
      </c>
      <c r="D1832" s="173">
        <v>0.02</v>
      </c>
      <c r="E1832" s="176" t="s">
        <v>30</v>
      </c>
      <c r="F1832" s="176" t="s">
        <v>188</v>
      </c>
      <c r="G1832" s="183" t="s">
        <v>480</v>
      </c>
      <c r="H1832" s="171"/>
    </row>
    <row r="1833" ht="14.25" spans="1:8">
      <c r="A1833" s="176">
        <v>139</v>
      </c>
      <c r="B1833" s="171" t="s">
        <v>3183</v>
      </c>
      <c r="C1833" s="171" t="s">
        <v>35</v>
      </c>
      <c r="D1833" s="173">
        <v>0.01</v>
      </c>
      <c r="E1833" s="176" t="s">
        <v>30</v>
      </c>
      <c r="F1833" s="176" t="s">
        <v>188</v>
      </c>
      <c r="G1833" s="183" t="s">
        <v>3184</v>
      </c>
      <c r="H1833" s="171"/>
    </row>
    <row r="1834" ht="14.25" spans="1:8">
      <c r="A1834" s="176">
        <v>140</v>
      </c>
      <c r="B1834" s="171" t="s">
        <v>3185</v>
      </c>
      <c r="C1834" s="171" t="s">
        <v>35</v>
      </c>
      <c r="D1834" s="173">
        <v>0.05</v>
      </c>
      <c r="E1834" s="176" t="s">
        <v>30</v>
      </c>
      <c r="F1834" s="176" t="s">
        <v>188</v>
      </c>
      <c r="G1834" s="183" t="s">
        <v>3186</v>
      </c>
      <c r="H1834" s="171"/>
    </row>
    <row r="1835" ht="14.25" spans="1:8">
      <c r="A1835" s="176">
        <v>141</v>
      </c>
      <c r="B1835" s="171" t="s">
        <v>3185</v>
      </c>
      <c r="C1835" s="171" t="s">
        <v>35</v>
      </c>
      <c r="D1835" s="173">
        <v>0.03</v>
      </c>
      <c r="E1835" s="176" t="s">
        <v>30</v>
      </c>
      <c r="F1835" s="176" t="s">
        <v>188</v>
      </c>
      <c r="G1835" s="183" t="s">
        <v>3187</v>
      </c>
      <c r="H1835" s="171"/>
    </row>
    <row r="1836" ht="14.25" spans="1:8">
      <c r="A1836" s="176">
        <v>142</v>
      </c>
      <c r="B1836" s="171" t="s">
        <v>3188</v>
      </c>
      <c r="C1836" s="171" t="s">
        <v>35</v>
      </c>
      <c r="D1836" s="173">
        <v>0.05</v>
      </c>
      <c r="E1836" s="176" t="s">
        <v>30</v>
      </c>
      <c r="F1836" s="176" t="s">
        <v>188</v>
      </c>
      <c r="G1836" s="183" t="s">
        <v>3189</v>
      </c>
      <c r="H1836" s="171"/>
    </row>
    <row r="1837" ht="14.25" spans="1:8">
      <c r="A1837" s="176">
        <v>143</v>
      </c>
      <c r="B1837" s="171" t="s">
        <v>3190</v>
      </c>
      <c r="C1837" s="171" t="s">
        <v>35</v>
      </c>
      <c r="D1837" s="173">
        <v>0.04</v>
      </c>
      <c r="E1837" s="176" t="s">
        <v>30</v>
      </c>
      <c r="F1837" s="176" t="s">
        <v>188</v>
      </c>
      <c r="G1837" s="183" t="s">
        <v>3191</v>
      </c>
      <c r="H1837" s="171"/>
    </row>
    <row r="1838" ht="25.5" spans="1:8">
      <c r="A1838" s="176">
        <v>144</v>
      </c>
      <c r="B1838" s="171" t="s">
        <v>3192</v>
      </c>
      <c r="C1838" s="171" t="s">
        <v>35</v>
      </c>
      <c r="D1838" s="173">
        <v>0.03</v>
      </c>
      <c r="E1838" s="176" t="s">
        <v>30</v>
      </c>
      <c r="F1838" s="176" t="s">
        <v>188</v>
      </c>
      <c r="G1838" s="183" t="s">
        <v>3193</v>
      </c>
      <c r="H1838" s="171"/>
    </row>
    <row r="1839" ht="25.5" spans="1:8">
      <c r="A1839" s="176">
        <v>145</v>
      </c>
      <c r="B1839" s="171" t="s">
        <v>3194</v>
      </c>
      <c r="C1839" s="171" t="s">
        <v>35</v>
      </c>
      <c r="D1839" s="173">
        <v>0.18</v>
      </c>
      <c r="E1839" s="176" t="s">
        <v>30</v>
      </c>
      <c r="F1839" s="176" t="s">
        <v>188</v>
      </c>
      <c r="G1839" s="183" t="s">
        <v>3195</v>
      </c>
      <c r="H1839" s="171"/>
    </row>
    <row r="1840" ht="25.5" spans="1:8">
      <c r="A1840" s="176">
        <v>146</v>
      </c>
      <c r="B1840" s="175" t="s">
        <v>3196</v>
      </c>
      <c r="C1840" s="171" t="s">
        <v>35</v>
      </c>
      <c r="D1840" s="173">
        <v>0.2</v>
      </c>
      <c r="E1840" s="176" t="s">
        <v>30</v>
      </c>
      <c r="F1840" s="176" t="s">
        <v>188</v>
      </c>
      <c r="G1840" s="189" t="s">
        <v>3197</v>
      </c>
      <c r="H1840" s="171" t="s">
        <v>2315</v>
      </c>
    </row>
    <row r="1841" ht="14.25" spans="1:8">
      <c r="A1841" s="176">
        <v>147</v>
      </c>
      <c r="B1841" s="175" t="s">
        <v>3196</v>
      </c>
      <c r="C1841" s="171" t="s">
        <v>35</v>
      </c>
      <c r="D1841" s="173">
        <v>0.1</v>
      </c>
      <c r="E1841" s="176" t="s">
        <v>30</v>
      </c>
      <c r="F1841" s="176" t="s">
        <v>188</v>
      </c>
      <c r="G1841" s="189" t="s">
        <v>3198</v>
      </c>
      <c r="H1841" s="171" t="s">
        <v>672</v>
      </c>
    </row>
    <row r="1842" ht="14.25" spans="1:8">
      <c r="A1842" s="176">
        <v>148</v>
      </c>
      <c r="B1842" s="175" t="s">
        <v>3150</v>
      </c>
      <c r="C1842" s="171" t="s">
        <v>35</v>
      </c>
      <c r="D1842" s="173">
        <v>0.02</v>
      </c>
      <c r="E1842" s="176" t="s">
        <v>30</v>
      </c>
      <c r="F1842" s="176" t="s">
        <v>188</v>
      </c>
      <c r="G1842" s="189" t="s">
        <v>3151</v>
      </c>
      <c r="H1842" s="171"/>
    </row>
    <row r="1843" ht="14.25" spans="1:8">
      <c r="A1843" s="176">
        <v>149</v>
      </c>
      <c r="B1843" s="175" t="s">
        <v>3056</v>
      </c>
      <c r="C1843" s="171" t="s">
        <v>35</v>
      </c>
      <c r="D1843" s="173">
        <v>0.085</v>
      </c>
      <c r="E1843" s="176" t="s">
        <v>30</v>
      </c>
      <c r="F1843" s="176" t="s">
        <v>188</v>
      </c>
      <c r="G1843" s="189" t="s">
        <v>3057</v>
      </c>
      <c r="H1843" s="171"/>
    </row>
    <row r="1844" ht="14.25" spans="1:8">
      <c r="A1844" s="176">
        <v>150</v>
      </c>
      <c r="B1844" s="175" t="s">
        <v>3199</v>
      </c>
      <c r="C1844" s="171" t="s">
        <v>35</v>
      </c>
      <c r="D1844" s="173">
        <v>0.13</v>
      </c>
      <c r="E1844" s="176" t="s">
        <v>30</v>
      </c>
      <c r="F1844" s="176" t="s">
        <v>188</v>
      </c>
      <c r="G1844" s="189" t="s">
        <v>1858</v>
      </c>
      <c r="H1844" s="171" t="s">
        <v>672</v>
      </c>
    </row>
    <row r="1845" ht="14.25" spans="1:8">
      <c r="A1845" s="176">
        <v>151</v>
      </c>
      <c r="B1845" s="175" t="s">
        <v>3200</v>
      </c>
      <c r="C1845" s="171" t="s">
        <v>35</v>
      </c>
      <c r="D1845" s="173">
        <v>0.2</v>
      </c>
      <c r="E1845" s="176" t="s">
        <v>30</v>
      </c>
      <c r="F1845" s="176" t="s">
        <v>188</v>
      </c>
      <c r="G1845" s="189" t="s">
        <v>3201</v>
      </c>
      <c r="H1845" s="171" t="s">
        <v>593</v>
      </c>
    </row>
    <row r="1846" ht="25.5" spans="1:8">
      <c r="A1846" s="176">
        <v>152</v>
      </c>
      <c r="B1846" s="175" t="s">
        <v>3200</v>
      </c>
      <c r="C1846" s="171" t="s">
        <v>35</v>
      </c>
      <c r="D1846" s="173">
        <v>0.2</v>
      </c>
      <c r="E1846" s="176" t="s">
        <v>30</v>
      </c>
      <c r="F1846" s="176" t="s">
        <v>188</v>
      </c>
      <c r="G1846" s="189" t="s">
        <v>3202</v>
      </c>
      <c r="H1846" s="171" t="s">
        <v>3203</v>
      </c>
    </row>
    <row r="1847" ht="14.25" spans="1:8">
      <c r="A1847" s="176">
        <v>153</v>
      </c>
      <c r="B1847" s="175" t="s">
        <v>3204</v>
      </c>
      <c r="C1847" s="171" t="s">
        <v>35</v>
      </c>
      <c r="D1847" s="173">
        <v>0.04</v>
      </c>
      <c r="E1847" s="176" t="s">
        <v>30</v>
      </c>
      <c r="F1847" s="176" t="s">
        <v>188</v>
      </c>
      <c r="G1847" s="189" t="s">
        <v>3205</v>
      </c>
      <c r="H1847" s="171"/>
    </row>
    <row r="1848" ht="14.25" spans="1:8">
      <c r="A1848" s="176">
        <v>154</v>
      </c>
      <c r="B1848" s="175" t="s">
        <v>3206</v>
      </c>
      <c r="C1848" s="171" t="s">
        <v>35</v>
      </c>
      <c r="D1848" s="173">
        <v>0.01</v>
      </c>
      <c r="E1848" s="176" t="s">
        <v>30</v>
      </c>
      <c r="F1848" s="176" t="s">
        <v>188</v>
      </c>
      <c r="G1848" s="189" t="s">
        <v>3207</v>
      </c>
      <c r="H1848" s="171"/>
    </row>
    <row r="1849" ht="14.25" spans="1:8">
      <c r="A1849" s="176">
        <v>155</v>
      </c>
      <c r="B1849" s="175" t="s">
        <v>3208</v>
      </c>
      <c r="C1849" s="171" t="s">
        <v>35</v>
      </c>
      <c r="D1849" s="173">
        <v>0.04</v>
      </c>
      <c r="E1849" s="176" t="s">
        <v>30</v>
      </c>
      <c r="F1849" s="176" t="s">
        <v>188</v>
      </c>
      <c r="G1849" s="189" t="s">
        <v>3209</v>
      </c>
      <c r="H1849" s="171"/>
    </row>
    <row r="1850" ht="14.25" spans="1:8">
      <c r="A1850" s="176">
        <v>156</v>
      </c>
      <c r="B1850" s="175" t="s">
        <v>3210</v>
      </c>
      <c r="C1850" s="171" t="s">
        <v>35</v>
      </c>
      <c r="D1850" s="173">
        <v>0.02</v>
      </c>
      <c r="E1850" s="176" t="s">
        <v>30</v>
      </c>
      <c r="F1850" s="176" t="s">
        <v>188</v>
      </c>
      <c r="G1850" s="189" t="s">
        <v>3211</v>
      </c>
      <c r="H1850" s="171"/>
    </row>
    <row r="1851" ht="14.25" spans="1:8">
      <c r="A1851" s="176">
        <v>157</v>
      </c>
      <c r="B1851" s="175" t="s">
        <v>3212</v>
      </c>
      <c r="C1851" s="171" t="s">
        <v>35</v>
      </c>
      <c r="D1851" s="173">
        <v>0.04</v>
      </c>
      <c r="E1851" s="176" t="s">
        <v>30</v>
      </c>
      <c r="F1851" s="176" t="s">
        <v>188</v>
      </c>
      <c r="G1851" s="189" t="s">
        <v>3213</v>
      </c>
      <c r="H1851" s="171"/>
    </row>
    <row r="1852" ht="14.25" spans="1:8">
      <c r="A1852" s="176">
        <v>158</v>
      </c>
      <c r="B1852" s="175" t="s">
        <v>3214</v>
      </c>
      <c r="C1852" s="171" t="s">
        <v>35</v>
      </c>
      <c r="D1852" s="173">
        <v>0.06</v>
      </c>
      <c r="E1852" s="176" t="s">
        <v>30</v>
      </c>
      <c r="F1852" s="176" t="s">
        <v>188</v>
      </c>
      <c r="G1852" s="189" t="s">
        <v>3215</v>
      </c>
      <c r="H1852" s="171"/>
    </row>
    <row r="1853" ht="14.25" spans="1:8">
      <c r="A1853" s="176">
        <v>159</v>
      </c>
      <c r="B1853" s="175" t="s">
        <v>3216</v>
      </c>
      <c r="C1853" s="171" t="s">
        <v>35</v>
      </c>
      <c r="D1853" s="173">
        <v>0.04</v>
      </c>
      <c r="E1853" s="176" t="s">
        <v>30</v>
      </c>
      <c r="F1853" s="176" t="s">
        <v>188</v>
      </c>
      <c r="G1853" s="189" t="s">
        <v>3217</v>
      </c>
      <c r="H1853" s="171"/>
    </row>
    <row r="1854" ht="14.25" spans="1:8">
      <c r="A1854" s="176">
        <v>160</v>
      </c>
      <c r="B1854" s="175" t="s">
        <v>3218</v>
      </c>
      <c r="C1854" s="171" t="s">
        <v>35</v>
      </c>
      <c r="D1854" s="173">
        <v>0.02</v>
      </c>
      <c r="E1854" s="176" t="s">
        <v>30</v>
      </c>
      <c r="F1854" s="176" t="s">
        <v>188</v>
      </c>
      <c r="G1854" s="189" t="s">
        <v>3219</v>
      </c>
      <c r="H1854" s="171"/>
    </row>
    <row r="1855" ht="14.25" spans="1:8">
      <c r="A1855" s="176">
        <v>161</v>
      </c>
      <c r="B1855" s="175" t="s">
        <v>3220</v>
      </c>
      <c r="C1855" s="171" t="s">
        <v>35</v>
      </c>
      <c r="D1855" s="173">
        <v>0.01</v>
      </c>
      <c r="E1855" s="176" t="s">
        <v>30</v>
      </c>
      <c r="F1855" s="176" t="s">
        <v>188</v>
      </c>
      <c r="G1855" s="189" t="s">
        <v>3221</v>
      </c>
      <c r="H1855" s="171"/>
    </row>
    <row r="1856" ht="14.25" spans="1:8">
      <c r="A1856" s="176">
        <v>162</v>
      </c>
      <c r="B1856" s="175" t="s">
        <v>3222</v>
      </c>
      <c r="C1856" s="171" t="s">
        <v>35</v>
      </c>
      <c r="D1856" s="173">
        <v>0.04</v>
      </c>
      <c r="E1856" s="176" t="s">
        <v>30</v>
      </c>
      <c r="F1856" s="176" t="s">
        <v>188</v>
      </c>
      <c r="G1856" s="189" t="s">
        <v>3223</v>
      </c>
      <c r="H1856" s="171"/>
    </row>
    <row r="1857" ht="14.25" spans="1:8">
      <c r="A1857" s="176">
        <v>163</v>
      </c>
      <c r="B1857" s="175" t="s">
        <v>3224</v>
      </c>
      <c r="C1857" s="171" t="s">
        <v>35</v>
      </c>
      <c r="D1857" s="173">
        <v>0.01</v>
      </c>
      <c r="E1857" s="176" t="s">
        <v>30</v>
      </c>
      <c r="F1857" s="176" t="s">
        <v>188</v>
      </c>
      <c r="G1857" s="189" t="s">
        <v>3225</v>
      </c>
      <c r="H1857" s="171"/>
    </row>
    <row r="1858" ht="14.25" spans="1:8">
      <c r="A1858" s="176">
        <v>164</v>
      </c>
      <c r="B1858" s="175" t="s">
        <v>3226</v>
      </c>
      <c r="C1858" s="171" t="s">
        <v>35</v>
      </c>
      <c r="D1858" s="173">
        <v>0.03</v>
      </c>
      <c r="E1858" s="176" t="s">
        <v>30</v>
      </c>
      <c r="F1858" s="176" t="s">
        <v>188</v>
      </c>
      <c r="G1858" s="189" t="s">
        <v>3227</v>
      </c>
      <c r="H1858" s="171"/>
    </row>
    <row r="1859" ht="14.25" spans="1:8">
      <c r="A1859" s="176">
        <v>165</v>
      </c>
      <c r="B1859" s="175" t="s">
        <v>3228</v>
      </c>
      <c r="C1859" s="171" t="s">
        <v>35</v>
      </c>
      <c r="D1859" s="173">
        <v>0.05</v>
      </c>
      <c r="E1859" s="176" t="s">
        <v>30</v>
      </c>
      <c r="F1859" s="176" t="s">
        <v>188</v>
      </c>
      <c r="G1859" s="189" t="s">
        <v>3229</v>
      </c>
      <c r="H1859" s="171"/>
    </row>
    <row r="1860" ht="14.25" spans="1:8">
      <c r="A1860" s="176">
        <v>166</v>
      </c>
      <c r="B1860" s="175" t="s">
        <v>3230</v>
      </c>
      <c r="C1860" s="171" t="s">
        <v>35</v>
      </c>
      <c r="D1860" s="173">
        <v>0.02</v>
      </c>
      <c r="E1860" s="176" t="s">
        <v>30</v>
      </c>
      <c r="F1860" s="176" t="s">
        <v>188</v>
      </c>
      <c r="G1860" s="189" t="s">
        <v>3231</v>
      </c>
      <c r="H1860" s="171"/>
    </row>
    <row r="1861" ht="14.25" spans="1:8">
      <c r="A1861" s="176">
        <v>167</v>
      </c>
      <c r="B1861" s="175" t="s">
        <v>3230</v>
      </c>
      <c r="C1861" s="171" t="s">
        <v>35</v>
      </c>
      <c r="D1861" s="173">
        <v>0.02</v>
      </c>
      <c r="E1861" s="176" t="s">
        <v>30</v>
      </c>
      <c r="F1861" s="176" t="s">
        <v>188</v>
      </c>
      <c r="G1861" s="189" t="s">
        <v>3232</v>
      </c>
      <c r="H1861" s="171"/>
    </row>
    <row r="1862" ht="14.25" spans="1:8">
      <c r="A1862" s="176">
        <v>168</v>
      </c>
      <c r="B1862" s="175" t="s">
        <v>3230</v>
      </c>
      <c r="C1862" s="171" t="s">
        <v>35</v>
      </c>
      <c r="D1862" s="173">
        <v>0.02</v>
      </c>
      <c r="E1862" s="176" t="s">
        <v>30</v>
      </c>
      <c r="F1862" s="176" t="s">
        <v>188</v>
      </c>
      <c r="G1862" s="189" t="s">
        <v>3233</v>
      </c>
      <c r="H1862" s="171"/>
    </row>
    <row r="1863" ht="14.25" spans="1:8">
      <c r="A1863" s="176">
        <v>169</v>
      </c>
      <c r="B1863" s="175" t="s">
        <v>3230</v>
      </c>
      <c r="C1863" s="171" t="s">
        <v>35</v>
      </c>
      <c r="D1863" s="173">
        <v>0.02</v>
      </c>
      <c r="E1863" s="176" t="s">
        <v>30</v>
      </c>
      <c r="F1863" s="176" t="s">
        <v>188</v>
      </c>
      <c r="G1863" s="189" t="s">
        <v>3234</v>
      </c>
      <c r="H1863" s="171"/>
    </row>
    <row r="1864" ht="14.25" spans="1:8">
      <c r="A1864" s="176">
        <v>170</v>
      </c>
      <c r="B1864" s="175" t="s">
        <v>3230</v>
      </c>
      <c r="C1864" s="171" t="s">
        <v>35</v>
      </c>
      <c r="D1864" s="173">
        <v>0.02</v>
      </c>
      <c r="E1864" s="176" t="s">
        <v>30</v>
      </c>
      <c r="F1864" s="176" t="s">
        <v>188</v>
      </c>
      <c r="G1864" s="189" t="s">
        <v>3235</v>
      </c>
      <c r="H1864" s="171"/>
    </row>
    <row r="1865" ht="14.25" spans="1:8">
      <c r="A1865" s="176">
        <v>171</v>
      </c>
      <c r="B1865" s="175" t="s">
        <v>3230</v>
      </c>
      <c r="C1865" s="171" t="s">
        <v>35</v>
      </c>
      <c r="D1865" s="173">
        <v>0.02</v>
      </c>
      <c r="E1865" s="176" t="s">
        <v>30</v>
      </c>
      <c r="F1865" s="176" t="s">
        <v>188</v>
      </c>
      <c r="G1865" s="189" t="s">
        <v>3236</v>
      </c>
      <c r="H1865" s="171"/>
    </row>
    <row r="1866" ht="14.25" spans="1:8">
      <c r="A1866" s="176">
        <v>172</v>
      </c>
      <c r="B1866" s="175" t="s">
        <v>3230</v>
      </c>
      <c r="C1866" s="171" t="s">
        <v>35</v>
      </c>
      <c r="D1866" s="173">
        <v>0.02</v>
      </c>
      <c r="E1866" s="176" t="s">
        <v>30</v>
      </c>
      <c r="F1866" s="176" t="s">
        <v>188</v>
      </c>
      <c r="G1866" s="189" t="s">
        <v>3237</v>
      </c>
      <c r="H1866" s="171"/>
    </row>
    <row r="1867" ht="14.25" spans="1:8">
      <c r="A1867" s="176">
        <v>173</v>
      </c>
      <c r="B1867" s="175" t="s">
        <v>3230</v>
      </c>
      <c r="C1867" s="171" t="s">
        <v>35</v>
      </c>
      <c r="D1867" s="173">
        <v>0.02</v>
      </c>
      <c r="E1867" s="176" t="s">
        <v>30</v>
      </c>
      <c r="F1867" s="176" t="s">
        <v>188</v>
      </c>
      <c r="G1867" s="189" t="s">
        <v>3238</v>
      </c>
      <c r="H1867" s="171"/>
    </row>
    <row r="1868" ht="14.25" spans="1:8">
      <c r="A1868" s="176">
        <v>174</v>
      </c>
      <c r="B1868" s="175" t="s">
        <v>3230</v>
      </c>
      <c r="C1868" s="171" t="s">
        <v>35</v>
      </c>
      <c r="D1868" s="173">
        <v>0.02</v>
      </c>
      <c r="E1868" s="176" t="s">
        <v>30</v>
      </c>
      <c r="F1868" s="176" t="s">
        <v>188</v>
      </c>
      <c r="G1868" s="189" t="s">
        <v>3239</v>
      </c>
      <c r="H1868" s="171"/>
    </row>
    <row r="1869" ht="14.25" spans="1:8">
      <c r="A1869" s="176">
        <v>175</v>
      </c>
      <c r="B1869" s="175" t="s">
        <v>3240</v>
      </c>
      <c r="C1869" s="171" t="s">
        <v>35</v>
      </c>
      <c r="D1869" s="173">
        <v>0.02</v>
      </c>
      <c r="E1869" s="176" t="s">
        <v>30</v>
      </c>
      <c r="F1869" s="176" t="s">
        <v>188</v>
      </c>
      <c r="G1869" s="189" t="s">
        <v>3241</v>
      </c>
      <c r="H1869" s="171"/>
    </row>
    <row r="1870" ht="14.25" spans="1:8">
      <c r="A1870" s="176">
        <v>176</v>
      </c>
      <c r="B1870" s="175" t="s">
        <v>3240</v>
      </c>
      <c r="C1870" s="171" t="s">
        <v>35</v>
      </c>
      <c r="D1870" s="173">
        <v>0.02</v>
      </c>
      <c r="E1870" s="176" t="s">
        <v>30</v>
      </c>
      <c r="F1870" s="176" t="s">
        <v>188</v>
      </c>
      <c r="G1870" s="189" t="s">
        <v>3242</v>
      </c>
      <c r="H1870" s="171"/>
    </row>
    <row r="1871" ht="14.25" spans="1:8">
      <c r="A1871" s="176">
        <v>177</v>
      </c>
      <c r="B1871" s="175" t="s">
        <v>3243</v>
      </c>
      <c r="C1871" s="171" t="s">
        <v>35</v>
      </c>
      <c r="D1871" s="173">
        <v>0.02</v>
      </c>
      <c r="E1871" s="176" t="s">
        <v>30</v>
      </c>
      <c r="F1871" s="176" t="s">
        <v>188</v>
      </c>
      <c r="G1871" s="189" t="s">
        <v>3244</v>
      </c>
      <c r="H1871" s="171"/>
    </row>
    <row r="1872" ht="14.25" spans="1:8">
      <c r="A1872" s="176">
        <v>178</v>
      </c>
      <c r="B1872" s="175" t="s">
        <v>2990</v>
      </c>
      <c r="C1872" s="171" t="s">
        <v>35</v>
      </c>
      <c r="D1872" s="173">
        <v>0.02</v>
      </c>
      <c r="E1872" s="176" t="s">
        <v>30</v>
      </c>
      <c r="F1872" s="176" t="s">
        <v>188</v>
      </c>
      <c r="G1872" s="189" t="s">
        <v>3245</v>
      </c>
      <c r="H1872" s="171"/>
    </row>
    <row r="1873" ht="14.25" spans="1:8">
      <c r="A1873" s="176">
        <v>179</v>
      </c>
      <c r="B1873" s="175" t="s">
        <v>2473</v>
      </c>
      <c r="C1873" s="171" t="s">
        <v>35</v>
      </c>
      <c r="D1873" s="173">
        <v>0.15</v>
      </c>
      <c r="E1873" s="176" t="s">
        <v>30</v>
      </c>
      <c r="F1873" s="176" t="s">
        <v>188</v>
      </c>
      <c r="G1873" s="189" t="s">
        <v>3246</v>
      </c>
      <c r="H1873" s="171"/>
    </row>
    <row r="1874" ht="14.25" spans="1:8">
      <c r="A1874" s="176">
        <v>180</v>
      </c>
      <c r="B1874" s="175" t="s">
        <v>3247</v>
      </c>
      <c r="C1874" s="171" t="s">
        <v>35</v>
      </c>
      <c r="D1874" s="173">
        <v>0.03</v>
      </c>
      <c r="E1874" s="176" t="s">
        <v>30</v>
      </c>
      <c r="F1874" s="176" t="s">
        <v>188</v>
      </c>
      <c r="G1874" s="189" t="s">
        <v>3248</v>
      </c>
      <c r="H1874" s="171" t="s">
        <v>672</v>
      </c>
    </row>
    <row r="1875" ht="14.25" spans="1:8">
      <c r="A1875" s="176">
        <v>181</v>
      </c>
      <c r="B1875" s="175" t="s">
        <v>2313</v>
      </c>
      <c r="C1875" s="171" t="s">
        <v>35</v>
      </c>
      <c r="D1875" s="173">
        <v>0.03</v>
      </c>
      <c r="E1875" s="176" t="s">
        <v>30</v>
      </c>
      <c r="F1875" s="176" t="s">
        <v>188</v>
      </c>
      <c r="G1875" s="189" t="s">
        <v>3249</v>
      </c>
      <c r="H1875" s="171"/>
    </row>
    <row r="1876" ht="14.25" spans="1:8">
      <c r="A1876" s="176">
        <v>182</v>
      </c>
      <c r="B1876" s="175" t="s">
        <v>2313</v>
      </c>
      <c r="C1876" s="171" t="s">
        <v>35</v>
      </c>
      <c r="D1876" s="173">
        <v>0.02</v>
      </c>
      <c r="E1876" s="176" t="s">
        <v>30</v>
      </c>
      <c r="F1876" s="176" t="s">
        <v>188</v>
      </c>
      <c r="G1876" s="189" t="s">
        <v>3250</v>
      </c>
      <c r="H1876" s="171"/>
    </row>
    <row r="1877" ht="14.25" spans="1:8">
      <c r="A1877" s="176">
        <v>183</v>
      </c>
      <c r="B1877" s="175" t="s">
        <v>3251</v>
      </c>
      <c r="C1877" s="171" t="s">
        <v>35</v>
      </c>
      <c r="D1877" s="173">
        <v>0.08</v>
      </c>
      <c r="E1877" s="176" t="s">
        <v>30</v>
      </c>
      <c r="F1877" s="176" t="s">
        <v>188</v>
      </c>
      <c r="G1877" s="189" t="s">
        <v>3252</v>
      </c>
      <c r="H1877" s="171"/>
    </row>
    <row r="1878" ht="14.25" spans="1:8">
      <c r="A1878" s="176">
        <v>184</v>
      </c>
      <c r="B1878" s="175" t="s">
        <v>3253</v>
      </c>
      <c r="C1878" s="171" t="s">
        <v>35</v>
      </c>
      <c r="D1878" s="173">
        <v>0.08</v>
      </c>
      <c r="E1878" s="176" t="s">
        <v>30</v>
      </c>
      <c r="F1878" s="176" t="s">
        <v>188</v>
      </c>
      <c r="G1878" s="189" t="s">
        <v>3254</v>
      </c>
      <c r="H1878" s="171" t="s">
        <v>672</v>
      </c>
    </row>
    <row r="1879" ht="14.25" spans="1:8">
      <c r="A1879" s="176">
        <v>185</v>
      </c>
      <c r="B1879" s="175" t="s">
        <v>3253</v>
      </c>
      <c r="C1879" s="171" t="s">
        <v>35</v>
      </c>
      <c r="D1879" s="173">
        <v>0.02</v>
      </c>
      <c r="E1879" s="176" t="s">
        <v>30</v>
      </c>
      <c r="F1879" s="176" t="s">
        <v>188</v>
      </c>
      <c r="G1879" s="189" t="s">
        <v>3255</v>
      </c>
      <c r="H1879" s="171" t="s">
        <v>672</v>
      </c>
    </row>
    <row r="1880" ht="14.25" spans="1:8">
      <c r="A1880" s="176">
        <v>186</v>
      </c>
      <c r="B1880" s="175" t="s">
        <v>565</v>
      </c>
      <c r="C1880" s="171" t="s">
        <v>35</v>
      </c>
      <c r="D1880" s="173">
        <v>0.13</v>
      </c>
      <c r="E1880" s="176" t="s">
        <v>30</v>
      </c>
      <c r="F1880" s="176" t="s">
        <v>188</v>
      </c>
      <c r="G1880" s="189" t="s">
        <v>3256</v>
      </c>
      <c r="H1880" s="171"/>
    </row>
    <row r="1881" ht="14.25" spans="1:8">
      <c r="A1881" s="176">
        <v>187</v>
      </c>
      <c r="B1881" s="175" t="s">
        <v>3257</v>
      </c>
      <c r="C1881" s="171" t="s">
        <v>35</v>
      </c>
      <c r="D1881" s="173">
        <v>0.02</v>
      </c>
      <c r="E1881" s="176" t="s">
        <v>30</v>
      </c>
      <c r="F1881" s="176" t="s">
        <v>188</v>
      </c>
      <c r="G1881" s="189" t="s">
        <v>3258</v>
      </c>
      <c r="H1881" s="171" t="s">
        <v>672</v>
      </c>
    </row>
    <row r="1882" ht="14.25" spans="1:8">
      <c r="A1882" s="176">
        <v>188</v>
      </c>
      <c r="B1882" s="175" t="s">
        <v>3257</v>
      </c>
      <c r="C1882" s="171" t="s">
        <v>35</v>
      </c>
      <c r="D1882" s="173">
        <v>0.02</v>
      </c>
      <c r="E1882" s="176" t="s">
        <v>30</v>
      </c>
      <c r="F1882" s="176" t="s">
        <v>188</v>
      </c>
      <c r="G1882" s="189" t="s">
        <v>3259</v>
      </c>
      <c r="H1882" s="171" t="s">
        <v>672</v>
      </c>
    </row>
    <row r="1883" ht="14.25" spans="1:8">
      <c r="A1883" s="176">
        <v>189</v>
      </c>
      <c r="B1883" s="175" t="s">
        <v>3260</v>
      </c>
      <c r="C1883" s="171" t="s">
        <v>35</v>
      </c>
      <c r="D1883" s="173">
        <v>0.01</v>
      </c>
      <c r="E1883" s="176" t="s">
        <v>30</v>
      </c>
      <c r="F1883" s="176" t="s">
        <v>188</v>
      </c>
      <c r="G1883" s="189" t="s">
        <v>3261</v>
      </c>
      <c r="H1883" s="171" t="s">
        <v>672</v>
      </c>
    </row>
    <row r="1884" ht="14.25" spans="1:8">
      <c r="A1884" s="176">
        <v>190</v>
      </c>
      <c r="B1884" s="175" t="s">
        <v>3262</v>
      </c>
      <c r="C1884" s="171" t="s">
        <v>35</v>
      </c>
      <c r="D1884" s="173">
        <v>0.03</v>
      </c>
      <c r="E1884" s="176" t="s">
        <v>30</v>
      </c>
      <c r="F1884" s="176" t="s">
        <v>188</v>
      </c>
      <c r="G1884" s="189" t="s">
        <v>3263</v>
      </c>
      <c r="H1884" s="171" t="s">
        <v>672</v>
      </c>
    </row>
    <row r="1885" ht="14.25" spans="1:8">
      <c r="A1885" s="176">
        <v>191</v>
      </c>
      <c r="B1885" s="175" t="s">
        <v>3264</v>
      </c>
      <c r="C1885" s="171" t="s">
        <v>35</v>
      </c>
      <c r="D1885" s="173">
        <v>0.02</v>
      </c>
      <c r="E1885" s="176" t="s">
        <v>30</v>
      </c>
      <c r="F1885" s="176" t="s">
        <v>188</v>
      </c>
      <c r="G1885" s="189" t="s">
        <v>3265</v>
      </c>
      <c r="H1885" s="171"/>
    </row>
    <row r="1886" ht="14.25" spans="1:8">
      <c r="A1886" s="176">
        <v>192</v>
      </c>
      <c r="B1886" s="175" t="s">
        <v>3266</v>
      </c>
      <c r="C1886" s="171" t="s">
        <v>35</v>
      </c>
      <c r="D1886" s="173">
        <v>0.2</v>
      </c>
      <c r="E1886" s="176" t="s">
        <v>30</v>
      </c>
      <c r="F1886" s="176" t="s">
        <v>188</v>
      </c>
      <c r="G1886" s="189" t="s">
        <v>3267</v>
      </c>
      <c r="H1886" s="171"/>
    </row>
    <row r="1887" ht="14.25" spans="1:8">
      <c r="A1887" s="176">
        <v>193</v>
      </c>
      <c r="B1887" s="175" t="s">
        <v>3268</v>
      </c>
      <c r="C1887" s="171" t="s">
        <v>35</v>
      </c>
      <c r="D1887" s="173">
        <v>0.05</v>
      </c>
      <c r="E1887" s="176" t="s">
        <v>30</v>
      </c>
      <c r="F1887" s="176" t="s">
        <v>188</v>
      </c>
      <c r="G1887" s="189" t="s">
        <v>3269</v>
      </c>
      <c r="H1887" s="171"/>
    </row>
    <row r="1888" ht="14.25" spans="1:8">
      <c r="A1888" s="176">
        <v>194</v>
      </c>
      <c r="B1888" s="175" t="s">
        <v>3270</v>
      </c>
      <c r="C1888" s="171" t="s">
        <v>35</v>
      </c>
      <c r="D1888" s="173">
        <v>0.06</v>
      </c>
      <c r="E1888" s="176" t="s">
        <v>30</v>
      </c>
      <c r="F1888" s="176" t="s">
        <v>188</v>
      </c>
      <c r="G1888" s="189" t="s">
        <v>3271</v>
      </c>
      <c r="H1888" s="171"/>
    </row>
    <row r="1889" ht="14.25" spans="1:8">
      <c r="A1889" s="176">
        <v>195</v>
      </c>
      <c r="B1889" s="175" t="s">
        <v>3272</v>
      </c>
      <c r="C1889" s="171" t="s">
        <v>35</v>
      </c>
      <c r="D1889" s="173">
        <v>0.08</v>
      </c>
      <c r="E1889" s="176" t="s">
        <v>30</v>
      </c>
      <c r="F1889" s="176" t="s">
        <v>188</v>
      </c>
      <c r="G1889" s="189" t="s">
        <v>3273</v>
      </c>
      <c r="H1889" s="171"/>
    </row>
    <row r="1890" ht="14.25" spans="1:8">
      <c r="A1890" s="176">
        <v>196</v>
      </c>
      <c r="B1890" s="175" t="s">
        <v>3274</v>
      </c>
      <c r="C1890" s="171" t="s">
        <v>35</v>
      </c>
      <c r="D1890" s="173">
        <v>0.08</v>
      </c>
      <c r="E1890" s="176" t="s">
        <v>30</v>
      </c>
      <c r="F1890" s="176" t="s">
        <v>188</v>
      </c>
      <c r="G1890" s="189" t="s">
        <v>3275</v>
      </c>
      <c r="H1890" s="171"/>
    </row>
    <row r="1891" ht="14.25" spans="1:8">
      <c r="A1891" s="176">
        <v>197</v>
      </c>
      <c r="B1891" s="175" t="s">
        <v>3276</v>
      </c>
      <c r="C1891" s="171" t="s">
        <v>35</v>
      </c>
      <c r="D1891" s="173">
        <v>0.02</v>
      </c>
      <c r="E1891" s="176" t="s">
        <v>30</v>
      </c>
      <c r="F1891" s="176" t="s">
        <v>188</v>
      </c>
      <c r="G1891" s="189" t="s">
        <v>1790</v>
      </c>
      <c r="H1891" s="171"/>
    </row>
    <row r="1892" ht="14.25" spans="1:8">
      <c r="A1892" s="176">
        <v>198</v>
      </c>
      <c r="B1892" s="175" t="s">
        <v>3277</v>
      </c>
      <c r="C1892" s="171" t="s">
        <v>35</v>
      </c>
      <c r="D1892" s="173">
        <v>0.03</v>
      </c>
      <c r="E1892" s="176" t="s">
        <v>30</v>
      </c>
      <c r="F1892" s="176" t="s">
        <v>188</v>
      </c>
      <c r="G1892" s="189" t="s">
        <v>1171</v>
      </c>
      <c r="H1892" s="171"/>
    </row>
    <row r="1893" ht="14.25" spans="1:8">
      <c r="A1893" s="176">
        <v>199</v>
      </c>
      <c r="B1893" s="175" t="s">
        <v>3278</v>
      </c>
      <c r="C1893" s="171" t="s">
        <v>35</v>
      </c>
      <c r="D1893" s="173">
        <v>0.05</v>
      </c>
      <c r="E1893" s="176" t="s">
        <v>30</v>
      </c>
      <c r="F1893" s="176" t="s">
        <v>188</v>
      </c>
      <c r="G1893" s="189" t="s">
        <v>3279</v>
      </c>
      <c r="H1893" s="171"/>
    </row>
    <row r="1894" ht="14.25" spans="1:8">
      <c r="A1894" s="176">
        <v>200</v>
      </c>
      <c r="B1894" s="175" t="s">
        <v>3280</v>
      </c>
      <c r="C1894" s="171" t="s">
        <v>35</v>
      </c>
      <c r="D1894" s="173">
        <v>0.03</v>
      </c>
      <c r="E1894" s="176" t="s">
        <v>30</v>
      </c>
      <c r="F1894" s="176" t="s">
        <v>188</v>
      </c>
      <c r="G1894" s="189" t="s">
        <v>3281</v>
      </c>
      <c r="H1894" s="171"/>
    </row>
    <row r="1895" ht="14.25" spans="1:8">
      <c r="A1895" s="176">
        <v>201</v>
      </c>
      <c r="B1895" s="182" t="s">
        <v>2375</v>
      </c>
      <c r="C1895" s="171" t="s">
        <v>35</v>
      </c>
      <c r="D1895" s="173">
        <v>0.04</v>
      </c>
      <c r="E1895" s="176" t="s">
        <v>30</v>
      </c>
      <c r="F1895" s="176" t="s">
        <v>188</v>
      </c>
      <c r="G1895" s="189" t="s">
        <v>3060</v>
      </c>
      <c r="H1895" s="171" t="s">
        <v>672</v>
      </c>
    </row>
    <row r="1896" ht="14.25" spans="1:8">
      <c r="A1896" s="176">
        <v>202</v>
      </c>
      <c r="B1896" s="182" t="s">
        <v>3282</v>
      </c>
      <c r="C1896" s="171" t="s">
        <v>35</v>
      </c>
      <c r="D1896" s="173">
        <v>0.05</v>
      </c>
      <c r="E1896" s="176" t="s">
        <v>30</v>
      </c>
      <c r="F1896" s="176" t="s">
        <v>188</v>
      </c>
      <c r="G1896" s="189" t="s">
        <v>3283</v>
      </c>
      <c r="H1896" s="171"/>
    </row>
    <row r="1897" ht="14.25" spans="1:8">
      <c r="A1897" s="176">
        <v>203</v>
      </c>
      <c r="B1897" s="182" t="s">
        <v>3284</v>
      </c>
      <c r="C1897" s="171" t="s">
        <v>35</v>
      </c>
      <c r="D1897" s="173">
        <v>0.05</v>
      </c>
      <c r="E1897" s="176" t="s">
        <v>30</v>
      </c>
      <c r="F1897" s="176" t="s">
        <v>188</v>
      </c>
      <c r="G1897" s="189" t="s">
        <v>3285</v>
      </c>
      <c r="H1897" s="171"/>
    </row>
    <row r="1898" ht="14.25" spans="1:8">
      <c r="A1898" s="176">
        <v>204</v>
      </c>
      <c r="B1898" s="182" t="s">
        <v>3284</v>
      </c>
      <c r="C1898" s="171" t="s">
        <v>35</v>
      </c>
      <c r="D1898" s="173">
        <v>0.03</v>
      </c>
      <c r="E1898" s="176" t="s">
        <v>30</v>
      </c>
      <c r="F1898" s="176" t="s">
        <v>188</v>
      </c>
      <c r="G1898" s="189" t="s">
        <v>3286</v>
      </c>
      <c r="H1898" s="171"/>
    </row>
    <row r="1899" ht="14.25" spans="1:8">
      <c r="A1899" s="176">
        <v>205</v>
      </c>
      <c r="B1899" s="182" t="s">
        <v>3287</v>
      </c>
      <c r="C1899" s="171" t="s">
        <v>35</v>
      </c>
      <c r="D1899" s="173">
        <v>0.01</v>
      </c>
      <c r="E1899" s="176" t="s">
        <v>30</v>
      </c>
      <c r="F1899" s="176" t="s">
        <v>188</v>
      </c>
      <c r="G1899" s="189" t="s">
        <v>3288</v>
      </c>
      <c r="H1899" s="171"/>
    </row>
    <row r="1900" ht="14.25" spans="1:8">
      <c r="A1900" s="176">
        <v>206</v>
      </c>
      <c r="B1900" s="182" t="s">
        <v>3289</v>
      </c>
      <c r="C1900" s="171" t="s">
        <v>35</v>
      </c>
      <c r="D1900" s="173">
        <v>0.05</v>
      </c>
      <c r="E1900" s="176" t="s">
        <v>30</v>
      </c>
      <c r="F1900" s="176" t="s">
        <v>188</v>
      </c>
      <c r="G1900" s="189" t="s">
        <v>1632</v>
      </c>
      <c r="H1900" s="171"/>
    </row>
    <row r="1901" ht="14.25" spans="1:8">
      <c r="A1901" s="176">
        <v>207</v>
      </c>
      <c r="B1901" s="182" t="s">
        <v>3290</v>
      </c>
      <c r="C1901" s="171" t="s">
        <v>35</v>
      </c>
      <c r="D1901" s="173">
        <v>0.01</v>
      </c>
      <c r="E1901" s="176" t="s">
        <v>30</v>
      </c>
      <c r="F1901" s="176" t="s">
        <v>188</v>
      </c>
      <c r="G1901" s="189" t="s">
        <v>3291</v>
      </c>
      <c r="H1901" s="171"/>
    </row>
    <row r="1902" ht="14.25" spans="1:8">
      <c r="A1902" s="176">
        <v>208</v>
      </c>
      <c r="B1902" s="182" t="s">
        <v>3292</v>
      </c>
      <c r="C1902" s="171" t="s">
        <v>35</v>
      </c>
      <c r="D1902" s="173">
        <v>0.05</v>
      </c>
      <c r="E1902" s="176" t="s">
        <v>30</v>
      </c>
      <c r="F1902" s="176" t="s">
        <v>188</v>
      </c>
      <c r="G1902" s="189" t="s">
        <v>3293</v>
      </c>
      <c r="H1902" s="171"/>
    </row>
    <row r="1903" ht="14.25" spans="1:8">
      <c r="A1903" s="176">
        <v>209</v>
      </c>
      <c r="B1903" s="182" t="s">
        <v>3294</v>
      </c>
      <c r="C1903" s="171" t="s">
        <v>35</v>
      </c>
      <c r="D1903" s="173">
        <v>0.05</v>
      </c>
      <c r="E1903" s="176" t="s">
        <v>30</v>
      </c>
      <c r="F1903" s="176" t="s">
        <v>188</v>
      </c>
      <c r="G1903" s="189" t="s">
        <v>3295</v>
      </c>
      <c r="H1903" s="171"/>
    </row>
    <row r="1904" ht="14.25" spans="1:8">
      <c r="A1904" s="176">
        <v>210</v>
      </c>
      <c r="B1904" s="182" t="s">
        <v>3296</v>
      </c>
      <c r="C1904" s="171" t="s">
        <v>35</v>
      </c>
      <c r="D1904" s="173">
        <v>0.12</v>
      </c>
      <c r="E1904" s="176" t="s">
        <v>30</v>
      </c>
      <c r="F1904" s="176" t="s">
        <v>188</v>
      </c>
      <c r="G1904" s="189" t="s">
        <v>2837</v>
      </c>
      <c r="H1904" s="171"/>
    </row>
    <row r="1905" ht="14.25" spans="1:8">
      <c r="A1905" s="176">
        <v>211</v>
      </c>
      <c r="B1905" s="182" t="s">
        <v>2984</v>
      </c>
      <c r="C1905" s="171" t="s">
        <v>35</v>
      </c>
      <c r="D1905" s="173">
        <v>0.02</v>
      </c>
      <c r="E1905" s="176" t="s">
        <v>30</v>
      </c>
      <c r="F1905" s="176" t="s">
        <v>188</v>
      </c>
      <c r="G1905" s="189" t="s">
        <v>3297</v>
      </c>
      <c r="H1905" s="171"/>
    </row>
    <row r="1906" ht="14.25" spans="1:8">
      <c r="A1906" s="176">
        <v>212</v>
      </c>
      <c r="B1906" s="182" t="s">
        <v>3298</v>
      </c>
      <c r="C1906" s="171" t="s">
        <v>35</v>
      </c>
      <c r="D1906" s="173">
        <v>0.12</v>
      </c>
      <c r="E1906" s="176" t="s">
        <v>30</v>
      </c>
      <c r="F1906" s="176" t="s">
        <v>188</v>
      </c>
      <c r="G1906" s="189" t="s">
        <v>3299</v>
      </c>
      <c r="H1906" s="171" t="s">
        <v>672</v>
      </c>
    </row>
    <row r="1907" ht="14.25" spans="1:8">
      <c r="A1907" s="176">
        <v>213</v>
      </c>
      <c r="B1907" s="182" t="s">
        <v>3088</v>
      </c>
      <c r="C1907" s="171" t="s">
        <v>35</v>
      </c>
      <c r="D1907" s="173">
        <v>0.04</v>
      </c>
      <c r="E1907" s="176" t="s">
        <v>30</v>
      </c>
      <c r="F1907" s="176" t="s">
        <v>188</v>
      </c>
      <c r="G1907" s="189" t="s">
        <v>3300</v>
      </c>
      <c r="H1907" s="171"/>
    </row>
    <row r="1908" ht="14.25" spans="1:8">
      <c r="A1908" s="176">
        <v>214</v>
      </c>
      <c r="B1908" s="182" t="s">
        <v>3301</v>
      </c>
      <c r="C1908" s="171" t="s">
        <v>35</v>
      </c>
      <c r="D1908" s="173">
        <v>0.03</v>
      </c>
      <c r="E1908" s="176" t="s">
        <v>30</v>
      </c>
      <c r="F1908" s="176" t="s">
        <v>188</v>
      </c>
      <c r="G1908" s="189" t="s">
        <v>3302</v>
      </c>
      <c r="H1908" s="171"/>
    </row>
    <row r="1909" ht="14.25" spans="1:8">
      <c r="A1909" s="176">
        <v>215</v>
      </c>
      <c r="B1909" s="182" t="s">
        <v>3177</v>
      </c>
      <c r="C1909" s="171" t="s">
        <v>35</v>
      </c>
      <c r="D1909" s="173">
        <v>0.02</v>
      </c>
      <c r="E1909" s="176" t="s">
        <v>30</v>
      </c>
      <c r="F1909" s="176" t="s">
        <v>188</v>
      </c>
      <c r="G1909" s="189" t="s">
        <v>3303</v>
      </c>
      <c r="H1909" s="171"/>
    </row>
    <row r="1910" ht="14.25" spans="1:8">
      <c r="A1910" s="176">
        <v>216</v>
      </c>
      <c r="B1910" s="182" t="s">
        <v>3268</v>
      </c>
      <c r="C1910" s="171" t="s">
        <v>35</v>
      </c>
      <c r="D1910" s="173">
        <v>0.05</v>
      </c>
      <c r="E1910" s="176" t="s">
        <v>30</v>
      </c>
      <c r="F1910" s="176" t="s">
        <v>188</v>
      </c>
      <c r="G1910" s="189" t="s">
        <v>3269</v>
      </c>
      <c r="H1910" s="171"/>
    </row>
    <row r="1911" ht="14.25" spans="1:8">
      <c r="A1911" s="176">
        <v>217</v>
      </c>
      <c r="B1911" s="182" t="s">
        <v>2984</v>
      </c>
      <c r="C1911" s="171" t="s">
        <v>35</v>
      </c>
      <c r="D1911" s="173">
        <v>0.04</v>
      </c>
      <c r="E1911" s="176" t="s">
        <v>30</v>
      </c>
      <c r="F1911" s="176" t="s">
        <v>188</v>
      </c>
      <c r="G1911" s="189" t="s">
        <v>3304</v>
      </c>
      <c r="H1911" s="171"/>
    </row>
    <row r="1912" ht="14.25" spans="1:8">
      <c r="A1912" s="176">
        <v>218</v>
      </c>
      <c r="B1912" s="182" t="s">
        <v>2984</v>
      </c>
      <c r="C1912" s="171" t="s">
        <v>35</v>
      </c>
      <c r="D1912" s="173">
        <v>0.1</v>
      </c>
      <c r="E1912" s="176" t="s">
        <v>30</v>
      </c>
      <c r="F1912" s="176" t="s">
        <v>188</v>
      </c>
      <c r="G1912" s="189" t="s">
        <v>3305</v>
      </c>
      <c r="H1912" s="171"/>
    </row>
    <row r="1913" ht="14.25" spans="1:8">
      <c r="A1913" s="176">
        <v>219</v>
      </c>
      <c r="B1913" s="182" t="s">
        <v>3306</v>
      </c>
      <c r="C1913" s="171" t="s">
        <v>35</v>
      </c>
      <c r="D1913" s="173">
        <v>0.04</v>
      </c>
      <c r="E1913" s="176" t="s">
        <v>30</v>
      </c>
      <c r="F1913" s="176" t="s">
        <v>188</v>
      </c>
      <c r="G1913" s="189" t="s">
        <v>3307</v>
      </c>
      <c r="H1913" s="171"/>
    </row>
    <row r="1914" ht="14.25" spans="1:8">
      <c r="A1914" s="176">
        <v>220</v>
      </c>
      <c r="B1914" s="182" t="s">
        <v>3308</v>
      </c>
      <c r="C1914" s="171" t="s">
        <v>35</v>
      </c>
      <c r="D1914" s="173">
        <v>0.06</v>
      </c>
      <c r="E1914" s="176" t="s">
        <v>30</v>
      </c>
      <c r="F1914" s="176" t="s">
        <v>188</v>
      </c>
      <c r="G1914" s="189" t="s">
        <v>3309</v>
      </c>
      <c r="H1914" s="171"/>
    </row>
    <row r="1915" ht="14.25" spans="1:8">
      <c r="A1915" s="176">
        <v>221</v>
      </c>
      <c r="B1915" s="182" t="s">
        <v>3310</v>
      </c>
      <c r="C1915" s="171" t="s">
        <v>35</v>
      </c>
      <c r="D1915" s="173">
        <v>0.25</v>
      </c>
      <c r="E1915" s="176" t="s">
        <v>30</v>
      </c>
      <c r="F1915" s="176" t="s">
        <v>188</v>
      </c>
      <c r="G1915" s="189" t="s">
        <v>3311</v>
      </c>
      <c r="H1915" s="171"/>
    </row>
    <row r="1916" ht="14.25" spans="1:8">
      <c r="A1916" s="176">
        <v>222</v>
      </c>
      <c r="B1916" s="182" t="s">
        <v>3312</v>
      </c>
      <c r="C1916" s="171" t="s">
        <v>35</v>
      </c>
      <c r="D1916" s="173">
        <v>0.05</v>
      </c>
      <c r="E1916" s="176" t="s">
        <v>30</v>
      </c>
      <c r="F1916" s="176" t="s">
        <v>188</v>
      </c>
      <c r="G1916" s="189" t="s">
        <v>3313</v>
      </c>
      <c r="H1916" s="171"/>
    </row>
    <row r="1917" ht="14.25" spans="1:8">
      <c r="A1917" s="176">
        <v>223</v>
      </c>
      <c r="B1917" s="182" t="s">
        <v>3314</v>
      </c>
      <c r="C1917" s="171" t="s">
        <v>35</v>
      </c>
      <c r="D1917" s="173">
        <v>0.05</v>
      </c>
      <c r="E1917" s="176" t="s">
        <v>30</v>
      </c>
      <c r="F1917" s="176" t="s">
        <v>188</v>
      </c>
      <c r="G1917" s="189" t="s">
        <v>3315</v>
      </c>
      <c r="H1917" s="171"/>
    </row>
    <row r="1918" ht="14.25" spans="1:8">
      <c r="A1918" s="176">
        <v>224</v>
      </c>
      <c r="B1918" s="182" t="s">
        <v>3314</v>
      </c>
      <c r="C1918" s="171" t="s">
        <v>35</v>
      </c>
      <c r="D1918" s="173">
        <v>0.05</v>
      </c>
      <c r="E1918" s="176" t="s">
        <v>30</v>
      </c>
      <c r="F1918" s="176" t="s">
        <v>188</v>
      </c>
      <c r="G1918" s="189" t="s">
        <v>3316</v>
      </c>
      <c r="H1918" s="171"/>
    </row>
    <row r="1919" ht="14.25" spans="1:8">
      <c r="A1919" s="176">
        <v>225</v>
      </c>
      <c r="B1919" s="182" t="s">
        <v>3314</v>
      </c>
      <c r="C1919" s="171" t="s">
        <v>35</v>
      </c>
      <c r="D1919" s="173">
        <v>0.05</v>
      </c>
      <c r="E1919" s="176" t="s">
        <v>30</v>
      </c>
      <c r="F1919" s="176" t="s">
        <v>188</v>
      </c>
      <c r="G1919" s="189" t="s">
        <v>3317</v>
      </c>
      <c r="H1919" s="171"/>
    </row>
    <row r="1920" ht="14.25" spans="1:8">
      <c r="A1920" s="176">
        <v>226</v>
      </c>
      <c r="B1920" s="182" t="s">
        <v>3314</v>
      </c>
      <c r="C1920" s="171" t="s">
        <v>35</v>
      </c>
      <c r="D1920" s="173">
        <v>0.05</v>
      </c>
      <c r="E1920" s="176" t="s">
        <v>30</v>
      </c>
      <c r="F1920" s="176" t="s">
        <v>188</v>
      </c>
      <c r="G1920" s="189" t="s">
        <v>3318</v>
      </c>
      <c r="H1920" s="171"/>
    </row>
    <row r="1921" ht="14.25" spans="1:8">
      <c r="A1921" s="176">
        <v>227</v>
      </c>
      <c r="B1921" s="182" t="s">
        <v>3280</v>
      </c>
      <c r="C1921" s="171" t="s">
        <v>35</v>
      </c>
      <c r="D1921" s="173">
        <v>0.02</v>
      </c>
      <c r="E1921" s="176" t="s">
        <v>30</v>
      </c>
      <c r="F1921" s="176" t="s">
        <v>188</v>
      </c>
      <c r="G1921" s="189" t="s">
        <v>3281</v>
      </c>
      <c r="H1921" s="171"/>
    </row>
    <row r="1922" ht="14.25" spans="1:8">
      <c r="A1922" s="176">
        <v>228</v>
      </c>
      <c r="B1922" s="182" t="s">
        <v>3319</v>
      </c>
      <c r="C1922" s="171" t="s">
        <v>35</v>
      </c>
      <c r="D1922" s="173">
        <v>0.01</v>
      </c>
      <c r="E1922" s="176" t="s">
        <v>30</v>
      </c>
      <c r="F1922" s="176" t="s">
        <v>188</v>
      </c>
      <c r="G1922" s="189" t="s">
        <v>3320</v>
      </c>
      <c r="H1922" s="171"/>
    </row>
    <row r="1923" ht="14.25" spans="1:8">
      <c r="A1923" s="176">
        <v>229</v>
      </c>
      <c r="B1923" s="182" t="s">
        <v>3321</v>
      </c>
      <c r="C1923" s="171" t="s">
        <v>35</v>
      </c>
      <c r="D1923" s="173">
        <v>0.28</v>
      </c>
      <c r="E1923" s="176" t="s">
        <v>30</v>
      </c>
      <c r="F1923" s="176" t="s">
        <v>188</v>
      </c>
      <c r="G1923" s="189" t="s">
        <v>3322</v>
      </c>
      <c r="H1923" s="171" t="s">
        <v>672</v>
      </c>
    </row>
    <row r="1924" ht="14.25" spans="1:8">
      <c r="A1924" s="176">
        <v>230</v>
      </c>
      <c r="B1924" s="182" t="s">
        <v>3323</v>
      </c>
      <c r="C1924" s="171" t="s">
        <v>35</v>
      </c>
      <c r="D1924" s="173">
        <v>0.06</v>
      </c>
      <c r="E1924" s="176" t="s">
        <v>30</v>
      </c>
      <c r="F1924" s="176" t="s">
        <v>188</v>
      </c>
      <c r="G1924" s="189" t="s">
        <v>3324</v>
      </c>
      <c r="H1924" s="171"/>
    </row>
    <row r="1925" ht="14.25" spans="1:8">
      <c r="A1925" s="176">
        <v>231</v>
      </c>
      <c r="B1925" s="182" t="s">
        <v>2379</v>
      </c>
      <c r="C1925" s="171" t="s">
        <v>35</v>
      </c>
      <c r="D1925" s="173">
        <v>0.08</v>
      </c>
      <c r="E1925" s="176" t="s">
        <v>30</v>
      </c>
      <c r="F1925" s="176" t="s">
        <v>188</v>
      </c>
      <c r="G1925" s="189" t="s">
        <v>3325</v>
      </c>
      <c r="H1925" s="171"/>
    </row>
    <row r="1926" ht="14.25" spans="1:8">
      <c r="A1926" s="176">
        <v>232</v>
      </c>
      <c r="B1926" s="182" t="s">
        <v>3326</v>
      </c>
      <c r="C1926" s="171" t="s">
        <v>35</v>
      </c>
      <c r="D1926" s="173">
        <v>0.02</v>
      </c>
      <c r="E1926" s="176" t="s">
        <v>30</v>
      </c>
      <c r="F1926" s="176" t="s">
        <v>188</v>
      </c>
      <c r="G1926" s="189" t="s">
        <v>3327</v>
      </c>
      <c r="H1926" s="171"/>
    </row>
    <row r="1927" ht="14.25" spans="1:8">
      <c r="A1927" s="176">
        <v>233</v>
      </c>
      <c r="B1927" s="182" t="s">
        <v>3326</v>
      </c>
      <c r="C1927" s="171" t="s">
        <v>35</v>
      </c>
      <c r="D1927" s="173">
        <v>0.02</v>
      </c>
      <c r="E1927" s="176" t="s">
        <v>30</v>
      </c>
      <c r="F1927" s="176" t="s">
        <v>188</v>
      </c>
      <c r="G1927" s="189" t="s">
        <v>3328</v>
      </c>
      <c r="H1927" s="171"/>
    </row>
    <row r="1928" ht="14.25" spans="1:8">
      <c r="A1928" s="176">
        <v>234</v>
      </c>
      <c r="B1928" s="182" t="s">
        <v>3329</v>
      </c>
      <c r="C1928" s="171" t="s">
        <v>35</v>
      </c>
      <c r="D1928" s="173">
        <v>0.02</v>
      </c>
      <c r="E1928" s="176" t="s">
        <v>30</v>
      </c>
      <c r="F1928" s="176" t="s">
        <v>188</v>
      </c>
      <c r="G1928" s="189" t="s">
        <v>3330</v>
      </c>
      <c r="H1928" s="171"/>
    </row>
    <row r="1929" ht="14.25" spans="1:8">
      <c r="A1929" s="176">
        <v>235</v>
      </c>
      <c r="B1929" s="182" t="s">
        <v>3331</v>
      </c>
      <c r="C1929" s="171" t="s">
        <v>35</v>
      </c>
      <c r="D1929" s="173">
        <v>0.1</v>
      </c>
      <c r="E1929" s="176" t="s">
        <v>30</v>
      </c>
      <c r="F1929" s="176" t="s">
        <v>188</v>
      </c>
      <c r="G1929" s="189" t="s">
        <v>3332</v>
      </c>
      <c r="H1929" s="171"/>
    </row>
    <row r="1930" ht="14.25" spans="1:8">
      <c r="A1930" s="176">
        <v>236</v>
      </c>
      <c r="B1930" s="182" t="s">
        <v>3331</v>
      </c>
      <c r="C1930" s="171" t="s">
        <v>35</v>
      </c>
      <c r="D1930" s="173">
        <v>0.1</v>
      </c>
      <c r="E1930" s="176" t="s">
        <v>30</v>
      </c>
      <c r="F1930" s="176" t="s">
        <v>188</v>
      </c>
      <c r="G1930" s="189" t="s">
        <v>3333</v>
      </c>
      <c r="H1930" s="171"/>
    </row>
    <row r="1931" ht="14.25" spans="1:8">
      <c r="A1931" s="176">
        <v>237</v>
      </c>
      <c r="B1931" s="182" t="s">
        <v>3334</v>
      </c>
      <c r="C1931" s="171" t="s">
        <v>35</v>
      </c>
      <c r="D1931" s="173">
        <v>0.05</v>
      </c>
      <c r="E1931" s="176" t="s">
        <v>2492</v>
      </c>
      <c r="F1931" s="176" t="s">
        <v>188</v>
      </c>
      <c r="G1931" s="189" t="s">
        <v>3335</v>
      </c>
      <c r="H1931" s="171"/>
    </row>
    <row r="1932" ht="14.25" spans="1:8">
      <c r="A1932" s="176">
        <v>238</v>
      </c>
      <c r="B1932" s="183" t="s">
        <v>3336</v>
      </c>
      <c r="C1932" s="171" t="s">
        <v>35</v>
      </c>
      <c r="D1932" s="173">
        <v>0.17</v>
      </c>
      <c r="E1932" s="176" t="s">
        <v>30</v>
      </c>
      <c r="F1932" s="176" t="s">
        <v>188</v>
      </c>
      <c r="G1932" s="189" t="s">
        <v>3337</v>
      </c>
      <c r="H1932" s="171"/>
    </row>
    <row r="1933" ht="14.25" spans="1:8">
      <c r="A1933" s="176">
        <v>239</v>
      </c>
      <c r="B1933" s="183" t="s">
        <v>3306</v>
      </c>
      <c r="C1933" s="171" t="s">
        <v>35</v>
      </c>
      <c r="D1933" s="173">
        <v>0.04</v>
      </c>
      <c r="E1933" s="176" t="s">
        <v>30</v>
      </c>
      <c r="F1933" s="176" t="s">
        <v>188</v>
      </c>
      <c r="G1933" s="189" t="s">
        <v>3307</v>
      </c>
      <c r="H1933" s="171"/>
    </row>
    <row r="1934" ht="14.25" spans="1:8">
      <c r="A1934" s="176">
        <v>240</v>
      </c>
      <c r="B1934" s="183" t="s">
        <v>3306</v>
      </c>
      <c r="C1934" s="171" t="s">
        <v>35</v>
      </c>
      <c r="D1934" s="173">
        <v>0.02</v>
      </c>
      <c r="E1934" s="176" t="s">
        <v>30</v>
      </c>
      <c r="F1934" s="176" t="s">
        <v>188</v>
      </c>
      <c r="G1934" s="189" t="s">
        <v>3338</v>
      </c>
      <c r="H1934" s="171"/>
    </row>
    <row r="1935" ht="14.25" spans="1:8">
      <c r="A1935" s="176">
        <v>241</v>
      </c>
      <c r="B1935" s="183" t="s">
        <v>2477</v>
      </c>
      <c r="C1935" s="171" t="s">
        <v>35</v>
      </c>
      <c r="D1935" s="173">
        <v>0.02</v>
      </c>
      <c r="E1935" s="176" t="s">
        <v>30</v>
      </c>
      <c r="F1935" s="176" t="s">
        <v>188</v>
      </c>
      <c r="G1935" s="189" t="s">
        <v>3339</v>
      </c>
      <c r="H1935" s="171"/>
    </row>
    <row r="1936" ht="14.25" spans="1:8">
      <c r="A1936" s="176">
        <v>242</v>
      </c>
      <c r="B1936" s="183" t="s">
        <v>3340</v>
      </c>
      <c r="C1936" s="171" t="s">
        <v>35</v>
      </c>
      <c r="D1936" s="173">
        <v>0.01</v>
      </c>
      <c r="E1936" s="176" t="s">
        <v>30</v>
      </c>
      <c r="F1936" s="176" t="s">
        <v>188</v>
      </c>
      <c r="G1936" s="189" t="s">
        <v>3341</v>
      </c>
      <c r="H1936" s="171"/>
    </row>
    <row r="1937" ht="14.25" spans="1:8">
      <c r="A1937" s="176">
        <v>243</v>
      </c>
      <c r="B1937" s="183" t="s">
        <v>2162</v>
      </c>
      <c r="C1937" s="171" t="s">
        <v>35</v>
      </c>
      <c r="D1937" s="173">
        <v>0.07</v>
      </c>
      <c r="E1937" s="176" t="s">
        <v>30</v>
      </c>
      <c r="F1937" s="176" t="s">
        <v>188</v>
      </c>
      <c r="G1937" s="189" t="s">
        <v>2611</v>
      </c>
      <c r="H1937" s="171"/>
    </row>
    <row r="1938" ht="14.25" spans="1:8">
      <c r="A1938" s="176">
        <v>244</v>
      </c>
      <c r="B1938" s="183" t="s">
        <v>3342</v>
      </c>
      <c r="C1938" s="171" t="s">
        <v>35</v>
      </c>
      <c r="D1938" s="173">
        <v>0.04</v>
      </c>
      <c r="E1938" s="176" t="s">
        <v>30</v>
      </c>
      <c r="F1938" s="176" t="s">
        <v>188</v>
      </c>
      <c r="G1938" s="189" t="s">
        <v>3343</v>
      </c>
      <c r="H1938" s="171"/>
    </row>
    <row r="1939" ht="14.25" spans="1:8">
      <c r="A1939" s="176">
        <v>245</v>
      </c>
      <c r="B1939" s="183" t="s">
        <v>3344</v>
      </c>
      <c r="C1939" s="171" t="s">
        <v>35</v>
      </c>
      <c r="D1939" s="173">
        <v>0.1</v>
      </c>
      <c r="E1939" s="176" t="s">
        <v>30</v>
      </c>
      <c r="F1939" s="176" t="s">
        <v>188</v>
      </c>
      <c r="G1939" s="189" t="s">
        <v>3345</v>
      </c>
      <c r="H1939" s="171"/>
    </row>
    <row r="1940" ht="14.25" spans="1:8">
      <c r="A1940" s="176">
        <v>246</v>
      </c>
      <c r="B1940" s="183" t="s">
        <v>2052</v>
      </c>
      <c r="C1940" s="171" t="s">
        <v>35</v>
      </c>
      <c r="D1940" s="173">
        <v>0.1</v>
      </c>
      <c r="E1940" s="176" t="s">
        <v>30</v>
      </c>
      <c r="F1940" s="176" t="s">
        <v>188</v>
      </c>
      <c r="G1940" s="189" t="s">
        <v>3346</v>
      </c>
      <c r="H1940" s="171"/>
    </row>
    <row r="1941" ht="14.25" spans="1:8">
      <c r="A1941" s="176">
        <v>247</v>
      </c>
      <c r="B1941" s="183" t="s">
        <v>712</v>
      </c>
      <c r="C1941" s="171" t="s">
        <v>35</v>
      </c>
      <c r="D1941" s="173">
        <v>0.1</v>
      </c>
      <c r="E1941" s="176" t="s">
        <v>30</v>
      </c>
      <c r="F1941" s="176" t="s">
        <v>188</v>
      </c>
      <c r="G1941" s="189" t="s">
        <v>3347</v>
      </c>
      <c r="H1941" s="171"/>
    </row>
    <row r="1942" ht="14.25" spans="1:8">
      <c r="A1942" s="176">
        <v>248</v>
      </c>
      <c r="B1942" s="183" t="s">
        <v>3329</v>
      </c>
      <c r="C1942" s="171" t="s">
        <v>35</v>
      </c>
      <c r="D1942" s="173">
        <v>0.02</v>
      </c>
      <c r="E1942" s="176" t="s">
        <v>30</v>
      </c>
      <c r="F1942" s="176" t="s">
        <v>188</v>
      </c>
      <c r="G1942" s="189" t="s">
        <v>3348</v>
      </c>
      <c r="H1942" s="171"/>
    </row>
    <row r="1943" ht="14.25" spans="1:8">
      <c r="A1943" s="176">
        <v>249</v>
      </c>
      <c r="B1943" s="183" t="s">
        <v>3329</v>
      </c>
      <c r="C1943" s="171" t="s">
        <v>35</v>
      </c>
      <c r="D1943" s="173">
        <v>0.04</v>
      </c>
      <c r="E1943" s="176" t="s">
        <v>30</v>
      </c>
      <c r="F1943" s="176" t="s">
        <v>188</v>
      </c>
      <c r="G1943" s="189" t="s">
        <v>3330</v>
      </c>
      <c r="H1943" s="171"/>
    </row>
    <row r="1944" ht="14.25" spans="1:8">
      <c r="A1944" s="176">
        <v>250</v>
      </c>
      <c r="B1944" s="196" t="s">
        <v>3349</v>
      </c>
      <c r="C1944" s="171" t="s">
        <v>35</v>
      </c>
      <c r="D1944" s="173">
        <v>0.06</v>
      </c>
      <c r="E1944" s="176" t="s">
        <v>30</v>
      </c>
      <c r="F1944" s="176" t="s">
        <v>188</v>
      </c>
      <c r="G1944" s="189" t="s">
        <v>3350</v>
      </c>
      <c r="H1944" s="171"/>
    </row>
    <row r="1945" ht="14.25" spans="1:8">
      <c r="A1945" s="176">
        <v>251</v>
      </c>
      <c r="B1945" s="196" t="s">
        <v>3349</v>
      </c>
      <c r="C1945" s="171" t="s">
        <v>35</v>
      </c>
      <c r="D1945" s="173">
        <v>0.06</v>
      </c>
      <c r="E1945" s="176" t="s">
        <v>30</v>
      </c>
      <c r="F1945" s="176" t="s">
        <v>188</v>
      </c>
      <c r="G1945" s="189" t="s">
        <v>3351</v>
      </c>
      <c r="H1945" s="171"/>
    </row>
    <row r="1946" ht="14.25" spans="1:8">
      <c r="A1946" s="176">
        <v>252</v>
      </c>
      <c r="B1946" s="196" t="s">
        <v>3349</v>
      </c>
      <c r="C1946" s="171" t="s">
        <v>35</v>
      </c>
      <c r="D1946" s="173">
        <v>0.06</v>
      </c>
      <c r="E1946" s="176" t="s">
        <v>30</v>
      </c>
      <c r="F1946" s="176" t="s">
        <v>188</v>
      </c>
      <c r="G1946" s="189" t="s">
        <v>3352</v>
      </c>
      <c r="H1946" s="171"/>
    </row>
    <row r="1947" ht="14.25" spans="1:8">
      <c r="A1947" s="176">
        <v>253</v>
      </c>
      <c r="B1947" s="196" t="s">
        <v>3349</v>
      </c>
      <c r="C1947" s="171" t="s">
        <v>35</v>
      </c>
      <c r="D1947" s="173">
        <v>0.06</v>
      </c>
      <c r="E1947" s="176" t="s">
        <v>30</v>
      </c>
      <c r="F1947" s="176" t="s">
        <v>188</v>
      </c>
      <c r="G1947" s="189" t="s">
        <v>469</v>
      </c>
      <c r="H1947" s="171"/>
    </row>
    <row r="1948" ht="14.25" spans="1:8">
      <c r="A1948" s="176">
        <v>254</v>
      </c>
      <c r="B1948" s="196" t="s">
        <v>3349</v>
      </c>
      <c r="C1948" s="171" t="s">
        <v>35</v>
      </c>
      <c r="D1948" s="173">
        <v>0.06</v>
      </c>
      <c r="E1948" s="176" t="s">
        <v>30</v>
      </c>
      <c r="F1948" s="176" t="s">
        <v>188</v>
      </c>
      <c r="G1948" s="189" t="s">
        <v>3353</v>
      </c>
      <c r="H1948" s="171"/>
    </row>
    <row r="1949" ht="14.25" spans="1:8">
      <c r="A1949" s="176">
        <v>255</v>
      </c>
      <c r="B1949" s="196" t="s">
        <v>3349</v>
      </c>
      <c r="C1949" s="171" t="s">
        <v>35</v>
      </c>
      <c r="D1949" s="173">
        <v>0.06</v>
      </c>
      <c r="E1949" s="176" t="s">
        <v>30</v>
      </c>
      <c r="F1949" s="176" t="s">
        <v>188</v>
      </c>
      <c r="G1949" s="189" t="s">
        <v>3354</v>
      </c>
      <c r="H1949" s="171"/>
    </row>
    <row r="1950" ht="14.25" spans="1:8">
      <c r="A1950" s="176">
        <v>256</v>
      </c>
      <c r="B1950" s="196" t="s">
        <v>3349</v>
      </c>
      <c r="C1950" s="171" t="s">
        <v>35</v>
      </c>
      <c r="D1950" s="173">
        <v>0.06</v>
      </c>
      <c r="E1950" s="176" t="s">
        <v>30</v>
      </c>
      <c r="F1950" s="176" t="s">
        <v>188</v>
      </c>
      <c r="G1950" s="189" t="s">
        <v>3355</v>
      </c>
      <c r="H1950" s="171"/>
    </row>
    <row r="1951" ht="14.25" spans="1:8">
      <c r="A1951" s="176">
        <v>257</v>
      </c>
      <c r="B1951" s="196" t="s">
        <v>3349</v>
      </c>
      <c r="C1951" s="171" t="s">
        <v>35</v>
      </c>
      <c r="D1951" s="173">
        <v>0.06</v>
      </c>
      <c r="E1951" s="176" t="s">
        <v>30</v>
      </c>
      <c r="F1951" s="176" t="s">
        <v>188</v>
      </c>
      <c r="G1951" s="189" t="s">
        <v>3356</v>
      </c>
      <c r="H1951" s="171"/>
    </row>
    <row r="1952" ht="14.25" spans="1:8">
      <c r="A1952" s="176">
        <v>258</v>
      </c>
      <c r="B1952" s="196" t="s">
        <v>3349</v>
      </c>
      <c r="C1952" s="171" t="s">
        <v>35</v>
      </c>
      <c r="D1952" s="173">
        <v>0.05</v>
      </c>
      <c r="E1952" s="176" t="s">
        <v>30</v>
      </c>
      <c r="F1952" s="176" t="s">
        <v>188</v>
      </c>
      <c r="G1952" s="189" t="s">
        <v>3357</v>
      </c>
      <c r="H1952" s="171"/>
    </row>
    <row r="1953" ht="14.25" spans="1:8">
      <c r="A1953" s="176">
        <v>259</v>
      </c>
      <c r="B1953" s="196" t="s">
        <v>3349</v>
      </c>
      <c r="C1953" s="171" t="s">
        <v>35</v>
      </c>
      <c r="D1953" s="173">
        <v>0.05</v>
      </c>
      <c r="E1953" s="176" t="s">
        <v>30</v>
      </c>
      <c r="F1953" s="176" t="s">
        <v>188</v>
      </c>
      <c r="G1953" s="189" t="s">
        <v>3358</v>
      </c>
      <c r="H1953" s="171"/>
    </row>
    <row r="1954" ht="14.25" spans="1:8">
      <c r="A1954" s="176">
        <v>260</v>
      </c>
      <c r="B1954" s="196" t="s">
        <v>3349</v>
      </c>
      <c r="C1954" s="171" t="s">
        <v>35</v>
      </c>
      <c r="D1954" s="173">
        <v>0.06</v>
      </c>
      <c r="E1954" s="176" t="s">
        <v>30</v>
      </c>
      <c r="F1954" s="176" t="s">
        <v>188</v>
      </c>
      <c r="G1954" s="189" t="s">
        <v>3359</v>
      </c>
      <c r="H1954" s="171"/>
    </row>
    <row r="1955" ht="14.25" spans="1:8">
      <c r="A1955" s="176">
        <v>261</v>
      </c>
      <c r="B1955" s="196" t="s">
        <v>3349</v>
      </c>
      <c r="C1955" s="171" t="s">
        <v>35</v>
      </c>
      <c r="D1955" s="173">
        <v>0.06</v>
      </c>
      <c r="E1955" s="176" t="s">
        <v>30</v>
      </c>
      <c r="F1955" s="176" t="s">
        <v>188</v>
      </c>
      <c r="G1955" s="189" t="s">
        <v>3360</v>
      </c>
      <c r="H1955" s="171"/>
    </row>
    <row r="1956" ht="14.25" spans="1:8">
      <c r="A1956" s="176">
        <v>262</v>
      </c>
      <c r="B1956" s="196" t="s">
        <v>3349</v>
      </c>
      <c r="C1956" s="171" t="s">
        <v>35</v>
      </c>
      <c r="D1956" s="173">
        <v>0.05</v>
      </c>
      <c r="E1956" s="176" t="s">
        <v>30</v>
      </c>
      <c r="F1956" s="176" t="s">
        <v>188</v>
      </c>
      <c r="G1956" s="189" t="s">
        <v>3361</v>
      </c>
      <c r="H1956" s="171"/>
    </row>
    <row r="1957" ht="14.25" spans="1:8">
      <c r="A1957" s="176">
        <v>263</v>
      </c>
      <c r="B1957" s="196" t="s">
        <v>3349</v>
      </c>
      <c r="C1957" s="171" t="s">
        <v>35</v>
      </c>
      <c r="D1957" s="173">
        <v>0.05</v>
      </c>
      <c r="E1957" s="176" t="s">
        <v>30</v>
      </c>
      <c r="F1957" s="176" t="s">
        <v>188</v>
      </c>
      <c r="G1957" s="189" t="s">
        <v>3362</v>
      </c>
      <c r="H1957" s="171"/>
    </row>
    <row r="1958" ht="14.25" spans="1:8">
      <c r="A1958" s="176">
        <v>264</v>
      </c>
      <c r="B1958" s="196" t="s">
        <v>3349</v>
      </c>
      <c r="C1958" s="171" t="s">
        <v>35</v>
      </c>
      <c r="D1958" s="173">
        <v>0.06</v>
      </c>
      <c r="E1958" s="176" t="s">
        <v>30</v>
      </c>
      <c r="F1958" s="176" t="s">
        <v>188</v>
      </c>
      <c r="G1958" s="189" t="s">
        <v>2211</v>
      </c>
      <c r="H1958" s="171"/>
    </row>
    <row r="1959" ht="14.25" spans="1:8">
      <c r="A1959" s="176">
        <v>265</v>
      </c>
      <c r="B1959" s="196" t="s">
        <v>3349</v>
      </c>
      <c r="C1959" s="171" t="s">
        <v>35</v>
      </c>
      <c r="D1959" s="173">
        <v>0.06</v>
      </c>
      <c r="E1959" s="176" t="s">
        <v>30</v>
      </c>
      <c r="F1959" s="176" t="s">
        <v>188</v>
      </c>
      <c r="G1959" s="189" t="s">
        <v>3363</v>
      </c>
      <c r="H1959" s="171"/>
    </row>
    <row r="1960" ht="14.25" spans="1:8">
      <c r="A1960" s="176">
        <v>266</v>
      </c>
      <c r="B1960" s="196" t="s">
        <v>3349</v>
      </c>
      <c r="C1960" s="171" t="s">
        <v>35</v>
      </c>
      <c r="D1960" s="173">
        <v>0.05</v>
      </c>
      <c r="E1960" s="176" t="s">
        <v>30</v>
      </c>
      <c r="F1960" s="176" t="s">
        <v>188</v>
      </c>
      <c r="G1960" s="189" t="s">
        <v>610</v>
      </c>
      <c r="H1960" s="171"/>
    </row>
    <row r="1961" ht="14.25" spans="1:8">
      <c r="A1961" s="176">
        <v>267</v>
      </c>
      <c r="B1961" s="196" t="s">
        <v>3349</v>
      </c>
      <c r="C1961" s="171" t="s">
        <v>35</v>
      </c>
      <c r="D1961" s="173">
        <v>0.05</v>
      </c>
      <c r="E1961" s="176" t="s">
        <v>30</v>
      </c>
      <c r="F1961" s="176" t="s">
        <v>188</v>
      </c>
      <c r="G1961" s="189" t="s">
        <v>2053</v>
      </c>
      <c r="H1961" s="171"/>
    </row>
    <row r="1962" ht="14.25" spans="1:8">
      <c r="A1962" s="176">
        <v>268</v>
      </c>
      <c r="B1962" s="196" t="s">
        <v>3349</v>
      </c>
      <c r="C1962" s="171" t="s">
        <v>35</v>
      </c>
      <c r="D1962" s="173">
        <v>0.06</v>
      </c>
      <c r="E1962" s="176" t="s">
        <v>30</v>
      </c>
      <c r="F1962" s="176" t="s">
        <v>188</v>
      </c>
      <c r="G1962" s="189" t="s">
        <v>2057</v>
      </c>
      <c r="H1962" s="171"/>
    </row>
    <row r="1963" ht="14.25" spans="1:8">
      <c r="A1963" s="176">
        <v>269</v>
      </c>
      <c r="B1963" s="196" t="s">
        <v>3349</v>
      </c>
      <c r="C1963" s="171" t="s">
        <v>35</v>
      </c>
      <c r="D1963" s="173">
        <v>0.06</v>
      </c>
      <c r="E1963" s="176" t="s">
        <v>30</v>
      </c>
      <c r="F1963" s="176" t="s">
        <v>188</v>
      </c>
      <c r="G1963" s="189" t="s">
        <v>3364</v>
      </c>
      <c r="H1963" s="171"/>
    </row>
    <row r="1964" ht="14.25" spans="1:8">
      <c r="A1964" s="176">
        <v>270</v>
      </c>
      <c r="B1964" s="196" t="s">
        <v>3349</v>
      </c>
      <c r="C1964" s="171" t="s">
        <v>35</v>
      </c>
      <c r="D1964" s="173">
        <v>0.06</v>
      </c>
      <c r="E1964" s="176" t="s">
        <v>30</v>
      </c>
      <c r="F1964" s="176" t="s">
        <v>188</v>
      </c>
      <c r="G1964" s="189" t="s">
        <v>3365</v>
      </c>
      <c r="H1964" s="171"/>
    </row>
    <row r="1965" ht="14.25" spans="1:8">
      <c r="A1965" s="176">
        <v>271</v>
      </c>
      <c r="B1965" s="196" t="s">
        <v>3349</v>
      </c>
      <c r="C1965" s="171" t="s">
        <v>35</v>
      </c>
      <c r="D1965" s="173">
        <v>0.06</v>
      </c>
      <c r="E1965" s="176" t="s">
        <v>30</v>
      </c>
      <c r="F1965" s="176" t="s">
        <v>188</v>
      </c>
      <c r="G1965" s="189" t="s">
        <v>2213</v>
      </c>
      <c r="H1965" s="171"/>
    </row>
    <row r="1966" ht="14.25" spans="1:8">
      <c r="A1966" s="176">
        <v>272</v>
      </c>
      <c r="B1966" s="196" t="s">
        <v>3349</v>
      </c>
      <c r="C1966" s="171" t="s">
        <v>35</v>
      </c>
      <c r="D1966" s="173">
        <v>0.06</v>
      </c>
      <c r="E1966" s="176" t="s">
        <v>30</v>
      </c>
      <c r="F1966" s="176" t="s">
        <v>188</v>
      </c>
      <c r="G1966" s="189" t="s">
        <v>3366</v>
      </c>
      <c r="H1966" s="171"/>
    </row>
    <row r="1967" ht="14.25" spans="1:8">
      <c r="A1967" s="176">
        <v>273</v>
      </c>
      <c r="B1967" s="196" t="s">
        <v>3349</v>
      </c>
      <c r="C1967" s="171" t="s">
        <v>35</v>
      </c>
      <c r="D1967" s="173">
        <v>0.06</v>
      </c>
      <c r="E1967" s="176" t="s">
        <v>30</v>
      </c>
      <c r="F1967" s="176" t="s">
        <v>188</v>
      </c>
      <c r="G1967" s="189" t="s">
        <v>3367</v>
      </c>
      <c r="H1967" s="171"/>
    </row>
    <row r="1968" ht="14.25" spans="1:8">
      <c r="A1968" s="176">
        <v>274</v>
      </c>
      <c r="B1968" s="196" t="s">
        <v>3349</v>
      </c>
      <c r="C1968" s="171" t="s">
        <v>35</v>
      </c>
      <c r="D1968" s="173">
        <v>0.06</v>
      </c>
      <c r="E1968" s="176" t="s">
        <v>30</v>
      </c>
      <c r="F1968" s="176" t="s">
        <v>188</v>
      </c>
      <c r="G1968" s="189" t="s">
        <v>456</v>
      </c>
      <c r="H1968" s="171"/>
    </row>
    <row r="1969" ht="14.25" spans="1:8">
      <c r="A1969" s="176">
        <v>275</v>
      </c>
      <c r="B1969" s="196" t="s">
        <v>3349</v>
      </c>
      <c r="C1969" s="171" t="s">
        <v>35</v>
      </c>
      <c r="D1969" s="173">
        <v>0.06</v>
      </c>
      <c r="E1969" s="176" t="s">
        <v>30</v>
      </c>
      <c r="F1969" s="176" t="s">
        <v>188</v>
      </c>
      <c r="G1969" s="189" t="s">
        <v>3368</v>
      </c>
      <c r="H1969" s="171"/>
    </row>
    <row r="1970" ht="14.25" spans="1:8">
      <c r="A1970" s="176">
        <v>276</v>
      </c>
      <c r="B1970" s="196" t="s">
        <v>3349</v>
      </c>
      <c r="C1970" s="171" t="s">
        <v>35</v>
      </c>
      <c r="D1970" s="173">
        <v>0.06</v>
      </c>
      <c r="E1970" s="176" t="s">
        <v>30</v>
      </c>
      <c r="F1970" s="176" t="s">
        <v>188</v>
      </c>
      <c r="G1970" s="189" t="s">
        <v>3369</v>
      </c>
      <c r="H1970" s="171"/>
    </row>
    <row r="1971" ht="14.25" spans="1:8">
      <c r="A1971" s="176">
        <v>277</v>
      </c>
      <c r="B1971" s="196" t="s">
        <v>3349</v>
      </c>
      <c r="C1971" s="171" t="s">
        <v>35</v>
      </c>
      <c r="D1971" s="173">
        <v>0.06</v>
      </c>
      <c r="E1971" s="176" t="s">
        <v>30</v>
      </c>
      <c r="F1971" s="176" t="s">
        <v>188</v>
      </c>
      <c r="G1971" s="189" t="s">
        <v>3370</v>
      </c>
      <c r="H1971" s="171"/>
    </row>
    <row r="1972" ht="14.25" spans="1:8">
      <c r="A1972" s="176">
        <v>278</v>
      </c>
      <c r="B1972" s="196" t="s">
        <v>3349</v>
      </c>
      <c r="C1972" s="171" t="s">
        <v>35</v>
      </c>
      <c r="D1972" s="173">
        <v>0.06</v>
      </c>
      <c r="E1972" s="176" t="s">
        <v>30</v>
      </c>
      <c r="F1972" s="176" t="s">
        <v>188</v>
      </c>
      <c r="G1972" s="189" t="s">
        <v>3371</v>
      </c>
      <c r="H1972" s="171"/>
    </row>
    <row r="1973" ht="14.25" spans="1:8">
      <c r="A1973" s="176">
        <v>279</v>
      </c>
      <c r="B1973" s="196" t="s">
        <v>3349</v>
      </c>
      <c r="C1973" s="171" t="s">
        <v>35</v>
      </c>
      <c r="D1973" s="173">
        <v>0.06</v>
      </c>
      <c r="E1973" s="176" t="s">
        <v>30</v>
      </c>
      <c r="F1973" s="176" t="s">
        <v>188</v>
      </c>
      <c r="G1973" s="189" t="s">
        <v>3372</v>
      </c>
      <c r="H1973" s="171"/>
    </row>
    <row r="1974" ht="14.25" spans="1:8">
      <c r="A1974" s="176">
        <v>280</v>
      </c>
      <c r="B1974" s="196" t="s">
        <v>3349</v>
      </c>
      <c r="C1974" s="171" t="s">
        <v>35</v>
      </c>
      <c r="D1974" s="173">
        <v>0.06</v>
      </c>
      <c r="E1974" s="176" t="s">
        <v>30</v>
      </c>
      <c r="F1974" s="176" t="s">
        <v>188</v>
      </c>
      <c r="G1974" s="189" t="s">
        <v>3373</v>
      </c>
      <c r="H1974" s="171"/>
    </row>
    <row r="1975" ht="14.25" spans="1:8">
      <c r="A1975" s="176">
        <v>281</v>
      </c>
      <c r="B1975" s="196" t="s">
        <v>3374</v>
      </c>
      <c r="C1975" s="171" t="s">
        <v>35</v>
      </c>
      <c r="D1975" s="173">
        <v>0.06</v>
      </c>
      <c r="E1975" s="176" t="s">
        <v>30</v>
      </c>
      <c r="F1975" s="176" t="s">
        <v>188</v>
      </c>
      <c r="G1975" s="189" t="s">
        <v>3375</v>
      </c>
      <c r="H1975" s="171"/>
    </row>
    <row r="1976" ht="14.25" spans="1:8">
      <c r="A1976" s="176">
        <v>282</v>
      </c>
      <c r="B1976" s="196" t="s">
        <v>3374</v>
      </c>
      <c r="C1976" s="171" t="s">
        <v>35</v>
      </c>
      <c r="D1976" s="173">
        <v>0.06</v>
      </c>
      <c r="E1976" s="176" t="s">
        <v>30</v>
      </c>
      <c r="F1976" s="176" t="s">
        <v>188</v>
      </c>
      <c r="G1976" s="189" t="s">
        <v>799</v>
      </c>
      <c r="H1976" s="171"/>
    </row>
    <row r="1977" ht="14.25" spans="1:8">
      <c r="A1977" s="176">
        <v>283</v>
      </c>
      <c r="B1977" s="196" t="s">
        <v>3374</v>
      </c>
      <c r="C1977" s="171" t="s">
        <v>35</v>
      </c>
      <c r="D1977" s="173">
        <v>0.06</v>
      </c>
      <c r="E1977" s="176" t="s">
        <v>30</v>
      </c>
      <c r="F1977" s="176" t="s">
        <v>188</v>
      </c>
      <c r="G1977" s="189" t="s">
        <v>3376</v>
      </c>
      <c r="H1977" s="171"/>
    </row>
    <row r="1978" ht="14.25" spans="1:8">
      <c r="A1978" s="176">
        <v>284</v>
      </c>
      <c r="B1978" s="196" t="s">
        <v>3374</v>
      </c>
      <c r="C1978" s="171" t="s">
        <v>35</v>
      </c>
      <c r="D1978" s="173">
        <v>0.06</v>
      </c>
      <c r="E1978" s="176" t="s">
        <v>30</v>
      </c>
      <c r="F1978" s="176" t="s">
        <v>188</v>
      </c>
      <c r="G1978" s="189" t="s">
        <v>3377</v>
      </c>
      <c r="H1978" s="171"/>
    </row>
    <row r="1979" ht="14.25" spans="1:8">
      <c r="A1979" s="176">
        <v>285</v>
      </c>
      <c r="B1979" s="196" t="s">
        <v>3374</v>
      </c>
      <c r="C1979" s="171" t="s">
        <v>35</v>
      </c>
      <c r="D1979" s="173">
        <v>0.06</v>
      </c>
      <c r="E1979" s="176" t="s">
        <v>30</v>
      </c>
      <c r="F1979" s="176" t="s">
        <v>188</v>
      </c>
      <c r="G1979" s="189" t="s">
        <v>3378</v>
      </c>
      <c r="H1979" s="171"/>
    </row>
    <row r="1980" ht="14.25" spans="1:8">
      <c r="A1980" s="176">
        <v>286</v>
      </c>
      <c r="B1980" s="196" t="s">
        <v>3374</v>
      </c>
      <c r="C1980" s="171" t="s">
        <v>35</v>
      </c>
      <c r="D1980" s="173">
        <v>0.06</v>
      </c>
      <c r="E1980" s="176" t="s">
        <v>30</v>
      </c>
      <c r="F1980" s="176" t="s">
        <v>188</v>
      </c>
      <c r="G1980" s="189" t="s">
        <v>3379</v>
      </c>
      <c r="H1980" s="171"/>
    </row>
    <row r="1981" ht="14.25" spans="1:8">
      <c r="A1981" s="176">
        <v>287</v>
      </c>
      <c r="B1981" s="196" t="s">
        <v>3374</v>
      </c>
      <c r="C1981" s="171" t="s">
        <v>35</v>
      </c>
      <c r="D1981" s="173">
        <v>0.06</v>
      </c>
      <c r="E1981" s="176" t="s">
        <v>30</v>
      </c>
      <c r="F1981" s="176" t="s">
        <v>188</v>
      </c>
      <c r="G1981" s="189" t="s">
        <v>3380</v>
      </c>
      <c r="H1981" s="171"/>
    </row>
    <row r="1982" ht="14.25" spans="1:8">
      <c r="A1982" s="176">
        <v>288</v>
      </c>
      <c r="B1982" s="196" t="s">
        <v>3374</v>
      </c>
      <c r="C1982" s="171" t="s">
        <v>35</v>
      </c>
      <c r="D1982" s="173">
        <v>0.06</v>
      </c>
      <c r="E1982" s="176" t="s">
        <v>30</v>
      </c>
      <c r="F1982" s="176" t="s">
        <v>188</v>
      </c>
      <c r="G1982" s="189" t="s">
        <v>3381</v>
      </c>
      <c r="H1982" s="171"/>
    </row>
    <row r="1983" ht="14.25" spans="1:8">
      <c r="A1983" s="176">
        <v>289</v>
      </c>
      <c r="B1983" s="196" t="s">
        <v>3374</v>
      </c>
      <c r="C1983" s="171" t="s">
        <v>35</v>
      </c>
      <c r="D1983" s="173">
        <v>0.06</v>
      </c>
      <c r="E1983" s="176" t="s">
        <v>30</v>
      </c>
      <c r="F1983" s="176" t="s">
        <v>188</v>
      </c>
      <c r="G1983" s="189" t="s">
        <v>3382</v>
      </c>
      <c r="H1983" s="171"/>
    </row>
    <row r="1984" ht="14.25" spans="1:8">
      <c r="A1984" s="176">
        <v>290</v>
      </c>
      <c r="B1984" s="196" t="s">
        <v>3374</v>
      </c>
      <c r="C1984" s="171" t="s">
        <v>35</v>
      </c>
      <c r="D1984" s="173">
        <v>0.06</v>
      </c>
      <c r="E1984" s="176" t="s">
        <v>30</v>
      </c>
      <c r="F1984" s="176" t="s">
        <v>188</v>
      </c>
      <c r="G1984" s="189" t="s">
        <v>3383</v>
      </c>
      <c r="H1984" s="171"/>
    </row>
    <row r="1985" ht="14.25" spans="1:8">
      <c r="A1985" s="176">
        <v>291</v>
      </c>
      <c r="B1985" s="196" t="s">
        <v>3374</v>
      </c>
      <c r="C1985" s="171" t="s">
        <v>35</v>
      </c>
      <c r="D1985" s="173">
        <v>0.06</v>
      </c>
      <c r="E1985" s="176" t="s">
        <v>30</v>
      </c>
      <c r="F1985" s="176" t="s">
        <v>188</v>
      </c>
      <c r="G1985" s="189" t="s">
        <v>3384</v>
      </c>
      <c r="H1985" s="171"/>
    </row>
    <row r="1986" ht="14.25" spans="1:8">
      <c r="A1986" s="176">
        <v>292</v>
      </c>
      <c r="B1986" s="196" t="s">
        <v>3374</v>
      </c>
      <c r="C1986" s="171" t="s">
        <v>35</v>
      </c>
      <c r="D1986" s="173">
        <v>0.06</v>
      </c>
      <c r="E1986" s="176" t="s">
        <v>30</v>
      </c>
      <c r="F1986" s="176" t="s">
        <v>188</v>
      </c>
      <c r="G1986" s="189" t="s">
        <v>3385</v>
      </c>
      <c r="H1986" s="171"/>
    </row>
    <row r="1987" ht="14.25" spans="1:8">
      <c r="A1987" s="176">
        <v>293</v>
      </c>
      <c r="B1987" s="196" t="s">
        <v>3374</v>
      </c>
      <c r="C1987" s="171" t="s">
        <v>35</v>
      </c>
      <c r="D1987" s="173">
        <v>0.06</v>
      </c>
      <c r="E1987" s="176" t="s">
        <v>30</v>
      </c>
      <c r="F1987" s="176" t="s">
        <v>188</v>
      </c>
      <c r="G1987" s="189" t="s">
        <v>3386</v>
      </c>
      <c r="H1987" s="171"/>
    </row>
    <row r="1988" ht="14.25" spans="1:8">
      <c r="A1988" s="176">
        <v>294</v>
      </c>
      <c r="B1988" s="196" t="s">
        <v>3374</v>
      </c>
      <c r="C1988" s="171" t="s">
        <v>35</v>
      </c>
      <c r="D1988" s="173">
        <v>0.06</v>
      </c>
      <c r="E1988" s="176" t="s">
        <v>30</v>
      </c>
      <c r="F1988" s="176" t="s">
        <v>188</v>
      </c>
      <c r="G1988" s="189" t="s">
        <v>3387</v>
      </c>
      <c r="H1988" s="171"/>
    </row>
    <row r="1989" ht="14.25" spans="1:8">
      <c r="A1989" s="176">
        <v>295</v>
      </c>
      <c r="B1989" s="196" t="s">
        <v>3374</v>
      </c>
      <c r="C1989" s="171" t="s">
        <v>35</v>
      </c>
      <c r="D1989" s="173">
        <v>0.06</v>
      </c>
      <c r="E1989" s="176" t="s">
        <v>30</v>
      </c>
      <c r="F1989" s="176" t="s">
        <v>188</v>
      </c>
      <c r="G1989" s="189" t="s">
        <v>3388</v>
      </c>
      <c r="H1989" s="171"/>
    </row>
    <row r="1990" ht="14.25" spans="1:8">
      <c r="A1990" s="176">
        <v>296</v>
      </c>
      <c r="B1990" s="196" t="s">
        <v>3374</v>
      </c>
      <c r="C1990" s="171" t="s">
        <v>35</v>
      </c>
      <c r="D1990" s="173">
        <v>0.07</v>
      </c>
      <c r="E1990" s="176" t="s">
        <v>30</v>
      </c>
      <c r="F1990" s="176" t="s">
        <v>188</v>
      </c>
      <c r="G1990" s="189" t="s">
        <v>3389</v>
      </c>
      <c r="H1990" s="171"/>
    </row>
    <row r="1991" ht="14.25" spans="1:8">
      <c r="A1991" s="176">
        <v>297</v>
      </c>
      <c r="B1991" s="196" t="s">
        <v>3374</v>
      </c>
      <c r="C1991" s="171" t="s">
        <v>35</v>
      </c>
      <c r="D1991" s="173">
        <v>0.08</v>
      </c>
      <c r="E1991" s="176" t="s">
        <v>30</v>
      </c>
      <c r="F1991" s="176" t="s">
        <v>188</v>
      </c>
      <c r="G1991" s="189" t="s">
        <v>3390</v>
      </c>
      <c r="H1991" s="171"/>
    </row>
    <row r="1992" ht="14.25" spans="1:8">
      <c r="A1992" s="176">
        <v>298</v>
      </c>
      <c r="B1992" s="196" t="s">
        <v>3374</v>
      </c>
      <c r="C1992" s="171" t="s">
        <v>35</v>
      </c>
      <c r="D1992" s="173">
        <v>0.09</v>
      </c>
      <c r="E1992" s="176" t="s">
        <v>30</v>
      </c>
      <c r="F1992" s="176" t="s">
        <v>188</v>
      </c>
      <c r="G1992" s="189" t="s">
        <v>3391</v>
      </c>
      <c r="H1992" s="171"/>
    </row>
    <row r="1993" ht="14.25" spans="1:8">
      <c r="A1993" s="176">
        <v>299</v>
      </c>
      <c r="B1993" s="196" t="s">
        <v>3374</v>
      </c>
      <c r="C1993" s="171" t="s">
        <v>35</v>
      </c>
      <c r="D1993" s="173">
        <v>0.05</v>
      </c>
      <c r="E1993" s="176" t="s">
        <v>30</v>
      </c>
      <c r="F1993" s="176" t="s">
        <v>188</v>
      </c>
      <c r="G1993" s="189" t="s">
        <v>3392</v>
      </c>
      <c r="H1993" s="171"/>
    </row>
    <row r="1994" ht="14.25" spans="1:8">
      <c r="A1994" s="176">
        <v>300</v>
      </c>
      <c r="B1994" s="196" t="s">
        <v>3374</v>
      </c>
      <c r="C1994" s="171" t="s">
        <v>35</v>
      </c>
      <c r="D1994" s="173">
        <v>0.06</v>
      </c>
      <c r="E1994" s="176" t="s">
        <v>30</v>
      </c>
      <c r="F1994" s="176" t="s">
        <v>188</v>
      </c>
      <c r="G1994" s="189" t="s">
        <v>3393</v>
      </c>
      <c r="H1994" s="171"/>
    </row>
    <row r="1995" ht="14.25" spans="1:8">
      <c r="A1995" s="176">
        <v>301</v>
      </c>
      <c r="B1995" s="196" t="s">
        <v>3374</v>
      </c>
      <c r="C1995" s="171" t="s">
        <v>35</v>
      </c>
      <c r="D1995" s="173">
        <v>0.06</v>
      </c>
      <c r="E1995" s="176" t="s">
        <v>30</v>
      </c>
      <c r="F1995" s="176" t="s">
        <v>188</v>
      </c>
      <c r="G1995" s="189" t="s">
        <v>3394</v>
      </c>
      <c r="H1995" s="171"/>
    </row>
    <row r="1996" ht="14.25" spans="1:8">
      <c r="A1996" s="176">
        <v>302</v>
      </c>
      <c r="B1996" s="196" t="s">
        <v>3374</v>
      </c>
      <c r="C1996" s="171" t="s">
        <v>35</v>
      </c>
      <c r="D1996" s="173">
        <v>0.06</v>
      </c>
      <c r="E1996" s="176" t="s">
        <v>30</v>
      </c>
      <c r="F1996" s="176" t="s">
        <v>188</v>
      </c>
      <c r="G1996" s="189" t="s">
        <v>3395</v>
      </c>
      <c r="H1996" s="171"/>
    </row>
    <row r="1997" ht="14.25" spans="1:8">
      <c r="A1997" s="176">
        <v>303</v>
      </c>
      <c r="B1997" s="196" t="s">
        <v>3374</v>
      </c>
      <c r="C1997" s="171" t="s">
        <v>35</v>
      </c>
      <c r="D1997" s="173">
        <v>0.06</v>
      </c>
      <c r="E1997" s="176" t="s">
        <v>30</v>
      </c>
      <c r="F1997" s="176" t="s">
        <v>188</v>
      </c>
      <c r="G1997" s="189" t="s">
        <v>3396</v>
      </c>
      <c r="H1997" s="171"/>
    </row>
    <row r="1998" ht="14.25" spans="1:8">
      <c r="A1998" s="176">
        <v>304</v>
      </c>
      <c r="B1998" s="196" t="s">
        <v>3374</v>
      </c>
      <c r="C1998" s="171" t="s">
        <v>35</v>
      </c>
      <c r="D1998" s="173">
        <v>0.06</v>
      </c>
      <c r="E1998" s="176" t="s">
        <v>30</v>
      </c>
      <c r="F1998" s="176" t="s">
        <v>188</v>
      </c>
      <c r="G1998" s="189" t="s">
        <v>3397</v>
      </c>
      <c r="H1998" s="171"/>
    </row>
    <row r="1999" ht="14.25" spans="1:8">
      <c r="A1999" s="176">
        <v>305</v>
      </c>
      <c r="B1999" s="196" t="s">
        <v>3374</v>
      </c>
      <c r="C1999" s="171" t="s">
        <v>35</v>
      </c>
      <c r="D1999" s="173">
        <v>0.06</v>
      </c>
      <c r="E1999" s="176" t="s">
        <v>30</v>
      </c>
      <c r="F1999" s="176" t="s">
        <v>188</v>
      </c>
      <c r="G1999" s="189" t="s">
        <v>3398</v>
      </c>
      <c r="H1999" s="171"/>
    </row>
    <row r="2000" ht="14.25" spans="1:8">
      <c r="A2000" s="176">
        <v>306</v>
      </c>
      <c r="B2000" s="196" t="s">
        <v>3374</v>
      </c>
      <c r="C2000" s="171" t="s">
        <v>35</v>
      </c>
      <c r="D2000" s="173">
        <v>0.05</v>
      </c>
      <c r="E2000" s="176" t="s">
        <v>30</v>
      </c>
      <c r="F2000" s="176" t="s">
        <v>188</v>
      </c>
      <c r="G2000" s="189" t="s">
        <v>3399</v>
      </c>
      <c r="H2000" s="171"/>
    </row>
    <row r="2001" ht="14.25" spans="1:8">
      <c r="A2001" s="176">
        <v>307</v>
      </c>
      <c r="B2001" s="196" t="s">
        <v>3374</v>
      </c>
      <c r="C2001" s="171" t="s">
        <v>35</v>
      </c>
      <c r="D2001" s="173">
        <v>0.08</v>
      </c>
      <c r="E2001" s="176" t="s">
        <v>30</v>
      </c>
      <c r="F2001" s="176" t="s">
        <v>188</v>
      </c>
      <c r="G2001" s="189" t="s">
        <v>3400</v>
      </c>
      <c r="H2001" s="171"/>
    </row>
    <row r="2002" ht="14.25" spans="1:8">
      <c r="A2002" s="176">
        <v>308</v>
      </c>
      <c r="B2002" s="196" t="s">
        <v>3374</v>
      </c>
      <c r="C2002" s="171" t="s">
        <v>35</v>
      </c>
      <c r="D2002" s="173">
        <v>0.08</v>
      </c>
      <c r="E2002" s="176" t="s">
        <v>30</v>
      </c>
      <c r="F2002" s="176" t="s">
        <v>188</v>
      </c>
      <c r="G2002" s="189" t="s">
        <v>3401</v>
      </c>
      <c r="H2002" s="171"/>
    </row>
    <row r="2003" ht="14.25" spans="1:8">
      <c r="A2003" s="176">
        <v>309</v>
      </c>
      <c r="B2003" s="196" t="s">
        <v>3374</v>
      </c>
      <c r="C2003" s="171" t="s">
        <v>35</v>
      </c>
      <c r="D2003" s="173">
        <v>0.06</v>
      </c>
      <c r="E2003" s="176" t="s">
        <v>30</v>
      </c>
      <c r="F2003" s="176" t="s">
        <v>188</v>
      </c>
      <c r="G2003" s="189" t="s">
        <v>3402</v>
      </c>
      <c r="H2003" s="171"/>
    </row>
    <row r="2004" ht="14.25" spans="1:8">
      <c r="A2004" s="176">
        <v>310</v>
      </c>
      <c r="B2004" s="196" t="s">
        <v>3374</v>
      </c>
      <c r="C2004" s="171" t="s">
        <v>35</v>
      </c>
      <c r="D2004" s="173">
        <v>0.06</v>
      </c>
      <c r="E2004" s="176" t="s">
        <v>30</v>
      </c>
      <c r="F2004" s="176" t="s">
        <v>188</v>
      </c>
      <c r="G2004" s="189" t="s">
        <v>3403</v>
      </c>
      <c r="H2004" s="171"/>
    </row>
    <row r="2005" ht="14.25" spans="1:8">
      <c r="A2005" s="176">
        <v>311</v>
      </c>
      <c r="B2005" s="196" t="s">
        <v>3374</v>
      </c>
      <c r="C2005" s="171" t="s">
        <v>35</v>
      </c>
      <c r="D2005" s="173">
        <v>0.05</v>
      </c>
      <c r="E2005" s="176" t="s">
        <v>30</v>
      </c>
      <c r="F2005" s="176" t="s">
        <v>188</v>
      </c>
      <c r="G2005" s="189" t="s">
        <v>3404</v>
      </c>
      <c r="H2005" s="171"/>
    </row>
    <row r="2006" ht="14.25" spans="1:8">
      <c r="A2006" s="176">
        <v>312</v>
      </c>
      <c r="B2006" s="196" t="s">
        <v>3374</v>
      </c>
      <c r="C2006" s="171" t="s">
        <v>35</v>
      </c>
      <c r="D2006" s="173">
        <v>0.06</v>
      </c>
      <c r="E2006" s="176" t="s">
        <v>30</v>
      </c>
      <c r="F2006" s="176" t="s">
        <v>188</v>
      </c>
      <c r="G2006" s="189" t="s">
        <v>3405</v>
      </c>
      <c r="H2006" s="171"/>
    </row>
    <row r="2007" ht="14.25" spans="1:8">
      <c r="A2007" s="176">
        <v>313</v>
      </c>
      <c r="B2007" s="196" t="s">
        <v>3374</v>
      </c>
      <c r="C2007" s="171" t="s">
        <v>35</v>
      </c>
      <c r="D2007" s="173">
        <v>0.06</v>
      </c>
      <c r="E2007" s="176" t="s">
        <v>30</v>
      </c>
      <c r="F2007" s="176" t="s">
        <v>188</v>
      </c>
      <c r="G2007" s="189" t="s">
        <v>3406</v>
      </c>
      <c r="H2007" s="171"/>
    </row>
    <row r="2008" ht="14.25" spans="1:8">
      <c r="A2008" s="176">
        <v>314</v>
      </c>
      <c r="B2008" s="196" t="s">
        <v>3374</v>
      </c>
      <c r="C2008" s="171" t="s">
        <v>35</v>
      </c>
      <c r="D2008" s="173">
        <v>0.05</v>
      </c>
      <c r="E2008" s="176" t="s">
        <v>30</v>
      </c>
      <c r="F2008" s="176" t="s">
        <v>188</v>
      </c>
      <c r="G2008" s="189" t="s">
        <v>3407</v>
      </c>
      <c r="H2008" s="171"/>
    </row>
    <row r="2009" ht="14.25" spans="1:8">
      <c r="A2009" s="176">
        <v>315</v>
      </c>
      <c r="B2009" s="196" t="s">
        <v>3374</v>
      </c>
      <c r="C2009" s="171" t="s">
        <v>35</v>
      </c>
      <c r="D2009" s="173">
        <v>0.05</v>
      </c>
      <c r="E2009" s="176" t="s">
        <v>30</v>
      </c>
      <c r="F2009" s="176" t="s">
        <v>188</v>
      </c>
      <c r="G2009" s="189" t="s">
        <v>3408</v>
      </c>
      <c r="H2009" s="171"/>
    </row>
    <row r="2010" ht="14.25" spans="1:8">
      <c r="A2010" s="176">
        <v>316</v>
      </c>
      <c r="B2010" s="196" t="s">
        <v>3374</v>
      </c>
      <c r="C2010" s="171" t="s">
        <v>35</v>
      </c>
      <c r="D2010" s="173">
        <v>0.06</v>
      </c>
      <c r="E2010" s="176" t="s">
        <v>30</v>
      </c>
      <c r="F2010" s="176" t="s">
        <v>188</v>
      </c>
      <c r="G2010" s="189" t="s">
        <v>3409</v>
      </c>
      <c r="H2010" s="171"/>
    </row>
    <row r="2011" ht="14.25" spans="1:8">
      <c r="A2011" s="176">
        <v>317</v>
      </c>
      <c r="B2011" s="196" t="s">
        <v>3374</v>
      </c>
      <c r="C2011" s="171" t="s">
        <v>35</v>
      </c>
      <c r="D2011" s="173">
        <v>0.06</v>
      </c>
      <c r="E2011" s="176" t="s">
        <v>30</v>
      </c>
      <c r="F2011" s="176" t="s">
        <v>188</v>
      </c>
      <c r="G2011" s="189" t="s">
        <v>3410</v>
      </c>
      <c r="H2011" s="171"/>
    </row>
    <row r="2012" ht="14.25" spans="1:8">
      <c r="A2012" s="176">
        <v>318</v>
      </c>
      <c r="B2012" s="196" t="s">
        <v>3374</v>
      </c>
      <c r="C2012" s="171" t="s">
        <v>35</v>
      </c>
      <c r="D2012" s="173">
        <v>0.05</v>
      </c>
      <c r="E2012" s="176" t="s">
        <v>30</v>
      </c>
      <c r="F2012" s="176" t="s">
        <v>188</v>
      </c>
      <c r="G2012" s="189" t="s">
        <v>3411</v>
      </c>
      <c r="H2012" s="171"/>
    </row>
    <row r="2013" ht="14.25" spans="1:8">
      <c r="A2013" s="176">
        <v>319</v>
      </c>
      <c r="B2013" s="196" t="s">
        <v>3374</v>
      </c>
      <c r="C2013" s="171" t="s">
        <v>35</v>
      </c>
      <c r="D2013" s="173">
        <v>0.05</v>
      </c>
      <c r="E2013" s="176" t="s">
        <v>30</v>
      </c>
      <c r="F2013" s="176" t="s">
        <v>188</v>
      </c>
      <c r="G2013" s="189" t="s">
        <v>3412</v>
      </c>
      <c r="H2013" s="171"/>
    </row>
    <row r="2014" ht="14.25" spans="1:8">
      <c r="A2014" s="176">
        <v>320</v>
      </c>
      <c r="B2014" s="196" t="s">
        <v>3374</v>
      </c>
      <c r="C2014" s="171" t="s">
        <v>35</v>
      </c>
      <c r="D2014" s="173">
        <v>0.06</v>
      </c>
      <c r="E2014" s="176" t="s">
        <v>30</v>
      </c>
      <c r="F2014" s="176" t="s">
        <v>188</v>
      </c>
      <c r="G2014" s="189" t="s">
        <v>3413</v>
      </c>
      <c r="H2014" s="171"/>
    </row>
    <row r="2015" ht="14.25" spans="1:8">
      <c r="A2015" s="176">
        <v>321</v>
      </c>
      <c r="B2015" s="196" t="s">
        <v>3374</v>
      </c>
      <c r="C2015" s="171" t="s">
        <v>35</v>
      </c>
      <c r="D2015" s="173">
        <v>0.06</v>
      </c>
      <c r="E2015" s="176" t="s">
        <v>30</v>
      </c>
      <c r="F2015" s="176" t="s">
        <v>188</v>
      </c>
      <c r="G2015" s="189" t="s">
        <v>3414</v>
      </c>
      <c r="H2015" s="171"/>
    </row>
    <row r="2016" ht="14.25" spans="1:8">
      <c r="A2016" s="176">
        <v>322</v>
      </c>
      <c r="B2016" s="196" t="s">
        <v>3374</v>
      </c>
      <c r="C2016" s="171" t="s">
        <v>35</v>
      </c>
      <c r="D2016" s="173">
        <v>0.05</v>
      </c>
      <c r="E2016" s="176" t="s">
        <v>30</v>
      </c>
      <c r="F2016" s="176" t="s">
        <v>188</v>
      </c>
      <c r="G2016" s="189" t="s">
        <v>3415</v>
      </c>
      <c r="H2016" s="171"/>
    </row>
    <row r="2017" ht="14.25" spans="1:8">
      <c r="A2017" s="176">
        <v>323</v>
      </c>
      <c r="B2017" s="196" t="s">
        <v>3374</v>
      </c>
      <c r="C2017" s="171" t="s">
        <v>35</v>
      </c>
      <c r="D2017" s="173">
        <v>0.05</v>
      </c>
      <c r="E2017" s="176" t="s">
        <v>30</v>
      </c>
      <c r="F2017" s="176" t="s">
        <v>188</v>
      </c>
      <c r="G2017" s="189" t="s">
        <v>3416</v>
      </c>
      <c r="H2017" s="171"/>
    </row>
    <row r="2018" ht="14.25" spans="1:8">
      <c r="A2018" s="176">
        <v>324</v>
      </c>
      <c r="B2018" s="196" t="s">
        <v>3374</v>
      </c>
      <c r="C2018" s="171" t="s">
        <v>35</v>
      </c>
      <c r="D2018" s="173">
        <v>0.06</v>
      </c>
      <c r="E2018" s="176" t="s">
        <v>30</v>
      </c>
      <c r="F2018" s="176" t="s">
        <v>188</v>
      </c>
      <c r="G2018" s="189" t="s">
        <v>3417</v>
      </c>
      <c r="H2018" s="171"/>
    </row>
    <row r="2019" ht="14.25" spans="1:8">
      <c r="A2019" s="176">
        <v>325</v>
      </c>
      <c r="B2019" s="196" t="s">
        <v>3418</v>
      </c>
      <c r="C2019" s="171" t="s">
        <v>35</v>
      </c>
      <c r="D2019" s="173">
        <v>0.2</v>
      </c>
      <c r="E2019" s="176" t="s">
        <v>30</v>
      </c>
      <c r="F2019" s="176" t="s">
        <v>188</v>
      </c>
      <c r="G2019" s="189" t="s">
        <v>3419</v>
      </c>
      <c r="H2019" s="171"/>
    </row>
    <row r="2020" ht="14.25" spans="1:8">
      <c r="A2020" s="176">
        <v>326</v>
      </c>
      <c r="B2020" s="196" t="s">
        <v>3420</v>
      </c>
      <c r="C2020" s="171" t="s">
        <v>35</v>
      </c>
      <c r="D2020" s="173">
        <v>0.2</v>
      </c>
      <c r="E2020" s="176" t="s">
        <v>30</v>
      </c>
      <c r="F2020" s="176" t="s">
        <v>188</v>
      </c>
      <c r="G2020" s="189" t="s">
        <v>3421</v>
      </c>
      <c r="H2020" s="171"/>
    </row>
    <row r="2021" ht="14.25" spans="1:8">
      <c r="A2021" s="176">
        <v>327</v>
      </c>
      <c r="B2021" s="196" t="s">
        <v>3422</v>
      </c>
      <c r="C2021" s="171" t="s">
        <v>35</v>
      </c>
      <c r="D2021" s="173">
        <v>0.17</v>
      </c>
      <c r="E2021" s="176" t="s">
        <v>30</v>
      </c>
      <c r="F2021" s="176" t="s">
        <v>188</v>
      </c>
      <c r="G2021" s="189" t="s">
        <v>3423</v>
      </c>
      <c r="H2021" s="171"/>
    </row>
    <row r="2022" ht="14.25" spans="1:8">
      <c r="A2022" s="176">
        <v>328</v>
      </c>
      <c r="B2022" s="196" t="s">
        <v>3424</v>
      </c>
      <c r="C2022" s="171" t="s">
        <v>35</v>
      </c>
      <c r="D2022" s="173">
        <v>0.03</v>
      </c>
      <c r="E2022" s="176" t="s">
        <v>30</v>
      </c>
      <c r="F2022" s="176" t="s">
        <v>188</v>
      </c>
      <c r="G2022" s="189" t="s">
        <v>1920</v>
      </c>
      <c r="H2022" s="171"/>
    </row>
    <row r="2023" ht="14.25" spans="1:8">
      <c r="A2023" s="176">
        <v>329</v>
      </c>
      <c r="B2023" s="183" t="s">
        <v>3425</v>
      </c>
      <c r="C2023" s="171" t="s">
        <v>35</v>
      </c>
      <c r="D2023" s="173">
        <v>0.02</v>
      </c>
      <c r="E2023" s="176" t="s">
        <v>30</v>
      </c>
      <c r="F2023" s="176" t="s">
        <v>188</v>
      </c>
      <c r="G2023" s="189" t="s">
        <v>3426</v>
      </c>
      <c r="H2023" s="171"/>
    </row>
    <row r="2024" ht="14.25" spans="1:8">
      <c r="A2024" s="176">
        <v>330</v>
      </c>
      <c r="B2024" s="183" t="s">
        <v>3425</v>
      </c>
      <c r="C2024" s="171" t="s">
        <v>35</v>
      </c>
      <c r="D2024" s="173">
        <v>0.02</v>
      </c>
      <c r="E2024" s="176" t="s">
        <v>30</v>
      </c>
      <c r="F2024" s="176" t="s">
        <v>188</v>
      </c>
      <c r="G2024" s="189" t="s">
        <v>3062</v>
      </c>
      <c r="H2024" s="171"/>
    </row>
    <row r="2025" ht="14.25" spans="1:8">
      <c r="A2025" s="176">
        <v>331</v>
      </c>
      <c r="B2025" s="240" t="s">
        <v>3068</v>
      </c>
      <c r="C2025" s="171" t="s">
        <v>35</v>
      </c>
      <c r="D2025" s="173">
        <v>0.09</v>
      </c>
      <c r="E2025" s="176" t="s">
        <v>30</v>
      </c>
      <c r="F2025" s="176" t="s">
        <v>188</v>
      </c>
      <c r="G2025" s="189" t="s">
        <v>3427</v>
      </c>
      <c r="H2025" s="171"/>
    </row>
    <row r="2026" ht="14.25" spans="1:8">
      <c r="A2026" s="176">
        <v>332</v>
      </c>
      <c r="B2026" s="240" t="s">
        <v>3068</v>
      </c>
      <c r="C2026" s="171" t="s">
        <v>35</v>
      </c>
      <c r="D2026" s="173">
        <v>0.19</v>
      </c>
      <c r="E2026" s="176" t="s">
        <v>30</v>
      </c>
      <c r="F2026" s="176" t="s">
        <v>188</v>
      </c>
      <c r="G2026" s="189" t="s">
        <v>3428</v>
      </c>
      <c r="H2026" s="171"/>
    </row>
    <row r="2027" ht="14.25" spans="1:8">
      <c r="A2027" s="176">
        <v>333</v>
      </c>
      <c r="B2027" s="201" t="s">
        <v>2052</v>
      </c>
      <c r="C2027" s="195" t="s">
        <v>35</v>
      </c>
      <c r="D2027" s="173">
        <v>0.08</v>
      </c>
      <c r="E2027" s="199" t="s">
        <v>30</v>
      </c>
      <c r="F2027" s="199" t="s">
        <v>188</v>
      </c>
      <c r="G2027" s="202" t="s">
        <v>3346</v>
      </c>
      <c r="H2027" s="171"/>
    </row>
    <row r="2028" ht="14.25" spans="1:8">
      <c r="A2028" s="176">
        <v>334</v>
      </c>
      <c r="B2028" s="201" t="s">
        <v>3429</v>
      </c>
      <c r="C2028" s="195" t="s">
        <v>35</v>
      </c>
      <c r="D2028" s="173">
        <v>0.1</v>
      </c>
      <c r="E2028" s="241" t="s">
        <v>30</v>
      </c>
      <c r="F2028" s="241" t="s">
        <v>188</v>
      </c>
      <c r="G2028" s="202" t="s">
        <v>3430</v>
      </c>
      <c r="H2028" s="171"/>
    </row>
    <row r="2029" ht="14.25" spans="1:8">
      <c r="A2029" s="176">
        <v>335</v>
      </c>
      <c r="B2029" s="185" t="s">
        <v>3431</v>
      </c>
      <c r="C2029" s="195" t="s">
        <v>35</v>
      </c>
      <c r="D2029" s="173">
        <v>0.01</v>
      </c>
      <c r="E2029" s="241" t="s">
        <v>30</v>
      </c>
      <c r="F2029" s="241" t="s">
        <v>188</v>
      </c>
      <c r="G2029" s="242" t="s">
        <v>3432</v>
      </c>
      <c r="H2029" s="171"/>
    </row>
    <row r="2030" ht="14.25" spans="1:8">
      <c r="A2030" s="176">
        <v>336</v>
      </c>
      <c r="B2030" s="196" t="s">
        <v>2996</v>
      </c>
      <c r="C2030" s="171" t="s">
        <v>35</v>
      </c>
      <c r="D2030" s="173">
        <v>0.1</v>
      </c>
      <c r="E2030" s="176" t="s">
        <v>30</v>
      </c>
      <c r="F2030" s="176" t="s">
        <v>188</v>
      </c>
      <c r="G2030" s="189" t="s">
        <v>2997</v>
      </c>
      <c r="H2030" s="171"/>
    </row>
    <row r="2031" ht="14.25" spans="1:8">
      <c r="A2031" s="176">
        <v>337</v>
      </c>
      <c r="B2031" s="195" t="s">
        <v>2998</v>
      </c>
      <c r="C2031" s="171" t="s">
        <v>35</v>
      </c>
      <c r="D2031" s="173">
        <v>0.02</v>
      </c>
      <c r="E2031" s="176" t="s">
        <v>30</v>
      </c>
      <c r="F2031" s="176" t="s">
        <v>188</v>
      </c>
      <c r="G2031" s="189" t="s">
        <v>2999</v>
      </c>
      <c r="H2031" s="171"/>
    </row>
    <row r="2032" ht="14.25" spans="1:8">
      <c r="A2032" s="176">
        <v>338</v>
      </c>
      <c r="B2032" s="195" t="s">
        <v>3433</v>
      </c>
      <c r="C2032" s="171" t="s">
        <v>35</v>
      </c>
      <c r="D2032" s="173">
        <v>0.01</v>
      </c>
      <c r="E2032" s="176" t="s">
        <v>30</v>
      </c>
      <c r="F2032" s="176" t="s">
        <v>188</v>
      </c>
      <c r="G2032" s="189" t="s">
        <v>3434</v>
      </c>
      <c r="H2032" s="171"/>
    </row>
    <row r="2033" ht="14.25" spans="1:8">
      <c r="A2033" s="176">
        <v>339</v>
      </c>
      <c r="B2033" s="195" t="s">
        <v>3435</v>
      </c>
      <c r="C2033" s="171" t="s">
        <v>35</v>
      </c>
      <c r="D2033" s="173">
        <v>0.04</v>
      </c>
      <c r="E2033" s="176" t="s">
        <v>30</v>
      </c>
      <c r="F2033" s="176" t="s">
        <v>188</v>
      </c>
      <c r="G2033" s="189" t="s">
        <v>3436</v>
      </c>
      <c r="H2033" s="171"/>
    </row>
    <row r="2034" ht="14.25" spans="1:8">
      <c r="A2034" s="176">
        <v>340</v>
      </c>
      <c r="B2034" s="195" t="s">
        <v>3437</v>
      </c>
      <c r="C2034" s="171" t="s">
        <v>35</v>
      </c>
      <c r="D2034" s="173">
        <v>0.04</v>
      </c>
      <c r="E2034" s="176" t="s">
        <v>30</v>
      </c>
      <c r="F2034" s="176" t="s">
        <v>188</v>
      </c>
      <c r="G2034" s="189" t="s">
        <v>3438</v>
      </c>
      <c r="H2034" s="171"/>
    </row>
    <row r="2035" ht="14.25" spans="1:8">
      <c r="A2035" s="176">
        <v>341</v>
      </c>
      <c r="B2035" s="195" t="s">
        <v>3439</v>
      </c>
      <c r="C2035" s="171" t="s">
        <v>35</v>
      </c>
      <c r="D2035" s="173">
        <v>0.12</v>
      </c>
      <c r="E2035" s="176" t="s">
        <v>30</v>
      </c>
      <c r="F2035" s="176" t="s">
        <v>188</v>
      </c>
      <c r="G2035" s="189" t="s">
        <v>3440</v>
      </c>
      <c r="H2035" s="171"/>
    </row>
    <row r="2036" ht="14.25" spans="1:8">
      <c r="A2036" s="176">
        <v>342</v>
      </c>
      <c r="B2036" s="195" t="s">
        <v>3441</v>
      </c>
      <c r="C2036" s="171" t="s">
        <v>35</v>
      </c>
      <c r="D2036" s="173">
        <v>0.09</v>
      </c>
      <c r="E2036" s="176" t="s">
        <v>30</v>
      </c>
      <c r="F2036" s="176" t="s">
        <v>188</v>
      </c>
      <c r="G2036" s="189" t="s">
        <v>3442</v>
      </c>
      <c r="H2036" s="171"/>
    </row>
    <row r="2037" ht="14.25" spans="1:8">
      <c r="A2037" s="176">
        <v>343</v>
      </c>
      <c r="B2037" s="195" t="s">
        <v>3443</v>
      </c>
      <c r="C2037" s="171" t="s">
        <v>35</v>
      </c>
      <c r="D2037" s="173">
        <v>0.04</v>
      </c>
      <c r="E2037" s="176" t="s">
        <v>30</v>
      </c>
      <c r="F2037" s="176" t="s">
        <v>188</v>
      </c>
      <c r="G2037" s="189" t="s">
        <v>3444</v>
      </c>
      <c r="H2037" s="171"/>
    </row>
    <row r="2038" ht="14.25" spans="1:8">
      <c r="A2038" s="176">
        <v>344</v>
      </c>
      <c r="B2038" s="195" t="s">
        <v>3445</v>
      </c>
      <c r="C2038" s="171" t="s">
        <v>35</v>
      </c>
      <c r="D2038" s="173">
        <v>0.09</v>
      </c>
      <c r="E2038" s="176" t="s">
        <v>30</v>
      </c>
      <c r="F2038" s="176" t="s">
        <v>188</v>
      </c>
      <c r="G2038" s="189" t="s">
        <v>3446</v>
      </c>
      <c r="H2038" s="171"/>
    </row>
    <row r="2039" ht="14.25" spans="1:8">
      <c r="A2039" s="176">
        <v>345</v>
      </c>
      <c r="B2039" s="195" t="s">
        <v>1704</v>
      </c>
      <c r="C2039" s="171" t="s">
        <v>35</v>
      </c>
      <c r="D2039" s="173">
        <v>0.02</v>
      </c>
      <c r="E2039" s="176" t="s">
        <v>30</v>
      </c>
      <c r="F2039" s="176" t="s">
        <v>188</v>
      </c>
      <c r="G2039" s="189" t="s">
        <v>3447</v>
      </c>
      <c r="H2039" s="171"/>
    </row>
    <row r="2040" ht="14.25" spans="1:8">
      <c r="A2040" s="206" t="s">
        <v>3448</v>
      </c>
      <c r="B2040" s="223" t="s">
        <v>307</v>
      </c>
      <c r="C2040" s="171"/>
      <c r="D2040" s="207"/>
      <c r="E2040" s="243"/>
      <c r="F2040" s="206"/>
      <c r="G2040" s="224"/>
      <c r="H2040" s="213"/>
    </row>
    <row r="2041" ht="14.25" spans="1:8">
      <c r="A2041" s="176">
        <v>1</v>
      </c>
      <c r="B2041" s="175" t="s">
        <v>3449</v>
      </c>
      <c r="C2041" s="187" t="s">
        <v>179</v>
      </c>
      <c r="D2041" s="173">
        <v>0.04</v>
      </c>
      <c r="E2041" s="176" t="s">
        <v>30</v>
      </c>
      <c r="F2041" s="176" t="s">
        <v>188</v>
      </c>
      <c r="G2041" s="171" t="s">
        <v>3450</v>
      </c>
      <c r="H2041" s="175"/>
    </row>
    <row r="2042" ht="14.25" spans="1:8">
      <c r="A2042" s="176">
        <v>2</v>
      </c>
      <c r="B2042" s="171" t="s">
        <v>1706</v>
      </c>
      <c r="C2042" s="187" t="s">
        <v>179</v>
      </c>
      <c r="D2042" s="173">
        <v>0.04</v>
      </c>
      <c r="E2042" s="176" t="s">
        <v>30</v>
      </c>
      <c r="F2042" s="176" t="s">
        <v>188</v>
      </c>
      <c r="G2042" s="171" t="s">
        <v>3451</v>
      </c>
      <c r="H2042" s="175"/>
    </row>
    <row r="2043" ht="14.25" spans="1:8">
      <c r="A2043" s="176">
        <v>3</v>
      </c>
      <c r="B2043" s="171" t="s">
        <v>3452</v>
      </c>
      <c r="C2043" s="187" t="s">
        <v>179</v>
      </c>
      <c r="D2043" s="173">
        <v>0.01</v>
      </c>
      <c r="E2043" s="176" t="s">
        <v>30</v>
      </c>
      <c r="F2043" s="176" t="s">
        <v>188</v>
      </c>
      <c r="G2043" s="171" t="s">
        <v>3453</v>
      </c>
      <c r="H2043" s="175"/>
    </row>
    <row r="2044" ht="14.25" spans="1:8">
      <c r="A2044" s="176">
        <v>4</v>
      </c>
      <c r="B2044" s="171" t="s">
        <v>3454</v>
      </c>
      <c r="C2044" s="187" t="s">
        <v>179</v>
      </c>
      <c r="D2044" s="173">
        <v>0.01</v>
      </c>
      <c r="E2044" s="176" t="s">
        <v>30</v>
      </c>
      <c r="F2044" s="176" t="s">
        <v>188</v>
      </c>
      <c r="G2044" s="171" t="s">
        <v>3455</v>
      </c>
      <c r="H2044" s="175"/>
    </row>
    <row r="2045" ht="14.25" spans="1:8">
      <c r="A2045" s="176">
        <v>5</v>
      </c>
      <c r="B2045" s="171" t="s">
        <v>1791</v>
      </c>
      <c r="C2045" s="187" t="s">
        <v>179</v>
      </c>
      <c r="D2045" s="173">
        <v>0.01</v>
      </c>
      <c r="E2045" s="176" t="s">
        <v>30</v>
      </c>
      <c r="F2045" s="176" t="s">
        <v>188</v>
      </c>
      <c r="G2045" s="171" t="s">
        <v>3456</v>
      </c>
      <c r="H2045" s="175"/>
    </row>
    <row r="2046" ht="25.5" spans="1:8">
      <c r="A2046" s="176">
        <v>6</v>
      </c>
      <c r="B2046" s="171" t="s">
        <v>3457</v>
      </c>
      <c r="C2046" s="187" t="s">
        <v>179</v>
      </c>
      <c r="D2046" s="173">
        <v>0.01</v>
      </c>
      <c r="E2046" s="176" t="s">
        <v>30</v>
      </c>
      <c r="F2046" s="176" t="s">
        <v>188</v>
      </c>
      <c r="G2046" s="171" t="s">
        <v>3458</v>
      </c>
      <c r="H2046" s="175"/>
    </row>
    <row r="2047" ht="14.25" spans="1:8">
      <c r="A2047" s="176">
        <v>7</v>
      </c>
      <c r="B2047" s="171" t="s">
        <v>3457</v>
      </c>
      <c r="C2047" s="187" t="s">
        <v>179</v>
      </c>
      <c r="D2047" s="173">
        <v>0.03</v>
      </c>
      <c r="E2047" s="176" t="s">
        <v>30</v>
      </c>
      <c r="F2047" s="176" t="s">
        <v>188</v>
      </c>
      <c r="G2047" s="171" t="s">
        <v>3459</v>
      </c>
      <c r="H2047" s="175"/>
    </row>
    <row r="2048" ht="14.25" spans="1:8">
      <c r="A2048" s="176">
        <v>8</v>
      </c>
      <c r="B2048" s="171" t="s">
        <v>3460</v>
      </c>
      <c r="C2048" s="187" t="s">
        <v>179</v>
      </c>
      <c r="D2048" s="173">
        <v>0.03</v>
      </c>
      <c r="E2048" s="176" t="s">
        <v>30</v>
      </c>
      <c r="F2048" s="176" t="s">
        <v>188</v>
      </c>
      <c r="G2048" s="171" t="s">
        <v>3461</v>
      </c>
      <c r="H2048" s="175"/>
    </row>
    <row r="2049" ht="14.25" spans="1:8">
      <c r="A2049" s="176">
        <v>9</v>
      </c>
      <c r="B2049" s="171" t="s">
        <v>3462</v>
      </c>
      <c r="C2049" s="187" t="s">
        <v>179</v>
      </c>
      <c r="D2049" s="173">
        <v>0.03</v>
      </c>
      <c r="E2049" s="176" t="s">
        <v>30</v>
      </c>
      <c r="F2049" s="176" t="s">
        <v>188</v>
      </c>
      <c r="G2049" s="171" t="s">
        <v>3463</v>
      </c>
      <c r="H2049" s="175"/>
    </row>
    <row r="2050" ht="14.25" spans="1:8">
      <c r="A2050" s="176">
        <v>10</v>
      </c>
      <c r="B2050" s="171" t="s">
        <v>3464</v>
      </c>
      <c r="C2050" s="187" t="s">
        <v>179</v>
      </c>
      <c r="D2050" s="173">
        <v>0.03</v>
      </c>
      <c r="E2050" s="176" t="s">
        <v>30</v>
      </c>
      <c r="F2050" s="176" t="s">
        <v>188</v>
      </c>
      <c r="G2050" s="171" t="s">
        <v>3465</v>
      </c>
      <c r="H2050" s="175"/>
    </row>
    <row r="2051" ht="14.25" spans="1:8">
      <c r="A2051" s="176">
        <v>11</v>
      </c>
      <c r="B2051" s="171" t="s">
        <v>3466</v>
      </c>
      <c r="C2051" s="187" t="s">
        <v>179</v>
      </c>
      <c r="D2051" s="173">
        <v>0.04</v>
      </c>
      <c r="E2051" s="176" t="s">
        <v>30</v>
      </c>
      <c r="F2051" s="176" t="s">
        <v>188</v>
      </c>
      <c r="G2051" s="171" t="s">
        <v>3467</v>
      </c>
      <c r="H2051" s="175"/>
    </row>
    <row r="2052" ht="14.25" spans="1:8">
      <c r="A2052" s="176">
        <v>12</v>
      </c>
      <c r="B2052" s="171" t="s">
        <v>1791</v>
      </c>
      <c r="C2052" s="187" t="s">
        <v>179</v>
      </c>
      <c r="D2052" s="173">
        <v>0.01</v>
      </c>
      <c r="E2052" s="176" t="s">
        <v>30</v>
      </c>
      <c r="F2052" s="176" t="s">
        <v>188</v>
      </c>
      <c r="G2052" s="171" t="s">
        <v>3468</v>
      </c>
      <c r="H2052" s="175"/>
    </row>
    <row r="2053" ht="14.25" spans="1:8">
      <c r="A2053" s="176">
        <v>13</v>
      </c>
      <c r="B2053" s="171" t="s">
        <v>3466</v>
      </c>
      <c r="C2053" s="187" t="s">
        <v>179</v>
      </c>
      <c r="D2053" s="173">
        <v>0.04</v>
      </c>
      <c r="E2053" s="176" t="s">
        <v>30</v>
      </c>
      <c r="F2053" s="176" t="s">
        <v>188</v>
      </c>
      <c r="G2053" s="171" t="s">
        <v>3469</v>
      </c>
      <c r="H2053" s="175"/>
    </row>
    <row r="2054" ht="14.25" spans="1:8">
      <c r="A2054" s="176">
        <v>14</v>
      </c>
      <c r="B2054" s="171" t="s">
        <v>3466</v>
      </c>
      <c r="C2054" s="187" t="s">
        <v>179</v>
      </c>
      <c r="D2054" s="173">
        <v>0.04</v>
      </c>
      <c r="E2054" s="176" t="s">
        <v>30</v>
      </c>
      <c r="F2054" s="176" t="s">
        <v>188</v>
      </c>
      <c r="G2054" s="171" t="s">
        <v>3470</v>
      </c>
      <c r="H2054" s="175"/>
    </row>
    <row r="2055" ht="14.25" spans="1:8">
      <c r="A2055" s="176">
        <v>15</v>
      </c>
      <c r="B2055" s="171" t="s">
        <v>1680</v>
      </c>
      <c r="C2055" s="187" t="s">
        <v>179</v>
      </c>
      <c r="D2055" s="173">
        <v>0.04</v>
      </c>
      <c r="E2055" s="176" t="s">
        <v>30</v>
      </c>
      <c r="F2055" s="176" t="s">
        <v>188</v>
      </c>
      <c r="G2055" s="171" t="s">
        <v>3471</v>
      </c>
      <c r="H2055" s="175"/>
    </row>
    <row r="2056" ht="14.25" spans="1:8">
      <c r="A2056" s="176">
        <v>16</v>
      </c>
      <c r="B2056" s="171" t="s">
        <v>1680</v>
      </c>
      <c r="C2056" s="187" t="s">
        <v>179</v>
      </c>
      <c r="D2056" s="173">
        <v>0.04</v>
      </c>
      <c r="E2056" s="176" t="s">
        <v>30</v>
      </c>
      <c r="F2056" s="176" t="s">
        <v>188</v>
      </c>
      <c r="G2056" s="171" t="s">
        <v>3472</v>
      </c>
      <c r="H2056" s="175"/>
    </row>
    <row r="2057" ht="14.25" spans="1:8">
      <c r="A2057" s="176">
        <v>17</v>
      </c>
      <c r="B2057" s="171" t="s">
        <v>1680</v>
      </c>
      <c r="C2057" s="187" t="s">
        <v>179</v>
      </c>
      <c r="D2057" s="173">
        <v>0.04</v>
      </c>
      <c r="E2057" s="176" t="s">
        <v>30</v>
      </c>
      <c r="F2057" s="176" t="s">
        <v>188</v>
      </c>
      <c r="G2057" s="171" t="s">
        <v>3473</v>
      </c>
      <c r="H2057" s="175"/>
    </row>
    <row r="2058" ht="14.25" spans="1:8">
      <c r="A2058" s="176">
        <v>18</v>
      </c>
      <c r="B2058" s="171" t="s">
        <v>3466</v>
      </c>
      <c r="C2058" s="187" t="s">
        <v>179</v>
      </c>
      <c r="D2058" s="173">
        <v>0.04</v>
      </c>
      <c r="E2058" s="176" t="s">
        <v>30</v>
      </c>
      <c r="F2058" s="176" t="s">
        <v>188</v>
      </c>
      <c r="G2058" s="171" t="s">
        <v>3474</v>
      </c>
      <c r="H2058" s="175"/>
    </row>
    <row r="2059" ht="14.25" spans="1:8">
      <c r="A2059" s="176">
        <v>19</v>
      </c>
      <c r="B2059" s="171" t="s">
        <v>3475</v>
      </c>
      <c r="C2059" s="187" t="s">
        <v>179</v>
      </c>
      <c r="D2059" s="173">
        <v>0.01</v>
      </c>
      <c r="E2059" s="176" t="s">
        <v>30</v>
      </c>
      <c r="F2059" s="176" t="s">
        <v>188</v>
      </c>
      <c r="G2059" s="171" t="s">
        <v>3476</v>
      </c>
      <c r="H2059" s="175"/>
    </row>
    <row r="2060" ht="14.25" spans="1:8">
      <c r="A2060" s="176">
        <v>20</v>
      </c>
      <c r="B2060" s="171" t="s">
        <v>3477</v>
      </c>
      <c r="C2060" s="187" t="s">
        <v>179</v>
      </c>
      <c r="D2060" s="173">
        <v>0.02</v>
      </c>
      <c r="E2060" s="176" t="s">
        <v>30</v>
      </c>
      <c r="F2060" s="176" t="s">
        <v>188</v>
      </c>
      <c r="G2060" s="171" t="s">
        <v>3478</v>
      </c>
      <c r="H2060" s="175"/>
    </row>
    <row r="2061" ht="14.25" spans="1:8">
      <c r="A2061" s="176">
        <v>21</v>
      </c>
      <c r="B2061" s="171" t="s">
        <v>1791</v>
      </c>
      <c r="C2061" s="187" t="s">
        <v>179</v>
      </c>
      <c r="D2061" s="173">
        <v>0.04</v>
      </c>
      <c r="E2061" s="176" t="s">
        <v>30</v>
      </c>
      <c r="F2061" s="176" t="s">
        <v>188</v>
      </c>
      <c r="G2061" s="171" t="s">
        <v>3479</v>
      </c>
      <c r="H2061" s="175"/>
    </row>
    <row r="2062" ht="14.25" spans="1:8">
      <c r="A2062" s="176">
        <v>22</v>
      </c>
      <c r="B2062" s="171" t="s">
        <v>2206</v>
      </c>
      <c r="C2062" s="187" t="s">
        <v>179</v>
      </c>
      <c r="D2062" s="173">
        <v>0.03</v>
      </c>
      <c r="E2062" s="176" t="s">
        <v>30</v>
      </c>
      <c r="F2062" s="176" t="s">
        <v>188</v>
      </c>
      <c r="G2062" s="171" t="s">
        <v>3480</v>
      </c>
      <c r="H2062" s="175"/>
    </row>
    <row r="2063" ht="14.25" spans="1:8">
      <c r="A2063" s="176">
        <v>23</v>
      </c>
      <c r="B2063" s="171" t="s">
        <v>3481</v>
      </c>
      <c r="C2063" s="187" t="s">
        <v>179</v>
      </c>
      <c r="D2063" s="173">
        <v>0.01</v>
      </c>
      <c r="E2063" s="176" t="s">
        <v>30</v>
      </c>
      <c r="F2063" s="176" t="s">
        <v>188</v>
      </c>
      <c r="G2063" s="171" t="s">
        <v>3482</v>
      </c>
      <c r="H2063" s="175"/>
    </row>
    <row r="2064" ht="14.25" spans="1:8">
      <c r="A2064" s="176">
        <v>24</v>
      </c>
      <c r="B2064" s="171" t="s">
        <v>3483</v>
      </c>
      <c r="C2064" s="187" t="s">
        <v>179</v>
      </c>
      <c r="D2064" s="173">
        <v>0.02</v>
      </c>
      <c r="E2064" s="176" t="s">
        <v>30</v>
      </c>
      <c r="F2064" s="176" t="s">
        <v>188</v>
      </c>
      <c r="G2064" s="171" t="s">
        <v>3468</v>
      </c>
      <c r="H2064" s="175"/>
    </row>
    <row r="2065" ht="14.25" spans="1:8">
      <c r="A2065" s="176">
        <v>25</v>
      </c>
      <c r="B2065" s="171" t="s">
        <v>3484</v>
      </c>
      <c r="C2065" s="187" t="s">
        <v>179</v>
      </c>
      <c r="D2065" s="173">
        <v>0.01</v>
      </c>
      <c r="E2065" s="176" t="s">
        <v>30</v>
      </c>
      <c r="F2065" s="176" t="s">
        <v>188</v>
      </c>
      <c r="G2065" s="171" t="s">
        <v>3485</v>
      </c>
      <c r="H2065" s="175"/>
    </row>
    <row r="2066" ht="14.25" spans="1:8">
      <c r="A2066" s="176">
        <v>26</v>
      </c>
      <c r="B2066" s="171" t="s">
        <v>3486</v>
      </c>
      <c r="C2066" s="187" t="s">
        <v>179</v>
      </c>
      <c r="D2066" s="173">
        <v>0.01</v>
      </c>
      <c r="E2066" s="176" t="s">
        <v>30</v>
      </c>
      <c r="F2066" s="176" t="s">
        <v>188</v>
      </c>
      <c r="G2066" s="171" t="s">
        <v>3487</v>
      </c>
      <c r="H2066" s="175"/>
    </row>
    <row r="2067" ht="25.5" spans="1:8">
      <c r="A2067" s="176">
        <v>27</v>
      </c>
      <c r="B2067" s="171" t="s">
        <v>3488</v>
      </c>
      <c r="C2067" s="187" t="s">
        <v>179</v>
      </c>
      <c r="D2067" s="173">
        <v>0.04</v>
      </c>
      <c r="E2067" s="176" t="s">
        <v>30</v>
      </c>
      <c r="F2067" s="176" t="s">
        <v>188</v>
      </c>
      <c r="G2067" s="171" t="s">
        <v>3489</v>
      </c>
      <c r="H2067" s="175"/>
    </row>
    <row r="2068" ht="14.25" spans="1:8">
      <c r="A2068" s="176">
        <v>28</v>
      </c>
      <c r="B2068" s="171" t="s">
        <v>1674</v>
      </c>
      <c r="C2068" s="187" t="s">
        <v>179</v>
      </c>
      <c r="D2068" s="173">
        <v>0.02</v>
      </c>
      <c r="E2068" s="176" t="s">
        <v>30</v>
      </c>
      <c r="F2068" s="176" t="s">
        <v>188</v>
      </c>
      <c r="G2068" s="171" t="s">
        <v>3490</v>
      </c>
      <c r="H2068" s="175"/>
    </row>
    <row r="2069" ht="14.25" spans="1:8">
      <c r="A2069" s="176">
        <v>29</v>
      </c>
      <c r="B2069" s="171" t="s">
        <v>1980</v>
      </c>
      <c r="C2069" s="187" t="s">
        <v>179</v>
      </c>
      <c r="D2069" s="173">
        <v>0.01</v>
      </c>
      <c r="E2069" s="176" t="s">
        <v>30</v>
      </c>
      <c r="F2069" s="176" t="s">
        <v>188</v>
      </c>
      <c r="G2069" s="171" t="s">
        <v>3491</v>
      </c>
      <c r="H2069" s="175"/>
    </row>
    <row r="2070" ht="14.25" spans="1:8">
      <c r="A2070" s="176">
        <v>30</v>
      </c>
      <c r="B2070" s="171" t="s">
        <v>3492</v>
      </c>
      <c r="C2070" s="187" t="s">
        <v>179</v>
      </c>
      <c r="D2070" s="173">
        <v>0.03</v>
      </c>
      <c r="E2070" s="176" t="s">
        <v>30</v>
      </c>
      <c r="F2070" s="176" t="s">
        <v>188</v>
      </c>
      <c r="G2070" s="171" t="s">
        <v>3493</v>
      </c>
      <c r="H2070" s="175"/>
    </row>
    <row r="2071" ht="14.25" spans="1:8">
      <c r="A2071" s="176">
        <v>31</v>
      </c>
      <c r="B2071" s="171" t="s">
        <v>3494</v>
      </c>
      <c r="C2071" s="187" t="s">
        <v>179</v>
      </c>
      <c r="D2071" s="173">
        <v>0.02</v>
      </c>
      <c r="E2071" s="176" t="s">
        <v>30</v>
      </c>
      <c r="F2071" s="176" t="s">
        <v>188</v>
      </c>
      <c r="G2071" s="171" t="s">
        <v>3495</v>
      </c>
      <c r="H2071" s="175"/>
    </row>
    <row r="2072" ht="14.25" spans="1:8">
      <c r="A2072" s="176">
        <v>32</v>
      </c>
      <c r="B2072" s="171" t="s">
        <v>3496</v>
      </c>
      <c r="C2072" s="187" t="s">
        <v>179</v>
      </c>
      <c r="D2072" s="173">
        <v>0.03</v>
      </c>
      <c r="E2072" s="176" t="s">
        <v>30</v>
      </c>
      <c r="F2072" s="176" t="s">
        <v>188</v>
      </c>
      <c r="G2072" s="171" t="s">
        <v>3497</v>
      </c>
      <c r="H2072" s="175"/>
    </row>
    <row r="2073" ht="14.25" spans="1:8">
      <c r="A2073" s="176">
        <v>33</v>
      </c>
      <c r="B2073" s="171" t="s">
        <v>3498</v>
      </c>
      <c r="C2073" s="187" t="s">
        <v>179</v>
      </c>
      <c r="D2073" s="173">
        <v>0.02</v>
      </c>
      <c r="E2073" s="176" t="s">
        <v>30</v>
      </c>
      <c r="F2073" s="176" t="s">
        <v>188</v>
      </c>
      <c r="G2073" s="171" t="s">
        <v>3499</v>
      </c>
      <c r="H2073" s="175"/>
    </row>
    <row r="2074" ht="14.25" spans="1:8">
      <c r="A2074" s="176">
        <v>34</v>
      </c>
      <c r="B2074" s="171" t="s">
        <v>3500</v>
      </c>
      <c r="C2074" s="187" t="s">
        <v>179</v>
      </c>
      <c r="D2074" s="173">
        <v>0.03</v>
      </c>
      <c r="E2074" s="176" t="s">
        <v>30</v>
      </c>
      <c r="F2074" s="176" t="s">
        <v>188</v>
      </c>
      <c r="G2074" s="171" t="s">
        <v>3501</v>
      </c>
      <c r="H2074" s="175"/>
    </row>
    <row r="2075" ht="14.25" spans="1:8">
      <c r="A2075" s="176">
        <v>35</v>
      </c>
      <c r="B2075" s="171" t="s">
        <v>3502</v>
      </c>
      <c r="C2075" s="187" t="s">
        <v>179</v>
      </c>
      <c r="D2075" s="173">
        <v>0.01</v>
      </c>
      <c r="E2075" s="176" t="s">
        <v>30</v>
      </c>
      <c r="F2075" s="176" t="s">
        <v>188</v>
      </c>
      <c r="G2075" s="171" t="s">
        <v>3503</v>
      </c>
      <c r="H2075" s="175"/>
    </row>
    <row r="2076" ht="14.25" spans="1:8">
      <c r="A2076" s="176">
        <v>36</v>
      </c>
      <c r="B2076" s="171" t="s">
        <v>3504</v>
      </c>
      <c r="C2076" s="187" t="s">
        <v>179</v>
      </c>
      <c r="D2076" s="173">
        <v>0.02</v>
      </c>
      <c r="E2076" s="176" t="s">
        <v>30</v>
      </c>
      <c r="F2076" s="176" t="s">
        <v>188</v>
      </c>
      <c r="G2076" s="171" t="s">
        <v>3505</v>
      </c>
      <c r="H2076" s="175"/>
    </row>
    <row r="2077" ht="14.25" spans="1:8">
      <c r="A2077" s="176">
        <v>37</v>
      </c>
      <c r="B2077" s="171" t="s">
        <v>3506</v>
      </c>
      <c r="C2077" s="187" t="s">
        <v>179</v>
      </c>
      <c r="D2077" s="173">
        <v>0.06</v>
      </c>
      <c r="E2077" s="176" t="s">
        <v>30</v>
      </c>
      <c r="F2077" s="176" t="s">
        <v>188</v>
      </c>
      <c r="G2077" s="171" t="s">
        <v>3507</v>
      </c>
      <c r="H2077" s="175"/>
    </row>
    <row r="2078" ht="14.25" spans="1:8">
      <c r="A2078" s="176">
        <v>38</v>
      </c>
      <c r="B2078" s="171" t="s">
        <v>1680</v>
      </c>
      <c r="C2078" s="187" t="s">
        <v>179</v>
      </c>
      <c r="D2078" s="173">
        <v>0.04</v>
      </c>
      <c r="E2078" s="176" t="s">
        <v>30</v>
      </c>
      <c r="F2078" s="176" t="s">
        <v>188</v>
      </c>
      <c r="G2078" s="171" t="s">
        <v>3508</v>
      </c>
      <c r="H2078" s="175"/>
    </row>
    <row r="2079" ht="14.25" spans="1:8">
      <c r="A2079" s="176">
        <v>39</v>
      </c>
      <c r="B2079" s="171" t="s">
        <v>3466</v>
      </c>
      <c r="C2079" s="187" t="s">
        <v>179</v>
      </c>
      <c r="D2079" s="173">
        <v>0.04</v>
      </c>
      <c r="E2079" s="176" t="s">
        <v>30</v>
      </c>
      <c r="F2079" s="176" t="s">
        <v>188</v>
      </c>
      <c r="G2079" s="171" t="s">
        <v>3467</v>
      </c>
      <c r="H2079" s="175"/>
    </row>
    <row r="2080" ht="14.25" spans="1:8">
      <c r="A2080" s="176">
        <v>40</v>
      </c>
      <c r="B2080" s="171" t="s">
        <v>1680</v>
      </c>
      <c r="C2080" s="187" t="s">
        <v>179</v>
      </c>
      <c r="D2080" s="173">
        <v>0.04</v>
      </c>
      <c r="E2080" s="176" t="s">
        <v>30</v>
      </c>
      <c r="F2080" s="176" t="s">
        <v>188</v>
      </c>
      <c r="G2080" s="171" t="s">
        <v>3509</v>
      </c>
      <c r="H2080" s="175"/>
    </row>
    <row r="2081" ht="14.25" spans="1:8">
      <c r="A2081" s="176">
        <v>41</v>
      </c>
      <c r="B2081" s="171" t="s">
        <v>3510</v>
      </c>
      <c r="C2081" s="187" t="s">
        <v>179</v>
      </c>
      <c r="D2081" s="173">
        <v>0.05</v>
      </c>
      <c r="E2081" s="176" t="s">
        <v>30</v>
      </c>
      <c r="F2081" s="176" t="s">
        <v>188</v>
      </c>
      <c r="G2081" s="171" t="s">
        <v>3511</v>
      </c>
      <c r="H2081" s="175"/>
    </row>
    <row r="2082" ht="14.25" spans="1:8">
      <c r="A2082" s="176">
        <v>42</v>
      </c>
      <c r="B2082" s="171" t="s">
        <v>3466</v>
      </c>
      <c r="C2082" s="187" t="s">
        <v>179</v>
      </c>
      <c r="D2082" s="173">
        <v>0.09</v>
      </c>
      <c r="E2082" s="176" t="s">
        <v>30</v>
      </c>
      <c r="F2082" s="176" t="s">
        <v>188</v>
      </c>
      <c r="G2082" s="171" t="s">
        <v>3512</v>
      </c>
      <c r="H2082" s="175"/>
    </row>
    <row r="2083" ht="14.25" spans="1:8">
      <c r="A2083" s="176">
        <v>43</v>
      </c>
      <c r="B2083" s="171" t="s">
        <v>3513</v>
      </c>
      <c r="C2083" s="187" t="s">
        <v>179</v>
      </c>
      <c r="D2083" s="173">
        <v>0.01</v>
      </c>
      <c r="E2083" s="176" t="s">
        <v>30</v>
      </c>
      <c r="F2083" s="176" t="s">
        <v>188</v>
      </c>
      <c r="G2083" s="171" t="s">
        <v>3514</v>
      </c>
      <c r="H2083" s="175"/>
    </row>
    <row r="2084" ht="14.25" spans="1:8">
      <c r="A2084" s="176">
        <v>44</v>
      </c>
      <c r="B2084" s="171" t="s">
        <v>3515</v>
      </c>
      <c r="C2084" s="187" t="s">
        <v>179</v>
      </c>
      <c r="D2084" s="173">
        <v>0.03</v>
      </c>
      <c r="E2084" s="176" t="s">
        <v>30</v>
      </c>
      <c r="F2084" s="176" t="s">
        <v>188</v>
      </c>
      <c r="G2084" s="171" t="s">
        <v>3516</v>
      </c>
      <c r="H2084" s="175"/>
    </row>
    <row r="2085" ht="25.5" spans="1:8">
      <c r="A2085" s="176">
        <v>45</v>
      </c>
      <c r="B2085" s="171" t="s">
        <v>3517</v>
      </c>
      <c r="C2085" s="187" t="s">
        <v>179</v>
      </c>
      <c r="D2085" s="173">
        <v>0.03</v>
      </c>
      <c r="E2085" s="176" t="s">
        <v>30</v>
      </c>
      <c r="F2085" s="176" t="s">
        <v>188</v>
      </c>
      <c r="G2085" s="171" t="s">
        <v>3518</v>
      </c>
      <c r="H2085" s="175"/>
    </row>
    <row r="2086" ht="14.25" spans="1:8">
      <c r="A2086" s="176">
        <v>46</v>
      </c>
      <c r="B2086" s="171" t="s">
        <v>1791</v>
      </c>
      <c r="C2086" s="187" t="s">
        <v>179</v>
      </c>
      <c r="D2086" s="173">
        <v>0.06</v>
      </c>
      <c r="E2086" s="176" t="s">
        <v>30</v>
      </c>
      <c r="F2086" s="176" t="s">
        <v>188</v>
      </c>
      <c r="G2086" s="171" t="s">
        <v>3519</v>
      </c>
      <c r="H2086" s="175"/>
    </row>
    <row r="2087" ht="14.25" spans="1:8">
      <c r="A2087" s="176">
        <v>47</v>
      </c>
      <c r="B2087" s="171" t="s">
        <v>3520</v>
      </c>
      <c r="C2087" s="187" t="s">
        <v>179</v>
      </c>
      <c r="D2087" s="173">
        <v>0.1</v>
      </c>
      <c r="E2087" s="176" t="s">
        <v>30</v>
      </c>
      <c r="F2087" s="176" t="s">
        <v>188</v>
      </c>
      <c r="G2087" s="171" t="s">
        <v>3521</v>
      </c>
      <c r="H2087" s="175"/>
    </row>
    <row r="2088" ht="14.25" spans="1:8">
      <c r="A2088" s="176">
        <v>48</v>
      </c>
      <c r="B2088" s="171" t="s">
        <v>1980</v>
      </c>
      <c r="C2088" s="187" t="s">
        <v>179</v>
      </c>
      <c r="D2088" s="173">
        <v>0.08</v>
      </c>
      <c r="E2088" s="176" t="s">
        <v>30</v>
      </c>
      <c r="F2088" s="176" t="s">
        <v>188</v>
      </c>
      <c r="G2088" s="171" t="s">
        <v>3491</v>
      </c>
      <c r="H2088" s="175"/>
    </row>
    <row r="2089" ht="14.25" spans="1:8">
      <c r="A2089" s="176">
        <v>49</v>
      </c>
      <c r="B2089" s="171" t="s">
        <v>3522</v>
      </c>
      <c r="C2089" s="187" t="s">
        <v>179</v>
      </c>
      <c r="D2089" s="173">
        <v>0.04</v>
      </c>
      <c r="E2089" s="176" t="s">
        <v>30</v>
      </c>
      <c r="F2089" s="176" t="s">
        <v>188</v>
      </c>
      <c r="G2089" s="171" t="s">
        <v>3523</v>
      </c>
      <c r="H2089" s="175"/>
    </row>
    <row r="2090" ht="14.25" spans="1:8">
      <c r="A2090" s="176">
        <v>50</v>
      </c>
      <c r="B2090" s="171" t="s">
        <v>3524</v>
      </c>
      <c r="C2090" s="187" t="s">
        <v>179</v>
      </c>
      <c r="D2090" s="173">
        <v>0.1</v>
      </c>
      <c r="E2090" s="176" t="s">
        <v>30</v>
      </c>
      <c r="F2090" s="176" t="s">
        <v>188</v>
      </c>
      <c r="G2090" s="171" t="s">
        <v>3525</v>
      </c>
      <c r="H2090" s="175"/>
    </row>
    <row r="2091" ht="14.25" spans="1:8">
      <c r="A2091" s="176">
        <v>51</v>
      </c>
      <c r="B2091" s="171" t="s">
        <v>3526</v>
      </c>
      <c r="C2091" s="187" t="s">
        <v>179</v>
      </c>
      <c r="D2091" s="173">
        <v>0.06</v>
      </c>
      <c r="E2091" s="176" t="s">
        <v>30</v>
      </c>
      <c r="F2091" s="176" t="s">
        <v>188</v>
      </c>
      <c r="G2091" s="171" t="s">
        <v>3527</v>
      </c>
      <c r="H2091" s="175"/>
    </row>
    <row r="2092" ht="14.25" spans="1:8">
      <c r="A2092" s="176">
        <v>52</v>
      </c>
      <c r="B2092" s="171" t="s">
        <v>3528</v>
      </c>
      <c r="C2092" s="187" t="s">
        <v>179</v>
      </c>
      <c r="D2092" s="173">
        <v>0.1</v>
      </c>
      <c r="E2092" s="176" t="s">
        <v>30</v>
      </c>
      <c r="F2092" s="176" t="s">
        <v>188</v>
      </c>
      <c r="G2092" s="171" t="s">
        <v>3529</v>
      </c>
      <c r="H2092" s="175"/>
    </row>
    <row r="2093" ht="14.25" spans="1:8">
      <c r="A2093" s="176">
        <v>53</v>
      </c>
      <c r="B2093" s="171" t="s">
        <v>3530</v>
      </c>
      <c r="C2093" s="187" t="s">
        <v>179</v>
      </c>
      <c r="D2093" s="173">
        <v>0.03</v>
      </c>
      <c r="E2093" s="176" t="s">
        <v>30</v>
      </c>
      <c r="F2093" s="176" t="s">
        <v>188</v>
      </c>
      <c r="G2093" s="171" t="s">
        <v>3531</v>
      </c>
      <c r="H2093" s="175"/>
    </row>
    <row r="2094" ht="14.25" spans="1:8">
      <c r="A2094" s="176">
        <v>54</v>
      </c>
      <c r="B2094" s="171" t="s">
        <v>1793</v>
      </c>
      <c r="C2094" s="187" t="s">
        <v>179</v>
      </c>
      <c r="D2094" s="173">
        <v>0.03</v>
      </c>
      <c r="E2094" s="176" t="s">
        <v>30</v>
      </c>
      <c r="F2094" s="176" t="s">
        <v>188</v>
      </c>
      <c r="G2094" s="171" t="s">
        <v>3532</v>
      </c>
      <c r="H2094" s="175"/>
    </row>
    <row r="2095" ht="14.25" spans="1:8">
      <c r="A2095" s="176">
        <v>55</v>
      </c>
      <c r="B2095" s="171" t="s">
        <v>1793</v>
      </c>
      <c r="C2095" s="187" t="s">
        <v>179</v>
      </c>
      <c r="D2095" s="173">
        <v>0.1</v>
      </c>
      <c r="E2095" s="176" t="s">
        <v>30</v>
      </c>
      <c r="F2095" s="176" t="s">
        <v>188</v>
      </c>
      <c r="G2095" s="171" t="s">
        <v>3533</v>
      </c>
      <c r="H2095" s="175"/>
    </row>
    <row r="2096" ht="14.25" spans="1:8">
      <c r="A2096" s="176">
        <v>56</v>
      </c>
      <c r="B2096" s="171" t="s">
        <v>3534</v>
      </c>
      <c r="C2096" s="187" t="s">
        <v>179</v>
      </c>
      <c r="D2096" s="173">
        <v>0.02</v>
      </c>
      <c r="E2096" s="176" t="s">
        <v>30</v>
      </c>
      <c r="F2096" s="176" t="s">
        <v>188</v>
      </c>
      <c r="G2096" s="171" t="s">
        <v>3535</v>
      </c>
      <c r="H2096" s="175"/>
    </row>
    <row r="2097" ht="14.25" spans="1:8">
      <c r="A2097" s="176">
        <v>57</v>
      </c>
      <c r="B2097" s="171" t="s">
        <v>3536</v>
      </c>
      <c r="C2097" s="187" t="s">
        <v>179</v>
      </c>
      <c r="D2097" s="173">
        <v>0.03</v>
      </c>
      <c r="E2097" s="176" t="s">
        <v>30</v>
      </c>
      <c r="F2097" s="176" t="s">
        <v>188</v>
      </c>
      <c r="G2097" s="171" t="s">
        <v>3537</v>
      </c>
      <c r="H2097" s="175"/>
    </row>
    <row r="2098" ht="14.25" spans="1:8">
      <c r="A2098" s="176">
        <v>58</v>
      </c>
      <c r="B2098" s="171" t="s">
        <v>3538</v>
      </c>
      <c r="C2098" s="187" t="s">
        <v>179</v>
      </c>
      <c r="D2098" s="173">
        <v>0.02</v>
      </c>
      <c r="E2098" s="176" t="s">
        <v>30</v>
      </c>
      <c r="F2098" s="176" t="s">
        <v>188</v>
      </c>
      <c r="G2098" s="171" t="s">
        <v>3539</v>
      </c>
      <c r="H2098" s="175"/>
    </row>
    <row r="2099" ht="14.25" spans="1:8">
      <c r="A2099" s="176">
        <v>59</v>
      </c>
      <c r="B2099" s="171" t="s">
        <v>3540</v>
      </c>
      <c r="C2099" s="187" t="s">
        <v>179</v>
      </c>
      <c r="D2099" s="173">
        <v>0.04</v>
      </c>
      <c r="E2099" s="176" t="s">
        <v>30</v>
      </c>
      <c r="F2099" s="176" t="s">
        <v>188</v>
      </c>
      <c r="G2099" s="171" t="s">
        <v>3541</v>
      </c>
      <c r="H2099" s="175"/>
    </row>
    <row r="2100" ht="14.25" spans="1:8">
      <c r="A2100" s="176">
        <v>60</v>
      </c>
      <c r="B2100" s="171" t="s">
        <v>1476</v>
      </c>
      <c r="C2100" s="187" t="s">
        <v>179</v>
      </c>
      <c r="D2100" s="173">
        <v>0.04</v>
      </c>
      <c r="E2100" s="176" t="s">
        <v>30</v>
      </c>
      <c r="F2100" s="176" t="s">
        <v>188</v>
      </c>
      <c r="G2100" s="171" t="s">
        <v>3542</v>
      </c>
      <c r="H2100" s="175"/>
    </row>
    <row r="2101" ht="14.25" spans="1:8">
      <c r="A2101" s="176">
        <v>61</v>
      </c>
      <c r="B2101" s="171" t="s">
        <v>3543</v>
      </c>
      <c r="C2101" s="187" t="s">
        <v>179</v>
      </c>
      <c r="D2101" s="173">
        <v>0.04</v>
      </c>
      <c r="E2101" s="176" t="s">
        <v>30</v>
      </c>
      <c r="F2101" s="176" t="s">
        <v>188</v>
      </c>
      <c r="G2101" s="171" t="s">
        <v>3544</v>
      </c>
      <c r="H2101" s="175"/>
    </row>
    <row r="2102" ht="14.25" spans="1:8">
      <c r="A2102" s="176">
        <v>62</v>
      </c>
      <c r="B2102" s="171" t="s">
        <v>3545</v>
      </c>
      <c r="C2102" s="187" t="s">
        <v>179</v>
      </c>
      <c r="D2102" s="173">
        <v>0.02</v>
      </c>
      <c r="E2102" s="176" t="s">
        <v>30</v>
      </c>
      <c r="F2102" s="176" t="s">
        <v>188</v>
      </c>
      <c r="G2102" s="171" t="s">
        <v>3546</v>
      </c>
      <c r="H2102" s="175"/>
    </row>
    <row r="2103" ht="14.25" spans="1:8">
      <c r="A2103" s="176">
        <v>63</v>
      </c>
      <c r="B2103" s="171" t="s">
        <v>3547</v>
      </c>
      <c r="C2103" s="187" t="s">
        <v>179</v>
      </c>
      <c r="D2103" s="173">
        <v>0.03</v>
      </c>
      <c r="E2103" s="176" t="s">
        <v>30</v>
      </c>
      <c r="F2103" s="176" t="s">
        <v>188</v>
      </c>
      <c r="G2103" s="171" t="s">
        <v>3548</v>
      </c>
      <c r="H2103" s="175"/>
    </row>
    <row r="2104" ht="14.25" spans="1:8">
      <c r="A2104" s="176">
        <v>64</v>
      </c>
      <c r="B2104" s="171" t="s">
        <v>2323</v>
      </c>
      <c r="C2104" s="187" t="s">
        <v>179</v>
      </c>
      <c r="D2104" s="173">
        <v>0.08</v>
      </c>
      <c r="E2104" s="176" t="s">
        <v>30</v>
      </c>
      <c r="F2104" s="176" t="s">
        <v>188</v>
      </c>
      <c r="G2104" s="171" t="s">
        <v>3549</v>
      </c>
      <c r="H2104" s="175"/>
    </row>
    <row r="2105" ht="14.25" spans="1:8">
      <c r="A2105" s="176">
        <v>65</v>
      </c>
      <c r="B2105" s="171" t="s">
        <v>3550</v>
      </c>
      <c r="C2105" s="187" t="s">
        <v>179</v>
      </c>
      <c r="D2105" s="173">
        <v>0.04</v>
      </c>
      <c r="E2105" s="176" t="s">
        <v>30</v>
      </c>
      <c r="F2105" s="176" t="s">
        <v>188</v>
      </c>
      <c r="G2105" s="171" t="s">
        <v>3551</v>
      </c>
      <c r="H2105" s="175"/>
    </row>
    <row r="2106" ht="14.25" spans="1:8">
      <c r="A2106" s="176">
        <v>66</v>
      </c>
      <c r="B2106" s="171" t="s">
        <v>3552</v>
      </c>
      <c r="C2106" s="187" t="s">
        <v>179</v>
      </c>
      <c r="D2106" s="173">
        <v>0.04</v>
      </c>
      <c r="E2106" s="176" t="s">
        <v>30</v>
      </c>
      <c r="F2106" s="176" t="s">
        <v>188</v>
      </c>
      <c r="G2106" s="171" t="s">
        <v>3553</v>
      </c>
      <c r="H2106" s="175"/>
    </row>
    <row r="2107" ht="14.25" spans="1:8">
      <c r="A2107" s="176">
        <v>67</v>
      </c>
      <c r="B2107" s="171" t="s">
        <v>1980</v>
      </c>
      <c r="C2107" s="187" t="s">
        <v>179</v>
      </c>
      <c r="D2107" s="173">
        <v>0.04</v>
      </c>
      <c r="E2107" s="176" t="s">
        <v>30</v>
      </c>
      <c r="F2107" s="176" t="s">
        <v>188</v>
      </c>
      <c r="G2107" s="171" t="s">
        <v>3491</v>
      </c>
      <c r="H2107" s="175"/>
    </row>
    <row r="2108" ht="14.25" spans="1:8">
      <c r="A2108" s="176">
        <v>68</v>
      </c>
      <c r="B2108" s="171" t="s">
        <v>925</v>
      </c>
      <c r="C2108" s="187" t="s">
        <v>179</v>
      </c>
      <c r="D2108" s="173">
        <v>0.13</v>
      </c>
      <c r="E2108" s="176" t="s">
        <v>30</v>
      </c>
      <c r="F2108" s="176" t="s">
        <v>188</v>
      </c>
      <c r="G2108" s="171" t="s">
        <v>3554</v>
      </c>
      <c r="H2108" s="175"/>
    </row>
    <row r="2109" ht="25.5" spans="1:8">
      <c r="A2109" s="176">
        <v>69</v>
      </c>
      <c r="B2109" s="171" t="s">
        <v>3555</v>
      </c>
      <c r="C2109" s="187" t="s">
        <v>179</v>
      </c>
      <c r="D2109" s="173">
        <v>0.03</v>
      </c>
      <c r="E2109" s="176" t="s">
        <v>30</v>
      </c>
      <c r="F2109" s="176" t="s">
        <v>188</v>
      </c>
      <c r="G2109" s="171" t="s">
        <v>3556</v>
      </c>
      <c r="H2109" s="175"/>
    </row>
    <row r="2110" ht="14.25" spans="1:8">
      <c r="A2110" s="176">
        <v>70</v>
      </c>
      <c r="B2110" s="171" t="s">
        <v>3557</v>
      </c>
      <c r="C2110" s="187" t="s">
        <v>179</v>
      </c>
      <c r="D2110" s="173">
        <v>0.04</v>
      </c>
      <c r="E2110" s="176" t="s">
        <v>30</v>
      </c>
      <c r="F2110" s="176" t="s">
        <v>188</v>
      </c>
      <c r="G2110" s="171" t="s">
        <v>3558</v>
      </c>
      <c r="H2110" s="175"/>
    </row>
    <row r="2111" ht="25.5" spans="1:8">
      <c r="A2111" s="176">
        <v>71</v>
      </c>
      <c r="B2111" s="171" t="s">
        <v>2206</v>
      </c>
      <c r="C2111" s="187" t="s">
        <v>179</v>
      </c>
      <c r="D2111" s="173">
        <v>0.03</v>
      </c>
      <c r="E2111" s="176" t="s">
        <v>30</v>
      </c>
      <c r="F2111" s="176" t="s">
        <v>188</v>
      </c>
      <c r="G2111" s="171" t="s">
        <v>3559</v>
      </c>
      <c r="H2111" s="175"/>
    </row>
    <row r="2112" ht="25.5" spans="1:8">
      <c r="A2112" s="176">
        <v>72</v>
      </c>
      <c r="B2112" s="171" t="s">
        <v>2206</v>
      </c>
      <c r="C2112" s="187" t="s">
        <v>179</v>
      </c>
      <c r="D2112" s="173">
        <v>0.02</v>
      </c>
      <c r="E2112" s="176" t="s">
        <v>30</v>
      </c>
      <c r="F2112" s="176" t="s">
        <v>188</v>
      </c>
      <c r="G2112" s="171" t="s">
        <v>3560</v>
      </c>
      <c r="H2112" s="175"/>
    </row>
    <row r="2113" ht="25.5" spans="1:8">
      <c r="A2113" s="176">
        <v>73</v>
      </c>
      <c r="B2113" s="171" t="s">
        <v>2206</v>
      </c>
      <c r="C2113" s="187" t="s">
        <v>179</v>
      </c>
      <c r="D2113" s="173">
        <v>0.01</v>
      </c>
      <c r="E2113" s="176" t="s">
        <v>30</v>
      </c>
      <c r="F2113" s="176" t="s">
        <v>188</v>
      </c>
      <c r="G2113" s="171" t="s">
        <v>3561</v>
      </c>
      <c r="H2113" s="175"/>
    </row>
    <row r="2114" ht="14.25" spans="1:8">
      <c r="A2114" s="176">
        <v>74</v>
      </c>
      <c r="B2114" s="171" t="s">
        <v>3562</v>
      </c>
      <c r="C2114" s="187" t="s">
        <v>179</v>
      </c>
      <c r="D2114" s="173">
        <v>0.03</v>
      </c>
      <c r="E2114" s="176" t="s">
        <v>30</v>
      </c>
      <c r="F2114" s="176" t="s">
        <v>188</v>
      </c>
      <c r="G2114" s="171" t="s">
        <v>3563</v>
      </c>
      <c r="H2114" s="175"/>
    </row>
    <row r="2115" ht="25.5" spans="1:8">
      <c r="A2115" s="176">
        <v>75</v>
      </c>
      <c r="B2115" s="171" t="s">
        <v>3564</v>
      </c>
      <c r="C2115" s="187" t="s">
        <v>179</v>
      </c>
      <c r="D2115" s="173">
        <v>0.04</v>
      </c>
      <c r="E2115" s="176" t="s">
        <v>30</v>
      </c>
      <c r="F2115" s="176" t="s">
        <v>188</v>
      </c>
      <c r="G2115" s="171" t="s">
        <v>3565</v>
      </c>
      <c r="H2115" s="175"/>
    </row>
    <row r="2116" ht="14.25" spans="1:8">
      <c r="A2116" s="176">
        <v>76</v>
      </c>
      <c r="B2116" s="171" t="s">
        <v>3566</v>
      </c>
      <c r="C2116" s="187" t="s">
        <v>179</v>
      </c>
      <c r="D2116" s="173">
        <v>0.03</v>
      </c>
      <c r="E2116" s="176" t="s">
        <v>30</v>
      </c>
      <c r="F2116" s="176" t="s">
        <v>188</v>
      </c>
      <c r="G2116" s="171" t="s">
        <v>3567</v>
      </c>
      <c r="H2116" s="175"/>
    </row>
    <row r="2117" ht="14.25" spans="1:8">
      <c r="A2117" s="176">
        <v>77</v>
      </c>
      <c r="B2117" s="244" t="s">
        <v>3568</v>
      </c>
      <c r="C2117" s="187" t="s">
        <v>179</v>
      </c>
      <c r="D2117" s="173">
        <v>0.02</v>
      </c>
      <c r="E2117" s="245" t="s">
        <v>30</v>
      </c>
      <c r="F2117" s="245" t="s">
        <v>188</v>
      </c>
      <c r="G2117" s="246" t="s">
        <v>3569</v>
      </c>
      <c r="H2117" s="175"/>
    </row>
    <row r="2118" ht="14.25" spans="1:8">
      <c r="A2118" s="176">
        <v>78</v>
      </c>
      <c r="B2118" s="244" t="s">
        <v>1980</v>
      </c>
      <c r="C2118" s="187" t="s">
        <v>179</v>
      </c>
      <c r="D2118" s="173">
        <v>0.12</v>
      </c>
      <c r="E2118" s="245" t="s">
        <v>30</v>
      </c>
      <c r="F2118" s="245" t="s">
        <v>188</v>
      </c>
      <c r="G2118" s="246" t="s">
        <v>3570</v>
      </c>
      <c r="H2118" s="175"/>
    </row>
    <row r="2119" ht="14.25" spans="1:8">
      <c r="A2119" s="176">
        <v>79</v>
      </c>
      <c r="B2119" s="244" t="s">
        <v>3571</v>
      </c>
      <c r="C2119" s="187" t="s">
        <v>179</v>
      </c>
      <c r="D2119" s="173">
        <v>0.08</v>
      </c>
      <c r="E2119" s="245" t="s">
        <v>30</v>
      </c>
      <c r="F2119" s="245" t="s">
        <v>188</v>
      </c>
      <c r="G2119" s="246" t="s">
        <v>3572</v>
      </c>
      <c r="H2119" s="175"/>
    </row>
    <row r="2120" ht="14.25" spans="1:8">
      <c r="A2120" s="176">
        <v>80</v>
      </c>
      <c r="B2120" s="244" t="s">
        <v>3573</v>
      </c>
      <c r="C2120" s="187" t="s">
        <v>179</v>
      </c>
      <c r="D2120" s="173">
        <v>0.1</v>
      </c>
      <c r="E2120" s="245" t="s">
        <v>30</v>
      </c>
      <c r="F2120" s="245" t="s">
        <v>188</v>
      </c>
      <c r="G2120" s="246" t="s">
        <v>3574</v>
      </c>
      <c r="H2120" s="175"/>
    </row>
    <row r="2121" ht="14.25" spans="1:8">
      <c r="A2121" s="176">
        <v>81</v>
      </c>
      <c r="B2121" s="175" t="s">
        <v>3575</v>
      </c>
      <c r="C2121" s="187" t="s">
        <v>179</v>
      </c>
      <c r="D2121" s="173">
        <v>0.08</v>
      </c>
      <c r="E2121" s="176" t="s">
        <v>30</v>
      </c>
      <c r="F2121" s="176" t="s">
        <v>188</v>
      </c>
      <c r="G2121" s="171" t="s">
        <v>3576</v>
      </c>
      <c r="H2121" s="175"/>
    </row>
    <row r="2122" ht="14.25" spans="1:8">
      <c r="A2122" s="176">
        <v>82</v>
      </c>
      <c r="B2122" s="175" t="s">
        <v>3577</v>
      </c>
      <c r="C2122" s="187" t="s">
        <v>179</v>
      </c>
      <c r="D2122" s="173">
        <v>0.03</v>
      </c>
      <c r="E2122" s="176" t="s">
        <v>30</v>
      </c>
      <c r="F2122" s="176" t="s">
        <v>188</v>
      </c>
      <c r="G2122" s="171" t="s">
        <v>3578</v>
      </c>
      <c r="H2122" s="175"/>
    </row>
    <row r="2123" ht="14.25" spans="1:8">
      <c r="A2123" s="176">
        <v>83</v>
      </c>
      <c r="B2123" s="175" t="s">
        <v>3579</v>
      </c>
      <c r="C2123" s="187" t="s">
        <v>179</v>
      </c>
      <c r="D2123" s="173">
        <v>0.6</v>
      </c>
      <c r="E2123" s="176" t="s">
        <v>30</v>
      </c>
      <c r="F2123" s="176" t="s">
        <v>188</v>
      </c>
      <c r="G2123" s="171" t="s">
        <v>3554</v>
      </c>
      <c r="H2123" s="175"/>
    </row>
    <row r="2124" ht="14.25" spans="1:8">
      <c r="A2124" s="176">
        <v>84</v>
      </c>
      <c r="B2124" s="175" t="s">
        <v>1980</v>
      </c>
      <c r="C2124" s="187" t="s">
        <v>179</v>
      </c>
      <c r="D2124" s="173">
        <v>0.04</v>
      </c>
      <c r="E2124" s="176" t="s">
        <v>30</v>
      </c>
      <c r="F2124" s="176" t="s">
        <v>188</v>
      </c>
      <c r="G2124" s="171" t="s">
        <v>3580</v>
      </c>
      <c r="H2124" s="175"/>
    </row>
    <row r="2125" ht="14.25" spans="1:8">
      <c r="A2125" s="176">
        <v>85</v>
      </c>
      <c r="B2125" s="171" t="s">
        <v>3547</v>
      </c>
      <c r="C2125" s="187" t="s">
        <v>179</v>
      </c>
      <c r="D2125" s="173">
        <v>0.02</v>
      </c>
      <c r="E2125" s="176" t="s">
        <v>30</v>
      </c>
      <c r="F2125" s="176" t="s">
        <v>188</v>
      </c>
      <c r="G2125" s="171" t="s">
        <v>3548</v>
      </c>
      <c r="H2125" s="175"/>
    </row>
    <row r="2126" ht="14.25" spans="1:8">
      <c r="A2126" s="176">
        <v>86</v>
      </c>
      <c r="B2126" s="171" t="s">
        <v>3464</v>
      </c>
      <c r="C2126" s="187" t="s">
        <v>179</v>
      </c>
      <c r="D2126" s="173">
        <v>1.5</v>
      </c>
      <c r="E2126" s="176" t="s">
        <v>30</v>
      </c>
      <c r="F2126" s="176" t="s">
        <v>204</v>
      </c>
      <c r="G2126" s="171" t="s">
        <v>3581</v>
      </c>
      <c r="H2126" s="175"/>
    </row>
    <row r="2127" ht="14.25" spans="1:8">
      <c r="A2127" s="176">
        <v>87</v>
      </c>
      <c r="B2127" s="171" t="s">
        <v>3582</v>
      </c>
      <c r="C2127" s="187" t="s">
        <v>179</v>
      </c>
      <c r="D2127" s="173">
        <v>0.08</v>
      </c>
      <c r="E2127" s="176" t="s">
        <v>30</v>
      </c>
      <c r="F2127" s="176" t="s">
        <v>188</v>
      </c>
      <c r="G2127" s="171" t="s">
        <v>3583</v>
      </c>
      <c r="H2127" s="175"/>
    </row>
    <row r="2128" ht="14.25" spans="1:8">
      <c r="A2128" s="176">
        <v>88</v>
      </c>
      <c r="B2128" s="171" t="s">
        <v>3584</v>
      </c>
      <c r="C2128" s="187" t="s">
        <v>179</v>
      </c>
      <c r="D2128" s="173">
        <v>0.07</v>
      </c>
      <c r="E2128" s="176" t="s">
        <v>30</v>
      </c>
      <c r="F2128" s="176" t="s">
        <v>188</v>
      </c>
      <c r="G2128" s="171" t="s">
        <v>3585</v>
      </c>
      <c r="H2128" s="175"/>
    </row>
    <row r="2129" ht="25.5" spans="1:8">
      <c r="A2129" s="176">
        <v>89</v>
      </c>
      <c r="B2129" s="171" t="s">
        <v>3586</v>
      </c>
      <c r="C2129" s="187" t="s">
        <v>179</v>
      </c>
      <c r="D2129" s="173">
        <v>0.03</v>
      </c>
      <c r="E2129" s="176" t="s">
        <v>30</v>
      </c>
      <c r="F2129" s="176" t="s">
        <v>188</v>
      </c>
      <c r="G2129" s="171" t="s">
        <v>3587</v>
      </c>
      <c r="H2129" s="175"/>
    </row>
    <row r="2130" ht="14.25" spans="1:8">
      <c r="A2130" s="176">
        <v>90</v>
      </c>
      <c r="B2130" s="171" t="s">
        <v>3588</v>
      </c>
      <c r="C2130" s="187" t="s">
        <v>179</v>
      </c>
      <c r="D2130" s="173">
        <v>0.04</v>
      </c>
      <c r="E2130" s="176" t="s">
        <v>30</v>
      </c>
      <c r="F2130" s="176" t="s">
        <v>188</v>
      </c>
      <c r="G2130" s="171" t="s">
        <v>3589</v>
      </c>
      <c r="H2130" s="175"/>
    </row>
    <row r="2131" ht="25.5" spans="1:8">
      <c r="A2131" s="176">
        <v>91</v>
      </c>
      <c r="B2131" s="171" t="s">
        <v>3588</v>
      </c>
      <c r="C2131" s="187" t="s">
        <v>179</v>
      </c>
      <c r="D2131" s="173">
        <v>0.03</v>
      </c>
      <c r="E2131" s="176" t="s">
        <v>30</v>
      </c>
      <c r="F2131" s="176" t="s">
        <v>188</v>
      </c>
      <c r="G2131" s="171" t="s">
        <v>3590</v>
      </c>
      <c r="H2131" s="175"/>
    </row>
    <row r="2132" ht="25.5" spans="1:8">
      <c r="A2132" s="176">
        <v>92</v>
      </c>
      <c r="B2132" s="171" t="s">
        <v>3566</v>
      </c>
      <c r="C2132" s="187" t="s">
        <v>179</v>
      </c>
      <c r="D2132" s="173">
        <v>0.01</v>
      </c>
      <c r="E2132" s="176" t="s">
        <v>30</v>
      </c>
      <c r="F2132" s="176" t="s">
        <v>188</v>
      </c>
      <c r="G2132" s="171" t="s">
        <v>3591</v>
      </c>
      <c r="H2132" s="175"/>
    </row>
    <row r="2133" ht="25.5" spans="1:8">
      <c r="A2133" s="176">
        <v>93</v>
      </c>
      <c r="B2133" s="171" t="s">
        <v>3566</v>
      </c>
      <c r="C2133" s="187" t="s">
        <v>179</v>
      </c>
      <c r="D2133" s="173">
        <v>0.01</v>
      </c>
      <c r="E2133" s="176" t="s">
        <v>30</v>
      </c>
      <c r="F2133" s="176" t="s">
        <v>188</v>
      </c>
      <c r="G2133" s="171" t="s">
        <v>3592</v>
      </c>
      <c r="H2133" s="175"/>
    </row>
    <row r="2134" ht="25.5" spans="1:8">
      <c r="A2134" s="176">
        <v>94</v>
      </c>
      <c r="B2134" s="171" t="s">
        <v>3566</v>
      </c>
      <c r="C2134" s="187" t="s">
        <v>179</v>
      </c>
      <c r="D2134" s="173">
        <v>0.02</v>
      </c>
      <c r="E2134" s="176" t="s">
        <v>30</v>
      </c>
      <c r="F2134" s="176" t="s">
        <v>188</v>
      </c>
      <c r="G2134" s="171" t="s">
        <v>3593</v>
      </c>
      <c r="H2134" s="175"/>
    </row>
    <row r="2135" ht="25.5" spans="1:8">
      <c r="A2135" s="176">
        <v>95</v>
      </c>
      <c r="B2135" s="171" t="s">
        <v>3566</v>
      </c>
      <c r="C2135" s="187" t="s">
        <v>179</v>
      </c>
      <c r="D2135" s="173">
        <v>0.02</v>
      </c>
      <c r="E2135" s="176" t="s">
        <v>30</v>
      </c>
      <c r="F2135" s="176" t="s">
        <v>188</v>
      </c>
      <c r="G2135" s="171" t="s">
        <v>3594</v>
      </c>
      <c r="H2135" s="175"/>
    </row>
    <row r="2136" ht="25.5" spans="1:8">
      <c r="A2136" s="176">
        <v>96</v>
      </c>
      <c r="B2136" s="171" t="s">
        <v>3566</v>
      </c>
      <c r="C2136" s="187" t="s">
        <v>179</v>
      </c>
      <c r="D2136" s="173">
        <v>0.02</v>
      </c>
      <c r="E2136" s="176" t="s">
        <v>30</v>
      </c>
      <c r="F2136" s="176" t="s">
        <v>188</v>
      </c>
      <c r="G2136" s="171" t="s">
        <v>3595</v>
      </c>
      <c r="H2136" s="175"/>
    </row>
    <row r="2137" ht="14.25" spans="1:8">
      <c r="A2137" s="176">
        <v>97</v>
      </c>
      <c r="B2137" s="171" t="s">
        <v>3596</v>
      </c>
      <c r="C2137" s="187" t="s">
        <v>179</v>
      </c>
      <c r="D2137" s="173">
        <v>0.04</v>
      </c>
      <c r="E2137" s="176" t="s">
        <v>30</v>
      </c>
      <c r="F2137" s="176" t="s">
        <v>188</v>
      </c>
      <c r="G2137" s="171" t="s">
        <v>3597</v>
      </c>
      <c r="H2137" s="175"/>
    </row>
    <row r="2138" ht="14.25" spans="1:8">
      <c r="A2138" s="176">
        <v>98</v>
      </c>
      <c r="B2138" s="194" t="s">
        <v>575</v>
      </c>
      <c r="C2138" s="187" t="s">
        <v>179</v>
      </c>
      <c r="D2138" s="173">
        <v>0.01</v>
      </c>
      <c r="E2138" s="176" t="s">
        <v>30</v>
      </c>
      <c r="F2138" s="176" t="s">
        <v>188</v>
      </c>
      <c r="G2138" s="171" t="s">
        <v>3598</v>
      </c>
      <c r="H2138" s="175" t="s">
        <v>672</v>
      </c>
    </row>
    <row r="2139" ht="14.25" spans="1:8">
      <c r="A2139" s="176">
        <v>99</v>
      </c>
      <c r="B2139" s="194" t="s">
        <v>575</v>
      </c>
      <c r="C2139" s="187" t="s">
        <v>179</v>
      </c>
      <c r="D2139" s="173">
        <v>0.01</v>
      </c>
      <c r="E2139" s="176" t="s">
        <v>30</v>
      </c>
      <c r="F2139" s="176" t="s">
        <v>188</v>
      </c>
      <c r="G2139" s="171" t="s">
        <v>3599</v>
      </c>
      <c r="H2139" s="175" t="s">
        <v>672</v>
      </c>
    </row>
    <row r="2140" ht="14.25" spans="1:8">
      <c r="A2140" s="176">
        <v>100</v>
      </c>
      <c r="B2140" s="194" t="s">
        <v>575</v>
      </c>
      <c r="C2140" s="187" t="s">
        <v>179</v>
      </c>
      <c r="D2140" s="173">
        <v>0.01</v>
      </c>
      <c r="E2140" s="176" t="s">
        <v>30</v>
      </c>
      <c r="F2140" s="176" t="s">
        <v>188</v>
      </c>
      <c r="G2140" s="171" t="s">
        <v>3600</v>
      </c>
      <c r="H2140" s="175" t="s">
        <v>672</v>
      </c>
    </row>
    <row r="2141" ht="14.25" spans="1:8">
      <c r="A2141" s="176">
        <v>101</v>
      </c>
      <c r="B2141" s="194" t="s">
        <v>575</v>
      </c>
      <c r="C2141" s="187" t="s">
        <v>179</v>
      </c>
      <c r="D2141" s="173">
        <v>0.01</v>
      </c>
      <c r="E2141" s="176" t="s">
        <v>30</v>
      </c>
      <c r="F2141" s="176" t="s">
        <v>188</v>
      </c>
      <c r="G2141" s="171" t="s">
        <v>3601</v>
      </c>
      <c r="H2141" s="175" t="s">
        <v>672</v>
      </c>
    </row>
    <row r="2142" ht="14.25" spans="1:8">
      <c r="A2142" s="176">
        <v>102</v>
      </c>
      <c r="B2142" s="194" t="s">
        <v>575</v>
      </c>
      <c r="C2142" s="187" t="s">
        <v>179</v>
      </c>
      <c r="D2142" s="173">
        <v>0.01</v>
      </c>
      <c r="E2142" s="176" t="s">
        <v>30</v>
      </c>
      <c r="F2142" s="176" t="s">
        <v>188</v>
      </c>
      <c r="G2142" s="171" t="s">
        <v>3602</v>
      </c>
      <c r="H2142" s="175" t="s">
        <v>672</v>
      </c>
    </row>
    <row r="2143" ht="14.25" spans="1:8">
      <c r="A2143" s="176">
        <v>103</v>
      </c>
      <c r="B2143" s="194" t="s">
        <v>575</v>
      </c>
      <c r="C2143" s="187" t="s">
        <v>179</v>
      </c>
      <c r="D2143" s="173">
        <v>0.02</v>
      </c>
      <c r="E2143" s="176" t="s">
        <v>30</v>
      </c>
      <c r="F2143" s="176" t="s">
        <v>188</v>
      </c>
      <c r="G2143" s="171" t="s">
        <v>3603</v>
      </c>
      <c r="H2143" s="175" t="s">
        <v>672</v>
      </c>
    </row>
    <row r="2144" ht="14.25" spans="1:8">
      <c r="A2144" s="176">
        <v>104</v>
      </c>
      <c r="B2144" s="194" t="s">
        <v>575</v>
      </c>
      <c r="C2144" s="187" t="s">
        <v>179</v>
      </c>
      <c r="D2144" s="173">
        <v>0.02</v>
      </c>
      <c r="E2144" s="176" t="s">
        <v>30</v>
      </c>
      <c r="F2144" s="176" t="s">
        <v>188</v>
      </c>
      <c r="G2144" s="171" t="s">
        <v>3604</v>
      </c>
      <c r="H2144" s="175" t="s">
        <v>672</v>
      </c>
    </row>
    <row r="2145" ht="14.25" spans="1:8">
      <c r="A2145" s="176">
        <v>105</v>
      </c>
      <c r="B2145" s="194" t="s">
        <v>575</v>
      </c>
      <c r="C2145" s="187" t="s">
        <v>179</v>
      </c>
      <c r="D2145" s="173">
        <v>0.02</v>
      </c>
      <c r="E2145" s="176" t="s">
        <v>30</v>
      </c>
      <c r="F2145" s="176" t="s">
        <v>188</v>
      </c>
      <c r="G2145" s="171" t="s">
        <v>3605</v>
      </c>
      <c r="H2145" s="175" t="s">
        <v>672</v>
      </c>
    </row>
    <row r="2146" ht="14.25" spans="1:8">
      <c r="A2146" s="176">
        <v>106</v>
      </c>
      <c r="B2146" s="194" t="s">
        <v>575</v>
      </c>
      <c r="C2146" s="187" t="s">
        <v>179</v>
      </c>
      <c r="D2146" s="173">
        <v>0.02</v>
      </c>
      <c r="E2146" s="176" t="s">
        <v>30</v>
      </c>
      <c r="F2146" s="176" t="s">
        <v>188</v>
      </c>
      <c r="G2146" s="171" t="s">
        <v>3606</v>
      </c>
      <c r="H2146" s="175" t="s">
        <v>672</v>
      </c>
    </row>
    <row r="2147" ht="14.25" spans="1:8">
      <c r="A2147" s="176">
        <v>107</v>
      </c>
      <c r="B2147" s="194" t="s">
        <v>575</v>
      </c>
      <c r="C2147" s="187" t="s">
        <v>179</v>
      </c>
      <c r="D2147" s="173">
        <v>0.03</v>
      </c>
      <c r="E2147" s="176" t="s">
        <v>30</v>
      </c>
      <c r="F2147" s="176" t="s">
        <v>188</v>
      </c>
      <c r="G2147" s="171" t="s">
        <v>3607</v>
      </c>
      <c r="H2147" s="175" t="s">
        <v>672</v>
      </c>
    </row>
    <row r="2148" ht="14.25" spans="1:8">
      <c r="A2148" s="176">
        <v>108</v>
      </c>
      <c r="B2148" s="194" t="s">
        <v>575</v>
      </c>
      <c r="C2148" s="187" t="s">
        <v>179</v>
      </c>
      <c r="D2148" s="173">
        <v>0.03</v>
      </c>
      <c r="E2148" s="176" t="s">
        <v>30</v>
      </c>
      <c r="F2148" s="176" t="s">
        <v>188</v>
      </c>
      <c r="G2148" s="171" t="s">
        <v>3608</v>
      </c>
      <c r="H2148" s="175" t="s">
        <v>672</v>
      </c>
    </row>
    <row r="2149" ht="14.25" spans="1:8">
      <c r="A2149" s="176">
        <v>109</v>
      </c>
      <c r="B2149" s="194" t="s">
        <v>575</v>
      </c>
      <c r="C2149" s="187" t="s">
        <v>179</v>
      </c>
      <c r="D2149" s="173">
        <v>0.04</v>
      </c>
      <c r="E2149" s="176" t="s">
        <v>30</v>
      </c>
      <c r="F2149" s="176" t="s">
        <v>188</v>
      </c>
      <c r="G2149" s="171" t="s">
        <v>3609</v>
      </c>
      <c r="H2149" s="175" t="s">
        <v>672</v>
      </c>
    </row>
    <row r="2150" ht="14.25" spans="1:8">
      <c r="A2150" s="176">
        <v>110</v>
      </c>
      <c r="B2150" s="194" t="s">
        <v>575</v>
      </c>
      <c r="C2150" s="187" t="s">
        <v>179</v>
      </c>
      <c r="D2150" s="173">
        <v>0.01</v>
      </c>
      <c r="E2150" s="176" t="s">
        <v>30</v>
      </c>
      <c r="F2150" s="176" t="s">
        <v>188</v>
      </c>
      <c r="G2150" s="171" t="s">
        <v>3610</v>
      </c>
      <c r="H2150" s="175"/>
    </row>
    <row r="2151" ht="14.25" spans="1:8">
      <c r="A2151" s="176">
        <v>111</v>
      </c>
      <c r="B2151" s="194" t="s">
        <v>3611</v>
      </c>
      <c r="C2151" s="187" t="s">
        <v>179</v>
      </c>
      <c r="D2151" s="173">
        <v>0.01</v>
      </c>
      <c r="E2151" s="176" t="s">
        <v>30</v>
      </c>
      <c r="F2151" s="176" t="s">
        <v>188</v>
      </c>
      <c r="G2151" s="171" t="s">
        <v>3612</v>
      </c>
      <c r="H2151" s="175"/>
    </row>
    <row r="2152" ht="14.25" spans="1:8">
      <c r="A2152" s="176">
        <v>112</v>
      </c>
      <c r="B2152" s="194" t="s">
        <v>3613</v>
      </c>
      <c r="C2152" s="187" t="s">
        <v>179</v>
      </c>
      <c r="D2152" s="173">
        <v>0.01</v>
      </c>
      <c r="E2152" s="176" t="s">
        <v>30</v>
      </c>
      <c r="F2152" s="176" t="s">
        <v>188</v>
      </c>
      <c r="G2152" s="171" t="s">
        <v>3614</v>
      </c>
      <c r="H2152" s="175"/>
    </row>
    <row r="2153" ht="14.25" spans="1:8">
      <c r="A2153" s="176">
        <v>113</v>
      </c>
      <c r="B2153" s="194" t="s">
        <v>3615</v>
      </c>
      <c r="C2153" s="187" t="s">
        <v>179</v>
      </c>
      <c r="D2153" s="173">
        <v>0.02</v>
      </c>
      <c r="E2153" s="176" t="s">
        <v>30</v>
      </c>
      <c r="F2153" s="176" t="s">
        <v>188</v>
      </c>
      <c r="G2153" s="171" t="s">
        <v>3616</v>
      </c>
      <c r="H2153" s="175"/>
    </row>
    <row r="2154" ht="25.5" spans="1:8">
      <c r="A2154" s="176">
        <v>114</v>
      </c>
      <c r="B2154" s="194" t="s">
        <v>3617</v>
      </c>
      <c r="C2154" s="187" t="s">
        <v>179</v>
      </c>
      <c r="D2154" s="173">
        <v>0.04</v>
      </c>
      <c r="E2154" s="176" t="s">
        <v>30</v>
      </c>
      <c r="F2154" s="176" t="s">
        <v>188</v>
      </c>
      <c r="G2154" s="171" t="s">
        <v>3618</v>
      </c>
      <c r="H2154" s="175"/>
    </row>
    <row r="2155" ht="25.5" spans="1:8">
      <c r="A2155" s="176">
        <v>115</v>
      </c>
      <c r="B2155" s="194" t="s">
        <v>3584</v>
      </c>
      <c r="C2155" s="187" t="s">
        <v>179</v>
      </c>
      <c r="D2155" s="173">
        <v>0.05</v>
      </c>
      <c r="E2155" s="176" t="s">
        <v>30</v>
      </c>
      <c r="F2155" s="176" t="s">
        <v>188</v>
      </c>
      <c r="G2155" s="171" t="s">
        <v>3619</v>
      </c>
      <c r="H2155" s="175" t="s">
        <v>701</v>
      </c>
    </row>
    <row r="2156" ht="14.25" spans="1:8">
      <c r="A2156" s="176">
        <v>116</v>
      </c>
      <c r="B2156" s="194" t="s">
        <v>3584</v>
      </c>
      <c r="C2156" s="187" t="s">
        <v>179</v>
      </c>
      <c r="D2156" s="173">
        <v>0.03</v>
      </c>
      <c r="E2156" s="176" t="s">
        <v>30</v>
      </c>
      <c r="F2156" s="176" t="s">
        <v>188</v>
      </c>
      <c r="G2156" s="171" t="s">
        <v>3620</v>
      </c>
      <c r="H2156" s="175"/>
    </row>
    <row r="2157" ht="25.5" spans="1:8">
      <c r="A2157" s="176">
        <v>117</v>
      </c>
      <c r="B2157" s="194" t="s">
        <v>3586</v>
      </c>
      <c r="C2157" s="187" t="s">
        <v>179</v>
      </c>
      <c r="D2157" s="173">
        <v>0.02</v>
      </c>
      <c r="E2157" s="176" t="s">
        <v>30</v>
      </c>
      <c r="F2157" s="176" t="s">
        <v>188</v>
      </c>
      <c r="G2157" s="171" t="s">
        <v>3587</v>
      </c>
      <c r="H2157" s="175"/>
    </row>
    <row r="2158" ht="25.5" spans="1:8">
      <c r="A2158" s="176">
        <v>118</v>
      </c>
      <c r="B2158" s="194" t="s">
        <v>3621</v>
      </c>
      <c r="C2158" s="187" t="s">
        <v>179</v>
      </c>
      <c r="D2158" s="173">
        <v>0.01</v>
      </c>
      <c r="E2158" s="176" t="s">
        <v>30</v>
      </c>
      <c r="F2158" s="176" t="s">
        <v>188</v>
      </c>
      <c r="G2158" s="171" t="s">
        <v>3622</v>
      </c>
      <c r="H2158" s="175"/>
    </row>
    <row r="2159" ht="25.5" spans="1:8">
      <c r="A2159" s="176">
        <v>119</v>
      </c>
      <c r="B2159" s="194" t="s">
        <v>3621</v>
      </c>
      <c r="C2159" s="187" t="s">
        <v>179</v>
      </c>
      <c r="D2159" s="173">
        <v>0.01</v>
      </c>
      <c r="E2159" s="176" t="s">
        <v>30</v>
      </c>
      <c r="F2159" s="176" t="s">
        <v>188</v>
      </c>
      <c r="G2159" s="171" t="s">
        <v>3623</v>
      </c>
      <c r="H2159" s="175"/>
    </row>
    <row r="2160" ht="14.25" spans="1:8">
      <c r="A2160" s="176">
        <v>120</v>
      </c>
      <c r="B2160" s="194" t="s">
        <v>3624</v>
      </c>
      <c r="C2160" s="187" t="s">
        <v>179</v>
      </c>
      <c r="D2160" s="173">
        <v>0.02</v>
      </c>
      <c r="E2160" s="176" t="s">
        <v>30</v>
      </c>
      <c r="F2160" s="176" t="s">
        <v>188</v>
      </c>
      <c r="G2160" s="171" t="s">
        <v>3625</v>
      </c>
      <c r="H2160" s="175"/>
    </row>
    <row r="2161" ht="25.5" spans="1:8">
      <c r="A2161" s="176">
        <v>121</v>
      </c>
      <c r="B2161" s="194" t="s">
        <v>3626</v>
      </c>
      <c r="C2161" s="187" t="s">
        <v>179</v>
      </c>
      <c r="D2161" s="173">
        <v>0.08</v>
      </c>
      <c r="E2161" s="176" t="s">
        <v>30</v>
      </c>
      <c r="F2161" s="176" t="s">
        <v>188</v>
      </c>
      <c r="G2161" s="171" t="s">
        <v>3627</v>
      </c>
      <c r="H2161" s="175"/>
    </row>
    <row r="2162" ht="14.25" spans="1:8">
      <c r="A2162" s="176">
        <v>122</v>
      </c>
      <c r="B2162" s="194" t="s">
        <v>3628</v>
      </c>
      <c r="C2162" s="187" t="s">
        <v>179</v>
      </c>
      <c r="D2162" s="173">
        <v>0.02</v>
      </c>
      <c r="E2162" s="176" t="s">
        <v>30</v>
      </c>
      <c r="F2162" s="176" t="s">
        <v>188</v>
      </c>
      <c r="G2162" s="171" t="s">
        <v>3629</v>
      </c>
      <c r="H2162" s="175"/>
    </row>
    <row r="2163" ht="14.25" spans="1:8">
      <c r="A2163" s="176">
        <v>123</v>
      </c>
      <c r="B2163" s="194" t="s">
        <v>3630</v>
      </c>
      <c r="C2163" s="187" t="s">
        <v>179</v>
      </c>
      <c r="D2163" s="173">
        <v>0.02</v>
      </c>
      <c r="E2163" s="176" t="s">
        <v>30</v>
      </c>
      <c r="F2163" s="176" t="s">
        <v>188</v>
      </c>
      <c r="G2163" s="171" t="s">
        <v>3631</v>
      </c>
      <c r="H2163" s="175"/>
    </row>
    <row r="2164" ht="14.25" spans="1:8">
      <c r="A2164" s="176">
        <v>124</v>
      </c>
      <c r="B2164" s="194" t="s">
        <v>3632</v>
      </c>
      <c r="C2164" s="187" t="s">
        <v>179</v>
      </c>
      <c r="D2164" s="173">
        <v>0.06</v>
      </c>
      <c r="E2164" s="176" t="s">
        <v>30</v>
      </c>
      <c r="F2164" s="176" t="s">
        <v>188</v>
      </c>
      <c r="G2164" s="171" t="s">
        <v>3633</v>
      </c>
      <c r="H2164" s="175"/>
    </row>
    <row r="2165" ht="14.25" spans="1:8">
      <c r="A2165" s="176">
        <v>125</v>
      </c>
      <c r="B2165" s="194" t="s">
        <v>3634</v>
      </c>
      <c r="C2165" s="187" t="s">
        <v>179</v>
      </c>
      <c r="D2165" s="173">
        <v>0.05</v>
      </c>
      <c r="E2165" s="176" t="s">
        <v>30</v>
      </c>
      <c r="F2165" s="176" t="s">
        <v>188</v>
      </c>
      <c r="G2165" s="171" t="s">
        <v>3635</v>
      </c>
      <c r="H2165" s="175"/>
    </row>
    <row r="2166" ht="25.5" spans="1:8">
      <c r="A2166" s="176">
        <v>126</v>
      </c>
      <c r="B2166" s="194" t="s">
        <v>3502</v>
      </c>
      <c r="C2166" s="187" t="s">
        <v>179</v>
      </c>
      <c r="D2166" s="173">
        <v>0.02</v>
      </c>
      <c r="E2166" s="176" t="s">
        <v>30</v>
      </c>
      <c r="F2166" s="176" t="s">
        <v>188</v>
      </c>
      <c r="G2166" s="171" t="s">
        <v>3636</v>
      </c>
      <c r="H2166" s="175"/>
    </row>
    <row r="2167" ht="25.5" spans="1:8">
      <c r="A2167" s="176">
        <v>127</v>
      </c>
      <c r="B2167" s="194" t="s">
        <v>3637</v>
      </c>
      <c r="C2167" s="187" t="s">
        <v>179</v>
      </c>
      <c r="D2167" s="173">
        <v>0.3</v>
      </c>
      <c r="E2167" s="176" t="s">
        <v>30</v>
      </c>
      <c r="F2167" s="176" t="s">
        <v>204</v>
      </c>
      <c r="G2167" s="171" t="s">
        <v>3638</v>
      </c>
      <c r="H2167" s="175"/>
    </row>
    <row r="2168" ht="25.5" spans="1:8">
      <c r="A2168" s="176">
        <v>128</v>
      </c>
      <c r="B2168" s="194" t="s">
        <v>1791</v>
      </c>
      <c r="C2168" s="187" t="s">
        <v>179</v>
      </c>
      <c r="D2168" s="173">
        <v>0.1</v>
      </c>
      <c r="E2168" s="176" t="s">
        <v>30</v>
      </c>
      <c r="F2168" s="176" t="s">
        <v>188</v>
      </c>
      <c r="G2168" s="171" t="s">
        <v>3639</v>
      </c>
      <c r="H2168" s="175"/>
    </row>
    <row r="2169" ht="14.25" spans="1:8">
      <c r="A2169" s="176">
        <v>129</v>
      </c>
      <c r="B2169" s="194" t="s">
        <v>3630</v>
      </c>
      <c r="C2169" s="187" t="s">
        <v>179</v>
      </c>
      <c r="D2169" s="173">
        <v>0.02</v>
      </c>
      <c r="E2169" s="176" t="s">
        <v>30</v>
      </c>
      <c r="F2169" s="176" t="s">
        <v>188</v>
      </c>
      <c r="G2169" s="171" t="s">
        <v>3631</v>
      </c>
      <c r="H2169" s="175"/>
    </row>
    <row r="2170" ht="14.25" spans="1:8">
      <c r="A2170" s="176">
        <v>130</v>
      </c>
      <c r="B2170" s="194" t="s">
        <v>1654</v>
      </c>
      <c r="C2170" s="187" t="s">
        <v>179</v>
      </c>
      <c r="D2170" s="173">
        <v>0.02</v>
      </c>
      <c r="E2170" s="176" t="s">
        <v>30</v>
      </c>
      <c r="F2170" s="176" t="s">
        <v>188</v>
      </c>
      <c r="G2170" s="171" t="s">
        <v>3535</v>
      </c>
      <c r="H2170" s="175"/>
    </row>
    <row r="2171" ht="25.5" spans="1:8">
      <c r="A2171" s="176">
        <v>131</v>
      </c>
      <c r="B2171" s="194" t="s">
        <v>3640</v>
      </c>
      <c r="C2171" s="187" t="s">
        <v>179</v>
      </c>
      <c r="D2171" s="173">
        <v>0.09</v>
      </c>
      <c r="E2171" s="176" t="s">
        <v>30</v>
      </c>
      <c r="F2171" s="176" t="s">
        <v>188</v>
      </c>
      <c r="G2171" s="171" t="s">
        <v>3641</v>
      </c>
      <c r="H2171" s="175"/>
    </row>
    <row r="2172" ht="14.25" spans="1:8">
      <c r="A2172" s="176">
        <v>132</v>
      </c>
      <c r="B2172" s="189" t="s">
        <v>1654</v>
      </c>
      <c r="C2172" s="187" t="s">
        <v>179</v>
      </c>
      <c r="D2172" s="173">
        <v>0.02</v>
      </c>
      <c r="E2172" s="176" t="s">
        <v>30</v>
      </c>
      <c r="F2172" s="176" t="s">
        <v>188</v>
      </c>
      <c r="G2172" s="171" t="s">
        <v>3535</v>
      </c>
      <c r="H2172" s="175"/>
    </row>
    <row r="2173" ht="25.5" spans="1:8">
      <c r="A2173" s="176">
        <v>133</v>
      </c>
      <c r="B2173" s="189" t="s">
        <v>3642</v>
      </c>
      <c r="C2173" s="187" t="s">
        <v>179</v>
      </c>
      <c r="D2173" s="173">
        <v>0.05</v>
      </c>
      <c r="E2173" s="176" t="s">
        <v>30</v>
      </c>
      <c r="F2173" s="176" t="s">
        <v>188</v>
      </c>
      <c r="G2173" s="171" t="s">
        <v>3643</v>
      </c>
      <c r="H2173" s="175"/>
    </row>
    <row r="2174" ht="25.5" spans="1:8">
      <c r="A2174" s="176">
        <v>134</v>
      </c>
      <c r="B2174" s="189" t="s">
        <v>3644</v>
      </c>
      <c r="C2174" s="187" t="s">
        <v>179</v>
      </c>
      <c r="D2174" s="173">
        <v>0.01</v>
      </c>
      <c r="E2174" s="176" t="s">
        <v>30</v>
      </c>
      <c r="F2174" s="176" t="s">
        <v>188</v>
      </c>
      <c r="G2174" s="171" t="s">
        <v>3645</v>
      </c>
      <c r="H2174" s="175"/>
    </row>
    <row r="2175" ht="14.25" spans="1:8">
      <c r="A2175" s="176">
        <v>135</v>
      </c>
      <c r="B2175" s="189" t="s">
        <v>3646</v>
      </c>
      <c r="C2175" s="187" t="s">
        <v>179</v>
      </c>
      <c r="D2175" s="173">
        <v>0.02</v>
      </c>
      <c r="E2175" s="176" t="s">
        <v>30</v>
      </c>
      <c r="F2175" s="176" t="s">
        <v>188</v>
      </c>
      <c r="G2175" s="171" t="s">
        <v>3647</v>
      </c>
      <c r="H2175" s="175"/>
    </row>
    <row r="2176" ht="25.5" spans="1:8">
      <c r="A2176" s="176">
        <v>136</v>
      </c>
      <c r="B2176" s="189" t="s">
        <v>3648</v>
      </c>
      <c r="C2176" s="187" t="s">
        <v>179</v>
      </c>
      <c r="D2176" s="173">
        <v>0.04</v>
      </c>
      <c r="E2176" s="176" t="s">
        <v>30</v>
      </c>
      <c r="F2176" s="176" t="s">
        <v>188</v>
      </c>
      <c r="G2176" s="171" t="s">
        <v>3649</v>
      </c>
      <c r="H2176" s="175"/>
    </row>
    <row r="2177" ht="14.25" spans="1:8">
      <c r="A2177" s="176">
        <v>137</v>
      </c>
      <c r="B2177" s="189" t="s">
        <v>3452</v>
      </c>
      <c r="C2177" s="187" t="s">
        <v>179</v>
      </c>
      <c r="D2177" s="173">
        <v>0.01</v>
      </c>
      <c r="E2177" s="176" t="s">
        <v>30</v>
      </c>
      <c r="F2177" s="176" t="s">
        <v>188</v>
      </c>
      <c r="G2177" s="171" t="s">
        <v>3453</v>
      </c>
      <c r="H2177" s="175"/>
    </row>
    <row r="2178" ht="14.25" spans="1:8">
      <c r="A2178" s="176">
        <v>138</v>
      </c>
      <c r="B2178" s="189" t="s">
        <v>3650</v>
      </c>
      <c r="C2178" s="187" t="s">
        <v>179</v>
      </c>
      <c r="D2178" s="173">
        <v>0.06</v>
      </c>
      <c r="E2178" s="176" t="s">
        <v>30</v>
      </c>
      <c r="F2178" s="176" t="s">
        <v>188</v>
      </c>
      <c r="G2178" s="171" t="s">
        <v>3651</v>
      </c>
      <c r="H2178" s="175"/>
    </row>
    <row r="2179" ht="25.5" spans="1:8">
      <c r="A2179" s="176">
        <v>139</v>
      </c>
      <c r="B2179" s="189" t="s">
        <v>405</v>
      </c>
      <c r="C2179" s="187" t="s">
        <v>179</v>
      </c>
      <c r="D2179" s="173">
        <v>0.02</v>
      </c>
      <c r="E2179" s="176" t="s">
        <v>30</v>
      </c>
      <c r="F2179" s="176" t="s">
        <v>188</v>
      </c>
      <c r="G2179" s="171" t="s">
        <v>3652</v>
      </c>
      <c r="H2179" s="175"/>
    </row>
    <row r="2180" ht="25.5" spans="1:8">
      <c r="A2180" s="176">
        <v>140</v>
      </c>
      <c r="B2180" s="189" t="s">
        <v>3653</v>
      </c>
      <c r="C2180" s="187" t="s">
        <v>179</v>
      </c>
      <c r="D2180" s="173">
        <v>0.02</v>
      </c>
      <c r="E2180" s="176" t="s">
        <v>30</v>
      </c>
      <c r="F2180" s="176" t="s">
        <v>188</v>
      </c>
      <c r="G2180" s="171" t="s">
        <v>3654</v>
      </c>
      <c r="H2180" s="175"/>
    </row>
    <row r="2181" ht="25.5" spans="1:8">
      <c r="A2181" s="176">
        <v>141</v>
      </c>
      <c r="B2181" s="189" t="s">
        <v>3566</v>
      </c>
      <c r="C2181" s="187" t="s">
        <v>179</v>
      </c>
      <c r="D2181" s="173">
        <v>0.05</v>
      </c>
      <c r="E2181" s="176" t="s">
        <v>30</v>
      </c>
      <c r="F2181" s="176" t="s">
        <v>188</v>
      </c>
      <c r="G2181" s="171" t="s">
        <v>3655</v>
      </c>
      <c r="H2181" s="175"/>
    </row>
    <row r="2182" ht="25.5" spans="1:8">
      <c r="A2182" s="176">
        <v>142</v>
      </c>
      <c r="B2182" s="189" t="s">
        <v>3243</v>
      </c>
      <c r="C2182" s="187" t="s">
        <v>179</v>
      </c>
      <c r="D2182" s="173">
        <v>0.02</v>
      </c>
      <c r="E2182" s="176" t="s">
        <v>30</v>
      </c>
      <c r="F2182" s="176" t="s">
        <v>188</v>
      </c>
      <c r="G2182" s="171" t="s">
        <v>3656</v>
      </c>
      <c r="H2182" s="175"/>
    </row>
    <row r="2183" ht="14.25" spans="1:8">
      <c r="A2183" s="176">
        <v>143</v>
      </c>
      <c r="B2183" s="196" t="s">
        <v>3646</v>
      </c>
      <c r="C2183" s="187" t="s">
        <v>179</v>
      </c>
      <c r="D2183" s="173">
        <v>0.02</v>
      </c>
      <c r="E2183" s="176" t="s">
        <v>30</v>
      </c>
      <c r="F2183" s="176" t="s">
        <v>188</v>
      </c>
      <c r="G2183" s="211" t="s">
        <v>3647</v>
      </c>
      <c r="H2183" s="175"/>
    </row>
    <row r="2184" ht="25.5" spans="1:8">
      <c r="A2184" s="176">
        <v>144</v>
      </c>
      <c r="B2184" s="196" t="s">
        <v>3657</v>
      </c>
      <c r="C2184" s="187" t="s">
        <v>179</v>
      </c>
      <c r="D2184" s="173">
        <v>0.01</v>
      </c>
      <c r="E2184" s="176" t="s">
        <v>30</v>
      </c>
      <c r="F2184" s="176" t="s">
        <v>188</v>
      </c>
      <c r="G2184" s="211" t="s">
        <v>3658</v>
      </c>
      <c r="H2184" s="175"/>
    </row>
    <row r="2185" ht="25.5" spans="1:8">
      <c r="A2185" s="176">
        <v>145</v>
      </c>
      <c r="B2185" s="196" t="s">
        <v>1219</v>
      </c>
      <c r="C2185" s="187" t="s">
        <v>179</v>
      </c>
      <c r="D2185" s="173">
        <v>0.02</v>
      </c>
      <c r="E2185" s="176" t="s">
        <v>30</v>
      </c>
      <c r="F2185" s="176" t="s">
        <v>188</v>
      </c>
      <c r="G2185" s="211" t="s">
        <v>3659</v>
      </c>
      <c r="H2185" s="175"/>
    </row>
    <row r="2186" ht="14.25" spans="1:8">
      <c r="A2186" s="176">
        <v>146</v>
      </c>
      <c r="B2186" s="196" t="s">
        <v>3660</v>
      </c>
      <c r="C2186" s="187" t="s">
        <v>179</v>
      </c>
      <c r="D2186" s="173">
        <v>0.03</v>
      </c>
      <c r="E2186" s="176" t="s">
        <v>30</v>
      </c>
      <c r="F2186" s="176" t="s">
        <v>188</v>
      </c>
      <c r="G2186" s="211" t="s">
        <v>3497</v>
      </c>
      <c r="H2186" s="175"/>
    </row>
    <row r="2187" ht="25.5" spans="1:8">
      <c r="A2187" s="176">
        <v>147</v>
      </c>
      <c r="B2187" s="196" t="s">
        <v>3661</v>
      </c>
      <c r="C2187" s="187" t="s">
        <v>179</v>
      </c>
      <c r="D2187" s="173">
        <v>0.01</v>
      </c>
      <c r="E2187" s="176" t="s">
        <v>30</v>
      </c>
      <c r="F2187" s="176" t="s">
        <v>188</v>
      </c>
      <c r="G2187" s="211" t="s">
        <v>3662</v>
      </c>
      <c r="H2187" s="175"/>
    </row>
    <row r="2188" ht="25.5" spans="1:8">
      <c r="A2188" s="176">
        <v>148</v>
      </c>
      <c r="B2188" s="196" t="s">
        <v>3663</v>
      </c>
      <c r="C2188" s="187" t="s">
        <v>179</v>
      </c>
      <c r="D2188" s="173">
        <v>0.02</v>
      </c>
      <c r="E2188" s="176" t="s">
        <v>30</v>
      </c>
      <c r="F2188" s="176" t="s">
        <v>188</v>
      </c>
      <c r="G2188" s="211" t="s">
        <v>3664</v>
      </c>
      <c r="H2188" s="175"/>
    </row>
    <row r="2189" ht="25.5" spans="1:8">
      <c r="A2189" s="176">
        <v>149</v>
      </c>
      <c r="B2189" s="196" t="s">
        <v>3613</v>
      </c>
      <c r="C2189" s="187" t="s">
        <v>179</v>
      </c>
      <c r="D2189" s="173">
        <v>0.01</v>
      </c>
      <c r="E2189" s="176" t="s">
        <v>30</v>
      </c>
      <c r="F2189" s="176" t="s">
        <v>188</v>
      </c>
      <c r="G2189" s="211" t="s">
        <v>3665</v>
      </c>
      <c r="H2189" s="175"/>
    </row>
    <row r="2190" ht="25.5" spans="1:8">
      <c r="A2190" s="176">
        <v>150</v>
      </c>
      <c r="B2190" s="196" t="s">
        <v>3666</v>
      </c>
      <c r="C2190" s="187" t="s">
        <v>179</v>
      </c>
      <c r="D2190" s="173">
        <v>0.01</v>
      </c>
      <c r="E2190" s="176" t="s">
        <v>30</v>
      </c>
      <c r="F2190" s="176" t="s">
        <v>188</v>
      </c>
      <c r="G2190" s="211" t="s">
        <v>3667</v>
      </c>
      <c r="H2190" s="175"/>
    </row>
    <row r="2191" ht="14.25" spans="1:8">
      <c r="A2191" s="176">
        <v>151</v>
      </c>
      <c r="B2191" s="196" t="s">
        <v>3668</v>
      </c>
      <c r="C2191" s="187" t="s">
        <v>179</v>
      </c>
      <c r="D2191" s="173">
        <v>0.09</v>
      </c>
      <c r="E2191" s="176" t="s">
        <v>30</v>
      </c>
      <c r="F2191" s="176" t="s">
        <v>188</v>
      </c>
      <c r="G2191" s="211" t="s">
        <v>3581</v>
      </c>
      <c r="H2191" s="175"/>
    </row>
    <row r="2192" ht="14.25" spans="1:8">
      <c r="A2192" s="206" t="s">
        <v>3669</v>
      </c>
      <c r="B2192" s="166" t="s">
        <v>308</v>
      </c>
      <c r="C2192" s="247"/>
      <c r="D2192" s="207"/>
      <c r="E2192" s="243"/>
      <c r="F2192" s="206"/>
      <c r="G2192" s="213"/>
      <c r="H2192" s="213"/>
    </row>
    <row r="2193" ht="14.25" spans="1:8">
      <c r="A2193" s="176">
        <v>1</v>
      </c>
      <c r="B2193" s="185" t="s">
        <v>3670</v>
      </c>
      <c r="C2193" s="187" t="s">
        <v>32</v>
      </c>
      <c r="D2193" s="173">
        <v>0.03</v>
      </c>
      <c r="E2193" s="204" t="s">
        <v>30</v>
      </c>
      <c r="F2193" s="176" t="s">
        <v>188</v>
      </c>
      <c r="G2193" s="171" t="s">
        <v>3671</v>
      </c>
      <c r="H2193" s="171"/>
    </row>
    <row r="2194" ht="14.25" spans="1:8">
      <c r="A2194" s="176">
        <v>2</v>
      </c>
      <c r="B2194" s="185" t="s">
        <v>3672</v>
      </c>
      <c r="C2194" s="187" t="s">
        <v>32</v>
      </c>
      <c r="D2194" s="173">
        <v>0.01</v>
      </c>
      <c r="E2194" s="204" t="s">
        <v>30</v>
      </c>
      <c r="F2194" s="176" t="s">
        <v>188</v>
      </c>
      <c r="G2194" s="171" t="s">
        <v>3673</v>
      </c>
      <c r="H2194" s="171"/>
    </row>
    <row r="2195" ht="14.25" spans="1:8">
      <c r="A2195" s="176">
        <v>3</v>
      </c>
      <c r="B2195" s="185" t="s">
        <v>1254</v>
      </c>
      <c r="C2195" s="187" t="s">
        <v>32</v>
      </c>
      <c r="D2195" s="173">
        <v>0.02</v>
      </c>
      <c r="E2195" s="204" t="s">
        <v>30</v>
      </c>
      <c r="F2195" s="176" t="s">
        <v>188</v>
      </c>
      <c r="G2195" s="171" t="s">
        <v>3674</v>
      </c>
      <c r="H2195" s="171"/>
    </row>
    <row r="2196" ht="14.25" spans="1:8">
      <c r="A2196" s="176">
        <v>4</v>
      </c>
      <c r="B2196" s="185" t="s">
        <v>3675</v>
      </c>
      <c r="C2196" s="187" t="s">
        <v>32</v>
      </c>
      <c r="D2196" s="173">
        <v>0.01</v>
      </c>
      <c r="E2196" s="204" t="s">
        <v>30</v>
      </c>
      <c r="F2196" s="176" t="s">
        <v>188</v>
      </c>
      <c r="G2196" s="171" t="s">
        <v>3676</v>
      </c>
      <c r="H2196" s="171"/>
    </row>
    <row r="2197" ht="14.25" spans="1:8">
      <c r="A2197" s="176">
        <v>5</v>
      </c>
      <c r="B2197" s="185" t="s">
        <v>3677</v>
      </c>
      <c r="C2197" s="187" t="s">
        <v>32</v>
      </c>
      <c r="D2197" s="173">
        <v>0.01</v>
      </c>
      <c r="E2197" s="204" t="s">
        <v>30</v>
      </c>
      <c r="F2197" s="176" t="s">
        <v>188</v>
      </c>
      <c r="G2197" s="171" t="s">
        <v>3678</v>
      </c>
      <c r="H2197" s="171"/>
    </row>
    <row r="2198" ht="14.25" spans="1:8">
      <c r="A2198" s="176">
        <v>6</v>
      </c>
      <c r="B2198" s="185" t="s">
        <v>3679</v>
      </c>
      <c r="C2198" s="187" t="s">
        <v>32</v>
      </c>
      <c r="D2198" s="173">
        <v>0.02</v>
      </c>
      <c r="E2198" s="204" t="s">
        <v>30</v>
      </c>
      <c r="F2198" s="176" t="s">
        <v>188</v>
      </c>
      <c r="G2198" s="171" t="s">
        <v>3680</v>
      </c>
      <c r="H2198" s="171"/>
    </row>
    <row r="2199" ht="14.25" spans="1:8">
      <c r="A2199" s="176">
        <v>7</v>
      </c>
      <c r="B2199" s="185" t="s">
        <v>3681</v>
      </c>
      <c r="C2199" s="187" t="s">
        <v>32</v>
      </c>
      <c r="D2199" s="173">
        <v>0.01</v>
      </c>
      <c r="E2199" s="204" t="s">
        <v>30</v>
      </c>
      <c r="F2199" s="176" t="s">
        <v>188</v>
      </c>
      <c r="G2199" s="171" t="s">
        <v>3682</v>
      </c>
      <c r="H2199" s="171"/>
    </row>
    <row r="2200" ht="14.25" spans="1:8">
      <c r="A2200" s="176">
        <v>8</v>
      </c>
      <c r="B2200" s="185" t="s">
        <v>3683</v>
      </c>
      <c r="C2200" s="187" t="s">
        <v>32</v>
      </c>
      <c r="D2200" s="173">
        <v>0.03</v>
      </c>
      <c r="E2200" s="204" t="s">
        <v>30</v>
      </c>
      <c r="F2200" s="176" t="s">
        <v>188</v>
      </c>
      <c r="G2200" s="171" t="s">
        <v>3684</v>
      </c>
      <c r="H2200" s="171"/>
    </row>
    <row r="2201" ht="14.25" spans="1:8">
      <c r="A2201" s="176">
        <v>9</v>
      </c>
      <c r="B2201" s="185" t="s">
        <v>3685</v>
      </c>
      <c r="C2201" s="187" t="s">
        <v>32</v>
      </c>
      <c r="D2201" s="173">
        <v>0.22</v>
      </c>
      <c r="E2201" s="204" t="s">
        <v>30</v>
      </c>
      <c r="F2201" s="176" t="s">
        <v>204</v>
      </c>
      <c r="G2201" s="171" t="s">
        <v>3686</v>
      </c>
      <c r="H2201" s="171"/>
    </row>
    <row r="2202" ht="14.25" spans="1:8">
      <c r="A2202" s="176">
        <v>10</v>
      </c>
      <c r="B2202" s="185" t="s">
        <v>3687</v>
      </c>
      <c r="C2202" s="187" t="s">
        <v>32</v>
      </c>
      <c r="D2202" s="173">
        <v>0.02</v>
      </c>
      <c r="E2202" s="204" t="s">
        <v>30</v>
      </c>
      <c r="F2202" s="176" t="s">
        <v>188</v>
      </c>
      <c r="G2202" s="171" t="s">
        <v>3688</v>
      </c>
      <c r="H2202" s="171"/>
    </row>
    <row r="2203" ht="14.25" spans="1:8">
      <c r="A2203" s="176">
        <v>11</v>
      </c>
      <c r="B2203" s="185" t="s">
        <v>3687</v>
      </c>
      <c r="C2203" s="187" t="s">
        <v>32</v>
      </c>
      <c r="D2203" s="173">
        <v>0.02</v>
      </c>
      <c r="E2203" s="204" t="s">
        <v>30</v>
      </c>
      <c r="F2203" s="176" t="s">
        <v>188</v>
      </c>
      <c r="G2203" s="171" t="s">
        <v>3689</v>
      </c>
      <c r="H2203" s="171"/>
    </row>
    <row r="2204" ht="14.25" spans="1:8">
      <c r="A2204" s="176">
        <v>12</v>
      </c>
      <c r="B2204" s="185" t="s">
        <v>3690</v>
      </c>
      <c r="C2204" s="187" t="s">
        <v>32</v>
      </c>
      <c r="D2204" s="173">
        <v>0.02</v>
      </c>
      <c r="E2204" s="204" t="s">
        <v>30</v>
      </c>
      <c r="F2204" s="176" t="s">
        <v>188</v>
      </c>
      <c r="G2204" s="171" t="s">
        <v>3691</v>
      </c>
      <c r="H2204" s="171"/>
    </row>
    <row r="2205" ht="14.25" spans="1:8">
      <c r="A2205" s="176">
        <v>13</v>
      </c>
      <c r="B2205" s="185" t="s">
        <v>3692</v>
      </c>
      <c r="C2205" s="187" t="s">
        <v>32</v>
      </c>
      <c r="D2205" s="173">
        <v>0.02</v>
      </c>
      <c r="E2205" s="204" t="s">
        <v>30</v>
      </c>
      <c r="F2205" s="176" t="s">
        <v>188</v>
      </c>
      <c r="G2205" s="171" t="s">
        <v>3693</v>
      </c>
      <c r="H2205" s="171"/>
    </row>
    <row r="2206" ht="14.25" spans="1:8">
      <c r="A2206" s="176">
        <v>14</v>
      </c>
      <c r="B2206" s="185" t="s">
        <v>3694</v>
      </c>
      <c r="C2206" s="187" t="s">
        <v>32</v>
      </c>
      <c r="D2206" s="173">
        <v>0.03</v>
      </c>
      <c r="E2206" s="204" t="s">
        <v>30</v>
      </c>
      <c r="F2206" s="176" t="s">
        <v>188</v>
      </c>
      <c r="G2206" s="171" t="s">
        <v>3695</v>
      </c>
      <c r="H2206" s="171"/>
    </row>
    <row r="2207" ht="14.25" spans="1:8">
      <c r="A2207" s="176">
        <v>15</v>
      </c>
      <c r="B2207" s="185" t="s">
        <v>3696</v>
      </c>
      <c r="C2207" s="187" t="s">
        <v>32</v>
      </c>
      <c r="D2207" s="173">
        <v>0.04</v>
      </c>
      <c r="E2207" s="204" t="s">
        <v>30</v>
      </c>
      <c r="F2207" s="176" t="s">
        <v>188</v>
      </c>
      <c r="G2207" s="171" t="s">
        <v>3697</v>
      </c>
      <c r="H2207" s="171"/>
    </row>
    <row r="2208" ht="14.25" spans="1:8">
      <c r="A2208" s="176">
        <v>16</v>
      </c>
      <c r="B2208" s="185" t="s">
        <v>3698</v>
      </c>
      <c r="C2208" s="187" t="s">
        <v>32</v>
      </c>
      <c r="D2208" s="173">
        <v>0.02</v>
      </c>
      <c r="E2208" s="204" t="s">
        <v>30</v>
      </c>
      <c r="F2208" s="176" t="s">
        <v>188</v>
      </c>
      <c r="G2208" s="171" t="s">
        <v>3699</v>
      </c>
      <c r="H2208" s="171"/>
    </row>
    <row r="2209" ht="14.25" spans="1:8">
      <c r="A2209" s="176">
        <v>17</v>
      </c>
      <c r="B2209" s="185" t="s">
        <v>3700</v>
      </c>
      <c r="C2209" s="187" t="s">
        <v>32</v>
      </c>
      <c r="D2209" s="173">
        <v>0.01</v>
      </c>
      <c r="E2209" s="204" t="s">
        <v>30</v>
      </c>
      <c r="F2209" s="176" t="s">
        <v>188</v>
      </c>
      <c r="G2209" s="171" t="s">
        <v>3701</v>
      </c>
      <c r="H2209" s="171"/>
    </row>
    <row r="2210" ht="14.25" spans="1:8">
      <c r="A2210" s="176">
        <v>18</v>
      </c>
      <c r="B2210" s="185" t="s">
        <v>3702</v>
      </c>
      <c r="C2210" s="187" t="s">
        <v>32</v>
      </c>
      <c r="D2210" s="173">
        <v>0.03</v>
      </c>
      <c r="E2210" s="204" t="s">
        <v>30</v>
      </c>
      <c r="F2210" s="176" t="s">
        <v>188</v>
      </c>
      <c r="G2210" s="171" t="s">
        <v>3703</v>
      </c>
      <c r="H2210" s="171"/>
    </row>
    <row r="2211" ht="14.25" spans="1:8">
      <c r="A2211" s="176">
        <v>19</v>
      </c>
      <c r="B2211" s="185" t="s">
        <v>3704</v>
      </c>
      <c r="C2211" s="187" t="s">
        <v>32</v>
      </c>
      <c r="D2211" s="173">
        <v>0.015</v>
      </c>
      <c r="E2211" s="204" t="s">
        <v>30</v>
      </c>
      <c r="F2211" s="176" t="s">
        <v>188</v>
      </c>
      <c r="G2211" s="171" t="s">
        <v>3705</v>
      </c>
      <c r="H2211" s="171"/>
    </row>
    <row r="2212" ht="14.25" spans="1:8">
      <c r="A2212" s="176">
        <v>20</v>
      </c>
      <c r="B2212" s="185" t="s">
        <v>3706</v>
      </c>
      <c r="C2212" s="187" t="s">
        <v>32</v>
      </c>
      <c r="D2212" s="173">
        <v>0.01</v>
      </c>
      <c r="E2212" s="204" t="s">
        <v>30</v>
      </c>
      <c r="F2212" s="176" t="s">
        <v>188</v>
      </c>
      <c r="G2212" s="171" t="s">
        <v>3707</v>
      </c>
      <c r="H2212" s="171"/>
    </row>
    <row r="2213" ht="14.25" spans="1:8">
      <c r="A2213" s="176">
        <v>21</v>
      </c>
      <c r="B2213" s="185" t="s">
        <v>3708</v>
      </c>
      <c r="C2213" s="187" t="s">
        <v>32</v>
      </c>
      <c r="D2213" s="173">
        <v>0.03</v>
      </c>
      <c r="E2213" s="204" t="s">
        <v>30</v>
      </c>
      <c r="F2213" s="176" t="s">
        <v>188</v>
      </c>
      <c r="G2213" s="171" t="s">
        <v>3709</v>
      </c>
      <c r="H2213" s="171"/>
    </row>
    <row r="2214" ht="14.25" spans="1:8">
      <c r="A2214" s="176">
        <v>22</v>
      </c>
      <c r="B2214" s="185" t="s">
        <v>3710</v>
      </c>
      <c r="C2214" s="187" t="s">
        <v>32</v>
      </c>
      <c r="D2214" s="173">
        <v>0.02</v>
      </c>
      <c r="E2214" s="204" t="s">
        <v>30</v>
      </c>
      <c r="F2214" s="176" t="s">
        <v>188</v>
      </c>
      <c r="G2214" s="171" t="s">
        <v>3711</v>
      </c>
      <c r="H2214" s="171"/>
    </row>
    <row r="2215" ht="14.25" spans="1:8">
      <c r="A2215" s="176">
        <v>23</v>
      </c>
      <c r="B2215" s="185" t="s">
        <v>3712</v>
      </c>
      <c r="C2215" s="187" t="s">
        <v>32</v>
      </c>
      <c r="D2215" s="173">
        <v>0.01</v>
      </c>
      <c r="E2215" s="204" t="s">
        <v>30</v>
      </c>
      <c r="F2215" s="176" t="s">
        <v>188</v>
      </c>
      <c r="G2215" s="171" t="s">
        <v>3713</v>
      </c>
      <c r="H2215" s="171"/>
    </row>
    <row r="2216" ht="14.25" spans="1:8">
      <c r="A2216" s="176">
        <v>24</v>
      </c>
      <c r="B2216" s="185" t="s">
        <v>3714</v>
      </c>
      <c r="C2216" s="187" t="s">
        <v>32</v>
      </c>
      <c r="D2216" s="173">
        <v>0.02</v>
      </c>
      <c r="E2216" s="204" t="s">
        <v>30</v>
      </c>
      <c r="F2216" s="176" t="s">
        <v>188</v>
      </c>
      <c r="G2216" s="171" t="s">
        <v>3715</v>
      </c>
      <c r="H2216" s="171"/>
    </row>
    <row r="2217" ht="14.25" spans="1:8">
      <c r="A2217" s="176">
        <v>25</v>
      </c>
      <c r="B2217" s="185" t="s">
        <v>3716</v>
      </c>
      <c r="C2217" s="187" t="s">
        <v>32</v>
      </c>
      <c r="D2217" s="173">
        <v>0.01</v>
      </c>
      <c r="E2217" s="204" t="s">
        <v>30</v>
      </c>
      <c r="F2217" s="176" t="s">
        <v>188</v>
      </c>
      <c r="G2217" s="171" t="s">
        <v>3717</v>
      </c>
      <c r="H2217" s="171"/>
    </row>
    <row r="2218" ht="14.25" spans="1:8">
      <c r="A2218" s="176">
        <v>26</v>
      </c>
      <c r="B2218" s="185" t="s">
        <v>3718</v>
      </c>
      <c r="C2218" s="187" t="s">
        <v>32</v>
      </c>
      <c r="D2218" s="173">
        <v>0.04</v>
      </c>
      <c r="E2218" s="204" t="s">
        <v>30</v>
      </c>
      <c r="F2218" s="176" t="s">
        <v>188</v>
      </c>
      <c r="G2218" s="171" t="s">
        <v>3719</v>
      </c>
      <c r="H2218" s="171"/>
    </row>
    <row r="2219" ht="14.25" spans="1:8">
      <c r="A2219" s="176">
        <v>27</v>
      </c>
      <c r="B2219" s="185" t="s">
        <v>3720</v>
      </c>
      <c r="C2219" s="187" t="s">
        <v>32</v>
      </c>
      <c r="D2219" s="173">
        <v>0.02</v>
      </c>
      <c r="E2219" s="204" t="s">
        <v>30</v>
      </c>
      <c r="F2219" s="176" t="s">
        <v>188</v>
      </c>
      <c r="G2219" s="171" t="s">
        <v>3721</v>
      </c>
      <c r="H2219" s="171"/>
    </row>
    <row r="2220" ht="14.25" spans="1:8">
      <c r="A2220" s="176">
        <v>28</v>
      </c>
      <c r="B2220" s="182" t="s">
        <v>3722</v>
      </c>
      <c r="C2220" s="187" t="s">
        <v>32</v>
      </c>
      <c r="D2220" s="173">
        <v>0.04</v>
      </c>
      <c r="E2220" s="204" t="s">
        <v>30</v>
      </c>
      <c r="F2220" s="176" t="s">
        <v>188</v>
      </c>
      <c r="G2220" s="181" t="s">
        <v>3723</v>
      </c>
      <c r="H2220" s="171"/>
    </row>
    <row r="2221" ht="14.25" spans="1:8">
      <c r="A2221" s="176">
        <v>29</v>
      </c>
      <c r="B2221" s="182" t="s">
        <v>3724</v>
      </c>
      <c r="C2221" s="187" t="s">
        <v>32</v>
      </c>
      <c r="D2221" s="173">
        <v>0.03</v>
      </c>
      <c r="E2221" s="204" t="s">
        <v>30</v>
      </c>
      <c r="F2221" s="176" t="s">
        <v>188</v>
      </c>
      <c r="G2221" s="181" t="s">
        <v>3725</v>
      </c>
      <c r="H2221" s="171"/>
    </row>
    <row r="2222" ht="14.25" spans="1:8">
      <c r="A2222" s="176">
        <v>30</v>
      </c>
      <c r="B2222" s="182" t="s">
        <v>3726</v>
      </c>
      <c r="C2222" s="187" t="s">
        <v>32</v>
      </c>
      <c r="D2222" s="173">
        <v>0.01</v>
      </c>
      <c r="E2222" s="204" t="s">
        <v>30</v>
      </c>
      <c r="F2222" s="176" t="s">
        <v>188</v>
      </c>
      <c r="G2222" s="181" t="s">
        <v>2085</v>
      </c>
      <c r="H2222" s="171"/>
    </row>
    <row r="2223" ht="14.25" spans="1:8">
      <c r="A2223" s="176">
        <v>31</v>
      </c>
      <c r="B2223" s="182" t="s">
        <v>3727</v>
      </c>
      <c r="C2223" s="187" t="s">
        <v>32</v>
      </c>
      <c r="D2223" s="173">
        <v>0.01</v>
      </c>
      <c r="E2223" s="204" t="s">
        <v>30</v>
      </c>
      <c r="F2223" s="176" t="s">
        <v>188</v>
      </c>
      <c r="G2223" s="181" t="s">
        <v>3728</v>
      </c>
      <c r="H2223" s="171"/>
    </row>
    <row r="2224" ht="14.25" spans="1:8">
      <c r="A2224" s="176">
        <v>32</v>
      </c>
      <c r="B2224" s="182" t="s">
        <v>3729</v>
      </c>
      <c r="C2224" s="187" t="s">
        <v>32</v>
      </c>
      <c r="D2224" s="173">
        <v>0.01</v>
      </c>
      <c r="E2224" s="204" t="s">
        <v>30</v>
      </c>
      <c r="F2224" s="176" t="s">
        <v>188</v>
      </c>
      <c r="G2224" s="181" t="s">
        <v>3730</v>
      </c>
      <c r="H2224" s="171"/>
    </row>
    <row r="2225" ht="14.25" spans="1:8">
      <c r="A2225" s="176">
        <v>33</v>
      </c>
      <c r="B2225" s="182" t="s">
        <v>3731</v>
      </c>
      <c r="C2225" s="187" t="s">
        <v>32</v>
      </c>
      <c r="D2225" s="173">
        <v>0.06</v>
      </c>
      <c r="E2225" s="204" t="s">
        <v>30</v>
      </c>
      <c r="F2225" s="176" t="s">
        <v>188</v>
      </c>
      <c r="G2225" s="181" t="s">
        <v>3732</v>
      </c>
      <c r="H2225" s="171"/>
    </row>
    <row r="2226" ht="14.25" spans="1:8">
      <c r="A2226" s="176">
        <v>34</v>
      </c>
      <c r="B2226" s="182" t="s">
        <v>3733</v>
      </c>
      <c r="C2226" s="187" t="s">
        <v>32</v>
      </c>
      <c r="D2226" s="173">
        <v>0.05</v>
      </c>
      <c r="E2226" s="204" t="s">
        <v>30</v>
      </c>
      <c r="F2226" s="176" t="s">
        <v>188</v>
      </c>
      <c r="G2226" s="181" t="s">
        <v>3734</v>
      </c>
      <c r="H2226" s="171"/>
    </row>
    <row r="2227" ht="14.25" spans="1:8">
      <c r="A2227" s="176">
        <v>35</v>
      </c>
      <c r="B2227" s="182" t="s">
        <v>3735</v>
      </c>
      <c r="C2227" s="187" t="s">
        <v>32</v>
      </c>
      <c r="D2227" s="173">
        <v>0.03</v>
      </c>
      <c r="E2227" s="204" t="s">
        <v>30</v>
      </c>
      <c r="F2227" s="176" t="s">
        <v>188</v>
      </c>
      <c r="G2227" s="181" t="s">
        <v>3736</v>
      </c>
      <c r="H2227" s="171"/>
    </row>
    <row r="2228" ht="14.25" spans="1:8">
      <c r="A2228" s="176">
        <v>36</v>
      </c>
      <c r="B2228" s="182" t="s">
        <v>3737</v>
      </c>
      <c r="C2228" s="187" t="s">
        <v>32</v>
      </c>
      <c r="D2228" s="173">
        <v>0.02</v>
      </c>
      <c r="E2228" s="204" t="s">
        <v>30</v>
      </c>
      <c r="F2228" s="176" t="s">
        <v>188</v>
      </c>
      <c r="G2228" s="181" t="s">
        <v>3738</v>
      </c>
      <c r="H2228" s="171"/>
    </row>
    <row r="2229" ht="14.25" spans="1:8">
      <c r="A2229" s="176">
        <v>37</v>
      </c>
      <c r="B2229" s="182" t="s">
        <v>3739</v>
      </c>
      <c r="C2229" s="187" t="s">
        <v>32</v>
      </c>
      <c r="D2229" s="173">
        <v>0.02</v>
      </c>
      <c r="E2229" s="204" t="s">
        <v>30</v>
      </c>
      <c r="F2229" s="176" t="s">
        <v>188</v>
      </c>
      <c r="G2229" s="181" t="s">
        <v>3740</v>
      </c>
      <c r="H2229" s="171"/>
    </row>
    <row r="2230" ht="14.25" spans="1:8">
      <c r="A2230" s="176">
        <v>38</v>
      </c>
      <c r="B2230" s="182" t="s">
        <v>3741</v>
      </c>
      <c r="C2230" s="187" t="s">
        <v>32</v>
      </c>
      <c r="D2230" s="173">
        <v>0.02</v>
      </c>
      <c r="E2230" s="204" t="s">
        <v>30</v>
      </c>
      <c r="F2230" s="176" t="s">
        <v>188</v>
      </c>
      <c r="G2230" s="181" t="s">
        <v>3742</v>
      </c>
      <c r="H2230" s="171"/>
    </row>
    <row r="2231" ht="14.25" spans="1:8">
      <c r="A2231" s="176">
        <v>39</v>
      </c>
      <c r="B2231" s="182" t="s">
        <v>3741</v>
      </c>
      <c r="C2231" s="187" t="s">
        <v>32</v>
      </c>
      <c r="D2231" s="173">
        <v>0.03</v>
      </c>
      <c r="E2231" s="204" t="s">
        <v>30</v>
      </c>
      <c r="F2231" s="176" t="s">
        <v>188</v>
      </c>
      <c r="G2231" s="181" t="s">
        <v>3743</v>
      </c>
      <c r="H2231" s="171"/>
    </row>
    <row r="2232" ht="14.25" spans="1:8">
      <c r="A2232" s="176">
        <v>40</v>
      </c>
      <c r="B2232" s="182" t="s">
        <v>3741</v>
      </c>
      <c r="C2232" s="187" t="s">
        <v>32</v>
      </c>
      <c r="D2232" s="173">
        <v>0.02</v>
      </c>
      <c r="E2232" s="204" t="s">
        <v>30</v>
      </c>
      <c r="F2232" s="176" t="s">
        <v>188</v>
      </c>
      <c r="G2232" s="181" t="s">
        <v>3744</v>
      </c>
      <c r="H2232" s="171"/>
    </row>
    <row r="2233" ht="14.25" spans="1:8">
      <c r="A2233" s="176">
        <v>41</v>
      </c>
      <c r="B2233" s="182" t="s">
        <v>3745</v>
      </c>
      <c r="C2233" s="187" t="s">
        <v>32</v>
      </c>
      <c r="D2233" s="173">
        <v>0.02</v>
      </c>
      <c r="E2233" s="204" t="s">
        <v>30</v>
      </c>
      <c r="F2233" s="176" t="s">
        <v>188</v>
      </c>
      <c r="G2233" s="181" t="s">
        <v>3746</v>
      </c>
      <c r="H2233" s="171"/>
    </row>
    <row r="2234" ht="14.25" spans="1:8">
      <c r="A2234" s="176">
        <v>42</v>
      </c>
      <c r="B2234" s="182" t="s">
        <v>3747</v>
      </c>
      <c r="C2234" s="187" t="s">
        <v>32</v>
      </c>
      <c r="D2234" s="173">
        <v>0.3</v>
      </c>
      <c r="E2234" s="204" t="s">
        <v>30</v>
      </c>
      <c r="F2234" s="176" t="s">
        <v>188</v>
      </c>
      <c r="G2234" s="181" t="s">
        <v>3748</v>
      </c>
      <c r="H2234" s="171"/>
    </row>
    <row r="2235" ht="14.25" spans="1:8">
      <c r="A2235" s="176">
        <v>43</v>
      </c>
      <c r="B2235" s="182" t="s">
        <v>3749</v>
      </c>
      <c r="C2235" s="187" t="s">
        <v>32</v>
      </c>
      <c r="D2235" s="173">
        <v>0.04</v>
      </c>
      <c r="E2235" s="204" t="s">
        <v>30</v>
      </c>
      <c r="F2235" s="176" t="s">
        <v>188</v>
      </c>
      <c r="G2235" s="181" t="s">
        <v>3750</v>
      </c>
      <c r="H2235" s="171"/>
    </row>
    <row r="2236" ht="14.25" spans="1:8">
      <c r="A2236" s="176">
        <v>44</v>
      </c>
      <c r="B2236" s="182" t="s">
        <v>3751</v>
      </c>
      <c r="C2236" s="187" t="s">
        <v>32</v>
      </c>
      <c r="D2236" s="173">
        <v>0.04</v>
      </c>
      <c r="E2236" s="204" t="s">
        <v>30</v>
      </c>
      <c r="F2236" s="176" t="s">
        <v>188</v>
      </c>
      <c r="G2236" s="181" t="s">
        <v>3752</v>
      </c>
      <c r="H2236" s="171"/>
    </row>
    <row r="2237" ht="14.25" spans="1:8">
      <c r="A2237" s="176">
        <v>45</v>
      </c>
      <c r="B2237" s="182" t="s">
        <v>3753</v>
      </c>
      <c r="C2237" s="187" t="s">
        <v>32</v>
      </c>
      <c r="D2237" s="173">
        <v>0.02</v>
      </c>
      <c r="E2237" s="204" t="s">
        <v>30</v>
      </c>
      <c r="F2237" s="176" t="s">
        <v>188</v>
      </c>
      <c r="G2237" s="181" t="s">
        <v>3754</v>
      </c>
      <c r="H2237" s="171"/>
    </row>
    <row r="2238" ht="14.25" spans="1:8">
      <c r="A2238" s="176">
        <v>46</v>
      </c>
      <c r="B2238" s="182" t="s">
        <v>3755</v>
      </c>
      <c r="C2238" s="187" t="s">
        <v>32</v>
      </c>
      <c r="D2238" s="173">
        <v>0.03</v>
      </c>
      <c r="E2238" s="204" t="s">
        <v>30</v>
      </c>
      <c r="F2238" s="176" t="s">
        <v>188</v>
      </c>
      <c r="G2238" s="181" t="s">
        <v>2389</v>
      </c>
      <c r="H2238" s="171"/>
    </row>
    <row r="2239" ht="14.25" spans="1:8">
      <c r="A2239" s="176">
        <v>47</v>
      </c>
      <c r="B2239" s="182" t="s">
        <v>3756</v>
      </c>
      <c r="C2239" s="187" t="s">
        <v>32</v>
      </c>
      <c r="D2239" s="173">
        <v>0.04</v>
      </c>
      <c r="E2239" s="204" t="s">
        <v>30</v>
      </c>
      <c r="F2239" s="176" t="s">
        <v>188</v>
      </c>
      <c r="G2239" s="181" t="s">
        <v>3757</v>
      </c>
      <c r="H2239" s="171"/>
    </row>
    <row r="2240" ht="14.25" spans="1:8">
      <c r="A2240" s="176">
        <v>48</v>
      </c>
      <c r="B2240" s="182" t="s">
        <v>3685</v>
      </c>
      <c r="C2240" s="187" t="s">
        <v>32</v>
      </c>
      <c r="D2240" s="173">
        <v>0.22</v>
      </c>
      <c r="E2240" s="204" t="s">
        <v>30</v>
      </c>
      <c r="F2240" s="176" t="s">
        <v>59</v>
      </c>
      <c r="G2240" s="181" t="s">
        <v>3686</v>
      </c>
      <c r="H2240" s="171"/>
    </row>
    <row r="2241" ht="14.25" spans="1:8">
      <c r="A2241" s="176">
        <v>49</v>
      </c>
      <c r="B2241" s="182" t="s">
        <v>3758</v>
      </c>
      <c r="C2241" s="187" t="s">
        <v>32</v>
      </c>
      <c r="D2241" s="173">
        <v>0.03</v>
      </c>
      <c r="E2241" s="204" t="s">
        <v>30</v>
      </c>
      <c r="F2241" s="176" t="s">
        <v>188</v>
      </c>
      <c r="G2241" s="181" t="s">
        <v>2299</v>
      </c>
      <c r="H2241" s="171"/>
    </row>
    <row r="2242" ht="14.25" spans="1:8">
      <c r="A2242" s="176">
        <v>50</v>
      </c>
      <c r="B2242" s="182" t="s">
        <v>3759</v>
      </c>
      <c r="C2242" s="187" t="s">
        <v>32</v>
      </c>
      <c r="D2242" s="173">
        <v>0.36</v>
      </c>
      <c r="E2242" s="204" t="s">
        <v>30</v>
      </c>
      <c r="F2242" s="176" t="s">
        <v>188</v>
      </c>
      <c r="G2242" s="181" t="s">
        <v>3760</v>
      </c>
      <c r="H2242" s="171"/>
    </row>
    <row r="2243" ht="25.5" spans="1:8">
      <c r="A2243" s="176">
        <v>51</v>
      </c>
      <c r="B2243" s="182" t="s">
        <v>3761</v>
      </c>
      <c r="C2243" s="187" t="s">
        <v>32</v>
      </c>
      <c r="D2243" s="173">
        <v>0.06</v>
      </c>
      <c r="E2243" s="204" t="s">
        <v>30</v>
      </c>
      <c r="F2243" s="176" t="s">
        <v>188</v>
      </c>
      <c r="G2243" s="181" t="s">
        <v>3762</v>
      </c>
      <c r="H2243" s="171"/>
    </row>
    <row r="2244" ht="14.25" spans="1:8">
      <c r="A2244" s="176">
        <v>52</v>
      </c>
      <c r="B2244" s="182" t="s">
        <v>3763</v>
      </c>
      <c r="C2244" s="187" t="s">
        <v>32</v>
      </c>
      <c r="D2244" s="173">
        <v>0.1</v>
      </c>
      <c r="E2244" s="204" t="s">
        <v>30</v>
      </c>
      <c r="F2244" s="176" t="s">
        <v>188</v>
      </c>
      <c r="G2244" s="181" t="s">
        <v>3764</v>
      </c>
      <c r="H2244" s="171"/>
    </row>
    <row r="2245" ht="14.25" spans="1:8">
      <c r="A2245" s="176">
        <v>53</v>
      </c>
      <c r="B2245" s="182" t="s">
        <v>3765</v>
      </c>
      <c r="C2245" s="187" t="s">
        <v>32</v>
      </c>
      <c r="D2245" s="173">
        <v>0.02</v>
      </c>
      <c r="E2245" s="204" t="s">
        <v>30</v>
      </c>
      <c r="F2245" s="176" t="s">
        <v>188</v>
      </c>
      <c r="G2245" s="181" t="s">
        <v>3766</v>
      </c>
      <c r="H2245" s="171"/>
    </row>
    <row r="2246" ht="14.25" spans="1:8">
      <c r="A2246" s="176">
        <v>54</v>
      </c>
      <c r="B2246" s="182" t="s">
        <v>3767</v>
      </c>
      <c r="C2246" s="187" t="s">
        <v>32</v>
      </c>
      <c r="D2246" s="173">
        <v>0.01</v>
      </c>
      <c r="E2246" s="204" t="s">
        <v>30</v>
      </c>
      <c r="F2246" s="176" t="s">
        <v>188</v>
      </c>
      <c r="G2246" s="181" t="s">
        <v>3768</v>
      </c>
      <c r="H2246" s="171"/>
    </row>
    <row r="2247" ht="14.25" spans="1:8">
      <c r="A2247" s="176">
        <v>55</v>
      </c>
      <c r="B2247" s="182" t="s">
        <v>3769</v>
      </c>
      <c r="C2247" s="187" t="s">
        <v>32</v>
      </c>
      <c r="D2247" s="173">
        <v>0.03</v>
      </c>
      <c r="E2247" s="204" t="s">
        <v>30</v>
      </c>
      <c r="F2247" s="176" t="s">
        <v>188</v>
      </c>
      <c r="G2247" s="181" t="s">
        <v>3770</v>
      </c>
      <c r="H2247" s="171"/>
    </row>
    <row r="2248" ht="14.25" spans="1:8">
      <c r="A2248" s="176">
        <v>56</v>
      </c>
      <c r="B2248" s="182" t="s">
        <v>3771</v>
      </c>
      <c r="C2248" s="187" t="s">
        <v>32</v>
      </c>
      <c r="D2248" s="173">
        <v>0.03</v>
      </c>
      <c r="E2248" s="204" t="s">
        <v>30</v>
      </c>
      <c r="F2248" s="176" t="s">
        <v>188</v>
      </c>
      <c r="G2248" s="181" t="s">
        <v>3772</v>
      </c>
      <c r="H2248" s="171"/>
    </row>
    <row r="2249" ht="14.25" spans="1:8">
      <c r="A2249" s="176">
        <v>57</v>
      </c>
      <c r="B2249" s="182" t="s">
        <v>3773</v>
      </c>
      <c r="C2249" s="187" t="s">
        <v>32</v>
      </c>
      <c r="D2249" s="173">
        <v>0.01</v>
      </c>
      <c r="E2249" s="204" t="s">
        <v>30</v>
      </c>
      <c r="F2249" s="176" t="s">
        <v>188</v>
      </c>
      <c r="G2249" s="181" t="s">
        <v>3774</v>
      </c>
      <c r="H2249" s="171"/>
    </row>
    <row r="2250" ht="14.25" spans="1:8">
      <c r="A2250" s="176">
        <v>58</v>
      </c>
      <c r="B2250" s="182" t="s">
        <v>3775</v>
      </c>
      <c r="C2250" s="187" t="s">
        <v>32</v>
      </c>
      <c r="D2250" s="173">
        <v>0.03</v>
      </c>
      <c r="E2250" s="204" t="s">
        <v>30</v>
      </c>
      <c r="F2250" s="176" t="s">
        <v>188</v>
      </c>
      <c r="G2250" s="181" t="s">
        <v>3776</v>
      </c>
      <c r="H2250" s="171"/>
    </row>
    <row r="2251" ht="14.25" spans="1:8">
      <c r="A2251" s="176">
        <v>59</v>
      </c>
      <c r="B2251" s="182" t="s">
        <v>611</v>
      </c>
      <c r="C2251" s="187" t="s">
        <v>32</v>
      </c>
      <c r="D2251" s="173">
        <v>0.03</v>
      </c>
      <c r="E2251" s="204" t="s">
        <v>30</v>
      </c>
      <c r="F2251" s="248" t="s">
        <v>188</v>
      </c>
      <c r="G2251" s="181" t="s">
        <v>3777</v>
      </c>
      <c r="H2251" s="171"/>
    </row>
    <row r="2252" ht="14.25" spans="1:8">
      <c r="A2252" s="176">
        <v>60</v>
      </c>
      <c r="B2252" s="182" t="s">
        <v>3778</v>
      </c>
      <c r="C2252" s="187" t="s">
        <v>32</v>
      </c>
      <c r="D2252" s="173">
        <v>0.03</v>
      </c>
      <c r="E2252" s="204" t="s">
        <v>30</v>
      </c>
      <c r="F2252" s="248" t="s">
        <v>188</v>
      </c>
      <c r="G2252" s="181" t="s">
        <v>3779</v>
      </c>
      <c r="H2252" s="171"/>
    </row>
    <row r="2253" ht="14.25" spans="1:8">
      <c r="A2253" s="176">
        <v>61</v>
      </c>
      <c r="B2253" s="182" t="s">
        <v>405</v>
      </c>
      <c r="C2253" s="187" t="s">
        <v>32</v>
      </c>
      <c r="D2253" s="173">
        <v>0.02</v>
      </c>
      <c r="E2253" s="204" t="s">
        <v>30</v>
      </c>
      <c r="F2253" s="248" t="s">
        <v>188</v>
      </c>
      <c r="G2253" s="181" t="s">
        <v>3780</v>
      </c>
      <c r="H2253" s="171"/>
    </row>
    <row r="2254" ht="14.25" spans="1:8">
      <c r="A2254" s="176">
        <v>62</v>
      </c>
      <c r="B2254" s="182" t="s">
        <v>3781</v>
      </c>
      <c r="C2254" s="187" t="s">
        <v>32</v>
      </c>
      <c r="D2254" s="173">
        <v>0.01</v>
      </c>
      <c r="E2254" s="204" t="s">
        <v>30</v>
      </c>
      <c r="F2254" s="248" t="s">
        <v>188</v>
      </c>
      <c r="G2254" s="181" t="s">
        <v>3782</v>
      </c>
      <c r="H2254" s="171"/>
    </row>
    <row r="2255" ht="14.25" spans="1:8">
      <c r="A2255" s="176">
        <v>63</v>
      </c>
      <c r="B2255" s="182" t="s">
        <v>3783</v>
      </c>
      <c r="C2255" s="187" t="s">
        <v>32</v>
      </c>
      <c r="D2255" s="173">
        <v>0.06</v>
      </c>
      <c r="E2255" s="204" t="s">
        <v>30</v>
      </c>
      <c r="F2255" s="248" t="s">
        <v>188</v>
      </c>
      <c r="G2255" s="181" t="s">
        <v>3784</v>
      </c>
      <c r="H2255" s="171"/>
    </row>
    <row r="2256" ht="14.25" spans="1:8">
      <c r="A2256" s="176">
        <v>64</v>
      </c>
      <c r="B2256" s="182" t="s">
        <v>3785</v>
      </c>
      <c r="C2256" s="187" t="s">
        <v>32</v>
      </c>
      <c r="D2256" s="173">
        <v>0.03</v>
      </c>
      <c r="E2256" s="204" t="s">
        <v>30</v>
      </c>
      <c r="F2256" s="248" t="s">
        <v>188</v>
      </c>
      <c r="G2256" s="181" t="s">
        <v>3786</v>
      </c>
      <c r="H2256" s="171"/>
    </row>
    <row r="2257" ht="14.25" spans="1:8">
      <c r="A2257" s="176">
        <v>65</v>
      </c>
      <c r="B2257" s="175" t="s">
        <v>3787</v>
      </c>
      <c r="C2257" s="187" t="s">
        <v>32</v>
      </c>
      <c r="D2257" s="173">
        <v>0.08</v>
      </c>
      <c r="E2257" s="204" t="s">
        <v>30</v>
      </c>
      <c r="F2257" s="176" t="s">
        <v>188</v>
      </c>
      <c r="G2257" s="181" t="s">
        <v>3788</v>
      </c>
      <c r="H2257" s="171"/>
    </row>
    <row r="2258" ht="14.25" spans="1:8">
      <c r="A2258" s="176">
        <v>66</v>
      </c>
      <c r="B2258" s="175" t="s">
        <v>3787</v>
      </c>
      <c r="C2258" s="187" t="s">
        <v>32</v>
      </c>
      <c r="D2258" s="173">
        <v>0.4</v>
      </c>
      <c r="E2258" s="204" t="s">
        <v>30</v>
      </c>
      <c r="F2258" s="176" t="s">
        <v>188</v>
      </c>
      <c r="G2258" s="181" t="s">
        <v>3789</v>
      </c>
      <c r="H2258" s="171"/>
    </row>
    <row r="2259" ht="14.25" spans="1:8">
      <c r="A2259" s="176">
        <v>67</v>
      </c>
      <c r="B2259" s="182" t="s">
        <v>3790</v>
      </c>
      <c r="C2259" s="187" t="s">
        <v>32</v>
      </c>
      <c r="D2259" s="173">
        <v>0.04</v>
      </c>
      <c r="E2259" s="204" t="s">
        <v>30</v>
      </c>
      <c r="F2259" s="176" t="s">
        <v>188</v>
      </c>
      <c r="G2259" s="181" t="s">
        <v>3791</v>
      </c>
      <c r="H2259" s="171"/>
    </row>
    <row r="2260" ht="14.25" spans="1:8">
      <c r="A2260" s="176">
        <v>68</v>
      </c>
      <c r="B2260" s="182" t="s">
        <v>3792</v>
      </c>
      <c r="C2260" s="187" t="s">
        <v>32</v>
      </c>
      <c r="D2260" s="173">
        <v>0.04</v>
      </c>
      <c r="E2260" s="204" t="s">
        <v>30</v>
      </c>
      <c r="F2260" s="176" t="s">
        <v>188</v>
      </c>
      <c r="G2260" s="181" t="s">
        <v>3793</v>
      </c>
      <c r="H2260" s="171" t="s">
        <v>672</v>
      </c>
    </row>
    <row r="2261" ht="14.25" spans="1:8">
      <c r="A2261" s="176">
        <v>69</v>
      </c>
      <c r="B2261" s="182" t="s">
        <v>3794</v>
      </c>
      <c r="C2261" s="187" t="s">
        <v>32</v>
      </c>
      <c r="D2261" s="173">
        <v>0.02</v>
      </c>
      <c r="E2261" s="204" t="s">
        <v>30</v>
      </c>
      <c r="F2261" s="176" t="s">
        <v>188</v>
      </c>
      <c r="G2261" s="181" t="s">
        <v>3795</v>
      </c>
      <c r="H2261" s="171" t="s">
        <v>672</v>
      </c>
    </row>
    <row r="2262" ht="14.25" spans="1:8">
      <c r="A2262" s="176">
        <v>70</v>
      </c>
      <c r="B2262" s="182" t="s">
        <v>3796</v>
      </c>
      <c r="C2262" s="187" t="s">
        <v>32</v>
      </c>
      <c r="D2262" s="173">
        <v>0.03</v>
      </c>
      <c r="E2262" s="204" t="s">
        <v>30</v>
      </c>
      <c r="F2262" s="176" t="s">
        <v>188</v>
      </c>
      <c r="G2262" s="181" t="s">
        <v>3797</v>
      </c>
      <c r="H2262" s="171"/>
    </row>
    <row r="2263" ht="14.25" spans="1:8">
      <c r="A2263" s="176">
        <v>71</v>
      </c>
      <c r="B2263" s="182" t="s">
        <v>3798</v>
      </c>
      <c r="C2263" s="187" t="s">
        <v>32</v>
      </c>
      <c r="D2263" s="173">
        <v>0.08</v>
      </c>
      <c r="E2263" s="204" t="s">
        <v>30</v>
      </c>
      <c r="F2263" s="176" t="s">
        <v>188</v>
      </c>
      <c r="G2263" s="181" t="s">
        <v>3799</v>
      </c>
      <c r="H2263" s="171"/>
    </row>
    <row r="2264" ht="14.25" spans="1:8">
      <c r="A2264" s="176">
        <v>72</v>
      </c>
      <c r="B2264" s="182" t="s">
        <v>3798</v>
      </c>
      <c r="C2264" s="187" t="s">
        <v>32</v>
      </c>
      <c r="D2264" s="173">
        <v>0.04</v>
      </c>
      <c r="E2264" s="204" t="s">
        <v>30</v>
      </c>
      <c r="F2264" s="176" t="s">
        <v>188</v>
      </c>
      <c r="G2264" s="181" t="s">
        <v>3800</v>
      </c>
      <c r="H2264" s="171"/>
    </row>
    <row r="2265" ht="14.25" spans="1:8">
      <c r="A2265" s="176">
        <v>73</v>
      </c>
      <c r="B2265" s="182" t="s">
        <v>3801</v>
      </c>
      <c r="C2265" s="187" t="s">
        <v>32</v>
      </c>
      <c r="D2265" s="173">
        <v>0.03</v>
      </c>
      <c r="E2265" s="204" t="s">
        <v>30</v>
      </c>
      <c r="F2265" s="176" t="s">
        <v>188</v>
      </c>
      <c r="G2265" s="181" t="s">
        <v>3802</v>
      </c>
      <c r="H2265" s="171"/>
    </row>
    <row r="2266" ht="14.25" spans="1:8">
      <c r="A2266" s="176">
        <v>74</v>
      </c>
      <c r="B2266" s="182" t="s">
        <v>3803</v>
      </c>
      <c r="C2266" s="187" t="s">
        <v>32</v>
      </c>
      <c r="D2266" s="173">
        <v>0.04</v>
      </c>
      <c r="E2266" s="204" t="s">
        <v>30</v>
      </c>
      <c r="F2266" s="176" t="s">
        <v>188</v>
      </c>
      <c r="G2266" s="181" t="s">
        <v>3804</v>
      </c>
      <c r="H2266" s="171"/>
    </row>
    <row r="2267" ht="14.25" spans="1:8">
      <c r="A2267" s="176">
        <v>75</v>
      </c>
      <c r="B2267" s="182" t="s">
        <v>3803</v>
      </c>
      <c r="C2267" s="187" t="s">
        <v>32</v>
      </c>
      <c r="D2267" s="173">
        <v>0.03</v>
      </c>
      <c r="E2267" s="204" t="s">
        <v>30</v>
      </c>
      <c r="F2267" s="176" t="s">
        <v>188</v>
      </c>
      <c r="G2267" s="181" t="s">
        <v>3805</v>
      </c>
      <c r="H2267" s="171"/>
    </row>
    <row r="2268" ht="14.25" spans="1:8">
      <c r="A2268" s="176">
        <v>76</v>
      </c>
      <c r="B2268" s="182" t="s">
        <v>3806</v>
      </c>
      <c r="C2268" s="187" t="s">
        <v>32</v>
      </c>
      <c r="D2268" s="173">
        <v>0.01</v>
      </c>
      <c r="E2268" s="204" t="s">
        <v>30</v>
      </c>
      <c r="F2268" s="176" t="s">
        <v>188</v>
      </c>
      <c r="G2268" s="181" t="s">
        <v>3807</v>
      </c>
      <c r="H2268" s="171"/>
    </row>
    <row r="2269" ht="14.25" spans="1:8">
      <c r="A2269" s="176">
        <v>77</v>
      </c>
      <c r="B2269" s="182" t="s">
        <v>3808</v>
      </c>
      <c r="C2269" s="187" t="s">
        <v>32</v>
      </c>
      <c r="D2269" s="173">
        <v>0.01</v>
      </c>
      <c r="E2269" s="204" t="s">
        <v>30</v>
      </c>
      <c r="F2269" s="176" t="s">
        <v>188</v>
      </c>
      <c r="G2269" s="181" t="s">
        <v>3809</v>
      </c>
      <c r="H2269" s="171"/>
    </row>
    <row r="2270" ht="14.25" spans="1:8">
      <c r="A2270" s="176">
        <v>78</v>
      </c>
      <c r="B2270" s="182" t="s">
        <v>3810</v>
      </c>
      <c r="C2270" s="187" t="s">
        <v>32</v>
      </c>
      <c r="D2270" s="173">
        <v>0.06</v>
      </c>
      <c r="E2270" s="204" t="s">
        <v>30</v>
      </c>
      <c r="F2270" s="176" t="s">
        <v>188</v>
      </c>
      <c r="G2270" s="181" t="s">
        <v>3811</v>
      </c>
      <c r="H2270" s="171"/>
    </row>
    <row r="2271" ht="14.25" spans="1:8">
      <c r="A2271" s="176">
        <v>79</v>
      </c>
      <c r="B2271" s="182" t="s">
        <v>3812</v>
      </c>
      <c r="C2271" s="187" t="s">
        <v>32</v>
      </c>
      <c r="D2271" s="173">
        <v>0.01</v>
      </c>
      <c r="E2271" s="204" t="s">
        <v>30</v>
      </c>
      <c r="F2271" s="176" t="s">
        <v>188</v>
      </c>
      <c r="G2271" s="181" t="s">
        <v>3813</v>
      </c>
      <c r="H2271" s="171"/>
    </row>
    <row r="2272" ht="25.5" spans="1:8">
      <c r="A2272" s="176">
        <v>80</v>
      </c>
      <c r="B2272" s="249" t="s">
        <v>3814</v>
      </c>
      <c r="C2272" s="187" t="s">
        <v>32</v>
      </c>
      <c r="D2272" s="173">
        <v>0.02</v>
      </c>
      <c r="E2272" s="204" t="s">
        <v>30</v>
      </c>
      <c r="F2272" s="176" t="s">
        <v>188</v>
      </c>
      <c r="G2272" s="181" t="s">
        <v>3815</v>
      </c>
      <c r="H2272" s="171" t="s">
        <v>1883</v>
      </c>
    </row>
    <row r="2273" ht="14.25" spans="1:8">
      <c r="A2273" s="176">
        <v>81</v>
      </c>
      <c r="B2273" s="249" t="s">
        <v>1446</v>
      </c>
      <c r="C2273" s="187" t="s">
        <v>32</v>
      </c>
      <c r="D2273" s="173">
        <v>0.01</v>
      </c>
      <c r="E2273" s="204" t="s">
        <v>30</v>
      </c>
      <c r="F2273" s="176" t="s">
        <v>188</v>
      </c>
      <c r="G2273" s="181" t="s">
        <v>3816</v>
      </c>
      <c r="H2273" s="171"/>
    </row>
    <row r="2274" ht="14.25" spans="1:8">
      <c r="A2274" s="176">
        <v>82</v>
      </c>
      <c r="B2274" s="249" t="s">
        <v>3817</v>
      </c>
      <c r="C2274" s="187" t="s">
        <v>32</v>
      </c>
      <c r="D2274" s="173">
        <v>0.1</v>
      </c>
      <c r="E2274" s="204" t="s">
        <v>30</v>
      </c>
      <c r="F2274" s="176" t="s">
        <v>188</v>
      </c>
      <c r="G2274" s="181" t="s">
        <v>3818</v>
      </c>
      <c r="H2274" s="171"/>
    </row>
    <row r="2275" ht="14.25" spans="1:8">
      <c r="A2275" s="176">
        <v>83</v>
      </c>
      <c r="B2275" s="249" t="s">
        <v>3819</v>
      </c>
      <c r="C2275" s="187" t="s">
        <v>32</v>
      </c>
      <c r="D2275" s="173">
        <v>0.02</v>
      </c>
      <c r="E2275" s="204" t="s">
        <v>30</v>
      </c>
      <c r="F2275" s="176" t="s">
        <v>188</v>
      </c>
      <c r="G2275" s="181" t="s">
        <v>3820</v>
      </c>
      <c r="H2275" s="171"/>
    </row>
    <row r="2276" ht="14.25" spans="1:8">
      <c r="A2276" s="176">
        <v>84</v>
      </c>
      <c r="B2276" s="249" t="s">
        <v>3821</v>
      </c>
      <c r="C2276" s="187" t="s">
        <v>32</v>
      </c>
      <c r="D2276" s="173">
        <v>0.03</v>
      </c>
      <c r="E2276" s="204" t="s">
        <v>30</v>
      </c>
      <c r="F2276" s="176" t="s">
        <v>188</v>
      </c>
      <c r="G2276" s="181" t="s">
        <v>3822</v>
      </c>
      <c r="H2276" s="171"/>
    </row>
    <row r="2277" ht="14.25" spans="1:8">
      <c r="A2277" s="176">
        <v>85</v>
      </c>
      <c r="B2277" s="249" t="s">
        <v>3823</v>
      </c>
      <c r="C2277" s="187" t="s">
        <v>32</v>
      </c>
      <c r="D2277" s="173">
        <v>0.03</v>
      </c>
      <c r="E2277" s="204" t="s">
        <v>30</v>
      </c>
      <c r="F2277" s="176" t="s">
        <v>188</v>
      </c>
      <c r="G2277" s="181" t="s">
        <v>3674</v>
      </c>
      <c r="H2277" s="171"/>
    </row>
    <row r="2278" ht="14.25" spans="1:8">
      <c r="A2278" s="176">
        <v>86</v>
      </c>
      <c r="B2278" s="249" t="s">
        <v>3824</v>
      </c>
      <c r="C2278" s="187" t="s">
        <v>32</v>
      </c>
      <c r="D2278" s="173">
        <v>0.03</v>
      </c>
      <c r="E2278" s="204" t="s">
        <v>30</v>
      </c>
      <c r="F2278" s="176" t="s">
        <v>188</v>
      </c>
      <c r="G2278" s="181" t="s">
        <v>3680</v>
      </c>
      <c r="H2278" s="171"/>
    </row>
    <row r="2279" ht="14.25" spans="1:8">
      <c r="A2279" s="176">
        <v>87</v>
      </c>
      <c r="B2279" s="175" t="s">
        <v>3722</v>
      </c>
      <c r="C2279" s="187" t="s">
        <v>32</v>
      </c>
      <c r="D2279" s="173">
        <v>0.03</v>
      </c>
      <c r="E2279" s="204" t="s">
        <v>30</v>
      </c>
      <c r="F2279" s="176" t="s">
        <v>188</v>
      </c>
      <c r="G2279" s="181" t="s">
        <v>3825</v>
      </c>
      <c r="H2279" s="171"/>
    </row>
    <row r="2280" ht="14.25" spans="1:8">
      <c r="A2280" s="176">
        <v>88</v>
      </c>
      <c r="B2280" s="175" t="s">
        <v>822</v>
      </c>
      <c r="C2280" s="187" t="s">
        <v>32</v>
      </c>
      <c r="D2280" s="173">
        <v>0.09</v>
      </c>
      <c r="E2280" s="204" t="s">
        <v>30</v>
      </c>
      <c r="F2280" s="176" t="s">
        <v>188</v>
      </c>
      <c r="G2280" s="181" t="s">
        <v>3826</v>
      </c>
      <c r="H2280" s="171"/>
    </row>
    <row r="2281" ht="14.25" spans="1:8">
      <c r="A2281" s="176">
        <v>89</v>
      </c>
      <c r="B2281" s="175" t="s">
        <v>822</v>
      </c>
      <c r="C2281" s="187" t="s">
        <v>32</v>
      </c>
      <c r="D2281" s="173">
        <v>0.05</v>
      </c>
      <c r="E2281" s="204" t="s">
        <v>30</v>
      </c>
      <c r="F2281" s="176" t="s">
        <v>188</v>
      </c>
      <c r="G2281" s="181" t="s">
        <v>3827</v>
      </c>
      <c r="H2281" s="171"/>
    </row>
    <row r="2282" ht="14.25" spans="1:8">
      <c r="A2282" s="176">
        <v>90</v>
      </c>
      <c r="B2282" s="175" t="s">
        <v>3817</v>
      </c>
      <c r="C2282" s="187" t="s">
        <v>32</v>
      </c>
      <c r="D2282" s="173">
        <v>0.1</v>
      </c>
      <c r="E2282" s="204" t="s">
        <v>30</v>
      </c>
      <c r="F2282" s="176" t="s">
        <v>188</v>
      </c>
      <c r="G2282" s="181" t="s">
        <v>3004</v>
      </c>
      <c r="H2282" s="171"/>
    </row>
    <row r="2283" ht="14.25" spans="1:8">
      <c r="A2283" s="176">
        <v>91</v>
      </c>
      <c r="B2283" s="175" t="s">
        <v>3828</v>
      </c>
      <c r="C2283" s="187" t="s">
        <v>32</v>
      </c>
      <c r="D2283" s="173">
        <v>0.04</v>
      </c>
      <c r="E2283" s="204" t="s">
        <v>30</v>
      </c>
      <c r="F2283" s="176" t="s">
        <v>188</v>
      </c>
      <c r="G2283" s="181" t="s">
        <v>3829</v>
      </c>
      <c r="H2283" s="171" t="s">
        <v>672</v>
      </c>
    </row>
    <row r="2284" ht="14.25" spans="1:8">
      <c r="A2284" s="176">
        <v>92</v>
      </c>
      <c r="B2284" s="175" t="s">
        <v>3828</v>
      </c>
      <c r="C2284" s="187" t="s">
        <v>32</v>
      </c>
      <c r="D2284" s="173">
        <v>0.04</v>
      </c>
      <c r="E2284" s="204" t="s">
        <v>30</v>
      </c>
      <c r="F2284" s="176" t="s">
        <v>188</v>
      </c>
      <c r="G2284" s="181" t="s">
        <v>3830</v>
      </c>
      <c r="H2284" s="171" t="s">
        <v>672</v>
      </c>
    </row>
    <row r="2285" ht="14.25" spans="1:8">
      <c r="A2285" s="176">
        <v>93</v>
      </c>
      <c r="B2285" s="175" t="s">
        <v>3828</v>
      </c>
      <c r="C2285" s="187" t="s">
        <v>32</v>
      </c>
      <c r="D2285" s="173">
        <v>0.04</v>
      </c>
      <c r="E2285" s="204" t="s">
        <v>30</v>
      </c>
      <c r="F2285" s="176" t="s">
        <v>188</v>
      </c>
      <c r="G2285" s="181" t="s">
        <v>3831</v>
      </c>
      <c r="H2285" s="171" t="s">
        <v>672</v>
      </c>
    </row>
    <row r="2286" ht="14.25" spans="1:8">
      <c r="A2286" s="176">
        <v>94</v>
      </c>
      <c r="B2286" s="175" t="s">
        <v>3832</v>
      </c>
      <c r="C2286" s="187" t="s">
        <v>32</v>
      </c>
      <c r="D2286" s="173">
        <v>0.08</v>
      </c>
      <c r="E2286" s="204" t="s">
        <v>30</v>
      </c>
      <c r="F2286" s="176" t="s">
        <v>188</v>
      </c>
      <c r="G2286" s="181" t="s">
        <v>3833</v>
      </c>
      <c r="H2286" s="171"/>
    </row>
    <row r="2287" ht="14.25" spans="1:8">
      <c r="A2287" s="176">
        <v>95</v>
      </c>
      <c r="B2287" s="175" t="s">
        <v>3834</v>
      </c>
      <c r="C2287" s="187" t="s">
        <v>32</v>
      </c>
      <c r="D2287" s="173">
        <v>0.09</v>
      </c>
      <c r="E2287" s="204" t="s">
        <v>30</v>
      </c>
      <c r="F2287" s="176" t="s">
        <v>188</v>
      </c>
      <c r="G2287" s="181" t="s">
        <v>3835</v>
      </c>
      <c r="H2287" s="171" t="s">
        <v>672</v>
      </c>
    </row>
    <row r="2288" ht="14.25" spans="1:8">
      <c r="A2288" s="176">
        <v>96</v>
      </c>
      <c r="B2288" s="175" t="s">
        <v>3836</v>
      </c>
      <c r="C2288" s="187" t="s">
        <v>32</v>
      </c>
      <c r="D2288" s="173">
        <v>0.2</v>
      </c>
      <c r="E2288" s="204" t="s">
        <v>30</v>
      </c>
      <c r="F2288" s="176" t="s">
        <v>188</v>
      </c>
      <c r="G2288" s="181" t="s">
        <v>3837</v>
      </c>
      <c r="H2288" s="171"/>
    </row>
    <row r="2289" ht="14.25" spans="1:8">
      <c r="A2289" s="176">
        <v>97</v>
      </c>
      <c r="B2289" s="175" t="s">
        <v>2742</v>
      </c>
      <c r="C2289" s="187" t="s">
        <v>32</v>
      </c>
      <c r="D2289" s="173">
        <v>0.04</v>
      </c>
      <c r="E2289" s="204" t="s">
        <v>30</v>
      </c>
      <c r="F2289" s="176" t="s">
        <v>188</v>
      </c>
      <c r="G2289" s="189" t="s">
        <v>3838</v>
      </c>
      <c r="H2289" s="171"/>
    </row>
    <row r="2290" ht="14.25" spans="1:8">
      <c r="A2290" s="176">
        <v>98</v>
      </c>
      <c r="B2290" s="175" t="s">
        <v>2742</v>
      </c>
      <c r="C2290" s="187" t="s">
        <v>32</v>
      </c>
      <c r="D2290" s="173">
        <v>0.04</v>
      </c>
      <c r="E2290" s="204" t="s">
        <v>30</v>
      </c>
      <c r="F2290" s="176" t="s">
        <v>188</v>
      </c>
      <c r="G2290" s="189" t="s">
        <v>3839</v>
      </c>
      <c r="H2290" s="171"/>
    </row>
    <row r="2291" ht="14.25" spans="1:8">
      <c r="A2291" s="176">
        <v>99</v>
      </c>
      <c r="B2291" s="175" t="s">
        <v>2742</v>
      </c>
      <c r="C2291" s="187" t="s">
        <v>32</v>
      </c>
      <c r="D2291" s="173">
        <v>0.04</v>
      </c>
      <c r="E2291" s="204" t="s">
        <v>30</v>
      </c>
      <c r="F2291" s="176" t="s">
        <v>188</v>
      </c>
      <c r="G2291" s="189" t="s">
        <v>3840</v>
      </c>
      <c r="H2291" s="171"/>
    </row>
    <row r="2292" ht="14.25" spans="1:8">
      <c r="A2292" s="176">
        <v>100</v>
      </c>
      <c r="B2292" s="175" t="s">
        <v>3841</v>
      </c>
      <c r="C2292" s="187" t="s">
        <v>32</v>
      </c>
      <c r="D2292" s="173">
        <v>0.05</v>
      </c>
      <c r="E2292" s="204" t="s">
        <v>30</v>
      </c>
      <c r="F2292" s="176" t="s">
        <v>188</v>
      </c>
      <c r="G2292" s="189" t="s">
        <v>3842</v>
      </c>
      <c r="H2292" s="171"/>
    </row>
    <row r="2293" ht="14.25" spans="1:8">
      <c r="A2293" s="176">
        <v>101</v>
      </c>
      <c r="B2293" s="175" t="s">
        <v>3841</v>
      </c>
      <c r="C2293" s="187" t="s">
        <v>32</v>
      </c>
      <c r="D2293" s="173">
        <v>0.05</v>
      </c>
      <c r="E2293" s="204" t="s">
        <v>30</v>
      </c>
      <c r="F2293" s="176" t="s">
        <v>188</v>
      </c>
      <c r="G2293" s="189" t="s">
        <v>3843</v>
      </c>
      <c r="H2293" s="171"/>
    </row>
    <row r="2294" ht="14.25" spans="1:8">
      <c r="A2294" s="176">
        <v>102</v>
      </c>
      <c r="B2294" s="175" t="s">
        <v>3841</v>
      </c>
      <c r="C2294" s="187" t="s">
        <v>32</v>
      </c>
      <c r="D2294" s="173">
        <v>0.05</v>
      </c>
      <c r="E2294" s="204" t="s">
        <v>30</v>
      </c>
      <c r="F2294" s="176" t="s">
        <v>188</v>
      </c>
      <c r="G2294" s="189" t="s">
        <v>3844</v>
      </c>
      <c r="H2294" s="171"/>
    </row>
    <row r="2295" ht="14.25" spans="1:8">
      <c r="A2295" s="176">
        <v>103</v>
      </c>
      <c r="B2295" s="175" t="s">
        <v>3841</v>
      </c>
      <c r="C2295" s="187" t="s">
        <v>32</v>
      </c>
      <c r="D2295" s="173">
        <v>0.15</v>
      </c>
      <c r="E2295" s="204" t="s">
        <v>30</v>
      </c>
      <c r="F2295" s="176" t="s">
        <v>188</v>
      </c>
      <c r="G2295" s="189" t="s">
        <v>3845</v>
      </c>
      <c r="H2295" s="171"/>
    </row>
    <row r="2296" ht="14.25" spans="1:8">
      <c r="A2296" s="176">
        <v>104</v>
      </c>
      <c r="B2296" s="175" t="s">
        <v>3841</v>
      </c>
      <c r="C2296" s="187" t="s">
        <v>32</v>
      </c>
      <c r="D2296" s="173">
        <v>0.2</v>
      </c>
      <c r="E2296" s="204" t="s">
        <v>30</v>
      </c>
      <c r="F2296" s="176" t="s">
        <v>188</v>
      </c>
      <c r="G2296" s="189" t="s">
        <v>3846</v>
      </c>
      <c r="H2296" s="171"/>
    </row>
    <row r="2297" ht="14.25" spans="1:8">
      <c r="A2297" s="176">
        <v>105</v>
      </c>
      <c r="B2297" s="175" t="s">
        <v>3847</v>
      </c>
      <c r="C2297" s="187" t="s">
        <v>32</v>
      </c>
      <c r="D2297" s="173">
        <v>0.17</v>
      </c>
      <c r="E2297" s="204" t="s">
        <v>30</v>
      </c>
      <c r="F2297" s="176" t="s">
        <v>188</v>
      </c>
      <c r="G2297" s="189" t="s">
        <v>3848</v>
      </c>
      <c r="H2297" s="171"/>
    </row>
    <row r="2298" ht="14.25" spans="1:8">
      <c r="A2298" s="176">
        <v>106</v>
      </c>
      <c r="B2298" s="175" t="s">
        <v>3849</v>
      </c>
      <c r="C2298" s="187" t="s">
        <v>32</v>
      </c>
      <c r="D2298" s="173">
        <v>0.06</v>
      </c>
      <c r="E2298" s="204" t="s">
        <v>30</v>
      </c>
      <c r="F2298" s="176" t="s">
        <v>188</v>
      </c>
      <c r="G2298" s="189" t="s">
        <v>3850</v>
      </c>
      <c r="H2298" s="171"/>
    </row>
    <row r="2299" ht="14.25" spans="1:8">
      <c r="A2299" s="176">
        <v>107</v>
      </c>
      <c r="B2299" s="175" t="s">
        <v>2938</v>
      </c>
      <c r="C2299" s="187" t="s">
        <v>32</v>
      </c>
      <c r="D2299" s="173">
        <v>0.06</v>
      </c>
      <c r="E2299" s="204" t="s">
        <v>30</v>
      </c>
      <c r="F2299" s="176" t="s">
        <v>188</v>
      </c>
      <c r="G2299" s="189" t="s">
        <v>3851</v>
      </c>
      <c r="H2299" s="171"/>
    </row>
    <row r="2300" ht="14.25" spans="1:8">
      <c r="A2300" s="176">
        <v>108</v>
      </c>
      <c r="B2300" s="175" t="s">
        <v>3852</v>
      </c>
      <c r="C2300" s="187" t="s">
        <v>32</v>
      </c>
      <c r="D2300" s="173">
        <v>0.08</v>
      </c>
      <c r="E2300" s="204" t="s">
        <v>30</v>
      </c>
      <c r="F2300" s="176" t="s">
        <v>188</v>
      </c>
      <c r="G2300" s="189" t="s">
        <v>3853</v>
      </c>
      <c r="H2300" s="171"/>
    </row>
    <row r="2301" ht="14.25" spans="1:8">
      <c r="A2301" s="176">
        <v>109</v>
      </c>
      <c r="B2301" s="175" t="s">
        <v>554</v>
      </c>
      <c r="C2301" s="187" t="s">
        <v>32</v>
      </c>
      <c r="D2301" s="173">
        <v>0.15</v>
      </c>
      <c r="E2301" s="204" t="s">
        <v>30</v>
      </c>
      <c r="F2301" s="176" t="s">
        <v>188</v>
      </c>
      <c r="G2301" s="189" t="s">
        <v>3799</v>
      </c>
      <c r="H2301" s="171" t="s">
        <v>672</v>
      </c>
    </row>
    <row r="2302" ht="25.5" spans="1:8">
      <c r="A2302" s="176">
        <v>110</v>
      </c>
      <c r="B2302" s="175" t="s">
        <v>3854</v>
      </c>
      <c r="C2302" s="187" t="s">
        <v>32</v>
      </c>
      <c r="D2302" s="173">
        <v>0.3</v>
      </c>
      <c r="E2302" s="204" t="s">
        <v>30</v>
      </c>
      <c r="F2302" s="176" t="s">
        <v>188</v>
      </c>
      <c r="G2302" s="189" t="s">
        <v>3855</v>
      </c>
      <c r="H2302" s="171" t="s">
        <v>3856</v>
      </c>
    </row>
    <row r="2303" ht="14.25" spans="1:8">
      <c r="A2303" s="176">
        <v>111</v>
      </c>
      <c r="B2303" s="175" t="s">
        <v>3857</v>
      </c>
      <c r="C2303" s="187" t="s">
        <v>32</v>
      </c>
      <c r="D2303" s="173">
        <v>0.07</v>
      </c>
      <c r="E2303" s="204" t="s">
        <v>30</v>
      </c>
      <c r="F2303" s="176" t="s">
        <v>188</v>
      </c>
      <c r="G2303" s="189" t="s">
        <v>3858</v>
      </c>
      <c r="H2303" s="171"/>
    </row>
    <row r="2304" ht="14.25" spans="1:8">
      <c r="A2304" s="176">
        <v>112</v>
      </c>
      <c r="B2304" s="175" t="s">
        <v>3859</v>
      </c>
      <c r="C2304" s="187" t="s">
        <v>32</v>
      </c>
      <c r="D2304" s="173">
        <v>0.02</v>
      </c>
      <c r="E2304" s="204" t="s">
        <v>30</v>
      </c>
      <c r="F2304" s="176" t="s">
        <v>188</v>
      </c>
      <c r="G2304" s="189" t="s">
        <v>3860</v>
      </c>
      <c r="H2304" s="171"/>
    </row>
    <row r="2305" ht="14.25" spans="1:8">
      <c r="A2305" s="176">
        <v>113</v>
      </c>
      <c r="B2305" s="175" t="s">
        <v>3861</v>
      </c>
      <c r="C2305" s="187" t="s">
        <v>32</v>
      </c>
      <c r="D2305" s="173">
        <v>0.01</v>
      </c>
      <c r="E2305" s="204" t="s">
        <v>30</v>
      </c>
      <c r="F2305" s="176" t="s">
        <v>188</v>
      </c>
      <c r="G2305" s="189" t="s">
        <v>3862</v>
      </c>
      <c r="H2305" s="171"/>
    </row>
    <row r="2306" ht="14.25" spans="1:8">
      <c r="A2306" s="176">
        <v>114</v>
      </c>
      <c r="B2306" s="175" t="s">
        <v>3863</v>
      </c>
      <c r="C2306" s="187" t="s">
        <v>32</v>
      </c>
      <c r="D2306" s="173">
        <v>0.16</v>
      </c>
      <c r="E2306" s="204" t="s">
        <v>30</v>
      </c>
      <c r="F2306" s="176" t="s">
        <v>188</v>
      </c>
      <c r="G2306" s="189" t="s">
        <v>3864</v>
      </c>
      <c r="H2306" s="171"/>
    </row>
    <row r="2307" ht="14.25" spans="1:8">
      <c r="A2307" s="176">
        <v>115</v>
      </c>
      <c r="B2307" s="175" t="s">
        <v>565</v>
      </c>
      <c r="C2307" s="187" t="s">
        <v>32</v>
      </c>
      <c r="D2307" s="173">
        <v>0.15</v>
      </c>
      <c r="E2307" s="204" t="s">
        <v>30</v>
      </c>
      <c r="F2307" s="176" t="s">
        <v>188</v>
      </c>
      <c r="G2307" s="189" t="s">
        <v>3865</v>
      </c>
      <c r="H2307" s="171" t="s">
        <v>672</v>
      </c>
    </row>
    <row r="2308" ht="14.25" spans="1:8">
      <c r="A2308" s="176">
        <v>116</v>
      </c>
      <c r="B2308" s="175" t="s">
        <v>3866</v>
      </c>
      <c r="C2308" s="187" t="s">
        <v>32</v>
      </c>
      <c r="D2308" s="173">
        <v>0.01</v>
      </c>
      <c r="E2308" s="204" t="s">
        <v>30</v>
      </c>
      <c r="F2308" s="176" t="s">
        <v>188</v>
      </c>
      <c r="G2308" s="189" t="s">
        <v>3867</v>
      </c>
      <c r="H2308" s="171"/>
    </row>
    <row r="2309" ht="14.25" spans="1:8">
      <c r="A2309" s="176">
        <v>117</v>
      </c>
      <c r="B2309" s="175" t="s">
        <v>3868</v>
      </c>
      <c r="C2309" s="187" t="s">
        <v>32</v>
      </c>
      <c r="D2309" s="173">
        <v>0.01</v>
      </c>
      <c r="E2309" s="204" t="s">
        <v>30</v>
      </c>
      <c r="F2309" s="176" t="s">
        <v>188</v>
      </c>
      <c r="G2309" s="189" t="s">
        <v>3869</v>
      </c>
      <c r="H2309" s="171"/>
    </row>
    <row r="2310" ht="14.25" spans="1:8">
      <c r="A2310" s="176">
        <v>118</v>
      </c>
      <c r="B2310" s="175" t="s">
        <v>3870</v>
      </c>
      <c r="C2310" s="187" t="s">
        <v>32</v>
      </c>
      <c r="D2310" s="173">
        <v>0.04</v>
      </c>
      <c r="E2310" s="204" t="s">
        <v>30</v>
      </c>
      <c r="F2310" s="176" t="s">
        <v>188</v>
      </c>
      <c r="G2310" s="189" t="s">
        <v>3871</v>
      </c>
      <c r="H2310" s="171"/>
    </row>
    <row r="2311" ht="14.25" spans="1:8">
      <c r="A2311" s="176">
        <v>119</v>
      </c>
      <c r="B2311" s="175" t="s">
        <v>3872</v>
      </c>
      <c r="C2311" s="187" t="s">
        <v>32</v>
      </c>
      <c r="D2311" s="173">
        <v>0.02</v>
      </c>
      <c r="E2311" s="204" t="s">
        <v>30</v>
      </c>
      <c r="F2311" s="176" t="s">
        <v>188</v>
      </c>
      <c r="G2311" s="189" t="s">
        <v>3873</v>
      </c>
      <c r="H2311" s="171"/>
    </row>
    <row r="2312" ht="14.25" spans="1:8">
      <c r="A2312" s="176">
        <v>120</v>
      </c>
      <c r="B2312" s="175" t="s">
        <v>3874</v>
      </c>
      <c r="C2312" s="187" t="s">
        <v>32</v>
      </c>
      <c r="D2312" s="173">
        <v>0.01</v>
      </c>
      <c r="E2312" s="204" t="s">
        <v>30</v>
      </c>
      <c r="F2312" s="176" t="s">
        <v>188</v>
      </c>
      <c r="G2312" s="189" t="s">
        <v>3875</v>
      </c>
      <c r="H2312" s="171"/>
    </row>
    <row r="2313" ht="14.25" spans="1:8">
      <c r="A2313" s="176">
        <v>121</v>
      </c>
      <c r="B2313" s="175" t="s">
        <v>3876</v>
      </c>
      <c r="C2313" s="187" t="s">
        <v>32</v>
      </c>
      <c r="D2313" s="173">
        <v>0.02</v>
      </c>
      <c r="E2313" s="204" t="s">
        <v>30</v>
      </c>
      <c r="F2313" s="176" t="s">
        <v>188</v>
      </c>
      <c r="G2313" s="189" t="s">
        <v>3877</v>
      </c>
      <c r="H2313" s="171"/>
    </row>
    <row r="2314" ht="14.25" spans="1:8">
      <c r="A2314" s="176">
        <v>122</v>
      </c>
      <c r="B2314" s="175" t="s">
        <v>3878</v>
      </c>
      <c r="C2314" s="187" t="s">
        <v>32</v>
      </c>
      <c r="D2314" s="173">
        <v>0.01</v>
      </c>
      <c r="E2314" s="204" t="s">
        <v>30</v>
      </c>
      <c r="F2314" s="176" t="s">
        <v>188</v>
      </c>
      <c r="G2314" s="189" t="s">
        <v>3879</v>
      </c>
      <c r="H2314" s="171"/>
    </row>
    <row r="2315" ht="14.25" spans="1:8">
      <c r="A2315" s="176">
        <v>123</v>
      </c>
      <c r="B2315" s="175" t="s">
        <v>3880</v>
      </c>
      <c r="C2315" s="187" t="s">
        <v>32</v>
      </c>
      <c r="D2315" s="173">
        <v>0.02</v>
      </c>
      <c r="E2315" s="204" t="s">
        <v>30</v>
      </c>
      <c r="F2315" s="176" t="s">
        <v>188</v>
      </c>
      <c r="G2315" s="189" t="s">
        <v>3881</v>
      </c>
      <c r="H2315" s="171"/>
    </row>
    <row r="2316" ht="14.25" spans="1:8">
      <c r="A2316" s="176">
        <v>124</v>
      </c>
      <c r="B2316" s="175" t="s">
        <v>3882</v>
      </c>
      <c r="C2316" s="187" t="s">
        <v>32</v>
      </c>
      <c r="D2316" s="173">
        <v>0.02</v>
      </c>
      <c r="E2316" s="204" t="s">
        <v>30</v>
      </c>
      <c r="F2316" s="176" t="s">
        <v>188</v>
      </c>
      <c r="G2316" s="189" t="s">
        <v>3883</v>
      </c>
      <c r="H2316" s="171"/>
    </row>
    <row r="2317" ht="14.25" spans="1:8">
      <c r="A2317" s="176">
        <v>125</v>
      </c>
      <c r="B2317" s="175" t="s">
        <v>3884</v>
      </c>
      <c r="C2317" s="187" t="s">
        <v>32</v>
      </c>
      <c r="D2317" s="173">
        <v>0.05</v>
      </c>
      <c r="E2317" s="204" t="s">
        <v>30</v>
      </c>
      <c r="F2317" s="176" t="s">
        <v>188</v>
      </c>
      <c r="G2317" s="189" t="s">
        <v>3885</v>
      </c>
      <c r="H2317" s="171"/>
    </row>
    <row r="2318" ht="14.25" spans="1:8">
      <c r="A2318" s="176">
        <v>126</v>
      </c>
      <c r="B2318" s="182" t="s">
        <v>3886</v>
      </c>
      <c r="C2318" s="187" t="s">
        <v>32</v>
      </c>
      <c r="D2318" s="173">
        <v>0.04</v>
      </c>
      <c r="E2318" s="204" t="s">
        <v>30</v>
      </c>
      <c r="F2318" s="176" t="s">
        <v>188</v>
      </c>
      <c r="G2318" s="189" t="s">
        <v>3887</v>
      </c>
      <c r="H2318" s="171"/>
    </row>
    <row r="2319" ht="14.25" spans="1:8">
      <c r="A2319" s="176">
        <v>127</v>
      </c>
      <c r="B2319" s="182" t="s">
        <v>3888</v>
      </c>
      <c r="C2319" s="187" t="s">
        <v>32</v>
      </c>
      <c r="D2319" s="173">
        <v>0.08</v>
      </c>
      <c r="E2319" s="204" t="s">
        <v>30</v>
      </c>
      <c r="F2319" s="176" t="s">
        <v>188</v>
      </c>
      <c r="G2319" s="189" t="s">
        <v>3889</v>
      </c>
      <c r="H2319" s="171"/>
    </row>
    <row r="2320" ht="14.25" spans="1:8">
      <c r="A2320" s="176">
        <v>128</v>
      </c>
      <c r="B2320" s="182" t="s">
        <v>3890</v>
      </c>
      <c r="C2320" s="187" t="s">
        <v>32</v>
      </c>
      <c r="D2320" s="173">
        <v>0.05</v>
      </c>
      <c r="E2320" s="204" t="s">
        <v>30</v>
      </c>
      <c r="F2320" s="176" t="s">
        <v>188</v>
      </c>
      <c r="G2320" s="189" t="s">
        <v>3891</v>
      </c>
      <c r="H2320" s="171"/>
    </row>
    <row r="2321" ht="14.25" spans="1:8">
      <c r="A2321" s="176">
        <v>129</v>
      </c>
      <c r="B2321" s="182" t="s">
        <v>3892</v>
      </c>
      <c r="C2321" s="187" t="s">
        <v>32</v>
      </c>
      <c r="D2321" s="173">
        <v>0.02</v>
      </c>
      <c r="E2321" s="204" t="s">
        <v>30</v>
      </c>
      <c r="F2321" s="176" t="s">
        <v>188</v>
      </c>
      <c r="G2321" s="189" t="s">
        <v>3883</v>
      </c>
      <c r="H2321" s="171"/>
    </row>
    <row r="2322" ht="14.25" spans="1:8">
      <c r="A2322" s="176">
        <v>130</v>
      </c>
      <c r="B2322" s="182" t="s">
        <v>3893</v>
      </c>
      <c r="C2322" s="187" t="s">
        <v>32</v>
      </c>
      <c r="D2322" s="173">
        <v>0.16</v>
      </c>
      <c r="E2322" s="204" t="s">
        <v>30</v>
      </c>
      <c r="F2322" s="176" t="s">
        <v>188</v>
      </c>
      <c r="G2322" s="189" t="s">
        <v>3894</v>
      </c>
      <c r="H2322" s="171" t="s">
        <v>672</v>
      </c>
    </row>
    <row r="2323" ht="14.25" spans="1:8">
      <c r="A2323" s="176">
        <v>131</v>
      </c>
      <c r="B2323" s="182" t="s">
        <v>1463</v>
      </c>
      <c r="C2323" s="187" t="s">
        <v>32</v>
      </c>
      <c r="D2323" s="173">
        <v>0.06</v>
      </c>
      <c r="E2323" s="204" t="s">
        <v>30</v>
      </c>
      <c r="F2323" s="176" t="s">
        <v>188</v>
      </c>
      <c r="G2323" s="189" t="s">
        <v>3895</v>
      </c>
      <c r="H2323" s="171"/>
    </row>
    <row r="2324" ht="14.25" spans="1:8">
      <c r="A2324" s="176">
        <v>132</v>
      </c>
      <c r="B2324" s="182" t="s">
        <v>3896</v>
      </c>
      <c r="C2324" s="187" t="s">
        <v>32</v>
      </c>
      <c r="D2324" s="173">
        <v>0.25</v>
      </c>
      <c r="E2324" s="204" t="s">
        <v>30</v>
      </c>
      <c r="F2324" s="176" t="s">
        <v>188</v>
      </c>
      <c r="G2324" s="189" t="s">
        <v>3897</v>
      </c>
      <c r="H2324" s="171"/>
    </row>
    <row r="2325" ht="14.25" spans="1:8">
      <c r="A2325" s="176">
        <v>133</v>
      </c>
      <c r="B2325" s="182" t="s">
        <v>3898</v>
      </c>
      <c r="C2325" s="187" t="s">
        <v>32</v>
      </c>
      <c r="D2325" s="173">
        <v>0.04</v>
      </c>
      <c r="E2325" s="204" t="s">
        <v>30</v>
      </c>
      <c r="F2325" s="176" t="s">
        <v>188</v>
      </c>
      <c r="G2325" s="189" t="s">
        <v>3899</v>
      </c>
      <c r="H2325" s="171"/>
    </row>
    <row r="2326" ht="14.25" spans="1:8">
      <c r="A2326" s="176">
        <v>134</v>
      </c>
      <c r="B2326" s="182" t="s">
        <v>3900</v>
      </c>
      <c r="C2326" s="187" t="s">
        <v>32</v>
      </c>
      <c r="D2326" s="173">
        <v>0.02</v>
      </c>
      <c r="E2326" s="204" t="s">
        <v>30</v>
      </c>
      <c r="F2326" s="176" t="s">
        <v>188</v>
      </c>
      <c r="G2326" s="189" t="s">
        <v>3901</v>
      </c>
      <c r="H2326" s="171"/>
    </row>
    <row r="2327" ht="14.25" spans="1:8">
      <c r="A2327" s="176">
        <v>135</v>
      </c>
      <c r="B2327" s="182" t="s">
        <v>3900</v>
      </c>
      <c r="C2327" s="187" t="s">
        <v>32</v>
      </c>
      <c r="D2327" s="173">
        <v>0.02</v>
      </c>
      <c r="E2327" s="204" t="s">
        <v>30</v>
      </c>
      <c r="F2327" s="176" t="s">
        <v>188</v>
      </c>
      <c r="G2327" s="189" t="s">
        <v>3902</v>
      </c>
      <c r="H2327" s="171"/>
    </row>
    <row r="2328" ht="14.25" spans="1:8">
      <c r="A2328" s="176">
        <v>136</v>
      </c>
      <c r="B2328" s="182" t="s">
        <v>1099</v>
      </c>
      <c r="C2328" s="187" t="s">
        <v>32</v>
      </c>
      <c r="D2328" s="173">
        <v>0.11</v>
      </c>
      <c r="E2328" s="204" t="s">
        <v>30</v>
      </c>
      <c r="F2328" s="176" t="s">
        <v>265</v>
      </c>
      <c r="G2328" s="189" t="s">
        <v>3903</v>
      </c>
      <c r="H2328" s="171"/>
    </row>
    <row r="2329" ht="14.25" spans="1:8">
      <c r="A2329" s="176">
        <v>137</v>
      </c>
      <c r="B2329" s="249" t="s">
        <v>3904</v>
      </c>
      <c r="C2329" s="187" t="s">
        <v>32</v>
      </c>
      <c r="D2329" s="173">
        <v>0.02</v>
      </c>
      <c r="E2329" s="204" t="s">
        <v>30</v>
      </c>
      <c r="F2329" s="176" t="s">
        <v>188</v>
      </c>
      <c r="G2329" s="189" t="s">
        <v>3905</v>
      </c>
      <c r="H2329" s="171"/>
    </row>
    <row r="2330" ht="14.25" spans="1:8">
      <c r="A2330" s="176">
        <v>138</v>
      </c>
      <c r="B2330" s="249" t="s">
        <v>3906</v>
      </c>
      <c r="C2330" s="187" t="s">
        <v>32</v>
      </c>
      <c r="D2330" s="173">
        <v>0.02</v>
      </c>
      <c r="E2330" s="204" t="s">
        <v>30</v>
      </c>
      <c r="F2330" s="176" t="s">
        <v>188</v>
      </c>
      <c r="G2330" s="189" t="s">
        <v>3907</v>
      </c>
      <c r="H2330" s="171"/>
    </row>
    <row r="2331" ht="14.25" spans="1:8">
      <c r="A2331" s="176">
        <v>139</v>
      </c>
      <c r="B2331" s="249" t="s">
        <v>3906</v>
      </c>
      <c r="C2331" s="187" t="s">
        <v>32</v>
      </c>
      <c r="D2331" s="173">
        <v>0.1</v>
      </c>
      <c r="E2331" s="204" t="s">
        <v>30</v>
      </c>
      <c r="F2331" s="176" t="s">
        <v>188</v>
      </c>
      <c r="G2331" s="189" t="s">
        <v>3908</v>
      </c>
      <c r="H2331" s="171"/>
    </row>
    <row r="2332" ht="14.25" spans="1:8">
      <c r="A2332" s="176">
        <v>140</v>
      </c>
      <c r="B2332" s="249" t="s">
        <v>3909</v>
      </c>
      <c r="C2332" s="187" t="s">
        <v>32</v>
      </c>
      <c r="D2332" s="173">
        <v>0.02</v>
      </c>
      <c r="E2332" s="204" t="s">
        <v>30</v>
      </c>
      <c r="F2332" s="176" t="s">
        <v>188</v>
      </c>
      <c r="G2332" s="189" t="s">
        <v>3910</v>
      </c>
      <c r="H2332" s="171"/>
    </row>
    <row r="2333" ht="14.25" spans="1:8">
      <c r="A2333" s="176">
        <v>141</v>
      </c>
      <c r="B2333" s="249" t="s">
        <v>3240</v>
      </c>
      <c r="C2333" s="187" t="s">
        <v>32</v>
      </c>
      <c r="D2333" s="173">
        <v>0.08</v>
      </c>
      <c r="E2333" s="204" t="s">
        <v>30</v>
      </c>
      <c r="F2333" s="176" t="s">
        <v>188</v>
      </c>
      <c r="G2333" s="189" t="s">
        <v>3911</v>
      </c>
      <c r="H2333" s="171"/>
    </row>
    <row r="2334" ht="14.25" spans="1:8">
      <c r="A2334" s="176">
        <v>142</v>
      </c>
      <c r="B2334" s="249" t="s">
        <v>3912</v>
      </c>
      <c r="C2334" s="187" t="s">
        <v>32</v>
      </c>
      <c r="D2334" s="173">
        <v>0.01</v>
      </c>
      <c r="E2334" s="204" t="s">
        <v>30</v>
      </c>
      <c r="F2334" s="176" t="s">
        <v>188</v>
      </c>
      <c r="G2334" s="189" t="s">
        <v>3913</v>
      </c>
      <c r="H2334" s="171"/>
    </row>
    <row r="2335" ht="14.25" spans="1:8">
      <c r="A2335" s="176">
        <v>143</v>
      </c>
      <c r="B2335" s="249" t="s">
        <v>756</v>
      </c>
      <c r="C2335" s="187" t="s">
        <v>32</v>
      </c>
      <c r="D2335" s="173">
        <v>0.04</v>
      </c>
      <c r="E2335" s="204" t="s">
        <v>30</v>
      </c>
      <c r="F2335" s="176" t="s">
        <v>188</v>
      </c>
      <c r="G2335" s="189" t="s">
        <v>3914</v>
      </c>
      <c r="H2335" s="171"/>
    </row>
    <row r="2336" ht="14.25" spans="1:8">
      <c r="A2336" s="176">
        <v>144</v>
      </c>
      <c r="B2336" s="249" t="s">
        <v>3886</v>
      </c>
      <c r="C2336" s="187" t="s">
        <v>32</v>
      </c>
      <c r="D2336" s="173">
        <v>0.03</v>
      </c>
      <c r="E2336" s="204" t="s">
        <v>30</v>
      </c>
      <c r="F2336" s="176" t="s">
        <v>188</v>
      </c>
      <c r="G2336" s="189" t="s">
        <v>3915</v>
      </c>
      <c r="H2336" s="171"/>
    </row>
    <row r="2337" ht="14.25" spans="1:8">
      <c r="A2337" s="176">
        <v>145</v>
      </c>
      <c r="B2337" s="249" t="s">
        <v>3886</v>
      </c>
      <c r="C2337" s="187" t="s">
        <v>32</v>
      </c>
      <c r="D2337" s="173">
        <v>0.03</v>
      </c>
      <c r="E2337" s="204" t="s">
        <v>30</v>
      </c>
      <c r="F2337" s="176" t="s">
        <v>188</v>
      </c>
      <c r="G2337" s="189" t="s">
        <v>3916</v>
      </c>
      <c r="H2337" s="171"/>
    </row>
    <row r="2338" ht="14.25" spans="1:8">
      <c r="A2338" s="176">
        <v>146</v>
      </c>
      <c r="B2338" s="249" t="s">
        <v>3917</v>
      </c>
      <c r="C2338" s="187" t="s">
        <v>32</v>
      </c>
      <c r="D2338" s="173">
        <v>0.03</v>
      </c>
      <c r="E2338" s="204" t="s">
        <v>30</v>
      </c>
      <c r="F2338" s="176" t="s">
        <v>188</v>
      </c>
      <c r="G2338" s="189" t="s">
        <v>3918</v>
      </c>
      <c r="H2338" s="171"/>
    </row>
    <row r="2339" ht="14.25" spans="1:8">
      <c r="A2339" s="176">
        <v>147</v>
      </c>
      <c r="B2339" s="249" t="s">
        <v>3919</v>
      </c>
      <c r="C2339" s="187" t="s">
        <v>32</v>
      </c>
      <c r="D2339" s="173">
        <v>0.01</v>
      </c>
      <c r="E2339" s="204" t="s">
        <v>30</v>
      </c>
      <c r="F2339" s="176" t="s">
        <v>188</v>
      </c>
      <c r="G2339" s="189" t="s">
        <v>3920</v>
      </c>
      <c r="H2339" s="171"/>
    </row>
    <row r="2340" ht="14.25" spans="1:8">
      <c r="A2340" s="176">
        <v>148</v>
      </c>
      <c r="B2340" s="249" t="s">
        <v>3919</v>
      </c>
      <c r="C2340" s="187" t="s">
        <v>32</v>
      </c>
      <c r="D2340" s="173">
        <v>0.01</v>
      </c>
      <c r="E2340" s="204" t="s">
        <v>30</v>
      </c>
      <c r="F2340" s="176" t="s">
        <v>188</v>
      </c>
      <c r="G2340" s="189" t="s">
        <v>3921</v>
      </c>
      <c r="H2340" s="171"/>
    </row>
    <row r="2341" ht="14.25" spans="1:8">
      <c r="A2341" s="176">
        <v>149</v>
      </c>
      <c r="B2341" s="249" t="s">
        <v>3919</v>
      </c>
      <c r="C2341" s="187" t="s">
        <v>32</v>
      </c>
      <c r="D2341" s="173">
        <v>0.01</v>
      </c>
      <c r="E2341" s="204" t="s">
        <v>30</v>
      </c>
      <c r="F2341" s="176" t="s">
        <v>188</v>
      </c>
      <c r="G2341" s="189" t="s">
        <v>3922</v>
      </c>
      <c r="H2341" s="171"/>
    </row>
    <row r="2342" ht="14.25" spans="1:8">
      <c r="A2342" s="176">
        <v>150</v>
      </c>
      <c r="B2342" s="249" t="s">
        <v>3919</v>
      </c>
      <c r="C2342" s="187" t="s">
        <v>32</v>
      </c>
      <c r="D2342" s="173">
        <v>0.01</v>
      </c>
      <c r="E2342" s="204" t="s">
        <v>30</v>
      </c>
      <c r="F2342" s="176" t="s">
        <v>188</v>
      </c>
      <c r="G2342" s="189" t="s">
        <v>3923</v>
      </c>
      <c r="H2342" s="171"/>
    </row>
    <row r="2343" ht="14.25" spans="1:8">
      <c r="A2343" s="176">
        <v>151</v>
      </c>
      <c r="B2343" s="249" t="s">
        <v>3924</v>
      </c>
      <c r="C2343" s="187" t="s">
        <v>32</v>
      </c>
      <c r="D2343" s="173">
        <v>0.04</v>
      </c>
      <c r="E2343" s="204" t="s">
        <v>30</v>
      </c>
      <c r="F2343" s="176" t="s">
        <v>188</v>
      </c>
      <c r="G2343" s="189" t="s">
        <v>3925</v>
      </c>
      <c r="H2343" s="171"/>
    </row>
    <row r="2344" ht="14.25" spans="1:8">
      <c r="A2344" s="176">
        <v>152</v>
      </c>
      <c r="B2344" s="249" t="s">
        <v>3926</v>
      </c>
      <c r="C2344" s="187" t="s">
        <v>32</v>
      </c>
      <c r="D2344" s="173">
        <v>0.08</v>
      </c>
      <c r="E2344" s="204" t="s">
        <v>30</v>
      </c>
      <c r="F2344" s="176" t="s">
        <v>188</v>
      </c>
      <c r="G2344" s="189" t="s">
        <v>3927</v>
      </c>
      <c r="H2344" s="171"/>
    </row>
    <row r="2345" ht="14.25" spans="1:8">
      <c r="A2345" s="176">
        <v>153</v>
      </c>
      <c r="B2345" s="249" t="s">
        <v>3928</v>
      </c>
      <c r="C2345" s="187" t="s">
        <v>32</v>
      </c>
      <c r="D2345" s="173">
        <v>0.1</v>
      </c>
      <c r="E2345" s="204" t="s">
        <v>30</v>
      </c>
      <c r="F2345" s="176" t="s">
        <v>188</v>
      </c>
      <c r="G2345" s="189" t="s">
        <v>3929</v>
      </c>
      <c r="H2345" s="171"/>
    </row>
    <row r="2346" ht="14.25" spans="1:8">
      <c r="A2346" s="176">
        <v>154</v>
      </c>
      <c r="B2346" s="249" t="s">
        <v>3890</v>
      </c>
      <c r="C2346" s="187" t="s">
        <v>32</v>
      </c>
      <c r="D2346" s="173">
        <v>0.05</v>
      </c>
      <c r="E2346" s="204" t="s">
        <v>30</v>
      </c>
      <c r="F2346" s="176" t="s">
        <v>188</v>
      </c>
      <c r="G2346" s="189" t="s">
        <v>3930</v>
      </c>
      <c r="H2346" s="171"/>
    </row>
    <row r="2347" ht="14.25" spans="1:8">
      <c r="A2347" s="176">
        <v>155</v>
      </c>
      <c r="B2347" s="249" t="s">
        <v>3931</v>
      </c>
      <c r="C2347" s="187" t="s">
        <v>32</v>
      </c>
      <c r="D2347" s="173">
        <v>0.03</v>
      </c>
      <c r="E2347" s="204" t="s">
        <v>30</v>
      </c>
      <c r="F2347" s="176" t="s">
        <v>188</v>
      </c>
      <c r="G2347" s="189" t="s">
        <v>3932</v>
      </c>
      <c r="H2347" s="171"/>
    </row>
    <row r="2348" ht="14.25" spans="1:8">
      <c r="A2348" s="176">
        <v>156</v>
      </c>
      <c r="B2348" s="249" t="s">
        <v>3933</v>
      </c>
      <c r="C2348" s="187" t="s">
        <v>32</v>
      </c>
      <c r="D2348" s="173">
        <v>0.04</v>
      </c>
      <c r="E2348" s="204" t="s">
        <v>30</v>
      </c>
      <c r="F2348" s="176" t="s">
        <v>188</v>
      </c>
      <c r="G2348" s="189" t="s">
        <v>3934</v>
      </c>
      <c r="H2348" s="171"/>
    </row>
    <row r="2349" ht="14.25" spans="1:8">
      <c r="A2349" s="176">
        <v>157</v>
      </c>
      <c r="B2349" s="249" t="s">
        <v>3935</v>
      </c>
      <c r="C2349" s="187" t="s">
        <v>32</v>
      </c>
      <c r="D2349" s="173">
        <v>0.06</v>
      </c>
      <c r="E2349" s="204" t="s">
        <v>30</v>
      </c>
      <c r="F2349" s="176" t="s">
        <v>188</v>
      </c>
      <c r="G2349" s="189" t="s">
        <v>1840</v>
      </c>
      <c r="H2349" s="171"/>
    </row>
    <row r="2350" ht="14.25" spans="1:8">
      <c r="A2350" s="176">
        <v>158</v>
      </c>
      <c r="B2350" s="249" t="s">
        <v>3936</v>
      </c>
      <c r="C2350" s="187" t="s">
        <v>32</v>
      </c>
      <c r="D2350" s="173">
        <v>0.06</v>
      </c>
      <c r="E2350" s="204" t="s">
        <v>30</v>
      </c>
      <c r="F2350" s="176" t="s">
        <v>188</v>
      </c>
      <c r="G2350" s="189" t="s">
        <v>3937</v>
      </c>
      <c r="H2350" s="171"/>
    </row>
    <row r="2351" ht="14.25" spans="1:8">
      <c r="A2351" s="176">
        <v>159</v>
      </c>
      <c r="B2351" s="249" t="s">
        <v>3938</v>
      </c>
      <c r="C2351" s="187" t="s">
        <v>32</v>
      </c>
      <c r="D2351" s="173">
        <v>0.06</v>
      </c>
      <c r="E2351" s="204" t="s">
        <v>30</v>
      </c>
      <c r="F2351" s="176" t="s">
        <v>188</v>
      </c>
      <c r="G2351" s="189" t="s">
        <v>3939</v>
      </c>
      <c r="H2351" s="171" t="s">
        <v>593</v>
      </c>
    </row>
    <row r="2352" ht="14.25" spans="1:8">
      <c r="A2352" s="176">
        <v>160</v>
      </c>
      <c r="B2352" s="249" t="s">
        <v>575</v>
      </c>
      <c r="C2352" s="187" t="s">
        <v>32</v>
      </c>
      <c r="D2352" s="173">
        <v>0.07</v>
      </c>
      <c r="E2352" s="204" t="s">
        <v>30</v>
      </c>
      <c r="F2352" s="176" t="s">
        <v>188</v>
      </c>
      <c r="G2352" s="189" t="s">
        <v>3940</v>
      </c>
      <c r="H2352" s="171"/>
    </row>
    <row r="2353" ht="14.25" spans="1:8">
      <c r="A2353" s="176">
        <v>161</v>
      </c>
      <c r="B2353" s="249" t="s">
        <v>3941</v>
      </c>
      <c r="C2353" s="187" t="s">
        <v>32</v>
      </c>
      <c r="D2353" s="173">
        <v>0.19</v>
      </c>
      <c r="E2353" s="204" t="s">
        <v>30</v>
      </c>
      <c r="F2353" s="176" t="s">
        <v>188</v>
      </c>
      <c r="G2353" s="189" t="s">
        <v>3942</v>
      </c>
      <c r="H2353" s="171" t="s">
        <v>672</v>
      </c>
    </row>
    <row r="2354" ht="14.25" spans="1:8">
      <c r="A2354" s="176">
        <v>162</v>
      </c>
      <c r="B2354" s="249" t="s">
        <v>3943</v>
      </c>
      <c r="C2354" s="187" t="s">
        <v>32</v>
      </c>
      <c r="D2354" s="173">
        <v>0.13</v>
      </c>
      <c r="E2354" s="204" t="s">
        <v>30</v>
      </c>
      <c r="F2354" s="176" t="s">
        <v>188</v>
      </c>
      <c r="G2354" s="189" t="s">
        <v>3944</v>
      </c>
      <c r="H2354" s="171"/>
    </row>
    <row r="2355" ht="14.25" spans="1:8">
      <c r="A2355" s="176">
        <v>163</v>
      </c>
      <c r="B2355" s="249" t="s">
        <v>3945</v>
      </c>
      <c r="C2355" s="187" t="s">
        <v>32</v>
      </c>
      <c r="D2355" s="173">
        <v>0.03</v>
      </c>
      <c r="E2355" s="204" t="s">
        <v>30</v>
      </c>
      <c r="F2355" s="176" t="s">
        <v>188</v>
      </c>
      <c r="G2355" s="189" t="s">
        <v>3946</v>
      </c>
      <c r="H2355" s="171"/>
    </row>
    <row r="2356" ht="14.25" spans="1:8">
      <c r="A2356" s="176">
        <v>164</v>
      </c>
      <c r="B2356" s="189" t="s">
        <v>3947</v>
      </c>
      <c r="C2356" s="187" t="s">
        <v>32</v>
      </c>
      <c r="D2356" s="173">
        <v>0.09</v>
      </c>
      <c r="E2356" s="204" t="s">
        <v>30</v>
      </c>
      <c r="F2356" s="176" t="s">
        <v>188</v>
      </c>
      <c r="G2356" s="189" t="s">
        <v>3948</v>
      </c>
      <c r="H2356" s="171"/>
    </row>
    <row r="2357" ht="14.25" spans="1:8">
      <c r="A2357" s="176">
        <v>165</v>
      </c>
      <c r="B2357" s="175" t="s">
        <v>3900</v>
      </c>
      <c r="C2357" s="187" t="s">
        <v>32</v>
      </c>
      <c r="D2357" s="173">
        <v>0.02</v>
      </c>
      <c r="E2357" s="204" t="s">
        <v>30</v>
      </c>
      <c r="F2357" s="176" t="s">
        <v>188</v>
      </c>
      <c r="G2357" s="189" t="s">
        <v>3949</v>
      </c>
      <c r="H2357" s="171"/>
    </row>
    <row r="2358" ht="14.25" spans="1:8">
      <c r="A2358" s="176">
        <v>166</v>
      </c>
      <c r="B2358" s="175" t="s">
        <v>3900</v>
      </c>
      <c r="C2358" s="187" t="s">
        <v>32</v>
      </c>
      <c r="D2358" s="173">
        <v>0.02</v>
      </c>
      <c r="E2358" s="204" t="s">
        <v>30</v>
      </c>
      <c r="F2358" s="176" t="s">
        <v>188</v>
      </c>
      <c r="G2358" s="189" t="s">
        <v>3950</v>
      </c>
      <c r="H2358" s="171"/>
    </row>
    <row r="2359" ht="14.25" spans="1:8">
      <c r="A2359" s="176">
        <v>167</v>
      </c>
      <c r="B2359" s="175" t="s">
        <v>3900</v>
      </c>
      <c r="C2359" s="187" t="s">
        <v>32</v>
      </c>
      <c r="D2359" s="173">
        <v>0.02</v>
      </c>
      <c r="E2359" s="204" t="s">
        <v>30</v>
      </c>
      <c r="F2359" s="176" t="s">
        <v>188</v>
      </c>
      <c r="G2359" s="189" t="s">
        <v>3951</v>
      </c>
      <c r="H2359" s="171"/>
    </row>
    <row r="2360" ht="14.25" spans="1:8">
      <c r="A2360" s="176">
        <v>168</v>
      </c>
      <c r="B2360" s="175" t="s">
        <v>3900</v>
      </c>
      <c r="C2360" s="187" t="s">
        <v>32</v>
      </c>
      <c r="D2360" s="173">
        <v>0.02</v>
      </c>
      <c r="E2360" s="204" t="s">
        <v>30</v>
      </c>
      <c r="F2360" s="176" t="s">
        <v>188</v>
      </c>
      <c r="G2360" s="189" t="s">
        <v>3952</v>
      </c>
      <c r="H2360" s="171"/>
    </row>
    <row r="2361" ht="14.25" spans="1:8">
      <c r="A2361" s="176">
        <v>169</v>
      </c>
      <c r="B2361" s="175" t="s">
        <v>3900</v>
      </c>
      <c r="C2361" s="187" t="s">
        <v>32</v>
      </c>
      <c r="D2361" s="173">
        <v>0.02</v>
      </c>
      <c r="E2361" s="204" t="s">
        <v>30</v>
      </c>
      <c r="F2361" s="176" t="s">
        <v>188</v>
      </c>
      <c r="G2361" s="189" t="s">
        <v>3953</v>
      </c>
      <c r="H2361" s="171"/>
    </row>
    <row r="2362" ht="14.25" spans="1:8">
      <c r="A2362" s="176">
        <v>170</v>
      </c>
      <c r="B2362" s="175" t="s">
        <v>3900</v>
      </c>
      <c r="C2362" s="187" t="s">
        <v>32</v>
      </c>
      <c r="D2362" s="173">
        <v>0.02</v>
      </c>
      <c r="E2362" s="204" t="s">
        <v>30</v>
      </c>
      <c r="F2362" s="176" t="s">
        <v>188</v>
      </c>
      <c r="G2362" s="189" t="s">
        <v>3954</v>
      </c>
      <c r="H2362" s="171"/>
    </row>
    <row r="2363" ht="14.25" spans="1:8">
      <c r="A2363" s="176">
        <v>171</v>
      </c>
      <c r="B2363" s="175" t="s">
        <v>3900</v>
      </c>
      <c r="C2363" s="187" t="s">
        <v>32</v>
      </c>
      <c r="D2363" s="173">
        <v>0.02</v>
      </c>
      <c r="E2363" s="204" t="s">
        <v>30</v>
      </c>
      <c r="F2363" s="176" t="s">
        <v>188</v>
      </c>
      <c r="G2363" s="189" t="s">
        <v>3955</v>
      </c>
      <c r="H2363" s="171"/>
    </row>
    <row r="2364" ht="14.25" spans="1:8">
      <c r="A2364" s="176">
        <v>172</v>
      </c>
      <c r="B2364" s="175" t="s">
        <v>3900</v>
      </c>
      <c r="C2364" s="187" t="s">
        <v>32</v>
      </c>
      <c r="D2364" s="173">
        <v>0.02</v>
      </c>
      <c r="E2364" s="204" t="s">
        <v>30</v>
      </c>
      <c r="F2364" s="176" t="s">
        <v>188</v>
      </c>
      <c r="G2364" s="189" t="s">
        <v>3956</v>
      </c>
      <c r="H2364" s="171"/>
    </row>
    <row r="2365" ht="14.25" spans="1:8">
      <c r="A2365" s="176">
        <v>173</v>
      </c>
      <c r="B2365" s="175" t="s">
        <v>3900</v>
      </c>
      <c r="C2365" s="187" t="s">
        <v>32</v>
      </c>
      <c r="D2365" s="173">
        <v>0.02</v>
      </c>
      <c r="E2365" s="204" t="s">
        <v>30</v>
      </c>
      <c r="F2365" s="176" t="s">
        <v>188</v>
      </c>
      <c r="G2365" s="189" t="s">
        <v>3957</v>
      </c>
      <c r="H2365" s="171"/>
    </row>
    <row r="2366" ht="14.25" spans="1:8">
      <c r="A2366" s="176">
        <v>174</v>
      </c>
      <c r="B2366" s="175" t="s">
        <v>3900</v>
      </c>
      <c r="C2366" s="187" t="s">
        <v>32</v>
      </c>
      <c r="D2366" s="173">
        <v>0.02</v>
      </c>
      <c r="E2366" s="204" t="s">
        <v>30</v>
      </c>
      <c r="F2366" s="176" t="s">
        <v>188</v>
      </c>
      <c r="G2366" s="189" t="s">
        <v>3958</v>
      </c>
      <c r="H2366" s="171"/>
    </row>
    <row r="2367" ht="14.25" spans="1:8">
      <c r="A2367" s="176">
        <v>175</v>
      </c>
      <c r="B2367" s="175" t="s">
        <v>3900</v>
      </c>
      <c r="C2367" s="187" t="s">
        <v>32</v>
      </c>
      <c r="D2367" s="173">
        <v>0.02</v>
      </c>
      <c r="E2367" s="204" t="s">
        <v>30</v>
      </c>
      <c r="F2367" s="176" t="s">
        <v>188</v>
      </c>
      <c r="G2367" s="189" t="s">
        <v>3959</v>
      </c>
      <c r="H2367" s="171"/>
    </row>
    <row r="2368" ht="14.25" spans="1:8">
      <c r="A2368" s="176">
        <v>176</v>
      </c>
      <c r="B2368" s="175" t="s">
        <v>3900</v>
      </c>
      <c r="C2368" s="187" t="s">
        <v>32</v>
      </c>
      <c r="D2368" s="173">
        <v>0.02</v>
      </c>
      <c r="E2368" s="204" t="s">
        <v>30</v>
      </c>
      <c r="F2368" s="176" t="s">
        <v>188</v>
      </c>
      <c r="G2368" s="189" t="s">
        <v>3960</v>
      </c>
      <c r="H2368" s="171"/>
    </row>
    <row r="2369" ht="14.25" spans="1:8">
      <c r="A2369" s="176">
        <v>177</v>
      </c>
      <c r="B2369" s="175" t="s">
        <v>3900</v>
      </c>
      <c r="C2369" s="187" t="s">
        <v>32</v>
      </c>
      <c r="D2369" s="173">
        <v>0.02</v>
      </c>
      <c r="E2369" s="204" t="s">
        <v>30</v>
      </c>
      <c r="F2369" s="176" t="s">
        <v>188</v>
      </c>
      <c r="G2369" s="189" t="s">
        <v>3961</v>
      </c>
      <c r="H2369" s="171"/>
    </row>
    <row r="2370" ht="14.25" spans="1:8">
      <c r="A2370" s="176">
        <v>178</v>
      </c>
      <c r="B2370" s="175" t="s">
        <v>3900</v>
      </c>
      <c r="C2370" s="187" t="s">
        <v>32</v>
      </c>
      <c r="D2370" s="173">
        <v>0.02</v>
      </c>
      <c r="E2370" s="204" t="s">
        <v>30</v>
      </c>
      <c r="F2370" s="176" t="s">
        <v>188</v>
      </c>
      <c r="G2370" s="189" t="s">
        <v>3962</v>
      </c>
      <c r="H2370" s="171"/>
    </row>
    <row r="2371" ht="14.25" spans="1:8">
      <c r="A2371" s="176">
        <v>179</v>
      </c>
      <c r="B2371" s="175" t="s">
        <v>3900</v>
      </c>
      <c r="C2371" s="187" t="s">
        <v>32</v>
      </c>
      <c r="D2371" s="173">
        <v>0.02</v>
      </c>
      <c r="E2371" s="204" t="s">
        <v>30</v>
      </c>
      <c r="F2371" s="176" t="s">
        <v>188</v>
      </c>
      <c r="G2371" s="189" t="s">
        <v>3963</v>
      </c>
      <c r="H2371" s="171"/>
    </row>
    <row r="2372" ht="14.25" spans="1:8">
      <c r="A2372" s="176">
        <v>180</v>
      </c>
      <c r="B2372" s="175" t="s">
        <v>3900</v>
      </c>
      <c r="C2372" s="187" t="s">
        <v>32</v>
      </c>
      <c r="D2372" s="173">
        <v>0.02</v>
      </c>
      <c r="E2372" s="204" t="s">
        <v>30</v>
      </c>
      <c r="F2372" s="176" t="s">
        <v>188</v>
      </c>
      <c r="G2372" s="189" t="s">
        <v>3964</v>
      </c>
      <c r="H2372" s="171"/>
    </row>
    <row r="2373" ht="14.25" spans="1:8">
      <c r="A2373" s="176">
        <v>181</v>
      </c>
      <c r="B2373" s="175" t="s">
        <v>3965</v>
      </c>
      <c r="C2373" s="187" t="s">
        <v>32</v>
      </c>
      <c r="D2373" s="173">
        <v>0.06</v>
      </c>
      <c r="E2373" s="204" t="s">
        <v>30</v>
      </c>
      <c r="F2373" s="176" t="s">
        <v>188</v>
      </c>
      <c r="G2373" s="189" t="s">
        <v>3966</v>
      </c>
      <c r="H2373" s="171"/>
    </row>
    <row r="2374" ht="14.25" spans="1:8">
      <c r="A2374" s="176">
        <v>182</v>
      </c>
      <c r="B2374" s="175" t="s">
        <v>3965</v>
      </c>
      <c r="C2374" s="187" t="s">
        <v>32</v>
      </c>
      <c r="D2374" s="173">
        <v>0.07</v>
      </c>
      <c r="E2374" s="204" t="s">
        <v>30</v>
      </c>
      <c r="F2374" s="176" t="s">
        <v>188</v>
      </c>
      <c r="G2374" s="189" t="s">
        <v>3967</v>
      </c>
      <c r="H2374" s="171"/>
    </row>
    <row r="2375" ht="14.25" spans="1:8">
      <c r="A2375" s="176">
        <v>183</v>
      </c>
      <c r="B2375" s="175" t="s">
        <v>3965</v>
      </c>
      <c r="C2375" s="187" t="s">
        <v>32</v>
      </c>
      <c r="D2375" s="173">
        <v>0.09</v>
      </c>
      <c r="E2375" s="204" t="s">
        <v>30</v>
      </c>
      <c r="F2375" s="176" t="s">
        <v>188</v>
      </c>
      <c r="G2375" s="189" t="s">
        <v>3968</v>
      </c>
      <c r="H2375" s="171"/>
    </row>
    <row r="2376" ht="14.25" spans="1:8">
      <c r="A2376" s="176">
        <v>184</v>
      </c>
      <c r="B2376" s="175" t="s">
        <v>3969</v>
      </c>
      <c r="C2376" s="187" t="s">
        <v>32</v>
      </c>
      <c r="D2376" s="173">
        <v>0.03</v>
      </c>
      <c r="E2376" s="204" t="s">
        <v>30</v>
      </c>
      <c r="F2376" s="176" t="s">
        <v>188</v>
      </c>
      <c r="G2376" s="189" t="s">
        <v>3970</v>
      </c>
      <c r="H2376" s="171"/>
    </row>
    <row r="2377" ht="14.25" spans="1:8">
      <c r="A2377" s="176">
        <v>185</v>
      </c>
      <c r="B2377" s="175" t="s">
        <v>3969</v>
      </c>
      <c r="C2377" s="187" t="s">
        <v>32</v>
      </c>
      <c r="D2377" s="173">
        <v>0.03</v>
      </c>
      <c r="E2377" s="204" t="s">
        <v>30</v>
      </c>
      <c r="F2377" s="176" t="s">
        <v>188</v>
      </c>
      <c r="G2377" s="189" t="s">
        <v>3971</v>
      </c>
      <c r="H2377" s="171"/>
    </row>
    <row r="2378" ht="14.25" spans="1:8">
      <c r="A2378" s="176">
        <v>186</v>
      </c>
      <c r="B2378" s="175" t="s">
        <v>3972</v>
      </c>
      <c r="C2378" s="187" t="s">
        <v>32</v>
      </c>
      <c r="D2378" s="173">
        <v>0.03</v>
      </c>
      <c r="E2378" s="204" t="s">
        <v>30</v>
      </c>
      <c r="F2378" s="176" t="s">
        <v>188</v>
      </c>
      <c r="G2378" s="189" t="s">
        <v>3973</v>
      </c>
      <c r="H2378" s="171"/>
    </row>
    <row r="2379" ht="14.25" spans="1:8">
      <c r="A2379" s="176">
        <v>187</v>
      </c>
      <c r="B2379" s="175" t="s">
        <v>3974</v>
      </c>
      <c r="C2379" s="187" t="s">
        <v>32</v>
      </c>
      <c r="D2379" s="173">
        <v>0.03</v>
      </c>
      <c r="E2379" s="204" t="s">
        <v>30</v>
      </c>
      <c r="F2379" s="176" t="s">
        <v>188</v>
      </c>
      <c r="G2379" s="189" t="s">
        <v>3225</v>
      </c>
      <c r="H2379" s="171"/>
    </row>
    <row r="2380" ht="14.25" spans="1:8">
      <c r="A2380" s="176">
        <v>188</v>
      </c>
      <c r="B2380" s="175" t="s">
        <v>3972</v>
      </c>
      <c r="C2380" s="187" t="s">
        <v>32</v>
      </c>
      <c r="D2380" s="173">
        <v>0.03</v>
      </c>
      <c r="E2380" s="204" t="s">
        <v>30</v>
      </c>
      <c r="F2380" s="176" t="s">
        <v>188</v>
      </c>
      <c r="G2380" s="189" t="s">
        <v>3975</v>
      </c>
      <c r="H2380" s="171"/>
    </row>
    <row r="2381" ht="14.25" spans="1:8">
      <c r="A2381" s="176">
        <v>189</v>
      </c>
      <c r="B2381" s="249" t="s">
        <v>3976</v>
      </c>
      <c r="C2381" s="187" t="s">
        <v>32</v>
      </c>
      <c r="D2381" s="173">
        <v>0.04</v>
      </c>
      <c r="E2381" s="204" t="s">
        <v>30</v>
      </c>
      <c r="F2381" s="176" t="s">
        <v>188</v>
      </c>
      <c r="G2381" s="189" t="s">
        <v>3977</v>
      </c>
      <c r="H2381" s="171"/>
    </row>
    <row r="2382" ht="14.25" spans="1:8">
      <c r="A2382" s="176">
        <v>190</v>
      </c>
      <c r="B2382" s="249" t="s">
        <v>3978</v>
      </c>
      <c r="C2382" s="187" t="s">
        <v>32</v>
      </c>
      <c r="D2382" s="173">
        <v>0.03</v>
      </c>
      <c r="E2382" s="204" t="s">
        <v>30</v>
      </c>
      <c r="F2382" s="176" t="s">
        <v>188</v>
      </c>
      <c r="G2382" s="189" t="s">
        <v>3979</v>
      </c>
      <c r="H2382" s="171"/>
    </row>
    <row r="2383" ht="14.25" spans="1:8">
      <c r="A2383" s="176">
        <v>191</v>
      </c>
      <c r="B2383" s="249" t="s">
        <v>3980</v>
      </c>
      <c r="C2383" s="187" t="s">
        <v>32</v>
      </c>
      <c r="D2383" s="173">
        <v>0.03</v>
      </c>
      <c r="E2383" s="204" t="s">
        <v>30</v>
      </c>
      <c r="F2383" s="176" t="s">
        <v>188</v>
      </c>
      <c r="G2383" s="189" t="s">
        <v>3981</v>
      </c>
      <c r="H2383" s="171"/>
    </row>
    <row r="2384" ht="14.25" spans="1:8">
      <c r="A2384" s="176">
        <v>192</v>
      </c>
      <c r="B2384" s="249" t="s">
        <v>3926</v>
      </c>
      <c r="C2384" s="187" t="s">
        <v>32</v>
      </c>
      <c r="D2384" s="173">
        <v>0.03</v>
      </c>
      <c r="E2384" s="204" t="s">
        <v>30</v>
      </c>
      <c r="F2384" s="176" t="s">
        <v>188</v>
      </c>
      <c r="G2384" s="189" t="s">
        <v>3927</v>
      </c>
      <c r="H2384" s="171"/>
    </row>
    <row r="2385" ht="14.25" spans="1:8">
      <c r="A2385" s="176">
        <v>193</v>
      </c>
      <c r="B2385" s="249" t="s">
        <v>2251</v>
      </c>
      <c r="C2385" s="187" t="s">
        <v>32</v>
      </c>
      <c r="D2385" s="173">
        <v>0.01</v>
      </c>
      <c r="E2385" s="204" t="s">
        <v>30</v>
      </c>
      <c r="F2385" s="176" t="s">
        <v>188</v>
      </c>
      <c r="G2385" s="189" t="s">
        <v>3982</v>
      </c>
      <c r="H2385" s="171"/>
    </row>
    <row r="2386" ht="14.25" spans="1:8">
      <c r="A2386" s="176">
        <v>194</v>
      </c>
      <c r="B2386" s="249" t="s">
        <v>3983</v>
      </c>
      <c r="C2386" s="187" t="s">
        <v>32</v>
      </c>
      <c r="D2386" s="173">
        <v>0.05</v>
      </c>
      <c r="E2386" s="204" t="s">
        <v>30</v>
      </c>
      <c r="F2386" s="176" t="s">
        <v>188</v>
      </c>
      <c r="G2386" s="189" t="s">
        <v>3984</v>
      </c>
      <c r="H2386" s="171"/>
    </row>
    <row r="2387" ht="14.25" spans="1:8">
      <c r="A2387" s="176">
        <v>195</v>
      </c>
      <c r="B2387" s="249" t="s">
        <v>3945</v>
      </c>
      <c r="C2387" s="187" t="s">
        <v>32</v>
      </c>
      <c r="D2387" s="173">
        <v>0.05</v>
      </c>
      <c r="E2387" s="204" t="s">
        <v>30</v>
      </c>
      <c r="F2387" s="176" t="s">
        <v>188</v>
      </c>
      <c r="G2387" s="189" t="s">
        <v>3985</v>
      </c>
      <c r="H2387" s="171"/>
    </row>
    <row r="2388" ht="14.25" spans="1:8">
      <c r="A2388" s="176">
        <v>196</v>
      </c>
      <c r="B2388" s="249" t="s">
        <v>3919</v>
      </c>
      <c r="C2388" s="187" t="s">
        <v>32</v>
      </c>
      <c r="D2388" s="173">
        <v>0.01</v>
      </c>
      <c r="E2388" s="204" t="s">
        <v>30</v>
      </c>
      <c r="F2388" s="176" t="s">
        <v>188</v>
      </c>
      <c r="G2388" s="189" t="s">
        <v>3986</v>
      </c>
      <c r="H2388" s="171"/>
    </row>
    <row r="2389" ht="14.25" spans="1:8">
      <c r="A2389" s="176">
        <v>197</v>
      </c>
      <c r="B2389" s="249" t="s">
        <v>3919</v>
      </c>
      <c r="C2389" s="187" t="s">
        <v>32</v>
      </c>
      <c r="D2389" s="173">
        <v>0.01</v>
      </c>
      <c r="E2389" s="204" t="s">
        <v>30</v>
      </c>
      <c r="F2389" s="176" t="s">
        <v>188</v>
      </c>
      <c r="G2389" s="189" t="s">
        <v>3987</v>
      </c>
      <c r="H2389" s="171"/>
    </row>
    <row r="2390" ht="14.25" spans="1:8">
      <c r="A2390" s="176">
        <v>198</v>
      </c>
      <c r="B2390" s="249" t="s">
        <v>3919</v>
      </c>
      <c r="C2390" s="187" t="s">
        <v>32</v>
      </c>
      <c r="D2390" s="173">
        <v>0.01</v>
      </c>
      <c r="E2390" s="204" t="s">
        <v>30</v>
      </c>
      <c r="F2390" s="176" t="s">
        <v>188</v>
      </c>
      <c r="G2390" s="189" t="s">
        <v>3988</v>
      </c>
      <c r="H2390" s="171"/>
    </row>
    <row r="2391" ht="14.25" spans="1:8">
      <c r="A2391" s="176">
        <v>199</v>
      </c>
      <c r="B2391" s="249" t="s">
        <v>3781</v>
      </c>
      <c r="C2391" s="187" t="s">
        <v>32</v>
      </c>
      <c r="D2391" s="173">
        <v>0.02</v>
      </c>
      <c r="E2391" s="204" t="s">
        <v>30</v>
      </c>
      <c r="F2391" s="176" t="s">
        <v>188</v>
      </c>
      <c r="G2391" s="189" t="s">
        <v>3989</v>
      </c>
      <c r="H2391" s="171"/>
    </row>
    <row r="2392" ht="14.25" spans="1:8">
      <c r="A2392" s="176">
        <v>200</v>
      </c>
      <c r="B2392" s="249" t="s">
        <v>3737</v>
      </c>
      <c r="C2392" s="187" t="s">
        <v>32</v>
      </c>
      <c r="D2392" s="173">
        <v>0.04</v>
      </c>
      <c r="E2392" s="204" t="s">
        <v>30</v>
      </c>
      <c r="F2392" s="176" t="s">
        <v>188</v>
      </c>
      <c r="G2392" s="189" t="s">
        <v>3990</v>
      </c>
      <c r="H2392" s="171"/>
    </row>
    <row r="2393" ht="14.25" spans="1:8">
      <c r="A2393" s="176">
        <v>201</v>
      </c>
      <c r="B2393" s="249" t="s">
        <v>3991</v>
      </c>
      <c r="C2393" s="187" t="s">
        <v>32</v>
      </c>
      <c r="D2393" s="173">
        <v>0.04</v>
      </c>
      <c r="E2393" s="204" t="s">
        <v>30</v>
      </c>
      <c r="F2393" s="176" t="s">
        <v>188</v>
      </c>
      <c r="G2393" s="189" t="s">
        <v>3992</v>
      </c>
      <c r="H2393" s="171"/>
    </row>
    <row r="2394" ht="14.25" spans="1:8">
      <c r="A2394" s="176">
        <v>202</v>
      </c>
      <c r="B2394" s="249" t="s">
        <v>3991</v>
      </c>
      <c r="C2394" s="187" t="s">
        <v>32</v>
      </c>
      <c r="D2394" s="173">
        <v>0.04</v>
      </c>
      <c r="E2394" s="204" t="s">
        <v>30</v>
      </c>
      <c r="F2394" s="176" t="s">
        <v>188</v>
      </c>
      <c r="G2394" s="189" t="s">
        <v>3993</v>
      </c>
      <c r="H2394" s="171"/>
    </row>
    <row r="2395" ht="14.25" spans="1:8">
      <c r="A2395" s="176">
        <v>203</v>
      </c>
      <c r="B2395" s="249" t="s">
        <v>3991</v>
      </c>
      <c r="C2395" s="187" t="s">
        <v>32</v>
      </c>
      <c r="D2395" s="173">
        <v>0.04</v>
      </c>
      <c r="E2395" s="204" t="s">
        <v>30</v>
      </c>
      <c r="F2395" s="176" t="s">
        <v>188</v>
      </c>
      <c r="G2395" s="189" t="s">
        <v>3994</v>
      </c>
      <c r="H2395" s="171"/>
    </row>
    <row r="2396" ht="14.25" spans="1:8">
      <c r="A2396" s="176">
        <v>204</v>
      </c>
      <c r="B2396" s="249" t="s">
        <v>3991</v>
      </c>
      <c r="C2396" s="187" t="s">
        <v>32</v>
      </c>
      <c r="D2396" s="173">
        <v>0.03</v>
      </c>
      <c r="E2396" s="204" t="s">
        <v>30</v>
      </c>
      <c r="F2396" s="176" t="s">
        <v>188</v>
      </c>
      <c r="G2396" s="189" t="s">
        <v>3995</v>
      </c>
      <c r="H2396" s="171"/>
    </row>
    <row r="2397" ht="14.25" spans="1:8">
      <c r="A2397" s="176">
        <v>205</v>
      </c>
      <c r="B2397" s="249" t="s">
        <v>3996</v>
      </c>
      <c r="C2397" s="187" t="s">
        <v>32</v>
      </c>
      <c r="D2397" s="173">
        <v>0.05</v>
      </c>
      <c r="E2397" s="204" t="s">
        <v>30</v>
      </c>
      <c r="F2397" s="176" t="s">
        <v>188</v>
      </c>
      <c r="G2397" s="189" t="s">
        <v>3997</v>
      </c>
      <c r="H2397" s="171"/>
    </row>
    <row r="2398" ht="14.25" spans="1:8">
      <c r="A2398" s="176">
        <v>206</v>
      </c>
      <c r="B2398" s="249" t="s">
        <v>3998</v>
      </c>
      <c r="C2398" s="187" t="s">
        <v>32</v>
      </c>
      <c r="D2398" s="173">
        <v>0.1</v>
      </c>
      <c r="E2398" s="204" t="s">
        <v>30</v>
      </c>
      <c r="F2398" s="176" t="s">
        <v>188</v>
      </c>
      <c r="G2398" s="189" t="s">
        <v>3999</v>
      </c>
      <c r="H2398" s="171"/>
    </row>
    <row r="2399" ht="14.25" spans="1:8">
      <c r="A2399" s="176">
        <v>207</v>
      </c>
      <c r="B2399" s="249" t="s">
        <v>4000</v>
      </c>
      <c r="C2399" s="187" t="s">
        <v>32</v>
      </c>
      <c r="D2399" s="173">
        <v>0.1</v>
      </c>
      <c r="E2399" s="204" t="s">
        <v>30</v>
      </c>
      <c r="F2399" s="176" t="s">
        <v>188</v>
      </c>
      <c r="G2399" s="189" t="s">
        <v>4001</v>
      </c>
      <c r="H2399" s="171"/>
    </row>
    <row r="2400" ht="14.25" spans="1:8">
      <c r="A2400" s="176">
        <v>208</v>
      </c>
      <c r="B2400" s="249" t="s">
        <v>884</v>
      </c>
      <c r="C2400" s="187" t="s">
        <v>32</v>
      </c>
      <c r="D2400" s="173">
        <v>0.1</v>
      </c>
      <c r="E2400" s="204" t="s">
        <v>30</v>
      </c>
      <c r="F2400" s="176" t="s">
        <v>188</v>
      </c>
      <c r="G2400" s="189" t="s">
        <v>4002</v>
      </c>
      <c r="H2400" s="171"/>
    </row>
    <row r="2401" ht="14.25" spans="1:8">
      <c r="A2401" s="176">
        <v>209</v>
      </c>
      <c r="B2401" s="249" t="s">
        <v>4003</v>
      </c>
      <c r="C2401" s="187" t="s">
        <v>32</v>
      </c>
      <c r="D2401" s="173">
        <v>0.05</v>
      </c>
      <c r="E2401" s="204" t="s">
        <v>30</v>
      </c>
      <c r="F2401" s="176" t="s">
        <v>188</v>
      </c>
      <c r="G2401" s="189" t="s">
        <v>3997</v>
      </c>
      <c r="H2401" s="171"/>
    </row>
    <row r="2402" ht="14.25" spans="1:8">
      <c r="A2402" s="176">
        <v>210</v>
      </c>
      <c r="B2402" s="175" t="s">
        <v>4004</v>
      </c>
      <c r="C2402" s="187" t="s">
        <v>32</v>
      </c>
      <c r="D2402" s="173">
        <v>0.09</v>
      </c>
      <c r="E2402" s="204" t="s">
        <v>30</v>
      </c>
      <c r="F2402" s="176" t="s">
        <v>188</v>
      </c>
      <c r="G2402" s="189" t="s">
        <v>4005</v>
      </c>
      <c r="H2402" s="171"/>
    </row>
    <row r="2403" ht="14.25" spans="1:8">
      <c r="A2403" s="176">
        <v>211</v>
      </c>
      <c r="B2403" s="215" t="s">
        <v>4006</v>
      </c>
      <c r="C2403" s="187" t="s">
        <v>32</v>
      </c>
      <c r="D2403" s="173">
        <v>0.02</v>
      </c>
      <c r="E2403" s="204" t="s">
        <v>30</v>
      </c>
      <c r="F2403" s="176" t="s">
        <v>188</v>
      </c>
      <c r="G2403" s="189" t="s">
        <v>4007</v>
      </c>
      <c r="H2403" s="171"/>
    </row>
    <row r="2404" ht="14.25" spans="1:8">
      <c r="A2404" s="176">
        <v>212</v>
      </c>
      <c r="B2404" s="215" t="s">
        <v>4006</v>
      </c>
      <c r="C2404" s="187" t="s">
        <v>32</v>
      </c>
      <c r="D2404" s="173">
        <v>0.06</v>
      </c>
      <c r="E2404" s="204" t="s">
        <v>30</v>
      </c>
      <c r="F2404" s="176" t="s">
        <v>188</v>
      </c>
      <c r="G2404" s="189" t="s">
        <v>4008</v>
      </c>
      <c r="H2404" s="171"/>
    </row>
    <row r="2405" ht="14.25" spans="1:8">
      <c r="A2405" s="176">
        <v>213</v>
      </c>
      <c r="B2405" s="250" t="s">
        <v>4009</v>
      </c>
      <c r="C2405" s="187" t="s">
        <v>32</v>
      </c>
      <c r="D2405" s="173">
        <v>0.1</v>
      </c>
      <c r="E2405" s="204" t="s">
        <v>30</v>
      </c>
      <c r="F2405" s="176" t="s">
        <v>188</v>
      </c>
      <c r="G2405" s="196" t="s">
        <v>4010</v>
      </c>
      <c r="H2405" s="171"/>
    </row>
    <row r="2406" ht="14.25" spans="1:8">
      <c r="A2406" s="176">
        <v>214</v>
      </c>
      <c r="B2406" s="250" t="s">
        <v>4011</v>
      </c>
      <c r="C2406" s="187" t="s">
        <v>32</v>
      </c>
      <c r="D2406" s="173">
        <v>0.1</v>
      </c>
      <c r="E2406" s="204" t="s">
        <v>30</v>
      </c>
      <c r="F2406" s="176" t="s">
        <v>188</v>
      </c>
      <c r="G2406" s="196" t="s">
        <v>4012</v>
      </c>
      <c r="H2406" s="171"/>
    </row>
    <row r="2407" ht="14.25" spans="1:8">
      <c r="A2407" s="176">
        <v>215</v>
      </c>
      <c r="B2407" s="250" t="s">
        <v>4013</v>
      </c>
      <c r="C2407" s="187" t="s">
        <v>32</v>
      </c>
      <c r="D2407" s="173">
        <v>0.1</v>
      </c>
      <c r="E2407" s="204" t="s">
        <v>30</v>
      </c>
      <c r="F2407" s="176" t="s">
        <v>188</v>
      </c>
      <c r="G2407" s="196" t="s">
        <v>3846</v>
      </c>
      <c r="H2407" s="171"/>
    </row>
    <row r="2408" ht="14.25" spans="1:8">
      <c r="A2408" s="176">
        <v>216</v>
      </c>
      <c r="B2408" s="250" t="s">
        <v>4014</v>
      </c>
      <c r="C2408" s="187" t="s">
        <v>32</v>
      </c>
      <c r="D2408" s="173">
        <v>0.08</v>
      </c>
      <c r="E2408" s="204" t="s">
        <v>30</v>
      </c>
      <c r="F2408" s="176" t="s">
        <v>188</v>
      </c>
      <c r="G2408" s="196" t="s">
        <v>4015</v>
      </c>
      <c r="H2408" s="171"/>
    </row>
    <row r="2409" ht="14.25" spans="1:8">
      <c r="A2409" s="176">
        <v>217</v>
      </c>
      <c r="B2409" s="195" t="s">
        <v>4016</v>
      </c>
      <c r="C2409" s="187" t="s">
        <v>32</v>
      </c>
      <c r="D2409" s="173">
        <v>0.04</v>
      </c>
      <c r="E2409" s="204" t="s">
        <v>30</v>
      </c>
      <c r="F2409" s="176" t="s">
        <v>188</v>
      </c>
      <c r="G2409" s="205" t="s">
        <v>4017</v>
      </c>
      <c r="H2409" s="171"/>
    </row>
    <row r="2410" ht="14.25" spans="1:8">
      <c r="A2410" s="176">
        <v>218</v>
      </c>
      <c r="B2410" s="195" t="s">
        <v>4016</v>
      </c>
      <c r="C2410" s="187" t="s">
        <v>32</v>
      </c>
      <c r="D2410" s="173">
        <v>0.04</v>
      </c>
      <c r="E2410" s="204" t="s">
        <v>30</v>
      </c>
      <c r="F2410" s="176" t="s">
        <v>188</v>
      </c>
      <c r="G2410" s="205" t="s">
        <v>4018</v>
      </c>
      <c r="H2410" s="171"/>
    </row>
    <row r="2411" ht="14.25" spans="1:8">
      <c r="A2411" s="176">
        <v>219</v>
      </c>
      <c r="B2411" s="195" t="s">
        <v>4016</v>
      </c>
      <c r="C2411" s="187" t="s">
        <v>32</v>
      </c>
      <c r="D2411" s="173">
        <v>0.04</v>
      </c>
      <c r="E2411" s="204" t="s">
        <v>30</v>
      </c>
      <c r="F2411" s="176" t="s">
        <v>188</v>
      </c>
      <c r="G2411" s="205" t="s">
        <v>4019</v>
      </c>
      <c r="H2411" s="171"/>
    </row>
    <row r="2412" ht="14.25" spans="1:8">
      <c r="A2412" s="176">
        <v>220</v>
      </c>
      <c r="B2412" s="195" t="s">
        <v>4016</v>
      </c>
      <c r="C2412" s="187" t="s">
        <v>32</v>
      </c>
      <c r="D2412" s="173">
        <v>0.04</v>
      </c>
      <c r="E2412" s="204" t="s">
        <v>30</v>
      </c>
      <c r="F2412" s="176" t="s">
        <v>188</v>
      </c>
      <c r="G2412" s="205" t="s">
        <v>4020</v>
      </c>
      <c r="H2412" s="171"/>
    </row>
    <row r="2413" ht="14.25" spans="1:8">
      <c r="A2413" s="176">
        <v>221</v>
      </c>
      <c r="B2413" s="195" t="s">
        <v>4016</v>
      </c>
      <c r="C2413" s="187" t="s">
        <v>32</v>
      </c>
      <c r="D2413" s="173">
        <v>0.04</v>
      </c>
      <c r="E2413" s="204" t="s">
        <v>30</v>
      </c>
      <c r="F2413" s="176" t="s">
        <v>188</v>
      </c>
      <c r="G2413" s="205" t="s">
        <v>4021</v>
      </c>
      <c r="H2413" s="171"/>
    </row>
    <row r="2414" ht="14.25" spans="1:8">
      <c r="A2414" s="176">
        <v>222</v>
      </c>
      <c r="B2414" s="195" t="s">
        <v>4016</v>
      </c>
      <c r="C2414" s="187" t="s">
        <v>32</v>
      </c>
      <c r="D2414" s="173">
        <v>0.04</v>
      </c>
      <c r="E2414" s="204" t="s">
        <v>30</v>
      </c>
      <c r="F2414" s="176" t="s">
        <v>188</v>
      </c>
      <c r="G2414" s="205" t="s">
        <v>4022</v>
      </c>
      <c r="H2414" s="171"/>
    </row>
    <row r="2415" ht="14.25" spans="1:8">
      <c r="A2415" s="176">
        <v>223</v>
      </c>
      <c r="B2415" s="195" t="s">
        <v>4016</v>
      </c>
      <c r="C2415" s="187" t="s">
        <v>32</v>
      </c>
      <c r="D2415" s="173">
        <v>0.04</v>
      </c>
      <c r="E2415" s="204" t="s">
        <v>30</v>
      </c>
      <c r="F2415" s="176" t="s">
        <v>188</v>
      </c>
      <c r="G2415" s="205" t="s">
        <v>4023</v>
      </c>
      <c r="H2415" s="171"/>
    </row>
    <row r="2416" ht="14.25" spans="1:8">
      <c r="A2416" s="176">
        <v>224</v>
      </c>
      <c r="B2416" s="195" t="s">
        <v>4016</v>
      </c>
      <c r="C2416" s="187" t="s">
        <v>32</v>
      </c>
      <c r="D2416" s="173">
        <v>0.04</v>
      </c>
      <c r="E2416" s="204" t="s">
        <v>30</v>
      </c>
      <c r="F2416" s="176" t="s">
        <v>188</v>
      </c>
      <c r="G2416" s="205" t="s">
        <v>4024</v>
      </c>
      <c r="H2416" s="171"/>
    </row>
    <row r="2417" ht="14.25" spans="1:8">
      <c r="A2417" s="176">
        <v>225</v>
      </c>
      <c r="B2417" s="195" t="s">
        <v>4016</v>
      </c>
      <c r="C2417" s="187" t="s">
        <v>32</v>
      </c>
      <c r="D2417" s="173">
        <v>0.04</v>
      </c>
      <c r="E2417" s="204" t="s">
        <v>30</v>
      </c>
      <c r="F2417" s="176" t="s">
        <v>188</v>
      </c>
      <c r="G2417" s="205" t="s">
        <v>4025</v>
      </c>
      <c r="H2417" s="171"/>
    </row>
    <row r="2418" ht="14.25" spans="1:8">
      <c r="A2418" s="176">
        <v>226</v>
      </c>
      <c r="B2418" s="195" t="s">
        <v>4016</v>
      </c>
      <c r="C2418" s="187" t="s">
        <v>32</v>
      </c>
      <c r="D2418" s="173">
        <v>0.04</v>
      </c>
      <c r="E2418" s="204" t="s">
        <v>30</v>
      </c>
      <c r="F2418" s="176" t="s">
        <v>188</v>
      </c>
      <c r="G2418" s="205" t="s">
        <v>4026</v>
      </c>
      <c r="H2418" s="171"/>
    </row>
    <row r="2419" ht="14.25" spans="1:8">
      <c r="A2419" s="176">
        <v>227</v>
      </c>
      <c r="B2419" s="195" t="s">
        <v>4016</v>
      </c>
      <c r="C2419" s="187" t="s">
        <v>32</v>
      </c>
      <c r="D2419" s="173">
        <v>0.04</v>
      </c>
      <c r="E2419" s="204" t="s">
        <v>30</v>
      </c>
      <c r="F2419" s="176" t="s">
        <v>188</v>
      </c>
      <c r="G2419" s="205" t="s">
        <v>4027</v>
      </c>
      <c r="H2419" s="171"/>
    </row>
    <row r="2420" ht="14.25" spans="1:8">
      <c r="A2420" s="176">
        <v>228</v>
      </c>
      <c r="B2420" s="195" t="s">
        <v>4016</v>
      </c>
      <c r="C2420" s="187" t="s">
        <v>32</v>
      </c>
      <c r="D2420" s="173">
        <v>0.04</v>
      </c>
      <c r="E2420" s="204" t="s">
        <v>30</v>
      </c>
      <c r="F2420" s="176" t="s">
        <v>188</v>
      </c>
      <c r="G2420" s="205" t="s">
        <v>4028</v>
      </c>
      <c r="H2420" s="171"/>
    </row>
    <row r="2421" ht="14.25" spans="1:8">
      <c r="A2421" s="176">
        <v>229</v>
      </c>
      <c r="B2421" s="195" t="s">
        <v>4016</v>
      </c>
      <c r="C2421" s="187" t="s">
        <v>32</v>
      </c>
      <c r="D2421" s="173">
        <v>0.04</v>
      </c>
      <c r="E2421" s="204" t="s">
        <v>30</v>
      </c>
      <c r="F2421" s="176" t="s">
        <v>188</v>
      </c>
      <c r="G2421" s="205" t="s">
        <v>4029</v>
      </c>
      <c r="H2421" s="171"/>
    </row>
    <row r="2422" ht="14.25" spans="1:8">
      <c r="A2422" s="176">
        <v>230</v>
      </c>
      <c r="B2422" s="195" t="s">
        <v>4016</v>
      </c>
      <c r="C2422" s="187" t="s">
        <v>32</v>
      </c>
      <c r="D2422" s="173">
        <v>0.04</v>
      </c>
      <c r="E2422" s="204" t="s">
        <v>30</v>
      </c>
      <c r="F2422" s="176" t="s">
        <v>188</v>
      </c>
      <c r="G2422" s="205" t="s">
        <v>4030</v>
      </c>
      <c r="H2422" s="171"/>
    </row>
    <row r="2423" ht="14.25" spans="1:8">
      <c r="A2423" s="176">
        <v>231</v>
      </c>
      <c r="B2423" s="195" t="s">
        <v>4016</v>
      </c>
      <c r="C2423" s="187" t="s">
        <v>32</v>
      </c>
      <c r="D2423" s="173">
        <v>0.04</v>
      </c>
      <c r="E2423" s="204" t="s">
        <v>30</v>
      </c>
      <c r="F2423" s="176" t="s">
        <v>188</v>
      </c>
      <c r="G2423" s="205" t="s">
        <v>4031</v>
      </c>
      <c r="H2423" s="171"/>
    </row>
    <row r="2424" ht="14.25" spans="1:8">
      <c r="A2424" s="176">
        <v>232</v>
      </c>
      <c r="B2424" s="195" t="s">
        <v>4016</v>
      </c>
      <c r="C2424" s="187" t="s">
        <v>32</v>
      </c>
      <c r="D2424" s="173">
        <v>0.04</v>
      </c>
      <c r="E2424" s="204" t="s">
        <v>30</v>
      </c>
      <c r="F2424" s="176" t="s">
        <v>188</v>
      </c>
      <c r="G2424" s="205" t="s">
        <v>4032</v>
      </c>
      <c r="H2424" s="171"/>
    </row>
    <row r="2425" ht="14.25" spans="1:8">
      <c r="A2425" s="176">
        <v>233</v>
      </c>
      <c r="B2425" s="195" t="s">
        <v>4016</v>
      </c>
      <c r="C2425" s="187" t="s">
        <v>32</v>
      </c>
      <c r="D2425" s="173">
        <v>0.04</v>
      </c>
      <c r="E2425" s="204" t="s">
        <v>30</v>
      </c>
      <c r="F2425" s="176" t="s">
        <v>188</v>
      </c>
      <c r="G2425" s="205" t="s">
        <v>4033</v>
      </c>
      <c r="H2425" s="171"/>
    </row>
    <row r="2426" ht="14.25" spans="1:8">
      <c r="A2426" s="176">
        <v>234</v>
      </c>
      <c r="B2426" s="195" t="s">
        <v>4016</v>
      </c>
      <c r="C2426" s="187" t="s">
        <v>32</v>
      </c>
      <c r="D2426" s="173">
        <v>0.04</v>
      </c>
      <c r="E2426" s="204" t="s">
        <v>30</v>
      </c>
      <c r="F2426" s="176" t="s">
        <v>188</v>
      </c>
      <c r="G2426" s="205" t="s">
        <v>4034</v>
      </c>
      <c r="H2426" s="171"/>
    </row>
    <row r="2427" ht="14.25" spans="1:8">
      <c r="A2427" s="176">
        <v>235</v>
      </c>
      <c r="B2427" s="195" t="s">
        <v>4016</v>
      </c>
      <c r="C2427" s="187" t="s">
        <v>32</v>
      </c>
      <c r="D2427" s="173">
        <v>0.04</v>
      </c>
      <c r="E2427" s="204" t="s">
        <v>30</v>
      </c>
      <c r="F2427" s="176" t="s">
        <v>188</v>
      </c>
      <c r="G2427" s="205" t="s">
        <v>4035</v>
      </c>
      <c r="H2427" s="171"/>
    </row>
    <row r="2428" ht="14.25" spans="1:8">
      <c r="A2428" s="176">
        <v>236</v>
      </c>
      <c r="B2428" s="195" t="s">
        <v>4016</v>
      </c>
      <c r="C2428" s="187" t="s">
        <v>32</v>
      </c>
      <c r="D2428" s="173">
        <v>0.04</v>
      </c>
      <c r="E2428" s="204" t="s">
        <v>30</v>
      </c>
      <c r="F2428" s="176" t="s">
        <v>188</v>
      </c>
      <c r="G2428" s="205" t="s">
        <v>4036</v>
      </c>
      <c r="H2428" s="171"/>
    </row>
    <row r="2429" ht="14.25" spans="1:8">
      <c r="A2429" s="176">
        <v>237</v>
      </c>
      <c r="B2429" s="195" t="s">
        <v>4016</v>
      </c>
      <c r="C2429" s="187" t="s">
        <v>32</v>
      </c>
      <c r="D2429" s="173">
        <v>0.04</v>
      </c>
      <c r="E2429" s="204" t="s">
        <v>30</v>
      </c>
      <c r="F2429" s="176" t="s">
        <v>188</v>
      </c>
      <c r="G2429" s="205" t="s">
        <v>4037</v>
      </c>
      <c r="H2429" s="171"/>
    </row>
    <row r="2430" ht="14.25" spans="1:8">
      <c r="A2430" s="176">
        <v>238</v>
      </c>
      <c r="B2430" s="195" t="s">
        <v>4016</v>
      </c>
      <c r="C2430" s="187" t="s">
        <v>32</v>
      </c>
      <c r="D2430" s="173">
        <v>0.04</v>
      </c>
      <c r="E2430" s="204" t="s">
        <v>30</v>
      </c>
      <c r="F2430" s="176" t="s">
        <v>188</v>
      </c>
      <c r="G2430" s="205" t="s">
        <v>4038</v>
      </c>
      <c r="H2430" s="171"/>
    </row>
    <row r="2431" ht="14.25" spans="1:8">
      <c r="A2431" s="176">
        <v>239</v>
      </c>
      <c r="B2431" s="195" t="s">
        <v>4016</v>
      </c>
      <c r="C2431" s="187" t="s">
        <v>32</v>
      </c>
      <c r="D2431" s="173">
        <v>0.04</v>
      </c>
      <c r="E2431" s="204" t="s">
        <v>30</v>
      </c>
      <c r="F2431" s="176" t="s">
        <v>188</v>
      </c>
      <c r="G2431" s="205" t="s">
        <v>4039</v>
      </c>
      <c r="H2431" s="171"/>
    </row>
    <row r="2432" ht="14.25" spans="1:8">
      <c r="A2432" s="176">
        <v>240</v>
      </c>
      <c r="B2432" s="250" t="s">
        <v>4040</v>
      </c>
      <c r="C2432" s="187" t="s">
        <v>32</v>
      </c>
      <c r="D2432" s="173">
        <v>0.09</v>
      </c>
      <c r="E2432" s="204" t="s">
        <v>30</v>
      </c>
      <c r="F2432" s="176" t="s">
        <v>188</v>
      </c>
      <c r="G2432" s="196" t="s">
        <v>4041</v>
      </c>
      <c r="H2432" s="171"/>
    </row>
    <row r="2433" ht="14.25" spans="1:8">
      <c r="A2433" s="176">
        <v>241</v>
      </c>
      <c r="B2433" s="195" t="s">
        <v>4042</v>
      </c>
      <c r="C2433" s="187" t="s">
        <v>32</v>
      </c>
      <c r="D2433" s="173">
        <v>0.04</v>
      </c>
      <c r="E2433" s="204" t="s">
        <v>30</v>
      </c>
      <c r="F2433" s="176" t="s">
        <v>188</v>
      </c>
      <c r="G2433" s="205" t="s">
        <v>4043</v>
      </c>
      <c r="H2433" s="171"/>
    </row>
    <row r="2434" ht="14.25" spans="1:8">
      <c r="A2434" s="176">
        <v>242</v>
      </c>
      <c r="B2434" s="195" t="s">
        <v>4042</v>
      </c>
      <c r="C2434" s="187" t="s">
        <v>32</v>
      </c>
      <c r="D2434" s="173">
        <v>0.04</v>
      </c>
      <c r="E2434" s="204" t="s">
        <v>30</v>
      </c>
      <c r="F2434" s="176" t="s">
        <v>188</v>
      </c>
      <c r="G2434" s="205" t="s">
        <v>4044</v>
      </c>
      <c r="H2434" s="171"/>
    </row>
    <row r="2435" ht="14.25" spans="1:8">
      <c r="A2435" s="176">
        <v>243</v>
      </c>
      <c r="B2435" s="195" t="s">
        <v>4042</v>
      </c>
      <c r="C2435" s="187" t="s">
        <v>32</v>
      </c>
      <c r="D2435" s="173">
        <v>0.04</v>
      </c>
      <c r="E2435" s="204" t="s">
        <v>30</v>
      </c>
      <c r="F2435" s="176" t="s">
        <v>188</v>
      </c>
      <c r="G2435" s="205" t="s">
        <v>4045</v>
      </c>
      <c r="H2435" s="171"/>
    </row>
    <row r="2436" ht="14.25" spans="1:8">
      <c r="A2436" s="176">
        <v>244</v>
      </c>
      <c r="B2436" s="195" t="s">
        <v>4042</v>
      </c>
      <c r="C2436" s="187" t="s">
        <v>32</v>
      </c>
      <c r="D2436" s="173">
        <v>0.04</v>
      </c>
      <c r="E2436" s="204" t="s">
        <v>30</v>
      </c>
      <c r="F2436" s="176" t="s">
        <v>188</v>
      </c>
      <c r="G2436" s="205" t="s">
        <v>4046</v>
      </c>
      <c r="H2436" s="171"/>
    </row>
    <row r="2437" ht="14.25" spans="1:8">
      <c r="A2437" s="176">
        <v>245</v>
      </c>
      <c r="B2437" s="195" t="s">
        <v>4042</v>
      </c>
      <c r="C2437" s="187" t="s">
        <v>32</v>
      </c>
      <c r="D2437" s="173">
        <v>0.04</v>
      </c>
      <c r="E2437" s="204" t="s">
        <v>30</v>
      </c>
      <c r="F2437" s="176" t="s">
        <v>188</v>
      </c>
      <c r="G2437" s="205" t="s">
        <v>4047</v>
      </c>
      <c r="H2437" s="171"/>
    </row>
    <row r="2438" ht="14.25" spans="1:8">
      <c r="A2438" s="176">
        <v>246</v>
      </c>
      <c r="B2438" s="195" t="s">
        <v>4042</v>
      </c>
      <c r="C2438" s="187" t="s">
        <v>32</v>
      </c>
      <c r="D2438" s="173">
        <v>0.04</v>
      </c>
      <c r="E2438" s="204" t="s">
        <v>30</v>
      </c>
      <c r="F2438" s="176" t="s">
        <v>188</v>
      </c>
      <c r="G2438" s="205" t="s">
        <v>4048</v>
      </c>
      <c r="H2438" s="171"/>
    </row>
    <row r="2439" ht="14.25" spans="1:8">
      <c r="A2439" s="176">
        <v>247</v>
      </c>
      <c r="B2439" s="195" t="s">
        <v>4042</v>
      </c>
      <c r="C2439" s="187" t="s">
        <v>32</v>
      </c>
      <c r="D2439" s="173">
        <v>0.04</v>
      </c>
      <c r="E2439" s="204" t="s">
        <v>30</v>
      </c>
      <c r="F2439" s="176" t="s">
        <v>188</v>
      </c>
      <c r="G2439" s="205" t="s">
        <v>4049</v>
      </c>
      <c r="H2439" s="171"/>
    </row>
    <row r="2440" ht="14.25" spans="1:8">
      <c r="A2440" s="176">
        <v>248</v>
      </c>
      <c r="B2440" s="195" t="s">
        <v>4042</v>
      </c>
      <c r="C2440" s="187" t="s">
        <v>32</v>
      </c>
      <c r="D2440" s="173">
        <v>0.04</v>
      </c>
      <c r="E2440" s="204" t="s">
        <v>30</v>
      </c>
      <c r="F2440" s="176" t="s">
        <v>188</v>
      </c>
      <c r="G2440" s="205" t="s">
        <v>4050</v>
      </c>
      <c r="H2440" s="171"/>
    </row>
    <row r="2441" ht="14.25" spans="1:8">
      <c r="A2441" s="176">
        <v>249</v>
      </c>
      <c r="B2441" s="195" t="s">
        <v>4042</v>
      </c>
      <c r="C2441" s="187" t="s">
        <v>32</v>
      </c>
      <c r="D2441" s="173">
        <v>0.04</v>
      </c>
      <c r="E2441" s="204" t="s">
        <v>30</v>
      </c>
      <c r="F2441" s="176" t="s">
        <v>188</v>
      </c>
      <c r="G2441" s="205" t="s">
        <v>4051</v>
      </c>
      <c r="H2441" s="171"/>
    </row>
    <row r="2442" ht="14.25" spans="1:8">
      <c r="A2442" s="176">
        <v>250</v>
      </c>
      <c r="B2442" s="195" t="s">
        <v>4042</v>
      </c>
      <c r="C2442" s="187" t="s">
        <v>32</v>
      </c>
      <c r="D2442" s="173">
        <v>0.04</v>
      </c>
      <c r="E2442" s="204" t="s">
        <v>30</v>
      </c>
      <c r="F2442" s="176" t="s">
        <v>188</v>
      </c>
      <c r="G2442" s="205" t="s">
        <v>4052</v>
      </c>
      <c r="H2442" s="171"/>
    </row>
    <row r="2443" ht="14.25" spans="1:8">
      <c r="A2443" s="176">
        <v>251</v>
      </c>
      <c r="B2443" s="195" t="s">
        <v>4042</v>
      </c>
      <c r="C2443" s="187" t="s">
        <v>32</v>
      </c>
      <c r="D2443" s="173">
        <v>0.04</v>
      </c>
      <c r="E2443" s="204" t="s">
        <v>30</v>
      </c>
      <c r="F2443" s="176" t="s">
        <v>188</v>
      </c>
      <c r="G2443" s="205" t="s">
        <v>4053</v>
      </c>
      <c r="H2443" s="171"/>
    </row>
    <row r="2444" ht="14.25" spans="1:8">
      <c r="A2444" s="176">
        <v>252</v>
      </c>
      <c r="B2444" s="195" t="s">
        <v>4042</v>
      </c>
      <c r="C2444" s="187" t="s">
        <v>32</v>
      </c>
      <c r="D2444" s="173">
        <v>0.04</v>
      </c>
      <c r="E2444" s="204" t="s">
        <v>30</v>
      </c>
      <c r="F2444" s="176" t="s">
        <v>188</v>
      </c>
      <c r="G2444" s="205" t="s">
        <v>4054</v>
      </c>
      <c r="H2444" s="171"/>
    </row>
    <row r="2445" ht="14.25" spans="1:8">
      <c r="A2445" s="176">
        <v>253</v>
      </c>
      <c r="B2445" s="195" t="s">
        <v>4042</v>
      </c>
      <c r="C2445" s="187" t="s">
        <v>32</v>
      </c>
      <c r="D2445" s="173">
        <v>0.04</v>
      </c>
      <c r="E2445" s="204" t="s">
        <v>30</v>
      </c>
      <c r="F2445" s="176" t="s">
        <v>188</v>
      </c>
      <c r="G2445" s="205" t="s">
        <v>4055</v>
      </c>
      <c r="H2445" s="171"/>
    </row>
    <row r="2446" ht="14.25" spans="1:8">
      <c r="A2446" s="176">
        <v>254</v>
      </c>
      <c r="B2446" s="195" t="s">
        <v>4042</v>
      </c>
      <c r="C2446" s="187" t="s">
        <v>32</v>
      </c>
      <c r="D2446" s="173">
        <v>0.04</v>
      </c>
      <c r="E2446" s="204" t="s">
        <v>30</v>
      </c>
      <c r="F2446" s="176" t="s">
        <v>188</v>
      </c>
      <c r="G2446" s="205" t="s">
        <v>4056</v>
      </c>
      <c r="H2446" s="171"/>
    </row>
    <row r="2447" ht="14.25" spans="1:8">
      <c r="A2447" s="176">
        <v>255</v>
      </c>
      <c r="B2447" s="195" t="s">
        <v>4042</v>
      </c>
      <c r="C2447" s="187" t="s">
        <v>32</v>
      </c>
      <c r="D2447" s="173">
        <v>0.04</v>
      </c>
      <c r="E2447" s="204" t="s">
        <v>30</v>
      </c>
      <c r="F2447" s="176" t="s">
        <v>188</v>
      </c>
      <c r="G2447" s="205" t="s">
        <v>4057</v>
      </c>
      <c r="H2447" s="171"/>
    </row>
    <row r="2448" ht="14.25" spans="1:8">
      <c r="A2448" s="176">
        <v>256</v>
      </c>
      <c r="B2448" s="195" t="s">
        <v>4042</v>
      </c>
      <c r="C2448" s="187" t="s">
        <v>32</v>
      </c>
      <c r="D2448" s="173">
        <v>0.04</v>
      </c>
      <c r="E2448" s="204" t="s">
        <v>30</v>
      </c>
      <c r="F2448" s="176" t="s">
        <v>188</v>
      </c>
      <c r="G2448" s="205" t="s">
        <v>4058</v>
      </c>
      <c r="H2448" s="171"/>
    </row>
    <row r="2449" ht="14.25" spans="1:8">
      <c r="A2449" s="176">
        <v>257</v>
      </c>
      <c r="B2449" s="195" t="s">
        <v>4042</v>
      </c>
      <c r="C2449" s="187" t="s">
        <v>32</v>
      </c>
      <c r="D2449" s="173">
        <v>0.04</v>
      </c>
      <c r="E2449" s="204" t="s">
        <v>30</v>
      </c>
      <c r="F2449" s="176" t="s">
        <v>188</v>
      </c>
      <c r="G2449" s="205" t="s">
        <v>4059</v>
      </c>
      <c r="H2449" s="171"/>
    </row>
    <row r="2450" ht="14.25" spans="1:8">
      <c r="A2450" s="176">
        <v>258</v>
      </c>
      <c r="B2450" s="195" t="s">
        <v>4042</v>
      </c>
      <c r="C2450" s="187" t="s">
        <v>32</v>
      </c>
      <c r="D2450" s="173">
        <v>0.04</v>
      </c>
      <c r="E2450" s="204" t="s">
        <v>30</v>
      </c>
      <c r="F2450" s="176" t="s">
        <v>188</v>
      </c>
      <c r="G2450" s="205" t="s">
        <v>4060</v>
      </c>
      <c r="H2450" s="171"/>
    </row>
    <row r="2451" ht="14.25" spans="1:8">
      <c r="A2451" s="176">
        <v>259</v>
      </c>
      <c r="B2451" s="195" t="s">
        <v>4042</v>
      </c>
      <c r="C2451" s="187" t="s">
        <v>32</v>
      </c>
      <c r="D2451" s="173">
        <v>0.04</v>
      </c>
      <c r="E2451" s="204" t="s">
        <v>30</v>
      </c>
      <c r="F2451" s="176" t="s">
        <v>188</v>
      </c>
      <c r="G2451" s="205" t="s">
        <v>4061</v>
      </c>
      <c r="H2451" s="171"/>
    </row>
    <row r="2452" ht="14.25" spans="1:8">
      <c r="A2452" s="176">
        <v>260</v>
      </c>
      <c r="B2452" s="195" t="s">
        <v>4042</v>
      </c>
      <c r="C2452" s="187" t="s">
        <v>32</v>
      </c>
      <c r="D2452" s="173">
        <v>0.04</v>
      </c>
      <c r="E2452" s="204" t="s">
        <v>30</v>
      </c>
      <c r="F2452" s="176" t="s">
        <v>188</v>
      </c>
      <c r="G2452" s="205" t="s">
        <v>4062</v>
      </c>
      <c r="H2452" s="171"/>
    </row>
    <row r="2453" ht="14.25" spans="1:8">
      <c r="A2453" s="176">
        <v>261</v>
      </c>
      <c r="B2453" s="195" t="s">
        <v>4042</v>
      </c>
      <c r="C2453" s="187" t="s">
        <v>32</v>
      </c>
      <c r="D2453" s="173">
        <v>0.04</v>
      </c>
      <c r="E2453" s="204" t="s">
        <v>30</v>
      </c>
      <c r="F2453" s="176" t="s">
        <v>188</v>
      </c>
      <c r="G2453" s="205" t="s">
        <v>4063</v>
      </c>
      <c r="H2453" s="171"/>
    </row>
    <row r="2454" ht="14.25" spans="1:8">
      <c r="A2454" s="176">
        <v>262</v>
      </c>
      <c r="B2454" s="195" t="s">
        <v>4042</v>
      </c>
      <c r="C2454" s="187" t="s">
        <v>32</v>
      </c>
      <c r="D2454" s="173">
        <v>0.04</v>
      </c>
      <c r="E2454" s="204" t="s">
        <v>30</v>
      </c>
      <c r="F2454" s="176" t="s">
        <v>188</v>
      </c>
      <c r="G2454" s="205" t="s">
        <v>4064</v>
      </c>
      <c r="H2454" s="171"/>
    </row>
    <row r="2455" ht="14.25" spans="1:8">
      <c r="A2455" s="176">
        <v>263</v>
      </c>
      <c r="B2455" s="195" t="s">
        <v>4042</v>
      </c>
      <c r="C2455" s="187" t="s">
        <v>32</v>
      </c>
      <c r="D2455" s="173">
        <v>0.04</v>
      </c>
      <c r="E2455" s="204" t="s">
        <v>30</v>
      </c>
      <c r="F2455" s="176" t="s">
        <v>188</v>
      </c>
      <c r="G2455" s="205" t="s">
        <v>4065</v>
      </c>
      <c r="H2455" s="171"/>
    </row>
    <row r="2456" ht="14.25" spans="1:8">
      <c r="A2456" s="176">
        <v>264</v>
      </c>
      <c r="B2456" s="195" t="s">
        <v>4042</v>
      </c>
      <c r="C2456" s="187" t="s">
        <v>32</v>
      </c>
      <c r="D2456" s="173">
        <v>0.04</v>
      </c>
      <c r="E2456" s="204" t="s">
        <v>30</v>
      </c>
      <c r="F2456" s="176" t="s">
        <v>188</v>
      </c>
      <c r="G2456" s="205" t="s">
        <v>4066</v>
      </c>
      <c r="H2456" s="171"/>
    </row>
    <row r="2457" ht="14.25" spans="1:8">
      <c r="A2457" s="176">
        <v>265</v>
      </c>
      <c r="B2457" s="195" t="s">
        <v>4042</v>
      </c>
      <c r="C2457" s="187" t="s">
        <v>32</v>
      </c>
      <c r="D2457" s="173">
        <v>0.04</v>
      </c>
      <c r="E2457" s="204" t="s">
        <v>30</v>
      </c>
      <c r="F2457" s="176" t="s">
        <v>188</v>
      </c>
      <c r="G2457" s="205" t="s">
        <v>4067</v>
      </c>
      <c r="H2457" s="171"/>
    </row>
    <row r="2458" ht="14.25" spans="1:8">
      <c r="A2458" s="176">
        <v>266</v>
      </c>
      <c r="B2458" s="195" t="s">
        <v>4042</v>
      </c>
      <c r="C2458" s="187" t="s">
        <v>32</v>
      </c>
      <c r="D2458" s="173">
        <v>0.04</v>
      </c>
      <c r="E2458" s="204" t="s">
        <v>30</v>
      </c>
      <c r="F2458" s="176" t="s">
        <v>188</v>
      </c>
      <c r="G2458" s="205" t="s">
        <v>4068</v>
      </c>
      <c r="H2458" s="171"/>
    </row>
    <row r="2459" ht="14.25" spans="1:8">
      <c r="A2459" s="176">
        <v>267</v>
      </c>
      <c r="B2459" s="195" t="s">
        <v>4042</v>
      </c>
      <c r="C2459" s="187" t="s">
        <v>32</v>
      </c>
      <c r="D2459" s="173">
        <v>0.04</v>
      </c>
      <c r="E2459" s="204" t="s">
        <v>30</v>
      </c>
      <c r="F2459" s="176" t="s">
        <v>188</v>
      </c>
      <c r="G2459" s="205" t="s">
        <v>4069</v>
      </c>
      <c r="H2459" s="171"/>
    </row>
    <row r="2460" ht="14.25" spans="1:8">
      <c r="A2460" s="176">
        <v>268</v>
      </c>
      <c r="B2460" s="197" t="s">
        <v>4070</v>
      </c>
      <c r="C2460" s="187" t="s">
        <v>32</v>
      </c>
      <c r="D2460" s="173">
        <v>0.09</v>
      </c>
      <c r="E2460" s="204" t="s">
        <v>30</v>
      </c>
      <c r="F2460" s="176" t="s">
        <v>188</v>
      </c>
      <c r="G2460" s="205" t="s">
        <v>4071</v>
      </c>
      <c r="H2460" s="171"/>
    </row>
    <row r="2461" ht="14.25" spans="1:8">
      <c r="A2461" s="176">
        <v>269</v>
      </c>
      <c r="B2461" s="197" t="s">
        <v>4072</v>
      </c>
      <c r="C2461" s="187" t="s">
        <v>32</v>
      </c>
      <c r="D2461" s="173">
        <v>0.09</v>
      </c>
      <c r="E2461" s="204" t="s">
        <v>30</v>
      </c>
      <c r="F2461" s="176" t="s">
        <v>188</v>
      </c>
      <c r="G2461" s="205" t="s">
        <v>4073</v>
      </c>
      <c r="H2461" s="171"/>
    </row>
    <row r="2462" ht="14.25" spans="1:8">
      <c r="A2462" s="176">
        <v>270</v>
      </c>
      <c r="B2462" s="197" t="s">
        <v>4074</v>
      </c>
      <c r="C2462" s="187" t="s">
        <v>32</v>
      </c>
      <c r="D2462" s="173">
        <v>0.18</v>
      </c>
      <c r="E2462" s="204" t="s">
        <v>30</v>
      </c>
      <c r="F2462" s="176" t="s">
        <v>188</v>
      </c>
      <c r="G2462" s="205" t="s">
        <v>4075</v>
      </c>
      <c r="H2462" s="171"/>
    </row>
    <row r="2463" ht="14.25" spans="1:8">
      <c r="A2463" s="176">
        <v>271</v>
      </c>
      <c r="B2463" s="197" t="s">
        <v>4076</v>
      </c>
      <c r="C2463" s="187" t="s">
        <v>32</v>
      </c>
      <c r="D2463" s="173">
        <v>0.04</v>
      </c>
      <c r="E2463" s="204" t="s">
        <v>30</v>
      </c>
      <c r="F2463" s="176" t="s">
        <v>188</v>
      </c>
      <c r="G2463" s="205" t="s">
        <v>4077</v>
      </c>
      <c r="H2463" s="171"/>
    </row>
    <row r="2464" ht="14.25" spans="1:8">
      <c r="A2464" s="176">
        <v>272</v>
      </c>
      <c r="B2464" s="197" t="s">
        <v>4076</v>
      </c>
      <c r="C2464" s="187" t="s">
        <v>32</v>
      </c>
      <c r="D2464" s="173">
        <v>0.04</v>
      </c>
      <c r="E2464" s="204" t="s">
        <v>30</v>
      </c>
      <c r="F2464" s="176" t="s">
        <v>188</v>
      </c>
      <c r="G2464" s="205" t="s">
        <v>4078</v>
      </c>
      <c r="H2464" s="171"/>
    </row>
    <row r="2465" ht="14.25" spans="1:8">
      <c r="A2465" s="176">
        <v>273</v>
      </c>
      <c r="B2465" s="197" t="s">
        <v>4076</v>
      </c>
      <c r="C2465" s="187" t="s">
        <v>32</v>
      </c>
      <c r="D2465" s="173">
        <v>0.04</v>
      </c>
      <c r="E2465" s="204" t="s">
        <v>30</v>
      </c>
      <c r="F2465" s="176" t="s">
        <v>188</v>
      </c>
      <c r="G2465" s="205" t="s">
        <v>4079</v>
      </c>
      <c r="H2465" s="171"/>
    </row>
    <row r="2466" ht="14.25" spans="1:8">
      <c r="A2466" s="176">
        <v>274</v>
      </c>
      <c r="B2466" s="197" t="s">
        <v>4076</v>
      </c>
      <c r="C2466" s="187" t="s">
        <v>32</v>
      </c>
      <c r="D2466" s="173">
        <v>0.04</v>
      </c>
      <c r="E2466" s="204" t="s">
        <v>30</v>
      </c>
      <c r="F2466" s="176" t="s">
        <v>188</v>
      </c>
      <c r="G2466" s="205" t="s">
        <v>4080</v>
      </c>
      <c r="H2466" s="171"/>
    </row>
    <row r="2467" ht="14.25" spans="1:8">
      <c r="A2467" s="176">
        <v>275</v>
      </c>
      <c r="B2467" s="197" t="s">
        <v>4076</v>
      </c>
      <c r="C2467" s="187" t="s">
        <v>32</v>
      </c>
      <c r="D2467" s="173">
        <v>0.04</v>
      </c>
      <c r="E2467" s="204" t="s">
        <v>30</v>
      </c>
      <c r="F2467" s="176" t="s">
        <v>188</v>
      </c>
      <c r="G2467" s="205" t="s">
        <v>4081</v>
      </c>
      <c r="H2467" s="171"/>
    </row>
    <row r="2468" ht="14.25" spans="1:8">
      <c r="A2468" s="176">
        <v>276</v>
      </c>
      <c r="B2468" s="197" t="s">
        <v>4076</v>
      </c>
      <c r="C2468" s="187" t="s">
        <v>32</v>
      </c>
      <c r="D2468" s="173">
        <v>0.04</v>
      </c>
      <c r="E2468" s="204" t="s">
        <v>30</v>
      </c>
      <c r="F2468" s="176" t="s">
        <v>188</v>
      </c>
      <c r="G2468" s="205" t="s">
        <v>4082</v>
      </c>
      <c r="H2468" s="171"/>
    </row>
    <row r="2469" ht="14.25" spans="1:8">
      <c r="A2469" s="176">
        <v>277</v>
      </c>
      <c r="B2469" s="197" t="s">
        <v>4076</v>
      </c>
      <c r="C2469" s="187" t="s">
        <v>32</v>
      </c>
      <c r="D2469" s="173">
        <v>0.04</v>
      </c>
      <c r="E2469" s="204" t="s">
        <v>30</v>
      </c>
      <c r="F2469" s="176" t="s">
        <v>188</v>
      </c>
      <c r="G2469" s="205" t="s">
        <v>4083</v>
      </c>
      <c r="H2469" s="171"/>
    </row>
    <row r="2470" ht="14.25" spans="1:8">
      <c r="A2470" s="176">
        <v>278</v>
      </c>
      <c r="B2470" s="197" t="s">
        <v>4076</v>
      </c>
      <c r="C2470" s="187" t="s">
        <v>32</v>
      </c>
      <c r="D2470" s="173">
        <v>0.04</v>
      </c>
      <c r="E2470" s="204" t="s">
        <v>30</v>
      </c>
      <c r="F2470" s="176" t="s">
        <v>188</v>
      </c>
      <c r="G2470" s="205" t="s">
        <v>4084</v>
      </c>
      <c r="H2470" s="171"/>
    </row>
    <row r="2471" ht="14.25" spans="1:8">
      <c r="A2471" s="176">
        <v>279</v>
      </c>
      <c r="B2471" s="197" t="s">
        <v>4076</v>
      </c>
      <c r="C2471" s="187" t="s">
        <v>32</v>
      </c>
      <c r="D2471" s="173">
        <v>0.04</v>
      </c>
      <c r="E2471" s="204" t="s">
        <v>30</v>
      </c>
      <c r="F2471" s="176" t="s">
        <v>188</v>
      </c>
      <c r="G2471" s="205" t="s">
        <v>4085</v>
      </c>
      <c r="H2471" s="171"/>
    </row>
    <row r="2472" ht="14.25" spans="1:8">
      <c r="A2472" s="176">
        <v>280</v>
      </c>
      <c r="B2472" s="197" t="s">
        <v>4076</v>
      </c>
      <c r="C2472" s="187" t="s">
        <v>32</v>
      </c>
      <c r="D2472" s="173">
        <v>0.04</v>
      </c>
      <c r="E2472" s="204" t="s">
        <v>30</v>
      </c>
      <c r="F2472" s="176" t="s">
        <v>188</v>
      </c>
      <c r="G2472" s="205" t="s">
        <v>4086</v>
      </c>
      <c r="H2472" s="171"/>
    </row>
    <row r="2473" ht="14.25" spans="1:8">
      <c r="A2473" s="176">
        <v>281</v>
      </c>
      <c r="B2473" s="197" t="s">
        <v>4076</v>
      </c>
      <c r="C2473" s="187" t="s">
        <v>32</v>
      </c>
      <c r="D2473" s="173">
        <v>0.04</v>
      </c>
      <c r="E2473" s="204" t="s">
        <v>30</v>
      </c>
      <c r="F2473" s="176" t="s">
        <v>188</v>
      </c>
      <c r="G2473" s="205" t="s">
        <v>4087</v>
      </c>
      <c r="H2473" s="171"/>
    </row>
    <row r="2474" ht="14.25" spans="1:8">
      <c r="A2474" s="176">
        <v>282</v>
      </c>
      <c r="B2474" s="197" t="s">
        <v>4076</v>
      </c>
      <c r="C2474" s="187" t="s">
        <v>32</v>
      </c>
      <c r="D2474" s="173">
        <v>0.04</v>
      </c>
      <c r="E2474" s="204" t="s">
        <v>30</v>
      </c>
      <c r="F2474" s="176" t="s">
        <v>188</v>
      </c>
      <c r="G2474" s="205" t="s">
        <v>4088</v>
      </c>
      <c r="H2474" s="171"/>
    </row>
    <row r="2475" ht="14.25" spans="1:8">
      <c r="A2475" s="176">
        <v>283</v>
      </c>
      <c r="B2475" s="197" t="s">
        <v>4076</v>
      </c>
      <c r="C2475" s="187" t="s">
        <v>32</v>
      </c>
      <c r="D2475" s="173">
        <v>0.04</v>
      </c>
      <c r="E2475" s="204" t="s">
        <v>30</v>
      </c>
      <c r="F2475" s="176" t="s">
        <v>188</v>
      </c>
      <c r="G2475" s="205" t="s">
        <v>4089</v>
      </c>
      <c r="H2475" s="171"/>
    </row>
    <row r="2476" ht="14.25" spans="1:8">
      <c r="A2476" s="176">
        <v>284</v>
      </c>
      <c r="B2476" s="197" t="s">
        <v>4076</v>
      </c>
      <c r="C2476" s="187" t="s">
        <v>32</v>
      </c>
      <c r="D2476" s="173">
        <v>0.04</v>
      </c>
      <c r="E2476" s="204" t="s">
        <v>30</v>
      </c>
      <c r="F2476" s="176" t="s">
        <v>188</v>
      </c>
      <c r="G2476" s="205" t="s">
        <v>4090</v>
      </c>
      <c r="H2476" s="171"/>
    </row>
    <row r="2477" ht="14.25" spans="1:8">
      <c r="A2477" s="176">
        <v>285</v>
      </c>
      <c r="B2477" s="197" t="s">
        <v>4076</v>
      </c>
      <c r="C2477" s="187" t="s">
        <v>32</v>
      </c>
      <c r="D2477" s="173">
        <v>0.04</v>
      </c>
      <c r="E2477" s="204" t="s">
        <v>30</v>
      </c>
      <c r="F2477" s="176" t="s">
        <v>188</v>
      </c>
      <c r="G2477" s="205" t="s">
        <v>4091</v>
      </c>
      <c r="H2477" s="171"/>
    </row>
    <row r="2478" ht="14.25" spans="1:8">
      <c r="A2478" s="176">
        <v>286</v>
      </c>
      <c r="B2478" s="197" t="s">
        <v>4076</v>
      </c>
      <c r="C2478" s="187" t="s">
        <v>32</v>
      </c>
      <c r="D2478" s="173">
        <v>0.04</v>
      </c>
      <c r="E2478" s="204" t="s">
        <v>30</v>
      </c>
      <c r="F2478" s="176" t="s">
        <v>188</v>
      </c>
      <c r="G2478" s="205" t="s">
        <v>4092</v>
      </c>
      <c r="H2478" s="171"/>
    </row>
    <row r="2479" ht="14.25" spans="1:8">
      <c r="A2479" s="176">
        <v>287</v>
      </c>
      <c r="B2479" s="197" t="s">
        <v>4076</v>
      </c>
      <c r="C2479" s="187" t="s">
        <v>32</v>
      </c>
      <c r="D2479" s="173">
        <v>0.04</v>
      </c>
      <c r="E2479" s="204" t="s">
        <v>30</v>
      </c>
      <c r="F2479" s="176" t="s">
        <v>188</v>
      </c>
      <c r="G2479" s="205" t="s">
        <v>4093</v>
      </c>
      <c r="H2479" s="171"/>
    </row>
    <row r="2480" ht="14.25" spans="1:8">
      <c r="A2480" s="176">
        <v>288</v>
      </c>
      <c r="B2480" s="197" t="s">
        <v>4076</v>
      </c>
      <c r="C2480" s="187" t="s">
        <v>32</v>
      </c>
      <c r="D2480" s="173">
        <v>0.04</v>
      </c>
      <c r="E2480" s="204" t="s">
        <v>30</v>
      </c>
      <c r="F2480" s="176" t="s">
        <v>188</v>
      </c>
      <c r="G2480" s="205" t="s">
        <v>4094</v>
      </c>
      <c r="H2480" s="171"/>
    </row>
    <row r="2481" ht="14.25" spans="1:8">
      <c r="A2481" s="176">
        <v>289</v>
      </c>
      <c r="B2481" s="197" t="s">
        <v>4076</v>
      </c>
      <c r="C2481" s="187" t="s">
        <v>32</v>
      </c>
      <c r="D2481" s="173">
        <v>0.04</v>
      </c>
      <c r="E2481" s="204" t="s">
        <v>30</v>
      </c>
      <c r="F2481" s="176" t="s">
        <v>188</v>
      </c>
      <c r="G2481" s="205" t="s">
        <v>4095</v>
      </c>
      <c r="H2481" s="171"/>
    </row>
    <row r="2482" ht="14.25" spans="1:8">
      <c r="A2482" s="176">
        <v>290</v>
      </c>
      <c r="B2482" s="197" t="s">
        <v>4076</v>
      </c>
      <c r="C2482" s="187" t="s">
        <v>32</v>
      </c>
      <c r="D2482" s="173">
        <v>0.04</v>
      </c>
      <c r="E2482" s="204" t="s">
        <v>30</v>
      </c>
      <c r="F2482" s="176" t="s">
        <v>188</v>
      </c>
      <c r="G2482" s="205" t="s">
        <v>571</v>
      </c>
      <c r="H2482" s="171"/>
    </row>
    <row r="2483" ht="14.25" spans="1:8">
      <c r="A2483" s="176">
        <v>291</v>
      </c>
      <c r="B2483" s="197" t="s">
        <v>4076</v>
      </c>
      <c r="C2483" s="187" t="s">
        <v>32</v>
      </c>
      <c r="D2483" s="173">
        <v>0.04</v>
      </c>
      <c r="E2483" s="204" t="s">
        <v>30</v>
      </c>
      <c r="F2483" s="176" t="s">
        <v>188</v>
      </c>
      <c r="G2483" s="205" t="s">
        <v>4096</v>
      </c>
      <c r="H2483" s="171"/>
    </row>
    <row r="2484" ht="14.25" spans="1:8">
      <c r="A2484" s="176">
        <v>292</v>
      </c>
      <c r="B2484" s="197" t="s">
        <v>4076</v>
      </c>
      <c r="C2484" s="187" t="s">
        <v>32</v>
      </c>
      <c r="D2484" s="173">
        <v>0.04</v>
      </c>
      <c r="E2484" s="204" t="s">
        <v>30</v>
      </c>
      <c r="F2484" s="176" t="s">
        <v>188</v>
      </c>
      <c r="G2484" s="205" t="s">
        <v>4097</v>
      </c>
      <c r="H2484" s="171"/>
    </row>
    <row r="2485" ht="14.25" spans="1:8">
      <c r="A2485" s="176">
        <v>293</v>
      </c>
      <c r="B2485" s="197" t="s">
        <v>4076</v>
      </c>
      <c r="C2485" s="187" t="s">
        <v>32</v>
      </c>
      <c r="D2485" s="173">
        <v>0.04</v>
      </c>
      <c r="E2485" s="204" t="s">
        <v>30</v>
      </c>
      <c r="F2485" s="176" t="s">
        <v>188</v>
      </c>
      <c r="G2485" s="205" t="s">
        <v>4098</v>
      </c>
      <c r="H2485" s="171"/>
    </row>
    <row r="2486" ht="14.25" spans="1:8">
      <c r="A2486" s="176">
        <v>294</v>
      </c>
      <c r="B2486" s="197" t="s">
        <v>4076</v>
      </c>
      <c r="C2486" s="187" t="s">
        <v>32</v>
      </c>
      <c r="D2486" s="173">
        <v>0.04</v>
      </c>
      <c r="E2486" s="204" t="s">
        <v>30</v>
      </c>
      <c r="F2486" s="176" t="s">
        <v>188</v>
      </c>
      <c r="G2486" s="205" t="s">
        <v>4099</v>
      </c>
      <c r="H2486" s="171"/>
    </row>
    <row r="2487" ht="14.25" spans="1:8">
      <c r="A2487" s="176">
        <v>295</v>
      </c>
      <c r="B2487" s="197" t="s">
        <v>4076</v>
      </c>
      <c r="C2487" s="187" t="s">
        <v>32</v>
      </c>
      <c r="D2487" s="173">
        <v>0.04</v>
      </c>
      <c r="E2487" s="204" t="s">
        <v>30</v>
      </c>
      <c r="F2487" s="176" t="s">
        <v>188</v>
      </c>
      <c r="G2487" s="205" t="s">
        <v>4100</v>
      </c>
      <c r="H2487" s="171"/>
    </row>
    <row r="2488" ht="14.25" spans="1:8">
      <c r="A2488" s="176">
        <v>296</v>
      </c>
      <c r="B2488" s="197" t="s">
        <v>4076</v>
      </c>
      <c r="C2488" s="187" t="s">
        <v>32</v>
      </c>
      <c r="D2488" s="173">
        <v>0.04</v>
      </c>
      <c r="E2488" s="204" t="s">
        <v>30</v>
      </c>
      <c r="F2488" s="176" t="s">
        <v>188</v>
      </c>
      <c r="G2488" s="205" t="s">
        <v>4101</v>
      </c>
      <c r="H2488" s="171"/>
    </row>
    <row r="2489" ht="14.25" spans="1:8">
      <c r="A2489" s="176">
        <v>297</v>
      </c>
      <c r="B2489" s="197" t="s">
        <v>4076</v>
      </c>
      <c r="C2489" s="187" t="s">
        <v>32</v>
      </c>
      <c r="D2489" s="173">
        <v>0.04</v>
      </c>
      <c r="E2489" s="204" t="s">
        <v>30</v>
      </c>
      <c r="F2489" s="176" t="s">
        <v>188</v>
      </c>
      <c r="G2489" s="205" t="s">
        <v>4102</v>
      </c>
      <c r="H2489" s="171"/>
    </row>
    <row r="2490" ht="14.25" spans="1:8">
      <c r="A2490" s="176">
        <v>298</v>
      </c>
      <c r="B2490" s="197" t="s">
        <v>4076</v>
      </c>
      <c r="C2490" s="187" t="s">
        <v>32</v>
      </c>
      <c r="D2490" s="173">
        <v>0.04</v>
      </c>
      <c r="E2490" s="204" t="s">
        <v>30</v>
      </c>
      <c r="F2490" s="176" t="s">
        <v>188</v>
      </c>
      <c r="G2490" s="205" t="s">
        <v>4103</v>
      </c>
      <c r="H2490" s="171"/>
    </row>
    <row r="2491" ht="14.25" spans="1:8">
      <c r="A2491" s="176">
        <v>299</v>
      </c>
      <c r="B2491" s="197" t="s">
        <v>4076</v>
      </c>
      <c r="C2491" s="187" t="s">
        <v>32</v>
      </c>
      <c r="D2491" s="173">
        <v>0.04</v>
      </c>
      <c r="E2491" s="204" t="s">
        <v>30</v>
      </c>
      <c r="F2491" s="176" t="s">
        <v>188</v>
      </c>
      <c r="G2491" s="205" t="s">
        <v>4104</v>
      </c>
      <c r="H2491" s="171"/>
    </row>
    <row r="2492" ht="14.25" spans="1:8">
      <c r="A2492" s="176">
        <v>300</v>
      </c>
      <c r="B2492" s="197" t="s">
        <v>4076</v>
      </c>
      <c r="C2492" s="187" t="s">
        <v>32</v>
      </c>
      <c r="D2492" s="173">
        <v>0.04</v>
      </c>
      <c r="E2492" s="204" t="s">
        <v>30</v>
      </c>
      <c r="F2492" s="176" t="s">
        <v>188</v>
      </c>
      <c r="G2492" s="205" t="s">
        <v>4105</v>
      </c>
      <c r="H2492" s="171"/>
    </row>
    <row r="2493" ht="14.25" spans="1:8">
      <c r="A2493" s="176">
        <v>301</v>
      </c>
      <c r="B2493" s="197" t="s">
        <v>4076</v>
      </c>
      <c r="C2493" s="187" t="s">
        <v>32</v>
      </c>
      <c r="D2493" s="173">
        <v>0.04</v>
      </c>
      <c r="E2493" s="204" t="s">
        <v>30</v>
      </c>
      <c r="F2493" s="176" t="s">
        <v>188</v>
      </c>
      <c r="G2493" s="205" t="s">
        <v>568</v>
      </c>
      <c r="H2493" s="171"/>
    </row>
    <row r="2494" ht="14.25" spans="1:8">
      <c r="A2494" s="176">
        <v>302</v>
      </c>
      <c r="B2494" s="197" t="s">
        <v>4076</v>
      </c>
      <c r="C2494" s="187" t="s">
        <v>32</v>
      </c>
      <c r="D2494" s="173">
        <v>0.04</v>
      </c>
      <c r="E2494" s="204" t="s">
        <v>30</v>
      </c>
      <c r="F2494" s="176" t="s">
        <v>188</v>
      </c>
      <c r="G2494" s="205" t="s">
        <v>4106</v>
      </c>
      <c r="H2494" s="171"/>
    </row>
    <row r="2495" ht="14.25" spans="1:8">
      <c r="A2495" s="176">
        <v>303</v>
      </c>
      <c r="B2495" s="197" t="s">
        <v>4076</v>
      </c>
      <c r="C2495" s="187" t="s">
        <v>32</v>
      </c>
      <c r="D2495" s="173">
        <v>0.04</v>
      </c>
      <c r="E2495" s="204" t="s">
        <v>30</v>
      </c>
      <c r="F2495" s="176" t="s">
        <v>188</v>
      </c>
      <c r="G2495" s="205" t="s">
        <v>4107</v>
      </c>
      <c r="H2495" s="171"/>
    </row>
    <row r="2496" ht="14.25" spans="1:8">
      <c r="A2496" s="176">
        <v>304</v>
      </c>
      <c r="B2496" s="197" t="s">
        <v>4076</v>
      </c>
      <c r="C2496" s="187" t="s">
        <v>32</v>
      </c>
      <c r="D2496" s="173">
        <v>0.04</v>
      </c>
      <c r="E2496" s="204" t="s">
        <v>30</v>
      </c>
      <c r="F2496" s="176" t="s">
        <v>188</v>
      </c>
      <c r="G2496" s="205" t="s">
        <v>1021</v>
      </c>
      <c r="H2496" s="171"/>
    </row>
    <row r="2497" ht="14.25" spans="1:8">
      <c r="A2497" s="176">
        <v>305</v>
      </c>
      <c r="B2497" s="197" t="s">
        <v>3681</v>
      </c>
      <c r="C2497" s="187" t="s">
        <v>32</v>
      </c>
      <c r="D2497" s="173">
        <v>0.06</v>
      </c>
      <c r="E2497" s="204" t="s">
        <v>30</v>
      </c>
      <c r="F2497" s="176" t="s">
        <v>188</v>
      </c>
      <c r="G2497" s="205" t="s">
        <v>3682</v>
      </c>
      <c r="H2497" s="171"/>
    </row>
    <row r="2498" ht="14.25" spans="1:8">
      <c r="A2498" s="176">
        <v>306</v>
      </c>
      <c r="B2498" s="197" t="s">
        <v>4108</v>
      </c>
      <c r="C2498" s="187" t="s">
        <v>32</v>
      </c>
      <c r="D2498" s="173">
        <v>0.04</v>
      </c>
      <c r="E2498" s="204" t="s">
        <v>30</v>
      </c>
      <c r="F2498" s="176" t="s">
        <v>188</v>
      </c>
      <c r="G2498" s="205" t="s">
        <v>4109</v>
      </c>
      <c r="H2498" s="171"/>
    </row>
    <row r="2499" ht="14.25" spans="1:8">
      <c r="A2499" s="176">
        <v>307</v>
      </c>
      <c r="B2499" s="197" t="s">
        <v>4108</v>
      </c>
      <c r="C2499" s="187" t="s">
        <v>32</v>
      </c>
      <c r="D2499" s="173">
        <v>0.09</v>
      </c>
      <c r="E2499" s="204" t="s">
        <v>30</v>
      </c>
      <c r="F2499" s="176" t="s">
        <v>188</v>
      </c>
      <c r="G2499" s="205" t="s">
        <v>4110</v>
      </c>
      <c r="H2499" s="171"/>
    </row>
    <row r="2500" ht="14.25" spans="1:8">
      <c r="A2500" s="176">
        <v>308</v>
      </c>
      <c r="B2500" s="196" t="s">
        <v>4111</v>
      </c>
      <c r="C2500" s="187" t="s">
        <v>32</v>
      </c>
      <c r="D2500" s="173">
        <v>0.05</v>
      </c>
      <c r="E2500" s="204" t="s">
        <v>30</v>
      </c>
      <c r="F2500" s="176" t="s">
        <v>188</v>
      </c>
      <c r="G2500" s="205" t="s">
        <v>4112</v>
      </c>
      <c r="H2500" s="171"/>
    </row>
    <row r="2501" ht="14.25" spans="1:8">
      <c r="A2501" s="176">
        <v>309</v>
      </c>
      <c r="B2501" s="196" t="s">
        <v>4113</v>
      </c>
      <c r="C2501" s="187" t="s">
        <v>32</v>
      </c>
      <c r="D2501" s="173">
        <v>0.13</v>
      </c>
      <c r="E2501" s="204" t="s">
        <v>30</v>
      </c>
      <c r="F2501" s="176" t="s">
        <v>188</v>
      </c>
      <c r="G2501" s="205" t="s">
        <v>4114</v>
      </c>
      <c r="H2501" s="171"/>
    </row>
    <row r="2502" ht="14.25" spans="1:8">
      <c r="A2502" s="176">
        <v>310</v>
      </c>
      <c r="B2502" s="182" t="s">
        <v>4115</v>
      </c>
      <c r="C2502" s="187" t="s">
        <v>32</v>
      </c>
      <c r="D2502" s="173">
        <v>0.2</v>
      </c>
      <c r="E2502" s="204" t="s">
        <v>30</v>
      </c>
      <c r="F2502" s="176" t="s">
        <v>188</v>
      </c>
      <c r="G2502" s="205" t="s">
        <v>4116</v>
      </c>
      <c r="H2502" s="171"/>
    </row>
    <row r="2503" ht="14.25" spans="1:8">
      <c r="A2503" s="176">
        <v>311</v>
      </c>
      <c r="B2503" s="219" t="s">
        <v>2128</v>
      </c>
      <c r="C2503" s="171" t="s">
        <v>32</v>
      </c>
      <c r="D2503" s="221">
        <v>0.11</v>
      </c>
      <c r="E2503" s="199" t="s">
        <v>30</v>
      </c>
      <c r="F2503" s="199" t="s">
        <v>188</v>
      </c>
      <c r="G2503" s="222" t="s">
        <v>4117</v>
      </c>
      <c r="H2503" s="171"/>
    </row>
    <row r="2504" ht="14.25" spans="1:8">
      <c r="A2504" s="176">
        <v>312</v>
      </c>
      <c r="B2504" s="219" t="s">
        <v>2128</v>
      </c>
      <c r="C2504" s="171" t="s">
        <v>32</v>
      </c>
      <c r="D2504" s="221">
        <v>0.07</v>
      </c>
      <c r="E2504" s="199" t="s">
        <v>30</v>
      </c>
      <c r="F2504" s="199" t="s">
        <v>188</v>
      </c>
      <c r="G2504" s="222" t="s">
        <v>4118</v>
      </c>
      <c r="H2504" s="171"/>
    </row>
    <row r="2505" ht="14.25" spans="1:8">
      <c r="A2505" s="176">
        <v>313</v>
      </c>
      <c r="B2505" s="219" t="s">
        <v>2128</v>
      </c>
      <c r="C2505" s="171" t="s">
        <v>32</v>
      </c>
      <c r="D2505" s="221">
        <v>0.09</v>
      </c>
      <c r="E2505" s="199" t="s">
        <v>30</v>
      </c>
      <c r="F2505" s="199" t="s">
        <v>188</v>
      </c>
      <c r="G2505" s="222" t="s">
        <v>3774</v>
      </c>
      <c r="H2505" s="171"/>
    </row>
    <row r="2506" ht="14.25" spans="1:8">
      <c r="A2506" s="176">
        <v>314</v>
      </c>
      <c r="B2506" s="240" t="s">
        <v>4119</v>
      </c>
      <c r="C2506" s="211" t="s">
        <v>32</v>
      </c>
      <c r="D2506" s="251">
        <v>0.09</v>
      </c>
      <c r="E2506" s="199" t="s">
        <v>30</v>
      </c>
      <c r="F2506" s="199" t="s">
        <v>188</v>
      </c>
      <c r="G2506" s="240" t="s">
        <v>4120</v>
      </c>
      <c r="H2506" s="171"/>
    </row>
    <row r="2507" ht="14.25" spans="1:8">
      <c r="A2507" s="176">
        <v>315</v>
      </c>
      <c r="B2507" s="240" t="s">
        <v>4121</v>
      </c>
      <c r="C2507" s="211" t="s">
        <v>32</v>
      </c>
      <c r="D2507" s="251">
        <v>0.14</v>
      </c>
      <c r="E2507" s="199" t="s">
        <v>30</v>
      </c>
      <c r="F2507" s="199" t="s">
        <v>188</v>
      </c>
      <c r="G2507" s="240" t="s">
        <v>4122</v>
      </c>
      <c r="H2507" s="171"/>
    </row>
    <row r="2508" ht="14.25" spans="1:8">
      <c r="A2508" s="176">
        <v>316</v>
      </c>
      <c r="B2508" s="201" t="s">
        <v>1129</v>
      </c>
      <c r="C2508" s="211" t="s">
        <v>32</v>
      </c>
      <c r="D2508" s="173">
        <v>0.06</v>
      </c>
      <c r="E2508" s="199" t="s">
        <v>30</v>
      </c>
      <c r="F2508" s="199" t="s">
        <v>188</v>
      </c>
      <c r="G2508" s="202" t="s">
        <v>4123</v>
      </c>
      <c r="H2508" s="171"/>
    </row>
    <row r="2509" ht="14.25" spans="1:8">
      <c r="A2509" s="176">
        <v>317</v>
      </c>
      <c r="B2509" s="201" t="s">
        <v>1129</v>
      </c>
      <c r="C2509" s="195" t="s">
        <v>32</v>
      </c>
      <c r="D2509" s="173">
        <v>0.02</v>
      </c>
      <c r="E2509" s="199" t="s">
        <v>30</v>
      </c>
      <c r="F2509" s="199" t="s">
        <v>188</v>
      </c>
      <c r="G2509" s="201" t="s">
        <v>4124</v>
      </c>
      <c r="H2509" s="171"/>
    </row>
    <row r="2510" ht="14.25" spans="1:8">
      <c r="A2510" s="176">
        <v>318</v>
      </c>
      <c r="B2510" s="182" t="s">
        <v>4115</v>
      </c>
      <c r="C2510" s="187" t="s">
        <v>32</v>
      </c>
      <c r="D2510" s="173">
        <v>0.1</v>
      </c>
      <c r="E2510" s="204" t="s">
        <v>30</v>
      </c>
      <c r="F2510" s="176" t="s">
        <v>188</v>
      </c>
      <c r="G2510" s="205" t="s">
        <v>4125</v>
      </c>
      <c r="H2510" s="171"/>
    </row>
    <row r="2511" ht="14.25" spans="1:8">
      <c r="A2511" s="176">
        <v>319</v>
      </c>
      <c r="B2511" s="240" t="s">
        <v>3884</v>
      </c>
      <c r="C2511" s="187" t="s">
        <v>32</v>
      </c>
      <c r="D2511" s="173">
        <v>0.05</v>
      </c>
      <c r="E2511" s="204" t="s">
        <v>30</v>
      </c>
      <c r="F2511" s="176" t="s">
        <v>188</v>
      </c>
      <c r="G2511" s="205" t="s">
        <v>4126</v>
      </c>
      <c r="H2511" s="171"/>
    </row>
    <row r="2512" ht="14.25" spans="1:8">
      <c r="A2512" s="176">
        <v>320</v>
      </c>
      <c r="B2512" s="252" t="s">
        <v>4127</v>
      </c>
      <c r="C2512" s="187" t="s">
        <v>32</v>
      </c>
      <c r="D2512" s="173">
        <v>0.09</v>
      </c>
      <c r="E2512" s="204" t="s">
        <v>30</v>
      </c>
      <c r="F2512" s="176" t="s">
        <v>188</v>
      </c>
      <c r="G2512" s="205" t="s">
        <v>4128</v>
      </c>
      <c r="H2512" s="171"/>
    </row>
    <row r="2513" ht="14.25" spans="1:8">
      <c r="A2513" s="176">
        <v>321</v>
      </c>
      <c r="B2513" s="203" t="s">
        <v>4129</v>
      </c>
      <c r="C2513" s="253" t="s">
        <v>32</v>
      </c>
      <c r="D2513" s="173">
        <v>0.02</v>
      </c>
      <c r="E2513" s="204" t="s">
        <v>30</v>
      </c>
      <c r="F2513" s="176" t="s">
        <v>188</v>
      </c>
      <c r="G2513" s="205" t="s">
        <v>4130</v>
      </c>
      <c r="H2513" s="171"/>
    </row>
    <row r="2514" ht="14.25" spans="1:8">
      <c r="A2514" s="176">
        <v>322</v>
      </c>
      <c r="B2514" s="203" t="s">
        <v>2109</v>
      </c>
      <c r="C2514" s="253" t="s">
        <v>32</v>
      </c>
      <c r="D2514" s="173">
        <v>0.03</v>
      </c>
      <c r="E2514" s="204" t="s">
        <v>30</v>
      </c>
      <c r="F2514" s="176" t="s">
        <v>188</v>
      </c>
      <c r="G2514" s="205" t="s">
        <v>4131</v>
      </c>
      <c r="H2514" s="171"/>
    </row>
    <row r="2515" ht="14.25" spans="1:8">
      <c r="A2515" s="176">
        <v>323</v>
      </c>
      <c r="B2515" s="203" t="s">
        <v>3817</v>
      </c>
      <c r="C2515" s="253" t="s">
        <v>32</v>
      </c>
      <c r="D2515" s="173">
        <v>0.09</v>
      </c>
      <c r="E2515" s="204" t="s">
        <v>30</v>
      </c>
      <c r="F2515" s="176" t="s">
        <v>188</v>
      </c>
      <c r="G2515" s="205" t="s">
        <v>3818</v>
      </c>
      <c r="H2515" s="171"/>
    </row>
    <row r="2516" ht="14.25" spans="1:8">
      <c r="A2516" s="176">
        <v>324</v>
      </c>
      <c r="B2516" s="203" t="s">
        <v>3817</v>
      </c>
      <c r="C2516" s="253" t="s">
        <v>32</v>
      </c>
      <c r="D2516" s="173">
        <v>0.09</v>
      </c>
      <c r="E2516" s="204" t="s">
        <v>30</v>
      </c>
      <c r="F2516" s="176" t="s">
        <v>188</v>
      </c>
      <c r="G2516" s="205" t="s">
        <v>4132</v>
      </c>
      <c r="H2516" s="171"/>
    </row>
    <row r="2517" ht="14.25" spans="1:8">
      <c r="A2517" s="176">
        <v>325</v>
      </c>
      <c r="B2517" s="203" t="s">
        <v>3798</v>
      </c>
      <c r="C2517" s="253" t="s">
        <v>32</v>
      </c>
      <c r="D2517" s="173">
        <v>0.05</v>
      </c>
      <c r="E2517" s="204" t="s">
        <v>30</v>
      </c>
      <c r="F2517" s="176" t="s">
        <v>188</v>
      </c>
      <c r="G2517" s="205" t="s">
        <v>3800</v>
      </c>
      <c r="H2517" s="171"/>
    </row>
    <row r="2518" ht="14.25" spans="1:8">
      <c r="A2518" s="176">
        <v>326</v>
      </c>
      <c r="B2518" s="203" t="s">
        <v>4133</v>
      </c>
      <c r="C2518" s="253" t="s">
        <v>32</v>
      </c>
      <c r="D2518" s="173">
        <v>0.02</v>
      </c>
      <c r="E2518" s="204" t="s">
        <v>30</v>
      </c>
      <c r="F2518" s="176" t="s">
        <v>188</v>
      </c>
      <c r="G2518" s="205" t="s">
        <v>4134</v>
      </c>
      <c r="H2518" s="171"/>
    </row>
    <row r="2519" ht="14.25" spans="1:8">
      <c r="A2519" s="176">
        <v>327</v>
      </c>
      <c r="B2519" s="203" t="s">
        <v>4003</v>
      </c>
      <c r="C2519" s="253" t="s">
        <v>32</v>
      </c>
      <c r="D2519" s="173">
        <v>0.05</v>
      </c>
      <c r="E2519" s="204" t="s">
        <v>30</v>
      </c>
      <c r="F2519" s="176" t="s">
        <v>188</v>
      </c>
      <c r="G2519" s="205" t="s">
        <v>4135</v>
      </c>
      <c r="H2519" s="171"/>
    </row>
    <row r="2520" ht="14.25" spans="1:8">
      <c r="A2520" s="176">
        <v>328</v>
      </c>
      <c r="B2520" s="203" t="s">
        <v>1466</v>
      </c>
      <c r="C2520" s="253" t="s">
        <v>32</v>
      </c>
      <c r="D2520" s="173">
        <v>0.02</v>
      </c>
      <c r="E2520" s="204" t="s">
        <v>30</v>
      </c>
      <c r="F2520" s="176" t="s">
        <v>188</v>
      </c>
      <c r="G2520" s="205" t="s">
        <v>4136</v>
      </c>
      <c r="H2520" s="171"/>
    </row>
    <row r="2521" ht="14.25" spans="1:8">
      <c r="A2521" s="176">
        <v>329</v>
      </c>
      <c r="B2521" s="203" t="s">
        <v>1466</v>
      </c>
      <c r="C2521" s="253" t="s">
        <v>32</v>
      </c>
      <c r="D2521" s="173">
        <v>0.02</v>
      </c>
      <c r="E2521" s="204" t="s">
        <v>30</v>
      </c>
      <c r="F2521" s="176" t="s">
        <v>188</v>
      </c>
      <c r="G2521" s="205" t="s">
        <v>4137</v>
      </c>
      <c r="H2521" s="171"/>
    </row>
    <row r="2522" ht="14.25" spans="1:8">
      <c r="A2522" s="176">
        <v>330</v>
      </c>
      <c r="B2522" s="203" t="s">
        <v>4138</v>
      </c>
      <c r="C2522" s="253" t="s">
        <v>32</v>
      </c>
      <c r="D2522" s="173">
        <v>0.02</v>
      </c>
      <c r="E2522" s="204" t="s">
        <v>30</v>
      </c>
      <c r="F2522" s="176" t="s">
        <v>188</v>
      </c>
      <c r="G2522" s="205" t="s">
        <v>4139</v>
      </c>
      <c r="H2522" s="171"/>
    </row>
    <row r="2523" ht="14.25" spans="1:8">
      <c r="A2523" s="176">
        <v>331</v>
      </c>
      <c r="B2523" s="203" t="s">
        <v>4140</v>
      </c>
      <c r="C2523" s="253" t="s">
        <v>32</v>
      </c>
      <c r="D2523" s="173">
        <v>0.01</v>
      </c>
      <c r="E2523" s="204" t="s">
        <v>30</v>
      </c>
      <c r="F2523" s="176" t="s">
        <v>188</v>
      </c>
      <c r="G2523" s="205" t="s">
        <v>4141</v>
      </c>
      <c r="H2523" s="171"/>
    </row>
    <row r="2524" ht="14.25" spans="1:8">
      <c r="A2524" s="176">
        <v>332</v>
      </c>
      <c r="B2524" s="203" t="s">
        <v>4142</v>
      </c>
      <c r="C2524" s="253" t="s">
        <v>32</v>
      </c>
      <c r="D2524" s="173">
        <v>0.03</v>
      </c>
      <c r="E2524" s="204" t="s">
        <v>30</v>
      </c>
      <c r="F2524" s="176" t="s">
        <v>188</v>
      </c>
      <c r="G2524" s="205" t="s">
        <v>3995</v>
      </c>
      <c r="H2524" s="171"/>
    </row>
    <row r="2525" ht="14.25" spans="1:8">
      <c r="A2525" s="176">
        <v>333</v>
      </c>
      <c r="B2525" s="254" t="s">
        <v>4143</v>
      </c>
      <c r="C2525" s="253" t="s">
        <v>32</v>
      </c>
      <c r="D2525" s="173">
        <v>0.09</v>
      </c>
      <c r="E2525" s="204" t="s">
        <v>30</v>
      </c>
      <c r="F2525" s="176" t="s">
        <v>188</v>
      </c>
      <c r="G2525" s="205" t="s">
        <v>4144</v>
      </c>
      <c r="H2525" s="171"/>
    </row>
    <row r="2526" ht="14.25" spans="1:8">
      <c r="A2526" s="176">
        <v>334</v>
      </c>
      <c r="B2526" s="254" t="s">
        <v>4143</v>
      </c>
      <c r="C2526" s="253" t="s">
        <v>32</v>
      </c>
      <c r="D2526" s="173">
        <v>0.09</v>
      </c>
      <c r="E2526" s="204" t="s">
        <v>30</v>
      </c>
      <c r="F2526" s="176" t="s">
        <v>188</v>
      </c>
      <c r="G2526" s="205" t="s">
        <v>4145</v>
      </c>
      <c r="H2526" s="171"/>
    </row>
    <row r="2527" ht="14.25" spans="1:8">
      <c r="A2527" s="176">
        <v>335</v>
      </c>
      <c r="B2527" s="254" t="s">
        <v>4146</v>
      </c>
      <c r="C2527" s="253" t="s">
        <v>32</v>
      </c>
      <c r="D2527" s="173">
        <v>0.09</v>
      </c>
      <c r="E2527" s="204" t="s">
        <v>30</v>
      </c>
      <c r="F2527" s="176" t="s">
        <v>188</v>
      </c>
      <c r="G2527" s="205" t="s">
        <v>4147</v>
      </c>
      <c r="H2527" s="171"/>
    </row>
    <row r="2528" ht="14.25" spans="1:8">
      <c r="A2528" s="176">
        <v>336</v>
      </c>
      <c r="B2528" s="254" t="s">
        <v>4148</v>
      </c>
      <c r="C2528" s="253" t="s">
        <v>32</v>
      </c>
      <c r="D2528" s="173">
        <v>0.04</v>
      </c>
      <c r="E2528" s="204" t="s">
        <v>30</v>
      </c>
      <c r="F2528" s="176" t="s">
        <v>188</v>
      </c>
      <c r="G2528" s="205" t="s">
        <v>4149</v>
      </c>
      <c r="H2528" s="171"/>
    </row>
    <row r="2529" ht="14.25" spans="1:8">
      <c r="A2529" s="176">
        <v>337</v>
      </c>
      <c r="B2529" s="254" t="s">
        <v>4150</v>
      </c>
      <c r="C2529" s="253" t="s">
        <v>32</v>
      </c>
      <c r="D2529" s="173">
        <v>0.09</v>
      </c>
      <c r="E2529" s="204" t="s">
        <v>30</v>
      </c>
      <c r="F2529" s="176" t="s">
        <v>188</v>
      </c>
      <c r="G2529" s="205" t="s">
        <v>4151</v>
      </c>
      <c r="H2529" s="171"/>
    </row>
    <row r="2530" ht="14.25" spans="1:8">
      <c r="A2530" s="176">
        <v>338</v>
      </c>
      <c r="B2530" s="254" t="s">
        <v>4152</v>
      </c>
      <c r="C2530" s="253" t="s">
        <v>32</v>
      </c>
      <c r="D2530" s="173">
        <v>0.2</v>
      </c>
      <c r="E2530" s="204" t="s">
        <v>30</v>
      </c>
      <c r="F2530" s="176" t="s">
        <v>188</v>
      </c>
      <c r="G2530" s="205" t="s">
        <v>4153</v>
      </c>
      <c r="H2530" s="171"/>
    </row>
    <row r="2531" ht="14.25" spans="1:8">
      <c r="A2531" s="176">
        <v>339</v>
      </c>
      <c r="B2531" s="254" t="s">
        <v>4154</v>
      </c>
      <c r="C2531" s="253" t="s">
        <v>32</v>
      </c>
      <c r="D2531" s="173">
        <v>0.11</v>
      </c>
      <c r="E2531" s="204" t="s">
        <v>30</v>
      </c>
      <c r="F2531" s="176" t="s">
        <v>188</v>
      </c>
      <c r="G2531" s="205" t="s">
        <v>1399</v>
      </c>
      <c r="H2531" s="171"/>
    </row>
    <row r="2532" ht="14.25" spans="1:8">
      <c r="A2532" s="255" t="s">
        <v>4155</v>
      </c>
      <c r="B2532" s="256" t="s">
        <v>309</v>
      </c>
      <c r="C2532" s="247"/>
      <c r="D2532" s="207"/>
      <c r="E2532" s="212"/>
      <c r="F2532" s="206"/>
      <c r="G2532" s="166"/>
      <c r="H2532" s="213"/>
    </row>
    <row r="2533" ht="14.25" spans="1:8">
      <c r="A2533" s="232">
        <v>1</v>
      </c>
      <c r="B2533" s="175" t="s">
        <v>4156</v>
      </c>
      <c r="C2533" s="175" t="s">
        <v>48</v>
      </c>
      <c r="D2533" s="190">
        <v>0.02</v>
      </c>
      <c r="E2533" s="170" t="s">
        <v>30</v>
      </c>
      <c r="F2533" s="170" t="s">
        <v>201</v>
      </c>
      <c r="G2533" s="171" t="s">
        <v>4157</v>
      </c>
      <c r="H2533" s="175"/>
    </row>
    <row r="2534" ht="14.25" spans="1:8">
      <c r="A2534" s="232">
        <v>2</v>
      </c>
      <c r="B2534" s="175" t="s">
        <v>4158</v>
      </c>
      <c r="C2534" s="175" t="s">
        <v>48</v>
      </c>
      <c r="D2534" s="190">
        <v>0.01</v>
      </c>
      <c r="E2534" s="170" t="s">
        <v>30</v>
      </c>
      <c r="F2534" s="170" t="s">
        <v>201</v>
      </c>
      <c r="G2534" s="171" t="s">
        <v>4159</v>
      </c>
      <c r="H2534" s="175"/>
    </row>
    <row r="2535" ht="14.25" spans="1:8">
      <c r="A2535" s="232">
        <v>3</v>
      </c>
      <c r="B2535" s="175" t="s">
        <v>4160</v>
      </c>
      <c r="C2535" s="175" t="s">
        <v>48</v>
      </c>
      <c r="D2535" s="190">
        <v>0.01</v>
      </c>
      <c r="E2535" s="170" t="s">
        <v>30</v>
      </c>
      <c r="F2535" s="170" t="s">
        <v>201</v>
      </c>
      <c r="G2535" s="171" t="s">
        <v>4161</v>
      </c>
      <c r="H2535" s="175"/>
    </row>
    <row r="2536" ht="14.25" spans="1:8">
      <c r="A2536" s="232">
        <v>4</v>
      </c>
      <c r="B2536" s="175" t="s">
        <v>4162</v>
      </c>
      <c r="C2536" s="175" t="s">
        <v>48</v>
      </c>
      <c r="D2536" s="190">
        <v>0.02</v>
      </c>
      <c r="E2536" s="170" t="s">
        <v>30</v>
      </c>
      <c r="F2536" s="170" t="s">
        <v>201</v>
      </c>
      <c r="G2536" s="171" t="s">
        <v>4163</v>
      </c>
      <c r="H2536" s="175"/>
    </row>
    <row r="2537" ht="14.25" spans="1:8">
      <c r="A2537" s="232">
        <v>5</v>
      </c>
      <c r="B2537" s="175" t="s">
        <v>1191</v>
      </c>
      <c r="C2537" s="175" t="s">
        <v>48</v>
      </c>
      <c r="D2537" s="190">
        <v>0.01</v>
      </c>
      <c r="E2537" s="170" t="s">
        <v>30</v>
      </c>
      <c r="F2537" s="170" t="s">
        <v>201</v>
      </c>
      <c r="G2537" s="171" t="s">
        <v>4164</v>
      </c>
      <c r="H2537" s="175"/>
    </row>
    <row r="2538" ht="14.25" spans="1:8">
      <c r="A2538" s="232">
        <v>6</v>
      </c>
      <c r="B2538" s="175" t="s">
        <v>4165</v>
      </c>
      <c r="C2538" s="175" t="s">
        <v>48</v>
      </c>
      <c r="D2538" s="190">
        <v>0.02</v>
      </c>
      <c r="E2538" s="170" t="s">
        <v>30</v>
      </c>
      <c r="F2538" s="170" t="s">
        <v>201</v>
      </c>
      <c r="G2538" s="171" t="s">
        <v>4166</v>
      </c>
      <c r="H2538" s="175"/>
    </row>
    <row r="2539" ht="14.25" spans="1:8">
      <c r="A2539" s="232">
        <v>7</v>
      </c>
      <c r="B2539" s="175" t="s">
        <v>4167</v>
      </c>
      <c r="C2539" s="175" t="s">
        <v>48</v>
      </c>
      <c r="D2539" s="190">
        <v>0.03</v>
      </c>
      <c r="E2539" s="170" t="s">
        <v>30</v>
      </c>
      <c r="F2539" s="170" t="s">
        <v>201</v>
      </c>
      <c r="G2539" s="171" t="s">
        <v>4168</v>
      </c>
      <c r="H2539" s="175"/>
    </row>
    <row r="2540" ht="14.25" spans="1:8">
      <c r="A2540" s="232">
        <v>8</v>
      </c>
      <c r="B2540" s="175" t="s">
        <v>4169</v>
      </c>
      <c r="C2540" s="175" t="s">
        <v>48</v>
      </c>
      <c r="D2540" s="190">
        <v>0.03</v>
      </c>
      <c r="E2540" s="170" t="s">
        <v>30</v>
      </c>
      <c r="F2540" s="170" t="s">
        <v>201</v>
      </c>
      <c r="G2540" s="171" t="s">
        <v>4170</v>
      </c>
      <c r="H2540" s="175"/>
    </row>
    <row r="2541" ht="14.25" spans="1:8">
      <c r="A2541" s="232">
        <v>9</v>
      </c>
      <c r="B2541" s="175" t="s">
        <v>3579</v>
      </c>
      <c r="C2541" s="175" t="s">
        <v>48</v>
      </c>
      <c r="D2541" s="190">
        <v>0.03</v>
      </c>
      <c r="E2541" s="170" t="s">
        <v>30</v>
      </c>
      <c r="F2541" s="170" t="s">
        <v>201</v>
      </c>
      <c r="G2541" s="171" t="s">
        <v>4171</v>
      </c>
      <c r="H2541" s="175"/>
    </row>
    <row r="2542" ht="14.25" spans="1:8">
      <c r="A2542" s="232">
        <v>10</v>
      </c>
      <c r="B2542" s="175" t="s">
        <v>4172</v>
      </c>
      <c r="C2542" s="175" t="s">
        <v>48</v>
      </c>
      <c r="D2542" s="190">
        <v>0.03</v>
      </c>
      <c r="E2542" s="170" t="s">
        <v>30</v>
      </c>
      <c r="F2542" s="170" t="s">
        <v>201</v>
      </c>
      <c r="G2542" s="171" t="s">
        <v>4173</v>
      </c>
      <c r="H2542" s="175"/>
    </row>
    <row r="2543" ht="14.25" spans="1:8">
      <c r="A2543" s="232">
        <v>11</v>
      </c>
      <c r="B2543" s="175" t="s">
        <v>3579</v>
      </c>
      <c r="C2543" s="175" t="s">
        <v>48</v>
      </c>
      <c r="D2543" s="190">
        <v>0.03</v>
      </c>
      <c r="E2543" s="170" t="s">
        <v>30</v>
      </c>
      <c r="F2543" s="170" t="s">
        <v>201</v>
      </c>
      <c r="G2543" s="171" t="s">
        <v>4174</v>
      </c>
      <c r="H2543" s="175"/>
    </row>
    <row r="2544" ht="14.25" spans="1:8">
      <c r="A2544" s="232">
        <v>12</v>
      </c>
      <c r="B2544" s="175" t="s">
        <v>4175</v>
      </c>
      <c r="C2544" s="175" t="s">
        <v>48</v>
      </c>
      <c r="D2544" s="190">
        <v>0.03</v>
      </c>
      <c r="E2544" s="170" t="s">
        <v>30</v>
      </c>
      <c r="F2544" s="170" t="s">
        <v>201</v>
      </c>
      <c r="G2544" s="171" t="s">
        <v>4176</v>
      </c>
      <c r="H2544" s="175"/>
    </row>
    <row r="2545" ht="14.25" spans="1:8">
      <c r="A2545" s="232">
        <v>13</v>
      </c>
      <c r="B2545" s="175" t="s">
        <v>4177</v>
      </c>
      <c r="C2545" s="175" t="s">
        <v>48</v>
      </c>
      <c r="D2545" s="190">
        <v>0.01</v>
      </c>
      <c r="E2545" s="170" t="s">
        <v>30</v>
      </c>
      <c r="F2545" s="170" t="s">
        <v>201</v>
      </c>
      <c r="G2545" s="171" t="s">
        <v>4178</v>
      </c>
      <c r="H2545" s="175"/>
    </row>
    <row r="2546" ht="14.25" spans="1:8">
      <c r="A2546" s="232">
        <v>14</v>
      </c>
      <c r="B2546" s="175" t="s">
        <v>2045</v>
      </c>
      <c r="C2546" s="175" t="s">
        <v>48</v>
      </c>
      <c r="D2546" s="190">
        <v>0.02</v>
      </c>
      <c r="E2546" s="170" t="s">
        <v>30</v>
      </c>
      <c r="F2546" s="170" t="s">
        <v>201</v>
      </c>
      <c r="G2546" s="171" t="s">
        <v>4179</v>
      </c>
      <c r="H2546" s="175"/>
    </row>
    <row r="2547" ht="14.25" spans="1:8">
      <c r="A2547" s="232">
        <v>15</v>
      </c>
      <c r="B2547" s="175" t="s">
        <v>4180</v>
      </c>
      <c r="C2547" s="175" t="s">
        <v>48</v>
      </c>
      <c r="D2547" s="190">
        <v>0.02</v>
      </c>
      <c r="E2547" s="170" t="s">
        <v>30</v>
      </c>
      <c r="F2547" s="170" t="s">
        <v>201</v>
      </c>
      <c r="G2547" s="171" t="s">
        <v>4181</v>
      </c>
      <c r="H2547" s="175"/>
    </row>
    <row r="2548" ht="14.25" spans="1:8">
      <c r="A2548" s="232">
        <v>16</v>
      </c>
      <c r="B2548" s="175" t="s">
        <v>4182</v>
      </c>
      <c r="C2548" s="175" t="s">
        <v>48</v>
      </c>
      <c r="D2548" s="190">
        <v>0.01</v>
      </c>
      <c r="E2548" s="170" t="s">
        <v>30</v>
      </c>
      <c r="F2548" s="170" t="s">
        <v>201</v>
      </c>
      <c r="G2548" s="171" t="s">
        <v>4183</v>
      </c>
      <c r="H2548" s="175"/>
    </row>
    <row r="2549" ht="14.25" spans="1:8">
      <c r="A2549" s="232">
        <v>17</v>
      </c>
      <c r="B2549" s="175" t="s">
        <v>4184</v>
      </c>
      <c r="C2549" s="175" t="s">
        <v>48</v>
      </c>
      <c r="D2549" s="190">
        <v>0.02</v>
      </c>
      <c r="E2549" s="170" t="s">
        <v>30</v>
      </c>
      <c r="F2549" s="170" t="s">
        <v>201</v>
      </c>
      <c r="G2549" s="171" t="s">
        <v>4185</v>
      </c>
      <c r="H2549" s="175"/>
    </row>
    <row r="2550" ht="14.25" spans="1:8">
      <c r="A2550" s="232">
        <v>18</v>
      </c>
      <c r="B2550" s="175" t="s">
        <v>512</v>
      </c>
      <c r="C2550" s="175" t="s">
        <v>48</v>
      </c>
      <c r="D2550" s="190">
        <v>0.01</v>
      </c>
      <c r="E2550" s="170" t="s">
        <v>30</v>
      </c>
      <c r="F2550" s="170" t="s">
        <v>201</v>
      </c>
      <c r="G2550" s="171" t="s">
        <v>4186</v>
      </c>
      <c r="H2550" s="175"/>
    </row>
    <row r="2551" ht="14.25" spans="1:8">
      <c r="A2551" s="232">
        <v>19</v>
      </c>
      <c r="B2551" s="175" t="s">
        <v>4187</v>
      </c>
      <c r="C2551" s="175" t="s">
        <v>48</v>
      </c>
      <c r="D2551" s="190">
        <v>0.01</v>
      </c>
      <c r="E2551" s="170" t="s">
        <v>30</v>
      </c>
      <c r="F2551" s="170" t="s">
        <v>201</v>
      </c>
      <c r="G2551" s="171" t="s">
        <v>4188</v>
      </c>
      <c r="H2551" s="175"/>
    </row>
    <row r="2552" ht="14.25" spans="1:8">
      <c r="A2552" s="232">
        <v>20</v>
      </c>
      <c r="B2552" s="175" t="s">
        <v>4189</v>
      </c>
      <c r="C2552" s="175" t="s">
        <v>48</v>
      </c>
      <c r="D2552" s="190">
        <v>0.03</v>
      </c>
      <c r="E2552" s="170" t="s">
        <v>30</v>
      </c>
      <c r="F2552" s="170" t="s">
        <v>201</v>
      </c>
      <c r="G2552" s="171" t="s">
        <v>4190</v>
      </c>
      <c r="H2552" s="175"/>
    </row>
    <row r="2553" ht="14.25" spans="1:8">
      <c r="A2553" s="232">
        <v>21</v>
      </c>
      <c r="B2553" s="175" t="s">
        <v>4191</v>
      </c>
      <c r="C2553" s="175" t="s">
        <v>48</v>
      </c>
      <c r="D2553" s="190">
        <v>0.01</v>
      </c>
      <c r="E2553" s="170" t="s">
        <v>30</v>
      </c>
      <c r="F2553" s="170" t="s">
        <v>201</v>
      </c>
      <c r="G2553" s="171" t="s">
        <v>4192</v>
      </c>
      <c r="H2553" s="175"/>
    </row>
    <row r="2554" ht="14.25" spans="1:8">
      <c r="A2554" s="232">
        <v>22</v>
      </c>
      <c r="B2554" s="175" t="s">
        <v>4191</v>
      </c>
      <c r="C2554" s="175" t="s">
        <v>48</v>
      </c>
      <c r="D2554" s="190">
        <v>0.01</v>
      </c>
      <c r="E2554" s="170" t="s">
        <v>30</v>
      </c>
      <c r="F2554" s="170" t="s">
        <v>201</v>
      </c>
      <c r="G2554" s="171" t="s">
        <v>4193</v>
      </c>
      <c r="H2554" s="175"/>
    </row>
    <row r="2555" ht="14.25" spans="1:8">
      <c r="A2555" s="232">
        <v>23</v>
      </c>
      <c r="B2555" s="175" t="s">
        <v>349</v>
      </c>
      <c r="C2555" s="175" t="s">
        <v>48</v>
      </c>
      <c r="D2555" s="190">
        <v>0.025</v>
      </c>
      <c r="E2555" s="170" t="s">
        <v>30</v>
      </c>
      <c r="F2555" s="170" t="s">
        <v>201</v>
      </c>
      <c r="G2555" s="171" t="s">
        <v>4194</v>
      </c>
      <c r="H2555" s="175"/>
    </row>
    <row r="2556" ht="14.25" spans="1:8">
      <c r="A2556" s="232">
        <v>24</v>
      </c>
      <c r="B2556" s="175" t="s">
        <v>4195</v>
      </c>
      <c r="C2556" s="175" t="s">
        <v>48</v>
      </c>
      <c r="D2556" s="190">
        <v>0.01</v>
      </c>
      <c r="E2556" s="170" t="s">
        <v>30</v>
      </c>
      <c r="F2556" s="170" t="s">
        <v>188</v>
      </c>
      <c r="G2556" s="171" t="s">
        <v>4196</v>
      </c>
      <c r="H2556" s="175"/>
    </row>
    <row r="2557" ht="14.25" spans="1:8">
      <c r="A2557" s="232">
        <v>25</v>
      </c>
      <c r="B2557" s="175" t="s">
        <v>4197</v>
      </c>
      <c r="C2557" s="175" t="s">
        <v>48</v>
      </c>
      <c r="D2557" s="190">
        <v>0.02</v>
      </c>
      <c r="E2557" s="170" t="s">
        <v>30</v>
      </c>
      <c r="F2557" s="170" t="s">
        <v>201</v>
      </c>
      <c r="G2557" s="171" t="s">
        <v>4198</v>
      </c>
      <c r="H2557" s="175"/>
    </row>
    <row r="2558" ht="14.25" spans="1:8">
      <c r="A2558" s="232">
        <v>26</v>
      </c>
      <c r="B2558" s="175" t="s">
        <v>4199</v>
      </c>
      <c r="C2558" s="175" t="s">
        <v>48</v>
      </c>
      <c r="D2558" s="190">
        <v>0.03</v>
      </c>
      <c r="E2558" s="170" t="s">
        <v>30</v>
      </c>
      <c r="F2558" s="170" t="s">
        <v>201</v>
      </c>
      <c r="G2558" s="171" t="s">
        <v>4200</v>
      </c>
      <c r="H2558" s="175"/>
    </row>
    <row r="2559" ht="14.25" spans="1:8">
      <c r="A2559" s="232">
        <v>27</v>
      </c>
      <c r="B2559" s="171" t="s">
        <v>3058</v>
      </c>
      <c r="C2559" s="175" t="s">
        <v>48</v>
      </c>
      <c r="D2559" s="190">
        <v>0.02</v>
      </c>
      <c r="E2559" s="170" t="s">
        <v>30</v>
      </c>
      <c r="F2559" s="170" t="s">
        <v>201</v>
      </c>
      <c r="G2559" s="171" t="s">
        <v>4201</v>
      </c>
      <c r="H2559" s="175"/>
    </row>
    <row r="2560" ht="14.25" spans="1:8">
      <c r="A2560" s="232">
        <v>28</v>
      </c>
      <c r="B2560" s="171" t="s">
        <v>4202</v>
      </c>
      <c r="C2560" s="175" t="s">
        <v>48</v>
      </c>
      <c r="D2560" s="190">
        <v>0.03</v>
      </c>
      <c r="E2560" s="170" t="s">
        <v>30</v>
      </c>
      <c r="F2560" s="170" t="s">
        <v>201</v>
      </c>
      <c r="G2560" s="171" t="s">
        <v>4203</v>
      </c>
      <c r="H2560" s="175"/>
    </row>
    <row r="2561" ht="14.25" spans="1:8">
      <c r="A2561" s="232">
        <v>29</v>
      </c>
      <c r="B2561" s="175" t="s">
        <v>4204</v>
      </c>
      <c r="C2561" s="175" t="s">
        <v>48</v>
      </c>
      <c r="D2561" s="190">
        <v>0.02</v>
      </c>
      <c r="E2561" s="170" t="s">
        <v>30</v>
      </c>
      <c r="F2561" s="170" t="s">
        <v>201</v>
      </c>
      <c r="G2561" s="171" t="s">
        <v>4205</v>
      </c>
      <c r="H2561" s="175"/>
    </row>
    <row r="2562" ht="14.25" spans="1:8">
      <c r="A2562" s="232">
        <v>30</v>
      </c>
      <c r="B2562" s="175" t="s">
        <v>4204</v>
      </c>
      <c r="C2562" s="175" t="s">
        <v>48</v>
      </c>
      <c r="D2562" s="190">
        <v>0.02</v>
      </c>
      <c r="E2562" s="170" t="s">
        <v>30</v>
      </c>
      <c r="F2562" s="170" t="s">
        <v>201</v>
      </c>
      <c r="G2562" s="171" t="s">
        <v>4206</v>
      </c>
      <c r="H2562" s="175"/>
    </row>
    <row r="2563" ht="14.25" spans="1:8">
      <c r="A2563" s="232">
        <v>31</v>
      </c>
      <c r="B2563" s="175" t="s">
        <v>4207</v>
      </c>
      <c r="C2563" s="175" t="s">
        <v>48</v>
      </c>
      <c r="D2563" s="190">
        <v>0.01</v>
      </c>
      <c r="E2563" s="170" t="s">
        <v>30</v>
      </c>
      <c r="F2563" s="170" t="s">
        <v>201</v>
      </c>
      <c r="G2563" s="189" t="s">
        <v>4208</v>
      </c>
      <c r="H2563" s="170"/>
    </row>
    <row r="2564" ht="14.25" spans="1:8">
      <c r="A2564" s="232">
        <v>32</v>
      </c>
      <c r="B2564" s="171" t="s">
        <v>4209</v>
      </c>
      <c r="C2564" s="175" t="s">
        <v>48</v>
      </c>
      <c r="D2564" s="190">
        <v>0.02</v>
      </c>
      <c r="E2564" s="170" t="s">
        <v>30</v>
      </c>
      <c r="F2564" s="170" t="s">
        <v>201</v>
      </c>
      <c r="G2564" s="189" t="s">
        <v>4210</v>
      </c>
      <c r="H2564" s="170"/>
    </row>
    <row r="2565" ht="14.25" spans="1:8">
      <c r="A2565" s="232">
        <v>33</v>
      </c>
      <c r="B2565" s="171" t="s">
        <v>4211</v>
      </c>
      <c r="C2565" s="175" t="s">
        <v>48</v>
      </c>
      <c r="D2565" s="190">
        <v>0.01</v>
      </c>
      <c r="E2565" s="170" t="s">
        <v>30</v>
      </c>
      <c r="F2565" s="170" t="s">
        <v>201</v>
      </c>
      <c r="G2565" s="189" t="s">
        <v>4212</v>
      </c>
      <c r="H2565" s="170"/>
    </row>
    <row r="2566" ht="14.25" spans="1:8">
      <c r="A2566" s="232">
        <v>34</v>
      </c>
      <c r="B2566" s="175" t="s">
        <v>4213</v>
      </c>
      <c r="C2566" s="175" t="s">
        <v>48</v>
      </c>
      <c r="D2566" s="190">
        <v>0.01</v>
      </c>
      <c r="E2566" s="170" t="s">
        <v>30</v>
      </c>
      <c r="F2566" s="170" t="s">
        <v>201</v>
      </c>
      <c r="G2566" s="189" t="s">
        <v>4214</v>
      </c>
      <c r="H2566" s="189"/>
    </row>
    <row r="2567" ht="14.25" spans="1:8">
      <c r="A2567" s="232">
        <v>35</v>
      </c>
      <c r="B2567" s="175" t="s">
        <v>1280</v>
      </c>
      <c r="C2567" s="175" t="s">
        <v>48</v>
      </c>
      <c r="D2567" s="190">
        <v>0.03</v>
      </c>
      <c r="E2567" s="170" t="s">
        <v>30</v>
      </c>
      <c r="F2567" s="170" t="s">
        <v>201</v>
      </c>
      <c r="G2567" s="189" t="s">
        <v>4215</v>
      </c>
      <c r="H2567" s="170"/>
    </row>
    <row r="2568" ht="14.25" spans="1:8">
      <c r="A2568" s="232">
        <v>36</v>
      </c>
      <c r="B2568" s="175" t="s">
        <v>4216</v>
      </c>
      <c r="C2568" s="175" t="s">
        <v>48</v>
      </c>
      <c r="D2568" s="190">
        <v>0.03</v>
      </c>
      <c r="E2568" s="170" t="s">
        <v>30</v>
      </c>
      <c r="F2568" s="170" t="s">
        <v>201</v>
      </c>
      <c r="G2568" s="189" t="s">
        <v>4217</v>
      </c>
      <c r="H2568" s="170"/>
    </row>
    <row r="2569" ht="14.25" spans="1:8">
      <c r="A2569" s="232">
        <v>37</v>
      </c>
      <c r="B2569" s="175" t="s">
        <v>4218</v>
      </c>
      <c r="C2569" s="175" t="s">
        <v>48</v>
      </c>
      <c r="D2569" s="190">
        <v>0.02</v>
      </c>
      <c r="E2569" s="170" t="s">
        <v>30</v>
      </c>
      <c r="F2569" s="170" t="s">
        <v>201</v>
      </c>
      <c r="G2569" s="189" t="s">
        <v>4219</v>
      </c>
      <c r="H2569" s="170"/>
    </row>
    <row r="2570" ht="14.25" spans="1:8">
      <c r="A2570" s="232">
        <v>38</v>
      </c>
      <c r="B2570" s="175" t="s">
        <v>4220</v>
      </c>
      <c r="C2570" s="175" t="s">
        <v>48</v>
      </c>
      <c r="D2570" s="190">
        <v>0.11</v>
      </c>
      <c r="E2570" s="170" t="s">
        <v>30</v>
      </c>
      <c r="F2570" s="170" t="s">
        <v>201</v>
      </c>
      <c r="G2570" s="175" t="s">
        <v>4221</v>
      </c>
      <c r="H2570" s="175"/>
    </row>
    <row r="2571" ht="14.25" spans="1:8">
      <c r="A2571" s="232">
        <v>39</v>
      </c>
      <c r="B2571" s="175" t="s">
        <v>4222</v>
      </c>
      <c r="C2571" s="175" t="s">
        <v>48</v>
      </c>
      <c r="D2571" s="190">
        <v>0.02</v>
      </c>
      <c r="E2571" s="170" t="s">
        <v>30</v>
      </c>
      <c r="F2571" s="170" t="s">
        <v>201</v>
      </c>
      <c r="G2571" s="175" t="s">
        <v>4223</v>
      </c>
      <c r="H2571" s="175"/>
    </row>
    <row r="2572" ht="14.25" spans="1:8">
      <c r="A2572" s="232">
        <v>40</v>
      </c>
      <c r="B2572" s="175" t="s">
        <v>4224</v>
      </c>
      <c r="C2572" s="175" t="s">
        <v>48</v>
      </c>
      <c r="D2572" s="190">
        <v>0.01</v>
      </c>
      <c r="E2572" s="170" t="s">
        <v>30</v>
      </c>
      <c r="F2572" s="170" t="s">
        <v>201</v>
      </c>
      <c r="G2572" s="175" t="s">
        <v>4225</v>
      </c>
      <c r="H2572" s="175"/>
    </row>
    <row r="2573" ht="14.25" spans="1:8">
      <c r="A2573" s="232">
        <v>41</v>
      </c>
      <c r="B2573" s="175" t="s">
        <v>4226</v>
      </c>
      <c r="C2573" s="175" t="s">
        <v>48</v>
      </c>
      <c r="D2573" s="190">
        <v>0.005</v>
      </c>
      <c r="E2573" s="170" t="s">
        <v>30</v>
      </c>
      <c r="F2573" s="170" t="s">
        <v>201</v>
      </c>
      <c r="G2573" s="175" t="s">
        <v>4227</v>
      </c>
      <c r="H2573" s="175"/>
    </row>
    <row r="2574" ht="14.25" spans="1:8">
      <c r="A2574" s="232">
        <v>42</v>
      </c>
      <c r="B2574" s="175" t="s">
        <v>4228</v>
      </c>
      <c r="C2574" s="175" t="s">
        <v>48</v>
      </c>
      <c r="D2574" s="190">
        <v>0.05</v>
      </c>
      <c r="E2574" s="170" t="s">
        <v>30</v>
      </c>
      <c r="F2574" s="170" t="s">
        <v>201</v>
      </c>
      <c r="G2574" s="175" t="s">
        <v>4229</v>
      </c>
      <c r="H2574" s="175"/>
    </row>
    <row r="2575" ht="14.25" spans="1:8">
      <c r="A2575" s="232">
        <v>43</v>
      </c>
      <c r="B2575" s="175" t="s">
        <v>4230</v>
      </c>
      <c r="C2575" s="175" t="s">
        <v>48</v>
      </c>
      <c r="D2575" s="190">
        <v>0.03</v>
      </c>
      <c r="E2575" s="170" t="s">
        <v>30</v>
      </c>
      <c r="F2575" s="170" t="s">
        <v>201</v>
      </c>
      <c r="G2575" s="175" t="s">
        <v>4231</v>
      </c>
      <c r="H2575" s="175"/>
    </row>
    <row r="2576" ht="14.25" spans="1:8">
      <c r="A2576" s="232">
        <v>44</v>
      </c>
      <c r="B2576" s="175" t="s">
        <v>4232</v>
      </c>
      <c r="C2576" s="175" t="s">
        <v>48</v>
      </c>
      <c r="D2576" s="190">
        <v>0.02</v>
      </c>
      <c r="E2576" s="170" t="s">
        <v>30</v>
      </c>
      <c r="F2576" s="170" t="s">
        <v>201</v>
      </c>
      <c r="G2576" s="175" t="s">
        <v>4233</v>
      </c>
      <c r="H2576" s="175"/>
    </row>
    <row r="2577" ht="14.25" spans="1:8">
      <c r="A2577" s="232">
        <v>45</v>
      </c>
      <c r="B2577" s="175" t="s">
        <v>4234</v>
      </c>
      <c r="C2577" s="175" t="s">
        <v>48</v>
      </c>
      <c r="D2577" s="190">
        <v>0.01</v>
      </c>
      <c r="E2577" s="170" t="s">
        <v>30</v>
      </c>
      <c r="F2577" s="170" t="s">
        <v>201</v>
      </c>
      <c r="G2577" s="175" t="s">
        <v>4235</v>
      </c>
      <c r="H2577" s="175"/>
    </row>
    <row r="2578" ht="14.25" spans="1:8">
      <c r="A2578" s="232">
        <v>46</v>
      </c>
      <c r="B2578" s="175" t="s">
        <v>4236</v>
      </c>
      <c r="C2578" s="175" t="s">
        <v>48</v>
      </c>
      <c r="D2578" s="190">
        <v>0.01</v>
      </c>
      <c r="E2578" s="170" t="s">
        <v>30</v>
      </c>
      <c r="F2578" s="170" t="s">
        <v>201</v>
      </c>
      <c r="G2578" s="175" t="s">
        <v>4237</v>
      </c>
      <c r="H2578" s="175"/>
    </row>
    <row r="2579" ht="14.25" spans="1:8">
      <c r="A2579" s="232">
        <v>47</v>
      </c>
      <c r="B2579" s="175" t="s">
        <v>4238</v>
      </c>
      <c r="C2579" s="175" t="s">
        <v>48</v>
      </c>
      <c r="D2579" s="190">
        <v>0.02</v>
      </c>
      <c r="E2579" s="170" t="s">
        <v>30</v>
      </c>
      <c r="F2579" s="170" t="s">
        <v>201</v>
      </c>
      <c r="G2579" s="175" t="s">
        <v>4163</v>
      </c>
      <c r="H2579" s="175"/>
    </row>
    <row r="2580" ht="14.25" spans="1:8">
      <c r="A2580" s="232">
        <v>48</v>
      </c>
      <c r="B2580" s="175" t="s">
        <v>4239</v>
      </c>
      <c r="C2580" s="175" t="s">
        <v>48</v>
      </c>
      <c r="D2580" s="190">
        <v>0.01</v>
      </c>
      <c r="E2580" s="170" t="s">
        <v>30</v>
      </c>
      <c r="F2580" s="170" t="s">
        <v>201</v>
      </c>
      <c r="G2580" s="175" t="s">
        <v>4240</v>
      </c>
      <c r="H2580" s="175"/>
    </row>
    <row r="2581" ht="14.25" spans="1:8">
      <c r="A2581" s="232">
        <v>49</v>
      </c>
      <c r="B2581" s="175" t="s">
        <v>4241</v>
      </c>
      <c r="C2581" s="175" t="s">
        <v>48</v>
      </c>
      <c r="D2581" s="190">
        <v>0.01</v>
      </c>
      <c r="E2581" s="170" t="s">
        <v>30</v>
      </c>
      <c r="F2581" s="170" t="s">
        <v>201</v>
      </c>
      <c r="G2581" s="175" t="s">
        <v>4242</v>
      </c>
      <c r="H2581" s="175"/>
    </row>
    <row r="2582" ht="14.25" spans="1:8">
      <c r="A2582" s="232">
        <v>50</v>
      </c>
      <c r="B2582" s="175" t="s">
        <v>4243</v>
      </c>
      <c r="C2582" s="175" t="s">
        <v>48</v>
      </c>
      <c r="D2582" s="190">
        <v>0.03</v>
      </c>
      <c r="E2582" s="170" t="s">
        <v>30</v>
      </c>
      <c r="F2582" s="170" t="s">
        <v>201</v>
      </c>
      <c r="G2582" s="175" t="s">
        <v>4244</v>
      </c>
      <c r="H2582" s="175"/>
    </row>
    <row r="2583" ht="14.25" spans="1:8">
      <c r="A2583" s="232">
        <v>51</v>
      </c>
      <c r="B2583" s="185" t="s">
        <v>4245</v>
      </c>
      <c r="C2583" s="175" t="s">
        <v>48</v>
      </c>
      <c r="D2583" s="190">
        <v>0.01</v>
      </c>
      <c r="E2583" s="170" t="s">
        <v>30</v>
      </c>
      <c r="F2583" s="170" t="s">
        <v>201</v>
      </c>
      <c r="G2583" s="175" t="s">
        <v>4246</v>
      </c>
      <c r="H2583" s="175"/>
    </row>
    <row r="2584" ht="14.25" spans="1:8">
      <c r="A2584" s="232">
        <v>52</v>
      </c>
      <c r="B2584" s="185" t="s">
        <v>4247</v>
      </c>
      <c r="C2584" s="175" t="s">
        <v>48</v>
      </c>
      <c r="D2584" s="190">
        <v>0.015</v>
      </c>
      <c r="E2584" s="170" t="s">
        <v>30</v>
      </c>
      <c r="F2584" s="170" t="s">
        <v>201</v>
      </c>
      <c r="G2584" s="175" t="s">
        <v>4248</v>
      </c>
      <c r="H2584" s="175"/>
    </row>
    <row r="2585" ht="14.25" spans="1:8">
      <c r="A2585" s="232">
        <v>53</v>
      </c>
      <c r="B2585" s="185" t="s">
        <v>4249</v>
      </c>
      <c r="C2585" s="175" t="s">
        <v>48</v>
      </c>
      <c r="D2585" s="190">
        <v>0.03</v>
      </c>
      <c r="E2585" s="170" t="s">
        <v>30</v>
      </c>
      <c r="F2585" s="170" t="s">
        <v>201</v>
      </c>
      <c r="G2585" s="175" t="s">
        <v>4250</v>
      </c>
      <c r="H2585" s="175"/>
    </row>
    <row r="2586" ht="14.25" spans="1:8">
      <c r="A2586" s="232">
        <v>54</v>
      </c>
      <c r="B2586" s="185" t="s">
        <v>4251</v>
      </c>
      <c r="C2586" s="175" t="s">
        <v>48</v>
      </c>
      <c r="D2586" s="190">
        <v>0.03</v>
      </c>
      <c r="E2586" s="170" t="s">
        <v>30</v>
      </c>
      <c r="F2586" s="170" t="s">
        <v>201</v>
      </c>
      <c r="G2586" s="175" t="s">
        <v>4252</v>
      </c>
      <c r="H2586" s="175"/>
    </row>
    <row r="2587" ht="14.25" spans="1:8">
      <c r="A2587" s="232">
        <v>55</v>
      </c>
      <c r="B2587" s="185" t="s">
        <v>4253</v>
      </c>
      <c r="C2587" s="175" t="s">
        <v>48</v>
      </c>
      <c r="D2587" s="190">
        <v>0.03</v>
      </c>
      <c r="E2587" s="170" t="s">
        <v>30</v>
      </c>
      <c r="F2587" s="170" t="s">
        <v>201</v>
      </c>
      <c r="G2587" s="175" t="s">
        <v>4254</v>
      </c>
      <c r="H2587" s="175"/>
    </row>
    <row r="2588" ht="14.25" spans="1:8">
      <c r="A2588" s="232">
        <v>56</v>
      </c>
      <c r="B2588" s="185" t="s">
        <v>4255</v>
      </c>
      <c r="C2588" s="175" t="s">
        <v>48</v>
      </c>
      <c r="D2588" s="190">
        <v>0.02</v>
      </c>
      <c r="E2588" s="170" t="s">
        <v>30</v>
      </c>
      <c r="F2588" s="170" t="s">
        <v>201</v>
      </c>
      <c r="G2588" s="175" t="s">
        <v>4256</v>
      </c>
      <c r="H2588" s="175"/>
    </row>
    <row r="2589" ht="14.25" spans="1:8">
      <c r="A2589" s="232">
        <v>57</v>
      </c>
      <c r="B2589" s="185" t="s">
        <v>4257</v>
      </c>
      <c r="C2589" s="175" t="s">
        <v>48</v>
      </c>
      <c r="D2589" s="190">
        <v>0.03</v>
      </c>
      <c r="E2589" s="170" t="s">
        <v>30</v>
      </c>
      <c r="F2589" s="170" t="s">
        <v>201</v>
      </c>
      <c r="G2589" s="175" t="s">
        <v>4258</v>
      </c>
      <c r="H2589" s="175"/>
    </row>
    <row r="2590" ht="14.25" spans="1:8">
      <c r="A2590" s="232">
        <v>58</v>
      </c>
      <c r="B2590" s="183" t="s">
        <v>4259</v>
      </c>
      <c r="C2590" s="175" t="s">
        <v>48</v>
      </c>
      <c r="D2590" s="190">
        <v>0.03</v>
      </c>
      <c r="E2590" s="170" t="s">
        <v>30</v>
      </c>
      <c r="F2590" s="170" t="s">
        <v>201</v>
      </c>
      <c r="G2590" s="175" t="s">
        <v>4260</v>
      </c>
      <c r="H2590" s="175"/>
    </row>
    <row r="2591" ht="14.25" spans="1:8">
      <c r="A2591" s="232">
        <v>59</v>
      </c>
      <c r="B2591" s="185" t="s">
        <v>4261</v>
      </c>
      <c r="C2591" s="175" t="s">
        <v>48</v>
      </c>
      <c r="D2591" s="190">
        <v>0.03</v>
      </c>
      <c r="E2591" s="170" t="s">
        <v>30</v>
      </c>
      <c r="F2591" s="170" t="s">
        <v>201</v>
      </c>
      <c r="G2591" s="175" t="s">
        <v>4262</v>
      </c>
      <c r="H2591" s="175"/>
    </row>
    <row r="2592" ht="14.25" spans="1:8">
      <c r="A2592" s="232">
        <v>60</v>
      </c>
      <c r="B2592" s="185" t="s">
        <v>4263</v>
      </c>
      <c r="C2592" s="175" t="s">
        <v>48</v>
      </c>
      <c r="D2592" s="190">
        <v>0.02</v>
      </c>
      <c r="E2592" s="170" t="s">
        <v>30</v>
      </c>
      <c r="F2592" s="170" t="s">
        <v>201</v>
      </c>
      <c r="G2592" s="175" t="s">
        <v>4264</v>
      </c>
      <c r="H2592" s="175"/>
    </row>
    <row r="2593" ht="14.25" spans="1:8">
      <c r="A2593" s="232">
        <v>61</v>
      </c>
      <c r="B2593" s="185" t="s">
        <v>4265</v>
      </c>
      <c r="C2593" s="175" t="s">
        <v>48</v>
      </c>
      <c r="D2593" s="190">
        <v>0.02</v>
      </c>
      <c r="E2593" s="170" t="s">
        <v>30</v>
      </c>
      <c r="F2593" s="170" t="s">
        <v>201</v>
      </c>
      <c r="G2593" s="175" t="s">
        <v>4266</v>
      </c>
      <c r="H2593" s="175"/>
    </row>
    <row r="2594" ht="14.25" spans="1:8">
      <c r="A2594" s="232">
        <v>62</v>
      </c>
      <c r="B2594" s="185" t="s">
        <v>4267</v>
      </c>
      <c r="C2594" s="175" t="s">
        <v>48</v>
      </c>
      <c r="D2594" s="190">
        <v>0.019</v>
      </c>
      <c r="E2594" s="170" t="s">
        <v>30</v>
      </c>
      <c r="F2594" s="170" t="s">
        <v>201</v>
      </c>
      <c r="G2594" s="175" t="s">
        <v>4268</v>
      </c>
      <c r="H2594" s="175"/>
    </row>
    <row r="2595" ht="14.25" spans="1:8">
      <c r="A2595" s="232">
        <v>63</v>
      </c>
      <c r="B2595" s="185" t="s">
        <v>4269</v>
      </c>
      <c r="C2595" s="175" t="s">
        <v>48</v>
      </c>
      <c r="D2595" s="190">
        <v>0.03</v>
      </c>
      <c r="E2595" s="170" t="s">
        <v>30</v>
      </c>
      <c r="F2595" s="170" t="s">
        <v>201</v>
      </c>
      <c r="G2595" s="175" t="s">
        <v>4270</v>
      </c>
      <c r="H2595" s="175"/>
    </row>
    <row r="2596" ht="14.25" spans="1:8">
      <c r="A2596" s="232">
        <v>64</v>
      </c>
      <c r="B2596" s="185" t="s">
        <v>4271</v>
      </c>
      <c r="C2596" s="175" t="s">
        <v>48</v>
      </c>
      <c r="D2596" s="190">
        <v>0.02</v>
      </c>
      <c r="E2596" s="170" t="s">
        <v>30</v>
      </c>
      <c r="F2596" s="170" t="s">
        <v>201</v>
      </c>
      <c r="G2596" s="175" t="s">
        <v>4272</v>
      </c>
      <c r="H2596" s="175"/>
    </row>
    <row r="2597" ht="14.25" spans="1:8">
      <c r="A2597" s="232">
        <v>65</v>
      </c>
      <c r="B2597" s="185" t="s">
        <v>4273</v>
      </c>
      <c r="C2597" s="175" t="s">
        <v>48</v>
      </c>
      <c r="D2597" s="190">
        <v>0.02</v>
      </c>
      <c r="E2597" s="170" t="s">
        <v>30</v>
      </c>
      <c r="F2597" s="170" t="s">
        <v>201</v>
      </c>
      <c r="G2597" s="175" t="s">
        <v>4274</v>
      </c>
      <c r="H2597" s="175"/>
    </row>
    <row r="2598" ht="14.25" spans="1:8">
      <c r="A2598" s="232">
        <v>66</v>
      </c>
      <c r="B2598" s="185" t="s">
        <v>4275</v>
      </c>
      <c r="C2598" s="175" t="s">
        <v>48</v>
      </c>
      <c r="D2598" s="190">
        <v>0.02</v>
      </c>
      <c r="E2598" s="170" t="s">
        <v>30</v>
      </c>
      <c r="F2598" s="170" t="s">
        <v>201</v>
      </c>
      <c r="G2598" s="175" t="s">
        <v>4276</v>
      </c>
      <c r="H2598" s="175"/>
    </row>
    <row r="2599" ht="14.25" spans="1:8">
      <c r="A2599" s="232">
        <v>67</v>
      </c>
      <c r="B2599" s="185" t="s">
        <v>4277</v>
      </c>
      <c r="C2599" s="175" t="s">
        <v>48</v>
      </c>
      <c r="D2599" s="190">
        <v>0.03</v>
      </c>
      <c r="E2599" s="170" t="s">
        <v>30</v>
      </c>
      <c r="F2599" s="170" t="s">
        <v>201</v>
      </c>
      <c r="G2599" s="175" t="s">
        <v>4278</v>
      </c>
      <c r="H2599" s="175"/>
    </row>
    <row r="2600" ht="14.25" spans="1:8">
      <c r="A2600" s="232">
        <v>68</v>
      </c>
      <c r="B2600" s="185" t="s">
        <v>4279</v>
      </c>
      <c r="C2600" s="175" t="s">
        <v>48</v>
      </c>
      <c r="D2600" s="190">
        <v>0.03</v>
      </c>
      <c r="E2600" s="170" t="s">
        <v>30</v>
      </c>
      <c r="F2600" s="170" t="s">
        <v>201</v>
      </c>
      <c r="G2600" s="175" t="s">
        <v>4280</v>
      </c>
      <c r="H2600" s="175"/>
    </row>
    <row r="2601" ht="14.25" spans="1:8">
      <c r="A2601" s="232">
        <v>69</v>
      </c>
      <c r="B2601" s="185" t="s">
        <v>4281</v>
      </c>
      <c r="C2601" s="175" t="s">
        <v>48</v>
      </c>
      <c r="D2601" s="190">
        <v>0.03</v>
      </c>
      <c r="E2601" s="170" t="s">
        <v>30</v>
      </c>
      <c r="F2601" s="170" t="s">
        <v>201</v>
      </c>
      <c r="G2601" s="175" t="s">
        <v>4282</v>
      </c>
      <c r="H2601" s="175"/>
    </row>
    <row r="2602" ht="14.25" spans="1:8">
      <c r="A2602" s="232">
        <v>70</v>
      </c>
      <c r="B2602" s="185" t="s">
        <v>1742</v>
      </c>
      <c r="C2602" s="175" t="s">
        <v>48</v>
      </c>
      <c r="D2602" s="190">
        <v>0.03</v>
      </c>
      <c r="E2602" s="170" t="s">
        <v>30</v>
      </c>
      <c r="F2602" s="170" t="s">
        <v>201</v>
      </c>
      <c r="G2602" s="175" t="s">
        <v>4283</v>
      </c>
      <c r="H2602" s="175"/>
    </row>
    <row r="2603" ht="14.25" spans="1:8">
      <c r="A2603" s="232">
        <v>71</v>
      </c>
      <c r="B2603" s="185" t="s">
        <v>1654</v>
      </c>
      <c r="C2603" s="175" t="s">
        <v>48</v>
      </c>
      <c r="D2603" s="190">
        <v>0.01</v>
      </c>
      <c r="E2603" s="170" t="s">
        <v>30</v>
      </c>
      <c r="F2603" s="170" t="s">
        <v>201</v>
      </c>
      <c r="G2603" s="175" t="s">
        <v>4284</v>
      </c>
      <c r="H2603" s="175"/>
    </row>
    <row r="2604" ht="14.25" spans="1:8">
      <c r="A2604" s="232">
        <v>72</v>
      </c>
      <c r="B2604" s="185" t="s">
        <v>1943</v>
      </c>
      <c r="C2604" s="175" t="s">
        <v>48</v>
      </c>
      <c r="D2604" s="190">
        <v>0.03</v>
      </c>
      <c r="E2604" s="170" t="s">
        <v>30</v>
      </c>
      <c r="F2604" s="170" t="s">
        <v>201</v>
      </c>
      <c r="G2604" s="175" t="s">
        <v>4285</v>
      </c>
      <c r="H2604" s="175"/>
    </row>
    <row r="2605" ht="14.25" spans="1:8">
      <c r="A2605" s="232">
        <v>73</v>
      </c>
      <c r="B2605" s="185" t="s">
        <v>753</v>
      </c>
      <c r="C2605" s="175" t="s">
        <v>48</v>
      </c>
      <c r="D2605" s="190">
        <v>0.03</v>
      </c>
      <c r="E2605" s="170" t="s">
        <v>30</v>
      </c>
      <c r="F2605" s="170" t="s">
        <v>201</v>
      </c>
      <c r="G2605" s="175" t="s">
        <v>4286</v>
      </c>
      <c r="H2605" s="175"/>
    </row>
    <row r="2606" ht="14.25" spans="1:8">
      <c r="A2606" s="232">
        <v>74</v>
      </c>
      <c r="B2606" s="185" t="s">
        <v>4287</v>
      </c>
      <c r="C2606" s="175" t="s">
        <v>48</v>
      </c>
      <c r="D2606" s="190">
        <v>0.03</v>
      </c>
      <c r="E2606" s="170" t="s">
        <v>30</v>
      </c>
      <c r="F2606" s="170" t="s">
        <v>201</v>
      </c>
      <c r="G2606" s="175" t="s">
        <v>4288</v>
      </c>
      <c r="H2606" s="175"/>
    </row>
    <row r="2607" ht="14.25" spans="1:8">
      <c r="A2607" s="232">
        <v>75</v>
      </c>
      <c r="B2607" s="185" t="s">
        <v>4289</v>
      </c>
      <c r="C2607" s="175" t="s">
        <v>48</v>
      </c>
      <c r="D2607" s="190">
        <v>0.03</v>
      </c>
      <c r="E2607" s="170" t="s">
        <v>30</v>
      </c>
      <c r="F2607" s="170" t="s">
        <v>201</v>
      </c>
      <c r="G2607" s="175" t="s">
        <v>4290</v>
      </c>
      <c r="H2607" s="175"/>
    </row>
    <row r="2608" ht="14.25" spans="1:8">
      <c r="A2608" s="232">
        <v>76</v>
      </c>
      <c r="B2608" s="185" t="s">
        <v>4289</v>
      </c>
      <c r="C2608" s="175" t="s">
        <v>48</v>
      </c>
      <c r="D2608" s="190">
        <v>0.02</v>
      </c>
      <c r="E2608" s="170" t="s">
        <v>30</v>
      </c>
      <c r="F2608" s="170" t="s">
        <v>201</v>
      </c>
      <c r="G2608" s="175" t="s">
        <v>4291</v>
      </c>
      <c r="H2608" s="175"/>
    </row>
    <row r="2609" ht="14.25" spans="1:8">
      <c r="A2609" s="232">
        <v>77</v>
      </c>
      <c r="B2609" s="185" t="s">
        <v>4292</v>
      </c>
      <c r="C2609" s="175" t="s">
        <v>48</v>
      </c>
      <c r="D2609" s="190">
        <v>0.03</v>
      </c>
      <c r="E2609" s="170" t="s">
        <v>30</v>
      </c>
      <c r="F2609" s="170" t="s">
        <v>201</v>
      </c>
      <c r="G2609" s="175" t="s">
        <v>4293</v>
      </c>
      <c r="H2609" s="175"/>
    </row>
    <row r="2610" ht="14.25" spans="1:8">
      <c r="A2610" s="232">
        <v>78</v>
      </c>
      <c r="B2610" s="185" t="s">
        <v>4294</v>
      </c>
      <c r="C2610" s="175" t="s">
        <v>48</v>
      </c>
      <c r="D2610" s="190">
        <v>0.01</v>
      </c>
      <c r="E2610" s="170" t="s">
        <v>30</v>
      </c>
      <c r="F2610" s="170" t="s">
        <v>201</v>
      </c>
      <c r="G2610" s="175" t="s">
        <v>4295</v>
      </c>
      <c r="H2610" s="175"/>
    </row>
    <row r="2611" ht="14.25" spans="1:8">
      <c r="A2611" s="232">
        <v>79</v>
      </c>
      <c r="B2611" s="183" t="s">
        <v>4296</v>
      </c>
      <c r="C2611" s="175" t="s">
        <v>48</v>
      </c>
      <c r="D2611" s="190">
        <v>0.03</v>
      </c>
      <c r="E2611" s="170" t="s">
        <v>30</v>
      </c>
      <c r="F2611" s="170" t="s">
        <v>201</v>
      </c>
      <c r="G2611" s="175" t="s">
        <v>4297</v>
      </c>
      <c r="H2611" s="175"/>
    </row>
    <row r="2612" ht="14.25" spans="1:8">
      <c r="A2612" s="232">
        <v>80</v>
      </c>
      <c r="B2612" s="183" t="s">
        <v>4296</v>
      </c>
      <c r="C2612" s="175" t="s">
        <v>48</v>
      </c>
      <c r="D2612" s="190">
        <v>0.03</v>
      </c>
      <c r="E2612" s="170" t="s">
        <v>30</v>
      </c>
      <c r="F2612" s="170" t="s">
        <v>201</v>
      </c>
      <c r="G2612" s="175" t="s">
        <v>4298</v>
      </c>
      <c r="H2612" s="175"/>
    </row>
    <row r="2613" ht="14.25" spans="1:8">
      <c r="A2613" s="232">
        <v>81</v>
      </c>
      <c r="B2613" s="183" t="s">
        <v>4296</v>
      </c>
      <c r="C2613" s="175" t="s">
        <v>48</v>
      </c>
      <c r="D2613" s="190">
        <v>0.03</v>
      </c>
      <c r="E2613" s="170" t="s">
        <v>30</v>
      </c>
      <c r="F2613" s="170" t="s">
        <v>201</v>
      </c>
      <c r="G2613" s="175" t="s">
        <v>4299</v>
      </c>
      <c r="H2613" s="175"/>
    </row>
    <row r="2614" ht="14.25" spans="1:8">
      <c r="A2614" s="232">
        <v>82</v>
      </c>
      <c r="B2614" s="185" t="s">
        <v>4300</v>
      </c>
      <c r="C2614" s="175" t="s">
        <v>48</v>
      </c>
      <c r="D2614" s="190">
        <v>0.03</v>
      </c>
      <c r="E2614" s="170" t="s">
        <v>30</v>
      </c>
      <c r="F2614" s="170" t="s">
        <v>201</v>
      </c>
      <c r="G2614" s="175" t="s">
        <v>4301</v>
      </c>
      <c r="H2614" s="175"/>
    </row>
    <row r="2615" ht="14.25" spans="1:8">
      <c r="A2615" s="232">
        <v>83</v>
      </c>
      <c r="B2615" s="185" t="s">
        <v>4302</v>
      </c>
      <c r="C2615" s="175" t="s">
        <v>48</v>
      </c>
      <c r="D2615" s="190">
        <v>0.03</v>
      </c>
      <c r="E2615" s="170" t="s">
        <v>30</v>
      </c>
      <c r="F2615" s="170" t="s">
        <v>201</v>
      </c>
      <c r="G2615" s="175" t="s">
        <v>4303</v>
      </c>
      <c r="H2615" s="175"/>
    </row>
    <row r="2616" ht="14.25" spans="1:8">
      <c r="A2616" s="232">
        <v>84</v>
      </c>
      <c r="B2616" s="185" t="s">
        <v>4304</v>
      </c>
      <c r="C2616" s="175" t="s">
        <v>48</v>
      </c>
      <c r="D2616" s="190">
        <v>0.03</v>
      </c>
      <c r="E2616" s="170" t="s">
        <v>30</v>
      </c>
      <c r="F2616" s="170" t="s">
        <v>201</v>
      </c>
      <c r="G2616" s="175" t="s">
        <v>1930</v>
      </c>
      <c r="H2616" s="175"/>
    </row>
    <row r="2617" ht="14.25" spans="1:8">
      <c r="A2617" s="232">
        <v>85</v>
      </c>
      <c r="B2617" s="185" t="s">
        <v>4305</v>
      </c>
      <c r="C2617" s="175" t="s">
        <v>48</v>
      </c>
      <c r="D2617" s="190">
        <v>0.03</v>
      </c>
      <c r="E2617" s="170" t="s">
        <v>30</v>
      </c>
      <c r="F2617" s="170" t="s">
        <v>201</v>
      </c>
      <c r="G2617" s="175" t="s">
        <v>4306</v>
      </c>
      <c r="H2617" s="175"/>
    </row>
    <row r="2618" ht="14.25" spans="1:8">
      <c r="A2618" s="232">
        <v>86</v>
      </c>
      <c r="B2618" s="185" t="s">
        <v>4307</v>
      </c>
      <c r="C2618" s="175" t="s">
        <v>48</v>
      </c>
      <c r="D2618" s="190">
        <v>0.03</v>
      </c>
      <c r="E2618" s="170" t="s">
        <v>30</v>
      </c>
      <c r="F2618" s="170" t="s">
        <v>201</v>
      </c>
      <c r="G2618" s="175" t="s">
        <v>4308</v>
      </c>
      <c r="H2618" s="175"/>
    </row>
    <row r="2619" ht="14.25" spans="1:8">
      <c r="A2619" s="232">
        <v>87</v>
      </c>
      <c r="B2619" s="185" t="s">
        <v>4309</v>
      </c>
      <c r="C2619" s="175" t="s">
        <v>48</v>
      </c>
      <c r="D2619" s="190">
        <v>0.03</v>
      </c>
      <c r="E2619" s="170" t="s">
        <v>30</v>
      </c>
      <c r="F2619" s="170" t="s">
        <v>201</v>
      </c>
      <c r="G2619" s="175" t="s">
        <v>4310</v>
      </c>
      <c r="H2619" s="175"/>
    </row>
    <row r="2620" ht="14.25" spans="1:8">
      <c r="A2620" s="232">
        <v>88</v>
      </c>
      <c r="B2620" s="185" t="s">
        <v>4304</v>
      </c>
      <c r="C2620" s="175" t="s">
        <v>48</v>
      </c>
      <c r="D2620" s="190">
        <v>0.01</v>
      </c>
      <c r="E2620" s="170" t="s">
        <v>30</v>
      </c>
      <c r="F2620" s="170" t="s">
        <v>201</v>
      </c>
      <c r="G2620" s="175" t="s">
        <v>4311</v>
      </c>
      <c r="H2620" s="175"/>
    </row>
    <row r="2621" ht="14.25" spans="1:8">
      <c r="A2621" s="232">
        <v>89</v>
      </c>
      <c r="B2621" s="185" t="s">
        <v>4304</v>
      </c>
      <c r="C2621" s="175" t="s">
        <v>48</v>
      </c>
      <c r="D2621" s="190">
        <v>0.015</v>
      </c>
      <c r="E2621" s="170" t="s">
        <v>30</v>
      </c>
      <c r="F2621" s="170" t="s">
        <v>201</v>
      </c>
      <c r="G2621" s="175" t="s">
        <v>4312</v>
      </c>
      <c r="H2621" s="175"/>
    </row>
    <row r="2622" ht="14.25" spans="1:8">
      <c r="A2622" s="232">
        <v>90</v>
      </c>
      <c r="B2622" s="185" t="s">
        <v>4304</v>
      </c>
      <c r="C2622" s="175" t="s">
        <v>48</v>
      </c>
      <c r="D2622" s="190">
        <v>0.015</v>
      </c>
      <c r="E2622" s="170" t="s">
        <v>30</v>
      </c>
      <c r="F2622" s="170" t="s">
        <v>201</v>
      </c>
      <c r="G2622" s="175" t="s">
        <v>4313</v>
      </c>
      <c r="H2622" s="175"/>
    </row>
    <row r="2623" ht="14.25" spans="1:8">
      <c r="A2623" s="232">
        <v>91</v>
      </c>
      <c r="B2623" s="185" t="s">
        <v>4304</v>
      </c>
      <c r="C2623" s="175" t="s">
        <v>48</v>
      </c>
      <c r="D2623" s="190">
        <v>0.015</v>
      </c>
      <c r="E2623" s="170" t="s">
        <v>30</v>
      </c>
      <c r="F2623" s="170" t="s">
        <v>201</v>
      </c>
      <c r="G2623" s="175" t="s">
        <v>4314</v>
      </c>
      <c r="H2623" s="175"/>
    </row>
    <row r="2624" ht="14.25" spans="1:8">
      <c r="A2624" s="232">
        <v>92</v>
      </c>
      <c r="B2624" s="185" t="s">
        <v>4315</v>
      </c>
      <c r="C2624" s="175" t="s">
        <v>48</v>
      </c>
      <c r="D2624" s="190">
        <v>0.03</v>
      </c>
      <c r="E2624" s="170" t="s">
        <v>30</v>
      </c>
      <c r="F2624" s="170" t="s">
        <v>201</v>
      </c>
      <c r="G2624" s="175" t="s">
        <v>4316</v>
      </c>
      <c r="H2624" s="175"/>
    </row>
    <row r="2625" ht="14.25" spans="1:8">
      <c r="A2625" s="232">
        <v>93</v>
      </c>
      <c r="B2625" s="185" t="s">
        <v>4317</v>
      </c>
      <c r="C2625" s="175" t="s">
        <v>48</v>
      </c>
      <c r="D2625" s="190">
        <v>0.03</v>
      </c>
      <c r="E2625" s="170" t="s">
        <v>30</v>
      </c>
      <c r="F2625" s="170" t="s">
        <v>201</v>
      </c>
      <c r="G2625" s="175" t="s">
        <v>4318</v>
      </c>
      <c r="H2625" s="175"/>
    </row>
    <row r="2626" ht="14.25" spans="1:8">
      <c r="A2626" s="232">
        <v>94</v>
      </c>
      <c r="B2626" s="185" t="s">
        <v>4319</v>
      </c>
      <c r="C2626" s="175" t="s">
        <v>48</v>
      </c>
      <c r="D2626" s="190">
        <v>0.03</v>
      </c>
      <c r="E2626" s="170" t="s">
        <v>30</v>
      </c>
      <c r="F2626" s="170" t="s">
        <v>201</v>
      </c>
      <c r="G2626" s="175" t="s">
        <v>4320</v>
      </c>
      <c r="H2626" s="175"/>
    </row>
    <row r="2627" ht="14.25" spans="1:8">
      <c r="A2627" s="232">
        <v>95</v>
      </c>
      <c r="B2627" s="185" t="s">
        <v>4172</v>
      </c>
      <c r="C2627" s="175" t="s">
        <v>48</v>
      </c>
      <c r="D2627" s="190">
        <v>0.03</v>
      </c>
      <c r="E2627" s="170" t="s">
        <v>30</v>
      </c>
      <c r="F2627" s="170" t="s">
        <v>201</v>
      </c>
      <c r="G2627" s="175" t="s">
        <v>4173</v>
      </c>
      <c r="H2627" s="175"/>
    </row>
    <row r="2628" ht="14.25" spans="1:8">
      <c r="A2628" s="232">
        <v>96</v>
      </c>
      <c r="B2628" s="185" t="s">
        <v>4321</v>
      </c>
      <c r="C2628" s="175" t="s">
        <v>48</v>
      </c>
      <c r="D2628" s="190">
        <v>0.03</v>
      </c>
      <c r="E2628" s="170" t="s">
        <v>30</v>
      </c>
      <c r="F2628" s="170" t="s">
        <v>201</v>
      </c>
      <c r="G2628" s="175" t="s">
        <v>4322</v>
      </c>
      <c r="H2628" s="175"/>
    </row>
    <row r="2629" ht="14.25" spans="1:8">
      <c r="A2629" s="232">
        <v>97</v>
      </c>
      <c r="B2629" s="185" t="s">
        <v>4323</v>
      </c>
      <c r="C2629" s="175" t="s">
        <v>48</v>
      </c>
      <c r="D2629" s="190">
        <v>0.03</v>
      </c>
      <c r="E2629" s="170" t="s">
        <v>30</v>
      </c>
      <c r="F2629" s="170" t="s">
        <v>201</v>
      </c>
      <c r="G2629" s="175" t="s">
        <v>4324</v>
      </c>
      <c r="H2629" s="175"/>
    </row>
    <row r="2630" ht="14.25" spans="1:8">
      <c r="A2630" s="232">
        <v>98</v>
      </c>
      <c r="B2630" s="185" t="s">
        <v>4325</v>
      </c>
      <c r="C2630" s="175" t="s">
        <v>48</v>
      </c>
      <c r="D2630" s="190">
        <v>0.03</v>
      </c>
      <c r="E2630" s="170" t="s">
        <v>30</v>
      </c>
      <c r="F2630" s="170" t="s">
        <v>201</v>
      </c>
      <c r="G2630" s="175" t="s">
        <v>4326</v>
      </c>
      <c r="H2630" s="175"/>
    </row>
    <row r="2631" ht="14.25" spans="1:8">
      <c r="A2631" s="232">
        <v>99</v>
      </c>
      <c r="B2631" s="185" t="s">
        <v>4327</v>
      </c>
      <c r="C2631" s="175" t="s">
        <v>48</v>
      </c>
      <c r="D2631" s="190">
        <v>0.03</v>
      </c>
      <c r="E2631" s="170" t="s">
        <v>30</v>
      </c>
      <c r="F2631" s="170" t="s">
        <v>201</v>
      </c>
      <c r="G2631" s="175" t="s">
        <v>4328</v>
      </c>
      <c r="H2631" s="175"/>
    </row>
    <row r="2632" ht="14.25" spans="1:8">
      <c r="A2632" s="232">
        <v>100</v>
      </c>
      <c r="B2632" s="185" t="s">
        <v>4329</v>
      </c>
      <c r="C2632" s="175" t="s">
        <v>48</v>
      </c>
      <c r="D2632" s="190">
        <v>0.03</v>
      </c>
      <c r="E2632" s="170" t="s">
        <v>30</v>
      </c>
      <c r="F2632" s="170" t="s">
        <v>201</v>
      </c>
      <c r="G2632" s="175" t="s">
        <v>4330</v>
      </c>
      <c r="H2632" s="175"/>
    </row>
    <row r="2633" ht="14.25" spans="1:8">
      <c r="A2633" s="232">
        <v>101</v>
      </c>
      <c r="B2633" s="185" t="s">
        <v>4331</v>
      </c>
      <c r="C2633" s="175" t="s">
        <v>48</v>
      </c>
      <c r="D2633" s="190">
        <v>0.03</v>
      </c>
      <c r="E2633" s="170" t="s">
        <v>30</v>
      </c>
      <c r="F2633" s="170" t="s">
        <v>201</v>
      </c>
      <c r="G2633" s="175" t="s">
        <v>4332</v>
      </c>
      <c r="H2633" s="175"/>
    </row>
    <row r="2634" ht="14.25" spans="1:8">
      <c r="A2634" s="232">
        <v>102</v>
      </c>
      <c r="B2634" s="185" t="s">
        <v>4333</v>
      </c>
      <c r="C2634" s="175" t="s">
        <v>48</v>
      </c>
      <c r="D2634" s="190">
        <v>0.03</v>
      </c>
      <c r="E2634" s="170" t="s">
        <v>30</v>
      </c>
      <c r="F2634" s="170" t="s">
        <v>201</v>
      </c>
      <c r="G2634" s="175" t="s">
        <v>4334</v>
      </c>
      <c r="H2634" s="175"/>
    </row>
    <row r="2635" ht="14.25" spans="1:8">
      <c r="A2635" s="232">
        <v>103</v>
      </c>
      <c r="B2635" s="185" t="s">
        <v>4335</v>
      </c>
      <c r="C2635" s="175" t="s">
        <v>48</v>
      </c>
      <c r="D2635" s="190">
        <v>0.01</v>
      </c>
      <c r="E2635" s="170" t="s">
        <v>30</v>
      </c>
      <c r="F2635" s="170" t="s">
        <v>201</v>
      </c>
      <c r="G2635" s="175" t="s">
        <v>4336</v>
      </c>
      <c r="H2635" s="175"/>
    </row>
    <row r="2636" ht="14.25" spans="1:8">
      <c r="A2636" s="232">
        <v>104</v>
      </c>
      <c r="B2636" s="185" t="s">
        <v>4337</v>
      </c>
      <c r="C2636" s="175" t="s">
        <v>48</v>
      </c>
      <c r="D2636" s="190">
        <v>0.03</v>
      </c>
      <c r="E2636" s="170" t="s">
        <v>30</v>
      </c>
      <c r="F2636" s="170" t="s">
        <v>201</v>
      </c>
      <c r="G2636" s="175" t="s">
        <v>4338</v>
      </c>
      <c r="H2636" s="175"/>
    </row>
    <row r="2637" ht="14.25" spans="1:8">
      <c r="A2637" s="232">
        <v>105</v>
      </c>
      <c r="B2637" s="185" t="s">
        <v>4339</v>
      </c>
      <c r="C2637" s="175" t="s">
        <v>48</v>
      </c>
      <c r="D2637" s="190">
        <v>0.03</v>
      </c>
      <c r="E2637" s="170" t="s">
        <v>30</v>
      </c>
      <c r="F2637" s="170" t="s">
        <v>201</v>
      </c>
      <c r="G2637" s="175" t="s">
        <v>4340</v>
      </c>
      <c r="H2637" s="175"/>
    </row>
    <row r="2638" ht="14.25" spans="1:8">
      <c r="A2638" s="232">
        <v>106</v>
      </c>
      <c r="B2638" s="185" t="s">
        <v>4341</v>
      </c>
      <c r="C2638" s="175" t="s">
        <v>48</v>
      </c>
      <c r="D2638" s="190">
        <v>0.03</v>
      </c>
      <c r="E2638" s="170" t="s">
        <v>30</v>
      </c>
      <c r="F2638" s="170" t="s">
        <v>201</v>
      </c>
      <c r="G2638" s="175" t="s">
        <v>4342</v>
      </c>
      <c r="H2638" s="175"/>
    </row>
    <row r="2639" ht="14.25" spans="1:8">
      <c r="A2639" s="232">
        <v>107</v>
      </c>
      <c r="B2639" s="185" t="s">
        <v>4341</v>
      </c>
      <c r="C2639" s="175" t="s">
        <v>48</v>
      </c>
      <c r="D2639" s="190">
        <v>0.03</v>
      </c>
      <c r="E2639" s="170" t="s">
        <v>30</v>
      </c>
      <c r="F2639" s="170" t="s">
        <v>201</v>
      </c>
      <c r="G2639" s="175" t="s">
        <v>4343</v>
      </c>
      <c r="H2639" s="175"/>
    </row>
    <row r="2640" ht="14.25" spans="1:8">
      <c r="A2640" s="232">
        <v>108</v>
      </c>
      <c r="B2640" s="185" t="s">
        <v>4344</v>
      </c>
      <c r="C2640" s="175" t="s">
        <v>48</v>
      </c>
      <c r="D2640" s="190">
        <v>0.03</v>
      </c>
      <c r="E2640" s="170" t="s">
        <v>30</v>
      </c>
      <c r="F2640" s="170" t="s">
        <v>201</v>
      </c>
      <c r="G2640" s="175" t="s">
        <v>4345</v>
      </c>
      <c r="H2640" s="175"/>
    </row>
    <row r="2641" ht="14.25" spans="1:8">
      <c r="A2641" s="232">
        <v>109</v>
      </c>
      <c r="B2641" s="185" t="s">
        <v>4346</v>
      </c>
      <c r="C2641" s="175" t="s">
        <v>48</v>
      </c>
      <c r="D2641" s="190">
        <v>0.03</v>
      </c>
      <c r="E2641" s="170" t="s">
        <v>30</v>
      </c>
      <c r="F2641" s="170" t="s">
        <v>201</v>
      </c>
      <c r="G2641" s="175" t="s">
        <v>4347</v>
      </c>
      <c r="H2641" s="175"/>
    </row>
    <row r="2642" ht="14.25" spans="1:8">
      <c r="A2642" s="232">
        <v>110</v>
      </c>
      <c r="B2642" s="185" t="s">
        <v>4348</v>
      </c>
      <c r="C2642" s="175" t="s">
        <v>48</v>
      </c>
      <c r="D2642" s="190">
        <v>0.03</v>
      </c>
      <c r="E2642" s="170" t="s">
        <v>30</v>
      </c>
      <c r="F2642" s="170" t="s">
        <v>201</v>
      </c>
      <c r="G2642" s="175" t="s">
        <v>2022</v>
      </c>
      <c r="H2642" s="175"/>
    </row>
    <row r="2643" ht="14.25" spans="1:8">
      <c r="A2643" s="232">
        <v>111</v>
      </c>
      <c r="B2643" s="185" t="s">
        <v>4349</v>
      </c>
      <c r="C2643" s="175" t="s">
        <v>48</v>
      </c>
      <c r="D2643" s="190">
        <v>0.03</v>
      </c>
      <c r="E2643" s="170" t="s">
        <v>30</v>
      </c>
      <c r="F2643" s="170" t="s">
        <v>201</v>
      </c>
      <c r="G2643" s="175" t="s">
        <v>4350</v>
      </c>
      <c r="H2643" s="175"/>
    </row>
    <row r="2644" ht="14.25" spans="1:8">
      <c r="A2644" s="232">
        <v>112</v>
      </c>
      <c r="B2644" s="185" t="s">
        <v>4351</v>
      </c>
      <c r="C2644" s="175" t="s">
        <v>48</v>
      </c>
      <c r="D2644" s="190">
        <v>0.03</v>
      </c>
      <c r="E2644" s="170" t="s">
        <v>30</v>
      </c>
      <c r="F2644" s="170" t="s">
        <v>201</v>
      </c>
      <c r="G2644" s="175" t="s">
        <v>4352</v>
      </c>
      <c r="H2644" s="175"/>
    </row>
    <row r="2645" ht="14.25" spans="1:8">
      <c r="A2645" s="232">
        <v>113</v>
      </c>
      <c r="B2645" s="185" t="s">
        <v>4353</v>
      </c>
      <c r="C2645" s="175" t="s">
        <v>48</v>
      </c>
      <c r="D2645" s="190">
        <v>0.03</v>
      </c>
      <c r="E2645" s="170" t="s">
        <v>30</v>
      </c>
      <c r="F2645" s="170" t="s">
        <v>201</v>
      </c>
      <c r="G2645" s="175" t="s">
        <v>4354</v>
      </c>
      <c r="H2645" s="175"/>
    </row>
    <row r="2646" ht="14.25" spans="1:8">
      <c r="A2646" s="232">
        <v>114</v>
      </c>
      <c r="B2646" s="185" t="s">
        <v>4355</v>
      </c>
      <c r="C2646" s="175" t="s">
        <v>48</v>
      </c>
      <c r="D2646" s="190">
        <v>0.03</v>
      </c>
      <c r="E2646" s="170" t="s">
        <v>30</v>
      </c>
      <c r="F2646" s="170" t="s">
        <v>201</v>
      </c>
      <c r="G2646" s="175" t="s">
        <v>4356</v>
      </c>
      <c r="H2646" s="175"/>
    </row>
    <row r="2647" ht="14.25" spans="1:8">
      <c r="A2647" s="232">
        <v>115</v>
      </c>
      <c r="B2647" s="185" t="s">
        <v>4357</v>
      </c>
      <c r="C2647" s="175" t="s">
        <v>48</v>
      </c>
      <c r="D2647" s="190">
        <v>0.01</v>
      </c>
      <c r="E2647" s="170" t="s">
        <v>30</v>
      </c>
      <c r="F2647" s="170" t="s">
        <v>201</v>
      </c>
      <c r="G2647" s="175" t="s">
        <v>4358</v>
      </c>
      <c r="H2647" s="175"/>
    </row>
    <row r="2648" ht="14.25" spans="1:8">
      <c r="A2648" s="232">
        <v>116</v>
      </c>
      <c r="B2648" s="185" t="s">
        <v>4359</v>
      </c>
      <c r="C2648" s="175" t="s">
        <v>48</v>
      </c>
      <c r="D2648" s="190">
        <v>0.03</v>
      </c>
      <c r="E2648" s="170" t="s">
        <v>30</v>
      </c>
      <c r="F2648" s="170" t="s">
        <v>201</v>
      </c>
      <c r="G2648" s="175" t="s">
        <v>4360</v>
      </c>
      <c r="H2648" s="175"/>
    </row>
    <row r="2649" ht="14.25" spans="1:8">
      <c r="A2649" s="232">
        <v>117</v>
      </c>
      <c r="B2649" s="185" t="s">
        <v>4361</v>
      </c>
      <c r="C2649" s="175" t="s">
        <v>48</v>
      </c>
      <c r="D2649" s="190">
        <v>0.03</v>
      </c>
      <c r="E2649" s="170" t="s">
        <v>30</v>
      </c>
      <c r="F2649" s="170" t="s">
        <v>201</v>
      </c>
      <c r="G2649" s="175" t="s">
        <v>4362</v>
      </c>
      <c r="H2649" s="175"/>
    </row>
    <row r="2650" ht="14.25" spans="1:8">
      <c r="A2650" s="232">
        <v>118</v>
      </c>
      <c r="B2650" s="185" t="s">
        <v>4363</v>
      </c>
      <c r="C2650" s="175" t="s">
        <v>48</v>
      </c>
      <c r="D2650" s="190">
        <v>0.03</v>
      </c>
      <c r="E2650" s="170" t="s">
        <v>30</v>
      </c>
      <c r="F2650" s="170" t="s">
        <v>201</v>
      </c>
      <c r="G2650" s="175" t="s">
        <v>4364</v>
      </c>
      <c r="H2650" s="175"/>
    </row>
    <row r="2651" ht="14.25" spans="1:8">
      <c r="A2651" s="232">
        <v>119</v>
      </c>
      <c r="B2651" s="185" t="s">
        <v>4365</v>
      </c>
      <c r="C2651" s="175" t="s">
        <v>48</v>
      </c>
      <c r="D2651" s="190">
        <v>0.03</v>
      </c>
      <c r="E2651" s="170" t="s">
        <v>30</v>
      </c>
      <c r="F2651" s="170" t="s">
        <v>201</v>
      </c>
      <c r="G2651" s="175" t="s">
        <v>4366</v>
      </c>
      <c r="H2651" s="175"/>
    </row>
    <row r="2652" ht="14.25" spans="1:8">
      <c r="A2652" s="232">
        <v>120</v>
      </c>
      <c r="B2652" s="185" t="s">
        <v>4367</v>
      </c>
      <c r="C2652" s="175" t="s">
        <v>48</v>
      </c>
      <c r="D2652" s="190">
        <v>0.021</v>
      </c>
      <c r="E2652" s="170" t="s">
        <v>30</v>
      </c>
      <c r="F2652" s="170" t="s">
        <v>201</v>
      </c>
      <c r="G2652" s="175" t="s">
        <v>4368</v>
      </c>
      <c r="H2652" s="175"/>
    </row>
    <row r="2653" ht="14.25" spans="1:8">
      <c r="A2653" s="232">
        <v>121</v>
      </c>
      <c r="B2653" s="185" t="s">
        <v>4369</v>
      </c>
      <c r="C2653" s="175" t="s">
        <v>48</v>
      </c>
      <c r="D2653" s="190">
        <v>0.03</v>
      </c>
      <c r="E2653" s="170" t="s">
        <v>30</v>
      </c>
      <c r="F2653" s="170" t="s">
        <v>201</v>
      </c>
      <c r="G2653" s="175" t="s">
        <v>4370</v>
      </c>
      <c r="H2653" s="175"/>
    </row>
    <row r="2654" ht="14.25" spans="1:8">
      <c r="A2654" s="232">
        <v>122</v>
      </c>
      <c r="B2654" s="185" t="s">
        <v>4371</v>
      </c>
      <c r="C2654" s="175" t="s">
        <v>48</v>
      </c>
      <c r="D2654" s="190">
        <v>0.03</v>
      </c>
      <c r="E2654" s="170" t="s">
        <v>30</v>
      </c>
      <c r="F2654" s="170" t="s">
        <v>201</v>
      </c>
      <c r="G2654" s="175" t="s">
        <v>4372</v>
      </c>
      <c r="H2654" s="175"/>
    </row>
    <row r="2655" ht="14.25" spans="1:8">
      <c r="A2655" s="232">
        <v>123</v>
      </c>
      <c r="B2655" s="185" t="s">
        <v>4373</v>
      </c>
      <c r="C2655" s="175" t="s">
        <v>48</v>
      </c>
      <c r="D2655" s="190">
        <v>0.03</v>
      </c>
      <c r="E2655" s="170" t="s">
        <v>30</v>
      </c>
      <c r="F2655" s="170" t="s">
        <v>201</v>
      </c>
      <c r="G2655" s="175" t="s">
        <v>4374</v>
      </c>
      <c r="H2655" s="175"/>
    </row>
    <row r="2656" ht="14.25" spans="1:8">
      <c r="A2656" s="232">
        <v>124</v>
      </c>
      <c r="B2656" s="185" t="s">
        <v>1174</v>
      </c>
      <c r="C2656" s="175" t="s">
        <v>48</v>
      </c>
      <c r="D2656" s="190">
        <v>0.03</v>
      </c>
      <c r="E2656" s="170" t="s">
        <v>30</v>
      </c>
      <c r="F2656" s="170" t="s">
        <v>201</v>
      </c>
      <c r="G2656" s="175" t="s">
        <v>4375</v>
      </c>
      <c r="H2656" s="175"/>
    </row>
    <row r="2657" ht="14.25" spans="1:8">
      <c r="A2657" s="232">
        <v>125</v>
      </c>
      <c r="B2657" s="185" t="s">
        <v>4376</v>
      </c>
      <c r="C2657" s="175" t="s">
        <v>48</v>
      </c>
      <c r="D2657" s="190">
        <v>0.03</v>
      </c>
      <c r="E2657" s="170" t="s">
        <v>30</v>
      </c>
      <c r="F2657" s="170" t="s">
        <v>201</v>
      </c>
      <c r="G2657" s="175" t="s">
        <v>4377</v>
      </c>
      <c r="H2657" s="175"/>
    </row>
    <row r="2658" ht="14.25" spans="1:8">
      <c r="A2658" s="232">
        <v>126</v>
      </c>
      <c r="B2658" s="185" t="s">
        <v>4378</v>
      </c>
      <c r="C2658" s="175" t="s">
        <v>48</v>
      </c>
      <c r="D2658" s="190">
        <v>0.03</v>
      </c>
      <c r="E2658" s="170" t="s">
        <v>30</v>
      </c>
      <c r="F2658" s="170" t="s">
        <v>201</v>
      </c>
      <c r="G2658" s="175" t="s">
        <v>4379</v>
      </c>
      <c r="H2658" s="175"/>
    </row>
    <row r="2659" ht="14.25" spans="1:8">
      <c r="A2659" s="232">
        <v>127</v>
      </c>
      <c r="B2659" s="185" t="s">
        <v>4380</v>
      </c>
      <c r="C2659" s="175" t="s">
        <v>48</v>
      </c>
      <c r="D2659" s="190">
        <v>0.03</v>
      </c>
      <c r="E2659" s="170" t="s">
        <v>30</v>
      </c>
      <c r="F2659" s="170" t="s">
        <v>201</v>
      </c>
      <c r="G2659" s="175" t="s">
        <v>4381</v>
      </c>
      <c r="H2659" s="175"/>
    </row>
    <row r="2660" ht="14.25" spans="1:8">
      <c r="A2660" s="232">
        <v>128</v>
      </c>
      <c r="B2660" s="185" t="s">
        <v>4382</v>
      </c>
      <c r="C2660" s="175" t="s">
        <v>48</v>
      </c>
      <c r="D2660" s="190">
        <v>0.02</v>
      </c>
      <c r="E2660" s="170" t="s">
        <v>30</v>
      </c>
      <c r="F2660" s="170" t="s">
        <v>201</v>
      </c>
      <c r="G2660" s="175" t="s">
        <v>4383</v>
      </c>
      <c r="H2660" s="175"/>
    </row>
    <row r="2661" ht="14.25" spans="1:8">
      <c r="A2661" s="232">
        <v>129</v>
      </c>
      <c r="B2661" s="185" t="s">
        <v>4384</v>
      </c>
      <c r="C2661" s="175" t="s">
        <v>48</v>
      </c>
      <c r="D2661" s="190">
        <v>0.011</v>
      </c>
      <c r="E2661" s="170" t="s">
        <v>30</v>
      </c>
      <c r="F2661" s="170" t="s">
        <v>201</v>
      </c>
      <c r="G2661" s="175" t="s">
        <v>4385</v>
      </c>
      <c r="H2661" s="175"/>
    </row>
    <row r="2662" ht="14.25" spans="1:8">
      <c r="A2662" s="232">
        <v>130</v>
      </c>
      <c r="B2662" s="185" t="s">
        <v>4361</v>
      </c>
      <c r="C2662" s="175" t="s">
        <v>48</v>
      </c>
      <c r="D2662" s="190">
        <v>0.02</v>
      </c>
      <c r="E2662" s="170" t="s">
        <v>30</v>
      </c>
      <c r="F2662" s="170" t="s">
        <v>201</v>
      </c>
      <c r="G2662" s="175" t="s">
        <v>4386</v>
      </c>
      <c r="H2662" s="175"/>
    </row>
    <row r="2663" ht="14.25" spans="1:8">
      <c r="A2663" s="232">
        <v>131</v>
      </c>
      <c r="B2663" s="185" t="s">
        <v>4387</v>
      </c>
      <c r="C2663" s="175" t="s">
        <v>48</v>
      </c>
      <c r="D2663" s="190">
        <v>0.03</v>
      </c>
      <c r="E2663" s="170" t="s">
        <v>30</v>
      </c>
      <c r="F2663" s="170" t="s">
        <v>201</v>
      </c>
      <c r="G2663" s="175" t="s">
        <v>4388</v>
      </c>
      <c r="H2663" s="175"/>
    </row>
    <row r="2664" ht="14.25" spans="1:8">
      <c r="A2664" s="232">
        <v>132</v>
      </c>
      <c r="B2664" s="183" t="s">
        <v>4389</v>
      </c>
      <c r="C2664" s="175" t="s">
        <v>48</v>
      </c>
      <c r="D2664" s="190">
        <v>0.03</v>
      </c>
      <c r="E2664" s="170" t="s">
        <v>30</v>
      </c>
      <c r="F2664" s="170" t="s">
        <v>201</v>
      </c>
      <c r="G2664" s="175" t="s">
        <v>4390</v>
      </c>
      <c r="H2664" s="175"/>
    </row>
    <row r="2665" ht="14.25" spans="1:8">
      <c r="A2665" s="232">
        <v>133</v>
      </c>
      <c r="B2665" s="185" t="s">
        <v>4391</v>
      </c>
      <c r="C2665" s="175" t="s">
        <v>48</v>
      </c>
      <c r="D2665" s="190">
        <v>0.03</v>
      </c>
      <c r="E2665" s="170" t="s">
        <v>30</v>
      </c>
      <c r="F2665" s="170" t="s">
        <v>201</v>
      </c>
      <c r="G2665" s="175" t="s">
        <v>4392</v>
      </c>
      <c r="H2665" s="175"/>
    </row>
    <row r="2666" ht="14.25" spans="1:8">
      <c r="A2666" s="232">
        <v>134</v>
      </c>
      <c r="B2666" s="185" t="s">
        <v>4393</v>
      </c>
      <c r="C2666" s="175" t="s">
        <v>48</v>
      </c>
      <c r="D2666" s="190">
        <v>0.03</v>
      </c>
      <c r="E2666" s="170" t="s">
        <v>30</v>
      </c>
      <c r="F2666" s="170" t="s">
        <v>201</v>
      </c>
      <c r="G2666" s="175" t="s">
        <v>1653</v>
      </c>
      <c r="H2666" s="175"/>
    </row>
    <row r="2667" ht="25.5" spans="1:8">
      <c r="A2667" s="232">
        <v>135</v>
      </c>
      <c r="B2667" s="185" t="s">
        <v>4394</v>
      </c>
      <c r="C2667" s="175" t="s">
        <v>48</v>
      </c>
      <c r="D2667" s="190">
        <v>0.03</v>
      </c>
      <c r="E2667" s="170" t="s">
        <v>30</v>
      </c>
      <c r="F2667" s="170" t="s">
        <v>201</v>
      </c>
      <c r="G2667" s="175" t="s">
        <v>4395</v>
      </c>
      <c r="H2667" s="175"/>
    </row>
    <row r="2668" ht="25.5" spans="1:8">
      <c r="A2668" s="232">
        <v>136</v>
      </c>
      <c r="B2668" s="185" t="s">
        <v>4396</v>
      </c>
      <c r="C2668" s="175" t="s">
        <v>48</v>
      </c>
      <c r="D2668" s="190">
        <v>0.03</v>
      </c>
      <c r="E2668" s="170" t="s">
        <v>30</v>
      </c>
      <c r="F2668" s="170" t="s">
        <v>201</v>
      </c>
      <c r="G2668" s="175" t="s">
        <v>4397</v>
      </c>
      <c r="H2668" s="175"/>
    </row>
    <row r="2669" ht="14.25" spans="1:8">
      <c r="A2669" s="232">
        <v>137</v>
      </c>
      <c r="B2669" s="185" t="s">
        <v>4398</v>
      </c>
      <c r="C2669" s="175" t="s">
        <v>48</v>
      </c>
      <c r="D2669" s="190">
        <v>0.01</v>
      </c>
      <c r="E2669" s="170" t="s">
        <v>30</v>
      </c>
      <c r="F2669" s="170" t="s">
        <v>201</v>
      </c>
      <c r="G2669" s="175" t="s">
        <v>4399</v>
      </c>
      <c r="H2669" s="175"/>
    </row>
    <row r="2670" ht="14.25" spans="1:8">
      <c r="A2670" s="232">
        <v>138</v>
      </c>
      <c r="B2670" s="185" t="s">
        <v>4400</v>
      </c>
      <c r="C2670" s="175" t="s">
        <v>48</v>
      </c>
      <c r="D2670" s="190">
        <v>0.03</v>
      </c>
      <c r="E2670" s="170" t="s">
        <v>30</v>
      </c>
      <c r="F2670" s="170" t="s">
        <v>201</v>
      </c>
      <c r="G2670" s="175" t="s">
        <v>4401</v>
      </c>
      <c r="H2670" s="175"/>
    </row>
    <row r="2671" ht="14.25" spans="1:8">
      <c r="A2671" s="232">
        <v>139</v>
      </c>
      <c r="B2671" s="185" t="s">
        <v>4402</v>
      </c>
      <c r="C2671" s="175" t="s">
        <v>48</v>
      </c>
      <c r="D2671" s="190">
        <v>0.01</v>
      </c>
      <c r="E2671" s="170" t="s">
        <v>30</v>
      </c>
      <c r="F2671" s="170" t="s">
        <v>201</v>
      </c>
      <c r="G2671" s="175" t="s">
        <v>4403</v>
      </c>
      <c r="H2671" s="175"/>
    </row>
    <row r="2672" ht="14.25" spans="1:8">
      <c r="A2672" s="232">
        <v>140</v>
      </c>
      <c r="B2672" s="185" t="s">
        <v>1691</v>
      </c>
      <c r="C2672" s="175" t="s">
        <v>48</v>
      </c>
      <c r="D2672" s="190">
        <v>0.01</v>
      </c>
      <c r="E2672" s="170" t="s">
        <v>30</v>
      </c>
      <c r="F2672" s="170" t="s">
        <v>201</v>
      </c>
      <c r="G2672" s="175" t="s">
        <v>4404</v>
      </c>
      <c r="H2672" s="175"/>
    </row>
    <row r="2673" ht="14.25" spans="1:8">
      <c r="A2673" s="232">
        <v>141</v>
      </c>
      <c r="B2673" s="185" t="s">
        <v>4405</v>
      </c>
      <c r="C2673" s="175" t="s">
        <v>48</v>
      </c>
      <c r="D2673" s="190">
        <v>0.03</v>
      </c>
      <c r="E2673" s="170" t="s">
        <v>30</v>
      </c>
      <c r="F2673" s="170" t="s">
        <v>201</v>
      </c>
      <c r="G2673" s="175" t="s">
        <v>4406</v>
      </c>
      <c r="H2673" s="175"/>
    </row>
    <row r="2674" ht="14.25" spans="1:8">
      <c r="A2674" s="232">
        <v>142</v>
      </c>
      <c r="B2674" s="185" t="s">
        <v>4407</v>
      </c>
      <c r="C2674" s="175" t="s">
        <v>48</v>
      </c>
      <c r="D2674" s="190">
        <v>0.02</v>
      </c>
      <c r="E2674" s="170" t="s">
        <v>30</v>
      </c>
      <c r="F2674" s="170" t="s">
        <v>201</v>
      </c>
      <c r="G2674" s="175" t="s">
        <v>4408</v>
      </c>
      <c r="H2674" s="175"/>
    </row>
    <row r="2675" ht="25.5" spans="1:8">
      <c r="A2675" s="232">
        <v>143</v>
      </c>
      <c r="B2675" s="185" t="s">
        <v>4409</v>
      </c>
      <c r="C2675" s="175" t="s">
        <v>48</v>
      </c>
      <c r="D2675" s="190">
        <v>0.03</v>
      </c>
      <c r="E2675" s="170" t="s">
        <v>30</v>
      </c>
      <c r="F2675" s="170" t="s">
        <v>201</v>
      </c>
      <c r="G2675" s="175" t="s">
        <v>4410</v>
      </c>
      <c r="H2675" s="175"/>
    </row>
    <row r="2676" ht="14.25" spans="1:8">
      <c r="A2676" s="232">
        <v>144</v>
      </c>
      <c r="B2676" s="185" t="s">
        <v>4411</v>
      </c>
      <c r="C2676" s="175" t="s">
        <v>48</v>
      </c>
      <c r="D2676" s="190">
        <v>0.03</v>
      </c>
      <c r="E2676" s="170" t="s">
        <v>30</v>
      </c>
      <c r="F2676" s="170" t="s">
        <v>201</v>
      </c>
      <c r="G2676" s="175" t="s">
        <v>4412</v>
      </c>
      <c r="H2676" s="175"/>
    </row>
    <row r="2677" ht="14.25" spans="1:8">
      <c r="A2677" s="232">
        <v>145</v>
      </c>
      <c r="B2677" s="185" t="s">
        <v>4413</v>
      </c>
      <c r="C2677" s="175" t="s">
        <v>48</v>
      </c>
      <c r="D2677" s="190">
        <v>0.03</v>
      </c>
      <c r="E2677" s="170" t="s">
        <v>30</v>
      </c>
      <c r="F2677" s="170" t="s">
        <v>201</v>
      </c>
      <c r="G2677" s="175" t="s">
        <v>4414</v>
      </c>
      <c r="H2677" s="175"/>
    </row>
    <row r="2678" ht="14.25" spans="1:8">
      <c r="A2678" s="232">
        <v>146</v>
      </c>
      <c r="B2678" s="185" t="s">
        <v>4415</v>
      </c>
      <c r="C2678" s="175" t="s">
        <v>48</v>
      </c>
      <c r="D2678" s="190">
        <v>0.03</v>
      </c>
      <c r="E2678" s="170" t="s">
        <v>30</v>
      </c>
      <c r="F2678" s="170" t="s">
        <v>201</v>
      </c>
      <c r="G2678" s="175" t="s">
        <v>4416</v>
      </c>
      <c r="H2678" s="175"/>
    </row>
    <row r="2679" ht="14.25" spans="1:8">
      <c r="A2679" s="232">
        <v>147</v>
      </c>
      <c r="B2679" s="185" t="s">
        <v>4417</v>
      </c>
      <c r="C2679" s="175" t="s">
        <v>48</v>
      </c>
      <c r="D2679" s="190">
        <v>0.03</v>
      </c>
      <c r="E2679" s="170" t="s">
        <v>30</v>
      </c>
      <c r="F2679" s="170" t="s">
        <v>201</v>
      </c>
      <c r="G2679" s="175" t="s">
        <v>4418</v>
      </c>
      <c r="H2679" s="175"/>
    </row>
    <row r="2680" ht="14.25" spans="1:8">
      <c r="A2680" s="232">
        <v>148</v>
      </c>
      <c r="B2680" s="185" t="s">
        <v>4419</v>
      </c>
      <c r="C2680" s="175" t="s">
        <v>48</v>
      </c>
      <c r="D2680" s="190">
        <v>0.03</v>
      </c>
      <c r="E2680" s="170" t="s">
        <v>30</v>
      </c>
      <c r="F2680" s="170" t="s">
        <v>201</v>
      </c>
      <c r="G2680" s="175" t="s">
        <v>4420</v>
      </c>
      <c r="H2680" s="175"/>
    </row>
    <row r="2681" ht="14.25" spans="1:8">
      <c r="A2681" s="232">
        <v>149</v>
      </c>
      <c r="B2681" s="185" t="s">
        <v>4421</v>
      </c>
      <c r="C2681" s="175" t="s">
        <v>48</v>
      </c>
      <c r="D2681" s="190">
        <v>0.03</v>
      </c>
      <c r="E2681" s="170" t="s">
        <v>30</v>
      </c>
      <c r="F2681" s="170" t="s">
        <v>201</v>
      </c>
      <c r="G2681" s="175" t="s">
        <v>4422</v>
      </c>
      <c r="H2681" s="175"/>
    </row>
    <row r="2682" ht="14.25" spans="1:8">
      <c r="A2682" s="232">
        <v>150</v>
      </c>
      <c r="B2682" s="185" t="s">
        <v>4423</v>
      </c>
      <c r="C2682" s="175" t="s">
        <v>48</v>
      </c>
      <c r="D2682" s="190">
        <v>0.03</v>
      </c>
      <c r="E2682" s="170" t="s">
        <v>30</v>
      </c>
      <c r="F2682" s="170" t="s">
        <v>201</v>
      </c>
      <c r="G2682" s="175" t="s">
        <v>4424</v>
      </c>
      <c r="H2682" s="175"/>
    </row>
    <row r="2683" ht="14.25" spans="1:8">
      <c r="A2683" s="232">
        <v>151</v>
      </c>
      <c r="B2683" s="185" t="s">
        <v>4407</v>
      </c>
      <c r="C2683" s="175" t="s">
        <v>48</v>
      </c>
      <c r="D2683" s="190">
        <v>0.02</v>
      </c>
      <c r="E2683" s="170" t="s">
        <v>30</v>
      </c>
      <c r="F2683" s="170" t="s">
        <v>201</v>
      </c>
      <c r="G2683" s="175" t="s">
        <v>4425</v>
      </c>
      <c r="H2683" s="175"/>
    </row>
    <row r="2684" ht="14.25" spans="1:8">
      <c r="A2684" s="232">
        <v>152</v>
      </c>
      <c r="B2684" s="185" t="s">
        <v>4426</v>
      </c>
      <c r="C2684" s="175" t="s">
        <v>48</v>
      </c>
      <c r="D2684" s="190">
        <v>0.03</v>
      </c>
      <c r="E2684" s="170" t="s">
        <v>30</v>
      </c>
      <c r="F2684" s="170" t="s">
        <v>201</v>
      </c>
      <c r="G2684" s="175" t="s">
        <v>4163</v>
      </c>
      <c r="H2684" s="175"/>
    </row>
    <row r="2685" ht="14.25" spans="1:8">
      <c r="A2685" s="232">
        <v>153</v>
      </c>
      <c r="B2685" s="185" t="s">
        <v>4427</v>
      </c>
      <c r="C2685" s="175" t="s">
        <v>48</v>
      </c>
      <c r="D2685" s="190">
        <v>0.03</v>
      </c>
      <c r="E2685" s="170" t="s">
        <v>30</v>
      </c>
      <c r="F2685" s="170" t="s">
        <v>201</v>
      </c>
      <c r="G2685" s="175" t="s">
        <v>4428</v>
      </c>
      <c r="H2685" s="175"/>
    </row>
    <row r="2686" ht="14.25" spans="1:8">
      <c r="A2686" s="232">
        <v>154</v>
      </c>
      <c r="B2686" s="185" t="s">
        <v>4429</v>
      </c>
      <c r="C2686" s="175" t="s">
        <v>48</v>
      </c>
      <c r="D2686" s="190">
        <v>0.025</v>
      </c>
      <c r="E2686" s="170" t="s">
        <v>30</v>
      </c>
      <c r="F2686" s="170" t="s">
        <v>201</v>
      </c>
      <c r="G2686" s="175" t="s">
        <v>4430</v>
      </c>
      <c r="H2686" s="175"/>
    </row>
    <row r="2687" ht="14.25" spans="1:8">
      <c r="A2687" s="232">
        <v>155</v>
      </c>
      <c r="B2687" s="185" t="s">
        <v>4431</v>
      </c>
      <c r="C2687" s="175" t="s">
        <v>48</v>
      </c>
      <c r="D2687" s="190">
        <v>0.03</v>
      </c>
      <c r="E2687" s="170" t="s">
        <v>30</v>
      </c>
      <c r="F2687" s="170" t="s">
        <v>201</v>
      </c>
      <c r="G2687" s="175" t="s">
        <v>4432</v>
      </c>
      <c r="H2687" s="175"/>
    </row>
    <row r="2688" ht="14.25" spans="1:8">
      <c r="A2688" s="232">
        <v>156</v>
      </c>
      <c r="B2688" s="185" t="s">
        <v>4433</v>
      </c>
      <c r="C2688" s="175" t="s">
        <v>48</v>
      </c>
      <c r="D2688" s="190">
        <v>0.005</v>
      </c>
      <c r="E2688" s="170" t="s">
        <v>30</v>
      </c>
      <c r="F2688" s="170" t="s">
        <v>201</v>
      </c>
      <c r="G2688" s="175" t="s">
        <v>4434</v>
      </c>
      <c r="H2688" s="175"/>
    </row>
    <row r="2689" ht="14.25" spans="1:8">
      <c r="A2689" s="232">
        <v>157</v>
      </c>
      <c r="B2689" s="185" t="s">
        <v>4435</v>
      </c>
      <c r="C2689" s="175" t="s">
        <v>48</v>
      </c>
      <c r="D2689" s="190">
        <v>0.015</v>
      </c>
      <c r="E2689" s="170" t="s">
        <v>30</v>
      </c>
      <c r="F2689" s="170" t="s">
        <v>201</v>
      </c>
      <c r="G2689" s="175" t="s">
        <v>4436</v>
      </c>
      <c r="H2689" s="175"/>
    </row>
    <row r="2690" ht="14.25" spans="1:8">
      <c r="A2690" s="232">
        <v>158</v>
      </c>
      <c r="B2690" s="185" t="s">
        <v>4437</v>
      </c>
      <c r="C2690" s="175" t="s">
        <v>48</v>
      </c>
      <c r="D2690" s="190">
        <v>0.02</v>
      </c>
      <c r="E2690" s="170" t="s">
        <v>30</v>
      </c>
      <c r="F2690" s="170" t="s">
        <v>201</v>
      </c>
      <c r="G2690" s="175" t="s">
        <v>4438</v>
      </c>
      <c r="H2690" s="175"/>
    </row>
    <row r="2691" ht="14.25" spans="1:8">
      <c r="A2691" s="232">
        <v>159</v>
      </c>
      <c r="B2691" s="185" t="s">
        <v>4439</v>
      </c>
      <c r="C2691" s="175" t="s">
        <v>48</v>
      </c>
      <c r="D2691" s="190">
        <v>0.02</v>
      </c>
      <c r="E2691" s="170" t="s">
        <v>30</v>
      </c>
      <c r="F2691" s="170" t="s">
        <v>201</v>
      </c>
      <c r="G2691" s="175" t="s">
        <v>4440</v>
      </c>
      <c r="H2691" s="175"/>
    </row>
    <row r="2692" ht="14.25" spans="1:8">
      <c r="A2692" s="232">
        <v>160</v>
      </c>
      <c r="B2692" s="185" t="s">
        <v>4441</v>
      </c>
      <c r="C2692" s="175" t="s">
        <v>48</v>
      </c>
      <c r="D2692" s="190">
        <v>0.03</v>
      </c>
      <c r="E2692" s="170" t="s">
        <v>30</v>
      </c>
      <c r="F2692" s="170" t="s">
        <v>201</v>
      </c>
      <c r="G2692" s="175" t="s">
        <v>4442</v>
      </c>
      <c r="H2692" s="175"/>
    </row>
    <row r="2693" ht="14.25" spans="1:8">
      <c r="A2693" s="232">
        <v>161</v>
      </c>
      <c r="B2693" s="185" t="s">
        <v>4443</v>
      </c>
      <c r="C2693" s="175" t="s">
        <v>48</v>
      </c>
      <c r="D2693" s="190">
        <v>0.03</v>
      </c>
      <c r="E2693" s="170" t="s">
        <v>30</v>
      </c>
      <c r="F2693" s="170" t="s">
        <v>201</v>
      </c>
      <c r="G2693" s="175" t="s">
        <v>3159</v>
      </c>
      <c r="H2693" s="175"/>
    </row>
    <row r="2694" ht="14.25" spans="1:8">
      <c r="A2694" s="232">
        <v>162</v>
      </c>
      <c r="B2694" s="185" t="s">
        <v>4444</v>
      </c>
      <c r="C2694" s="175" t="s">
        <v>48</v>
      </c>
      <c r="D2694" s="190">
        <v>0.03</v>
      </c>
      <c r="E2694" s="170" t="s">
        <v>30</v>
      </c>
      <c r="F2694" s="170" t="s">
        <v>201</v>
      </c>
      <c r="G2694" s="175" t="s">
        <v>4445</v>
      </c>
      <c r="H2694" s="175"/>
    </row>
    <row r="2695" ht="14.25" spans="1:8">
      <c r="A2695" s="232">
        <v>163</v>
      </c>
      <c r="B2695" s="185" t="s">
        <v>4446</v>
      </c>
      <c r="C2695" s="175" t="s">
        <v>48</v>
      </c>
      <c r="D2695" s="190">
        <v>0.02</v>
      </c>
      <c r="E2695" s="170" t="s">
        <v>30</v>
      </c>
      <c r="F2695" s="170" t="s">
        <v>201</v>
      </c>
      <c r="G2695" s="175" t="s">
        <v>4447</v>
      </c>
      <c r="H2695" s="175"/>
    </row>
    <row r="2696" ht="14.25" spans="1:8">
      <c r="A2696" s="232">
        <v>164</v>
      </c>
      <c r="B2696" s="185" t="s">
        <v>4448</v>
      </c>
      <c r="C2696" s="175" t="s">
        <v>48</v>
      </c>
      <c r="D2696" s="190">
        <v>0.03</v>
      </c>
      <c r="E2696" s="170" t="s">
        <v>30</v>
      </c>
      <c r="F2696" s="170" t="s">
        <v>201</v>
      </c>
      <c r="G2696" s="175" t="s">
        <v>4449</v>
      </c>
      <c r="H2696" s="175"/>
    </row>
    <row r="2697" ht="14.25" spans="1:8">
      <c r="A2697" s="232">
        <v>165</v>
      </c>
      <c r="B2697" s="185" t="s">
        <v>4450</v>
      </c>
      <c r="C2697" s="175" t="s">
        <v>48</v>
      </c>
      <c r="D2697" s="190">
        <v>0.03</v>
      </c>
      <c r="E2697" s="170" t="s">
        <v>30</v>
      </c>
      <c r="F2697" s="170" t="s">
        <v>201</v>
      </c>
      <c r="G2697" s="175" t="s">
        <v>4451</v>
      </c>
      <c r="H2697" s="175"/>
    </row>
    <row r="2698" ht="14.25" spans="1:8">
      <c r="A2698" s="232">
        <v>166</v>
      </c>
      <c r="B2698" s="185" t="s">
        <v>4452</v>
      </c>
      <c r="C2698" s="175" t="s">
        <v>48</v>
      </c>
      <c r="D2698" s="190">
        <v>0.03</v>
      </c>
      <c r="E2698" s="170" t="s">
        <v>30</v>
      </c>
      <c r="F2698" s="170" t="s">
        <v>201</v>
      </c>
      <c r="G2698" s="175" t="s">
        <v>4453</v>
      </c>
      <c r="H2698" s="175"/>
    </row>
    <row r="2699" ht="14.25" spans="1:8">
      <c r="A2699" s="232">
        <v>167</v>
      </c>
      <c r="B2699" s="185" t="s">
        <v>4446</v>
      </c>
      <c r="C2699" s="175" t="s">
        <v>48</v>
      </c>
      <c r="D2699" s="190">
        <v>0.03</v>
      </c>
      <c r="E2699" s="170" t="s">
        <v>30</v>
      </c>
      <c r="F2699" s="170" t="s">
        <v>201</v>
      </c>
      <c r="G2699" s="175" t="s">
        <v>4454</v>
      </c>
      <c r="H2699" s="175"/>
    </row>
    <row r="2700" ht="14.25" spans="1:8">
      <c r="A2700" s="232">
        <v>168</v>
      </c>
      <c r="B2700" s="185" t="s">
        <v>4455</v>
      </c>
      <c r="C2700" s="175" t="s">
        <v>48</v>
      </c>
      <c r="D2700" s="190">
        <v>0.01</v>
      </c>
      <c r="E2700" s="170" t="s">
        <v>30</v>
      </c>
      <c r="F2700" s="170" t="s">
        <v>201</v>
      </c>
      <c r="G2700" s="175" t="s">
        <v>4456</v>
      </c>
      <c r="H2700" s="175"/>
    </row>
    <row r="2701" ht="14.25" spans="1:8">
      <c r="A2701" s="232">
        <v>169</v>
      </c>
      <c r="B2701" s="185" t="s">
        <v>4457</v>
      </c>
      <c r="C2701" s="175" t="s">
        <v>48</v>
      </c>
      <c r="D2701" s="190">
        <v>0.01</v>
      </c>
      <c r="E2701" s="170" t="s">
        <v>30</v>
      </c>
      <c r="F2701" s="170" t="s">
        <v>201</v>
      </c>
      <c r="G2701" s="175" t="s">
        <v>4458</v>
      </c>
      <c r="H2701" s="175"/>
    </row>
    <row r="2702" ht="14.25" spans="1:8">
      <c r="A2702" s="232">
        <v>170</v>
      </c>
      <c r="B2702" s="185" t="s">
        <v>1697</v>
      </c>
      <c r="C2702" s="175" t="s">
        <v>48</v>
      </c>
      <c r="D2702" s="190">
        <v>0.02</v>
      </c>
      <c r="E2702" s="170" t="s">
        <v>30</v>
      </c>
      <c r="F2702" s="170" t="s">
        <v>201</v>
      </c>
      <c r="G2702" s="175" t="s">
        <v>4459</v>
      </c>
      <c r="H2702" s="175"/>
    </row>
    <row r="2703" ht="14.25" spans="1:8">
      <c r="A2703" s="232">
        <v>171</v>
      </c>
      <c r="B2703" s="185" t="s">
        <v>4460</v>
      </c>
      <c r="C2703" s="175" t="s">
        <v>48</v>
      </c>
      <c r="D2703" s="190">
        <v>0.03</v>
      </c>
      <c r="E2703" s="170" t="s">
        <v>30</v>
      </c>
      <c r="F2703" s="170" t="s">
        <v>201</v>
      </c>
      <c r="G2703" s="175" t="s">
        <v>4461</v>
      </c>
      <c r="H2703" s="175"/>
    </row>
    <row r="2704" ht="14.25" spans="1:8">
      <c r="A2704" s="232">
        <v>172</v>
      </c>
      <c r="B2704" s="185" t="s">
        <v>3588</v>
      </c>
      <c r="C2704" s="175" t="s">
        <v>48</v>
      </c>
      <c r="D2704" s="190">
        <v>0.03</v>
      </c>
      <c r="E2704" s="170" t="s">
        <v>30</v>
      </c>
      <c r="F2704" s="170" t="s">
        <v>201</v>
      </c>
      <c r="G2704" s="175" t="s">
        <v>4462</v>
      </c>
      <c r="H2704" s="175"/>
    </row>
    <row r="2705" ht="14.25" spans="1:8">
      <c r="A2705" s="232">
        <v>173</v>
      </c>
      <c r="B2705" s="185" t="s">
        <v>4463</v>
      </c>
      <c r="C2705" s="175" t="s">
        <v>48</v>
      </c>
      <c r="D2705" s="190">
        <v>0.03</v>
      </c>
      <c r="E2705" s="170" t="s">
        <v>30</v>
      </c>
      <c r="F2705" s="170" t="s">
        <v>201</v>
      </c>
      <c r="G2705" s="175" t="s">
        <v>4464</v>
      </c>
      <c r="H2705" s="175"/>
    </row>
    <row r="2706" ht="14.25" spans="1:8">
      <c r="A2706" s="232">
        <v>174</v>
      </c>
      <c r="B2706" s="185" t="s">
        <v>3144</v>
      </c>
      <c r="C2706" s="175" t="s">
        <v>48</v>
      </c>
      <c r="D2706" s="190">
        <v>0.03</v>
      </c>
      <c r="E2706" s="170" t="s">
        <v>30</v>
      </c>
      <c r="F2706" s="170" t="s">
        <v>201</v>
      </c>
      <c r="G2706" s="175" t="s">
        <v>4465</v>
      </c>
      <c r="H2706" s="175"/>
    </row>
    <row r="2707" ht="14.25" spans="1:8">
      <c r="A2707" s="232">
        <v>175</v>
      </c>
      <c r="B2707" s="185" t="s">
        <v>4466</v>
      </c>
      <c r="C2707" s="175" t="s">
        <v>48</v>
      </c>
      <c r="D2707" s="190">
        <v>0.02</v>
      </c>
      <c r="E2707" s="170" t="s">
        <v>30</v>
      </c>
      <c r="F2707" s="170" t="s">
        <v>201</v>
      </c>
      <c r="G2707" s="175" t="s">
        <v>4467</v>
      </c>
      <c r="H2707" s="175"/>
    </row>
    <row r="2708" ht="14.25" spans="1:8">
      <c r="A2708" s="232">
        <v>176</v>
      </c>
      <c r="B2708" s="185" t="s">
        <v>4468</v>
      </c>
      <c r="C2708" s="175" t="s">
        <v>48</v>
      </c>
      <c r="D2708" s="190">
        <v>0.03</v>
      </c>
      <c r="E2708" s="170" t="s">
        <v>30</v>
      </c>
      <c r="F2708" s="170" t="s">
        <v>201</v>
      </c>
      <c r="G2708" s="175" t="s">
        <v>4469</v>
      </c>
      <c r="H2708" s="175"/>
    </row>
    <row r="2709" ht="14.25" spans="1:8">
      <c r="A2709" s="232">
        <v>177</v>
      </c>
      <c r="B2709" s="185" t="s">
        <v>4470</v>
      </c>
      <c r="C2709" s="175" t="s">
        <v>48</v>
      </c>
      <c r="D2709" s="190">
        <v>0.03</v>
      </c>
      <c r="E2709" s="170" t="s">
        <v>30</v>
      </c>
      <c r="F2709" s="170" t="s">
        <v>201</v>
      </c>
      <c r="G2709" s="175" t="s">
        <v>4471</v>
      </c>
      <c r="H2709" s="175"/>
    </row>
    <row r="2710" ht="14.25" spans="1:8">
      <c r="A2710" s="232">
        <v>178</v>
      </c>
      <c r="B2710" s="183" t="s">
        <v>4472</v>
      </c>
      <c r="C2710" s="175" t="s">
        <v>48</v>
      </c>
      <c r="D2710" s="190">
        <v>0.03</v>
      </c>
      <c r="E2710" s="170" t="s">
        <v>30</v>
      </c>
      <c r="F2710" s="170" t="s">
        <v>201</v>
      </c>
      <c r="G2710" s="175" t="s">
        <v>4473</v>
      </c>
      <c r="H2710" s="175"/>
    </row>
    <row r="2711" ht="14.25" spans="1:8">
      <c r="A2711" s="232">
        <v>179</v>
      </c>
      <c r="B2711" s="185" t="s">
        <v>4474</v>
      </c>
      <c r="C2711" s="175" t="s">
        <v>48</v>
      </c>
      <c r="D2711" s="190">
        <v>0.03</v>
      </c>
      <c r="E2711" s="170" t="s">
        <v>30</v>
      </c>
      <c r="F2711" s="170" t="s">
        <v>201</v>
      </c>
      <c r="G2711" s="175" t="s">
        <v>4475</v>
      </c>
      <c r="H2711" s="175"/>
    </row>
    <row r="2712" ht="14.25" spans="1:8">
      <c r="A2712" s="232">
        <v>180</v>
      </c>
      <c r="B2712" s="185" t="s">
        <v>3528</v>
      </c>
      <c r="C2712" s="175" t="s">
        <v>48</v>
      </c>
      <c r="D2712" s="190">
        <v>0.03</v>
      </c>
      <c r="E2712" s="170" t="s">
        <v>30</v>
      </c>
      <c r="F2712" s="170" t="s">
        <v>201</v>
      </c>
      <c r="G2712" s="175" t="s">
        <v>4476</v>
      </c>
      <c r="H2712" s="175"/>
    </row>
    <row r="2713" ht="14.25" spans="1:8">
      <c r="A2713" s="232">
        <v>181</v>
      </c>
      <c r="B2713" s="185" t="s">
        <v>4477</v>
      </c>
      <c r="C2713" s="175" t="s">
        <v>48</v>
      </c>
      <c r="D2713" s="190">
        <v>0.03</v>
      </c>
      <c r="E2713" s="170" t="s">
        <v>30</v>
      </c>
      <c r="F2713" s="170" t="s">
        <v>201</v>
      </c>
      <c r="G2713" s="175" t="s">
        <v>4478</v>
      </c>
      <c r="H2713" s="175"/>
    </row>
    <row r="2714" ht="14.25" spans="1:8">
      <c r="A2714" s="232">
        <v>182</v>
      </c>
      <c r="B2714" s="185" t="s">
        <v>4479</v>
      </c>
      <c r="C2714" s="175" t="s">
        <v>48</v>
      </c>
      <c r="D2714" s="190">
        <v>0.03</v>
      </c>
      <c r="E2714" s="170" t="s">
        <v>30</v>
      </c>
      <c r="F2714" s="170" t="s">
        <v>201</v>
      </c>
      <c r="G2714" s="175" t="s">
        <v>4480</v>
      </c>
      <c r="H2714" s="175"/>
    </row>
    <row r="2715" ht="14.25" spans="1:8">
      <c r="A2715" s="232">
        <v>183</v>
      </c>
      <c r="B2715" s="185" t="s">
        <v>2425</v>
      </c>
      <c r="C2715" s="175" t="s">
        <v>48</v>
      </c>
      <c r="D2715" s="190">
        <v>0.03</v>
      </c>
      <c r="E2715" s="170" t="s">
        <v>30</v>
      </c>
      <c r="F2715" s="170" t="s">
        <v>201</v>
      </c>
      <c r="G2715" s="175" t="s">
        <v>4481</v>
      </c>
      <c r="H2715" s="175"/>
    </row>
    <row r="2716" ht="14.25" spans="1:8">
      <c r="A2716" s="232">
        <v>184</v>
      </c>
      <c r="B2716" s="185" t="s">
        <v>4482</v>
      </c>
      <c r="C2716" s="175" t="s">
        <v>48</v>
      </c>
      <c r="D2716" s="190">
        <v>0.01</v>
      </c>
      <c r="E2716" s="170" t="s">
        <v>30</v>
      </c>
      <c r="F2716" s="170" t="s">
        <v>201</v>
      </c>
      <c r="G2716" s="175" t="s">
        <v>4483</v>
      </c>
      <c r="H2716" s="175"/>
    </row>
    <row r="2717" ht="14.25" spans="1:8">
      <c r="A2717" s="232">
        <v>185</v>
      </c>
      <c r="B2717" s="185" t="s">
        <v>4484</v>
      </c>
      <c r="C2717" s="175" t="s">
        <v>48</v>
      </c>
      <c r="D2717" s="190">
        <v>0.02</v>
      </c>
      <c r="E2717" s="170" t="s">
        <v>30</v>
      </c>
      <c r="F2717" s="170" t="s">
        <v>201</v>
      </c>
      <c r="G2717" s="175" t="s">
        <v>4485</v>
      </c>
      <c r="H2717" s="175"/>
    </row>
    <row r="2718" ht="14.25" spans="1:8">
      <c r="A2718" s="232">
        <v>186</v>
      </c>
      <c r="B2718" s="185" t="s">
        <v>512</v>
      </c>
      <c r="C2718" s="175" t="s">
        <v>48</v>
      </c>
      <c r="D2718" s="190">
        <v>0.01</v>
      </c>
      <c r="E2718" s="170" t="s">
        <v>30</v>
      </c>
      <c r="F2718" s="170" t="s">
        <v>201</v>
      </c>
      <c r="G2718" s="175" t="s">
        <v>4486</v>
      </c>
      <c r="H2718" s="175"/>
    </row>
    <row r="2719" ht="14.25" spans="1:8">
      <c r="A2719" s="232">
        <v>187</v>
      </c>
      <c r="B2719" s="185" t="s">
        <v>4487</v>
      </c>
      <c r="C2719" s="175" t="s">
        <v>48</v>
      </c>
      <c r="D2719" s="190">
        <v>0.01</v>
      </c>
      <c r="E2719" s="170" t="s">
        <v>30</v>
      </c>
      <c r="F2719" s="170" t="s">
        <v>201</v>
      </c>
      <c r="G2719" s="175" t="s">
        <v>4488</v>
      </c>
      <c r="H2719" s="175"/>
    </row>
    <row r="2720" ht="14.25" spans="1:8">
      <c r="A2720" s="232">
        <v>188</v>
      </c>
      <c r="B2720" s="185" t="s">
        <v>4489</v>
      </c>
      <c r="C2720" s="175" t="s">
        <v>48</v>
      </c>
      <c r="D2720" s="190">
        <v>0.03</v>
      </c>
      <c r="E2720" s="170" t="s">
        <v>30</v>
      </c>
      <c r="F2720" s="170" t="s">
        <v>201</v>
      </c>
      <c r="G2720" s="175" t="s">
        <v>4490</v>
      </c>
      <c r="H2720" s="175"/>
    </row>
    <row r="2721" ht="14.25" spans="1:8">
      <c r="A2721" s="232">
        <v>189</v>
      </c>
      <c r="B2721" s="185" t="s">
        <v>4491</v>
      </c>
      <c r="C2721" s="175" t="s">
        <v>48</v>
      </c>
      <c r="D2721" s="190">
        <v>0.03</v>
      </c>
      <c r="E2721" s="170" t="s">
        <v>30</v>
      </c>
      <c r="F2721" s="170" t="s">
        <v>201</v>
      </c>
      <c r="G2721" s="175" t="s">
        <v>4492</v>
      </c>
      <c r="H2721" s="175"/>
    </row>
    <row r="2722" ht="14.25" spans="1:8">
      <c r="A2722" s="232">
        <v>190</v>
      </c>
      <c r="B2722" s="185" t="s">
        <v>4493</v>
      </c>
      <c r="C2722" s="175" t="s">
        <v>48</v>
      </c>
      <c r="D2722" s="190">
        <v>0.03</v>
      </c>
      <c r="E2722" s="170" t="s">
        <v>30</v>
      </c>
      <c r="F2722" s="170" t="s">
        <v>201</v>
      </c>
      <c r="G2722" s="175" t="s">
        <v>4494</v>
      </c>
      <c r="H2722" s="175"/>
    </row>
    <row r="2723" ht="14.25" spans="1:8">
      <c r="A2723" s="232">
        <v>191</v>
      </c>
      <c r="B2723" s="185" t="s">
        <v>4495</v>
      </c>
      <c r="C2723" s="175" t="s">
        <v>48</v>
      </c>
      <c r="D2723" s="190">
        <v>0.03</v>
      </c>
      <c r="E2723" s="170" t="s">
        <v>30</v>
      </c>
      <c r="F2723" s="170" t="s">
        <v>201</v>
      </c>
      <c r="G2723" s="175" t="s">
        <v>4496</v>
      </c>
      <c r="H2723" s="175"/>
    </row>
    <row r="2724" ht="14.25" spans="1:8">
      <c r="A2724" s="232">
        <v>192</v>
      </c>
      <c r="B2724" s="185" t="s">
        <v>4497</v>
      </c>
      <c r="C2724" s="175" t="s">
        <v>48</v>
      </c>
      <c r="D2724" s="190">
        <v>0.01</v>
      </c>
      <c r="E2724" s="170" t="s">
        <v>30</v>
      </c>
      <c r="F2724" s="170" t="s">
        <v>201</v>
      </c>
      <c r="G2724" s="175" t="s">
        <v>1628</v>
      </c>
      <c r="H2724" s="175"/>
    </row>
    <row r="2725" ht="14.25" spans="1:8">
      <c r="A2725" s="232">
        <v>193</v>
      </c>
      <c r="B2725" s="185" t="s">
        <v>4498</v>
      </c>
      <c r="C2725" s="175" t="s">
        <v>48</v>
      </c>
      <c r="D2725" s="190">
        <v>0.01</v>
      </c>
      <c r="E2725" s="170" t="s">
        <v>30</v>
      </c>
      <c r="F2725" s="170" t="s">
        <v>201</v>
      </c>
      <c r="G2725" s="175" t="s">
        <v>4499</v>
      </c>
      <c r="H2725" s="175"/>
    </row>
    <row r="2726" ht="14.25" spans="1:8">
      <c r="A2726" s="232">
        <v>194</v>
      </c>
      <c r="B2726" s="185" t="s">
        <v>3579</v>
      </c>
      <c r="C2726" s="175" t="s">
        <v>48</v>
      </c>
      <c r="D2726" s="190">
        <v>0.02</v>
      </c>
      <c r="E2726" s="170" t="s">
        <v>30</v>
      </c>
      <c r="F2726" s="170" t="s">
        <v>201</v>
      </c>
      <c r="G2726" s="175" t="s">
        <v>4174</v>
      </c>
      <c r="H2726" s="175"/>
    </row>
    <row r="2727" ht="14.25" spans="1:8">
      <c r="A2727" s="232">
        <v>195</v>
      </c>
      <c r="B2727" s="185" t="s">
        <v>4500</v>
      </c>
      <c r="C2727" s="175" t="s">
        <v>48</v>
      </c>
      <c r="D2727" s="190">
        <v>0.01</v>
      </c>
      <c r="E2727" s="170" t="s">
        <v>30</v>
      </c>
      <c r="F2727" s="170" t="s">
        <v>201</v>
      </c>
      <c r="G2727" s="175" t="s">
        <v>4501</v>
      </c>
      <c r="H2727" s="175"/>
    </row>
    <row r="2728" ht="14.25" spans="1:8">
      <c r="A2728" s="232">
        <v>196</v>
      </c>
      <c r="B2728" s="185" t="s">
        <v>4502</v>
      </c>
      <c r="C2728" s="175" t="s">
        <v>48</v>
      </c>
      <c r="D2728" s="190">
        <v>0.03</v>
      </c>
      <c r="E2728" s="170" t="s">
        <v>30</v>
      </c>
      <c r="F2728" s="170" t="s">
        <v>201</v>
      </c>
      <c r="G2728" s="175" t="s">
        <v>4503</v>
      </c>
      <c r="H2728" s="175"/>
    </row>
    <row r="2729" ht="14.25" spans="1:8">
      <c r="A2729" s="232">
        <v>197</v>
      </c>
      <c r="B2729" s="185" t="s">
        <v>4504</v>
      </c>
      <c r="C2729" s="175" t="s">
        <v>48</v>
      </c>
      <c r="D2729" s="190">
        <v>0.02</v>
      </c>
      <c r="E2729" s="170" t="s">
        <v>30</v>
      </c>
      <c r="F2729" s="170" t="s">
        <v>201</v>
      </c>
      <c r="G2729" s="175" t="s">
        <v>4505</v>
      </c>
      <c r="H2729" s="175"/>
    </row>
    <row r="2730" ht="14.25" spans="1:8">
      <c r="A2730" s="232">
        <v>198</v>
      </c>
      <c r="B2730" s="185" t="s">
        <v>4506</v>
      </c>
      <c r="C2730" s="175" t="s">
        <v>48</v>
      </c>
      <c r="D2730" s="190">
        <v>0.03</v>
      </c>
      <c r="E2730" s="170" t="s">
        <v>30</v>
      </c>
      <c r="F2730" s="170" t="s">
        <v>201</v>
      </c>
      <c r="G2730" s="175" t="s">
        <v>4507</v>
      </c>
      <c r="H2730" s="175"/>
    </row>
    <row r="2731" ht="14.25" spans="1:8">
      <c r="A2731" s="232">
        <v>199</v>
      </c>
      <c r="B2731" s="185" t="s">
        <v>4506</v>
      </c>
      <c r="C2731" s="175" t="s">
        <v>48</v>
      </c>
      <c r="D2731" s="190">
        <v>0.03</v>
      </c>
      <c r="E2731" s="170" t="s">
        <v>30</v>
      </c>
      <c r="F2731" s="170" t="s">
        <v>201</v>
      </c>
      <c r="G2731" s="175" t="s">
        <v>4508</v>
      </c>
      <c r="H2731" s="175"/>
    </row>
    <row r="2732" ht="14.25" spans="1:8">
      <c r="A2732" s="232">
        <v>200</v>
      </c>
      <c r="B2732" s="185" t="s">
        <v>4509</v>
      </c>
      <c r="C2732" s="175" t="s">
        <v>48</v>
      </c>
      <c r="D2732" s="190">
        <v>0.03</v>
      </c>
      <c r="E2732" s="170" t="s">
        <v>30</v>
      </c>
      <c r="F2732" s="170" t="s">
        <v>201</v>
      </c>
      <c r="G2732" s="175" t="s">
        <v>4510</v>
      </c>
      <c r="H2732" s="175"/>
    </row>
    <row r="2733" ht="14.25" spans="1:8">
      <c r="A2733" s="232">
        <v>201</v>
      </c>
      <c r="B2733" s="185" t="s">
        <v>4511</v>
      </c>
      <c r="C2733" s="175" t="s">
        <v>48</v>
      </c>
      <c r="D2733" s="190">
        <v>0.01</v>
      </c>
      <c r="E2733" s="170" t="s">
        <v>30</v>
      </c>
      <c r="F2733" s="170" t="s">
        <v>201</v>
      </c>
      <c r="G2733" s="175" t="s">
        <v>4512</v>
      </c>
      <c r="H2733" s="175"/>
    </row>
    <row r="2734" ht="14.25" spans="1:8">
      <c r="A2734" s="232">
        <v>202</v>
      </c>
      <c r="B2734" s="185" t="s">
        <v>4513</v>
      </c>
      <c r="C2734" s="175" t="s">
        <v>48</v>
      </c>
      <c r="D2734" s="190">
        <v>0.03</v>
      </c>
      <c r="E2734" s="170" t="s">
        <v>30</v>
      </c>
      <c r="F2734" s="170" t="s">
        <v>201</v>
      </c>
      <c r="G2734" s="175" t="s">
        <v>4514</v>
      </c>
      <c r="H2734" s="175"/>
    </row>
    <row r="2735" ht="14.25" spans="1:8">
      <c r="A2735" s="232">
        <v>203</v>
      </c>
      <c r="B2735" s="185" t="s">
        <v>4515</v>
      </c>
      <c r="C2735" s="175" t="s">
        <v>48</v>
      </c>
      <c r="D2735" s="190">
        <v>0.03</v>
      </c>
      <c r="E2735" s="170" t="s">
        <v>30</v>
      </c>
      <c r="F2735" s="170" t="s">
        <v>201</v>
      </c>
      <c r="G2735" s="175" t="s">
        <v>4516</v>
      </c>
      <c r="H2735" s="175"/>
    </row>
    <row r="2736" ht="14.25" spans="1:8">
      <c r="A2736" s="232">
        <v>204</v>
      </c>
      <c r="B2736" s="185" t="s">
        <v>4517</v>
      </c>
      <c r="C2736" s="175" t="s">
        <v>48</v>
      </c>
      <c r="D2736" s="190">
        <v>0.03</v>
      </c>
      <c r="E2736" s="170" t="s">
        <v>30</v>
      </c>
      <c r="F2736" s="170" t="s">
        <v>201</v>
      </c>
      <c r="G2736" s="175" t="s">
        <v>4518</v>
      </c>
      <c r="H2736" s="175"/>
    </row>
    <row r="2737" ht="14.25" spans="1:8">
      <c r="A2737" s="232">
        <v>205</v>
      </c>
      <c r="B2737" s="185" t="s">
        <v>4519</v>
      </c>
      <c r="C2737" s="175" t="s">
        <v>48</v>
      </c>
      <c r="D2737" s="190">
        <v>0.01</v>
      </c>
      <c r="E2737" s="170" t="s">
        <v>30</v>
      </c>
      <c r="F2737" s="170" t="s">
        <v>201</v>
      </c>
      <c r="G2737" s="175" t="s">
        <v>4520</v>
      </c>
      <c r="H2737" s="175"/>
    </row>
    <row r="2738" ht="14.25" spans="1:8">
      <c r="A2738" s="232">
        <v>206</v>
      </c>
      <c r="B2738" s="185" t="s">
        <v>4521</v>
      </c>
      <c r="C2738" s="175" t="s">
        <v>48</v>
      </c>
      <c r="D2738" s="190">
        <v>0.03</v>
      </c>
      <c r="E2738" s="170" t="s">
        <v>30</v>
      </c>
      <c r="F2738" s="170" t="s">
        <v>201</v>
      </c>
      <c r="G2738" s="175" t="s">
        <v>4522</v>
      </c>
      <c r="H2738" s="175"/>
    </row>
    <row r="2739" ht="14.25" spans="1:8">
      <c r="A2739" s="232">
        <v>207</v>
      </c>
      <c r="B2739" s="185" t="s">
        <v>4523</v>
      </c>
      <c r="C2739" s="175" t="s">
        <v>48</v>
      </c>
      <c r="D2739" s="190">
        <v>0.03</v>
      </c>
      <c r="E2739" s="170" t="s">
        <v>30</v>
      </c>
      <c r="F2739" s="170" t="s">
        <v>201</v>
      </c>
      <c r="G2739" s="175" t="s">
        <v>4524</v>
      </c>
      <c r="H2739" s="175"/>
    </row>
    <row r="2740" ht="14.25" spans="1:8">
      <c r="A2740" s="232">
        <v>208</v>
      </c>
      <c r="B2740" s="185" t="s">
        <v>4525</v>
      </c>
      <c r="C2740" s="175" t="s">
        <v>48</v>
      </c>
      <c r="D2740" s="190">
        <v>0.03</v>
      </c>
      <c r="E2740" s="170" t="s">
        <v>30</v>
      </c>
      <c r="F2740" s="170" t="s">
        <v>201</v>
      </c>
      <c r="G2740" s="175" t="s">
        <v>4526</v>
      </c>
      <c r="H2740" s="175"/>
    </row>
    <row r="2741" ht="14.25" spans="1:8">
      <c r="A2741" s="232">
        <v>209</v>
      </c>
      <c r="B2741" s="183" t="s">
        <v>3579</v>
      </c>
      <c r="C2741" s="175" t="s">
        <v>48</v>
      </c>
      <c r="D2741" s="190">
        <v>0.03</v>
      </c>
      <c r="E2741" s="170" t="s">
        <v>30</v>
      </c>
      <c r="F2741" s="170" t="s">
        <v>201</v>
      </c>
      <c r="G2741" s="175" t="s">
        <v>4174</v>
      </c>
      <c r="H2741" s="175"/>
    </row>
    <row r="2742" ht="14.25" spans="1:8">
      <c r="A2742" s="232">
        <v>210</v>
      </c>
      <c r="B2742" s="183" t="s">
        <v>3579</v>
      </c>
      <c r="C2742" s="175" t="s">
        <v>48</v>
      </c>
      <c r="D2742" s="190">
        <v>0.03</v>
      </c>
      <c r="E2742" s="170" t="s">
        <v>30</v>
      </c>
      <c r="F2742" s="170" t="s">
        <v>201</v>
      </c>
      <c r="G2742" s="175" t="s">
        <v>4171</v>
      </c>
      <c r="H2742" s="175"/>
    </row>
    <row r="2743" ht="14.25" spans="1:8">
      <c r="A2743" s="232">
        <v>211</v>
      </c>
      <c r="B2743" s="185" t="s">
        <v>4527</v>
      </c>
      <c r="C2743" s="175" t="s">
        <v>48</v>
      </c>
      <c r="D2743" s="190">
        <v>0.03</v>
      </c>
      <c r="E2743" s="170" t="s">
        <v>30</v>
      </c>
      <c r="F2743" s="170" t="s">
        <v>201</v>
      </c>
      <c r="G2743" s="175" t="s">
        <v>4528</v>
      </c>
      <c r="H2743" s="175"/>
    </row>
    <row r="2744" ht="14.25" spans="1:8">
      <c r="A2744" s="232">
        <v>212</v>
      </c>
      <c r="B2744" s="185" t="s">
        <v>4529</v>
      </c>
      <c r="C2744" s="175" t="s">
        <v>48</v>
      </c>
      <c r="D2744" s="190">
        <v>0.02</v>
      </c>
      <c r="E2744" s="170" t="s">
        <v>30</v>
      </c>
      <c r="F2744" s="170" t="s">
        <v>201</v>
      </c>
      <c r="G2744" s="175" t="s">
        <v>4530</v>
      </c>
      <c r="H2744" s="175"/>
    </row>
    <row r="2745" ht="14.25" spans="1:8">
      <c r="A2745" s="232">
        <v>213</v>
      </c>
      <c r="B2745" s="185" t="s">
        <v>4531</v>
      </c>
      <c r="C2745" s="175" t="s">
        <v>48</v>
      </c>
      <c r="D2745" s="190">
        <v>0.01</v>
      </c>
      <c r="E2745" s="170" t="s">
        <v>30</v>
      </c>
      <c r="F2745" s="170" t="s">
        <v>201</v>
      </c>
      <c r="G2745" s="175" t="s">
        <v>4532</v>
      </c>
      <c r="H2745" s="175"/>
    </row>
    <row r="2746" ht="14.25" spans="1:8">
      <c r="A2746" s="232">
        <v>214</v>
      </c>
      <c r="B2746" s="185" t="s">
        <v>4533</v>
      </c>
      <c r="C2746" s="175" t="s">
        <v>48</v>
      </c>
      <c r="D2746" s="190">
        <v>0.03</v>
      </c>
      <c r="E2746" s="170" t="s">
        <v>30</v>
      </c>
      <c r="F2746" s="170" t="s">
        <v>201</v>
      </c>
      <c r="G2746" s="175" t="s">
        <v>4534</v>
      </c>
      <c r="H2746" s="175"/>
    </row>
    <row r="2747" ht="14.25" spans="1:8">
      <c r="A2747" s="232">
        <v>215</v>
      </c>
      <c r="B2747" s="185" t="s">
        <v>4535</v>
      </c>
      <c r="C2747" s="175" t="s">
        <v>48</v>
      </c>
      <c r="D2747" s="190">
        <v>0.02</v>
      </c>
      <c r="E2747" s="170" t="s">
        <v>30</v>
      </c>
      <c r="F2747" s="170" t="s">
        <v>201</v>
      </c>
      <c r="G2747" s="175" t="s">
        <v>4536</v>
      </c>
      <c r="H2747" s="175"/>
    </row>
    <row r="2748" ht="14.25" spans="1:8">
      <c r="A2748" s="232">
        <v>216</v>
      </c>
      <c r="B2748" s="185" t="s">
        <v>2683</v>
      </c>
      <c r="C2748" s="175" t="s">
        <v>48</v>
      </c>
      <c r="D2748" s="190">
        <v>0.02</v>
      </c>
      <c r="E2748" s="170" t="s">
        <v>30</v>
      </c>
      <c r="F2748" s="170" t="s">
        <v>201</v>
      </c>
      <c r="G2748" s="175" t="s">
        <v>4537</v>
      </c>
      <c r="H2748" s="175"/>
    </row>
    <row r="2749" ht="14.25" spans="1:8">
      <c r="A2749" s="232">
        <v>217</v>
      </c>
      <c r="B2749" s="185" t="s">
        <v>4538</v>
      </c>
      <c r="C2749" s="175" t="s">
        <v>48</v>
      </c>
      <c r="D2749" s="190">
        <v>0.03</v>
      </c>
      <c r="E2749" s="170" t="s">
        <v>30</v>
      </c>
      <c r="F2749" s="170" t="s">
        <v>201</v>
      </c>
      <c r="G2749" s="175" t="s">
        <v>4539</v>
      </c>
      <c r="H2749" s="175"/>
    </row>
    <row r="2750" ht="14.25" spans="1:8">
      <c r="A2750" s="232">
        <v>218</v>
      </c>
      <c r="B2750" s="185" t="s">
        <v>4540</v>
      </c>
      <c r="C2750" s="175" t="s">
        <v>48</v>
      </c>
      <c r="D2750" s="190">
        <v>0.01</v>
      </c>
      <c r="E2750" s="170" t="s">
        <v>30</v>
      </c>
      <c r="F2750" s="170" t="s">
        <v>201</v>
      </c>
      <c r="G2750" s="175" t="s">
        <v>4541</v>
      </c>
      <c r="H2750" s="175"/>
    </row>
    <row r="2751" ht="14.25" spans="1:8">
      <c r="A2751" s="232">
        <v>219</v>
      </c>
      <c r="B2751" s="185" t="s">
        <v>4542</v>
      </c>
      <c r="C2751" s="175" t="s">
        <v>48</v>
      </c>
      <c r="D2751" s="190">
        <v>0.03</v>
      </c>
      <c r="E2751" s="170" t="s">
        <v>30</v>
      </c>
      <c r="F2751" s="170" t="s">
        <v>201</v>
      </c>
      <c r="G2751" s="175" t="s">
        <v>4543</v>
      </c>
      <c r="H2751" s="175"/>
    </row>
    <row r="2752" ht="14.25" spans="1:8">
      <c r="A2752" s="232">
        <v>220</v>
      </c>
      <c r="B2752" s="185" t="s">
        <v>4544</v>
      </c>
      <c r="C2752" s="175" t="s">
        <v>48</v>
      </c>
      <c r="D2752" s="190">
        <v>0.03</v>
      </c>
      <c r="E2752" s="170" t="s">
        <v>30</v>
      </c>
      <c r="F2752" s="170" t="s">
        <v>201</v>
      </c>
      <c r="G2752" s="175" t="s">
        <v>4545</v>
      </c>
      <c r="H2752" s="175"/>
    </row>
    <row r="2753" ht="14.25" spans="1:8">
      <c r="A2753" s="232">
        <v>221</v>
      </c>
      <c r="B2753" s="185" t="s">
        <v>4544</v>
      </c>
      <c r="C2753" s="175" t="s">
        <v>48</v>
      </c>
      <c r="D2753" s="190">
        <v>0.03</v>
      </c>
      <c r="E2753" s="170" t="s">
        <v>30</v>
      </c>
      <c r="F2753" s="170" t="s">
        <v>201</v>
      </c>
      <c r="G2753" s="175" t="s">
        <v>4546</v>
      </c>
      <c r="H2753" s="175"/>
    </row>
    <row r="2754" ht="14.25" spans="1:8">
      <c r="A2754" s="232">
        <v>222</v>
      </c>
      <c r="B2754" s="185" t="s">
        <v>4547</v>
      </c>
      <c r="C2754" s="175" t="s">
        <v>48</v>
      </c>
      <c r="D2754" s="190">
        <v>0.025</v>
      </c>
      <c r="E2754" s="170" t="s">
        <v>30</v>
      </c>
      <c r="F2754" s="170" t="s">
        <v>201</v>
      </c>
      <c r="G2754" s="175" t="s">
        <v>4548</v>
      </c>
      <c r="H2754" s="175"/>
    </row>
    <row r="2755" ht="14.25" spans="1:8">
      <c r="A2755" s="232">
        <v>223</v>
      </c>
      <c r="B2755" s="185" t="s">
        <v>4549</v>
      </c>
      <c r="C2755" s="175" t="s">
        <v>48</v>
      </c>
      <c r="D2755" s="190">
        <v>0.03</v>
      </c>
      <c r="E2755" s="170" t="s">
        <v>30</v>
      </c>
      <c r="F2755" s="170" t="s">
        <v>201</v>
      </c>
      <c r="G2755" s="175" t="s">
        <v>4550</v>
      </c>
      <c r="H2755" s="175"/>
    </row>
    <row r="2756" ht="14.25" spans="1:8">
      <c r="A2756" s="232">
        <v>224</v>
      </c>
      <c r="B2756" s="185" t="s">
        <v>4551</v>
      </c>
      <c r="C2756" s="175" t="s">
        <v>48</v>
      </c>
      <c r="D2756" s="190">
        <v>0.03</v>
      </c>
      <c r="E2756" s="170" t="s">
        <v>30</v>
      </c>
      <c r="F2756" s="170" t="s">
        <v>201</v>
      </c>
      <c r="G2756" s="175" t="s">
        <v>4552</v>
      </c>
      <c r="H2756" s="175"/>
    </row>
    <row r="2757" ht="14.25" spans="1:8">
      <c r="A2757" s="232">
        <v>225</v>
      </c>
      <c r="B2757" s="185" t="s">
        <v>4553</v>
      </c>
      <c r="C2757" s="175" t="s">
        <v>48</v>
      </c>
      <c r="D2757" s="190">
        <v>0.03</v>
      </c>
      <c r="E2757" s="170" t="s">
        <v>30</v>
      </c>
      <c r="F2757" s="170" t="s">
        <v>201</v>
      </c>
      <c r="G2757" s="175" t="s">
        <v>4554</v>
      </c>
      <c r="H2757" s="175"/>
    </row>
    <row r="2758" ht="14.25" spans="1:8">
      <c r="A2758" s="232">
        <v>226</v>
      </c>
      <c r="B2758" s="185" t="s">
        <v>4555</v>
      </c>
      <c r="C2758" s="175" t="s">
        <v>48</v>
      </c>
      <c r="D2758" s="190">
        <v>0.09</v>
      </c>
      <c r="E2758" s="170" t="s">
        <v>30</v>
      </c>
      <c r="F2758" s="170" t="s">
        <v>201</v>
      </c>
      <c r="G2758" s="175" t="s">
        <v>4556</v>
      </c>
      <c r="H2758" s="175"/>
    </row>
    <row r="2759" ht="14.25" spans="1:8">
      <c r="A2759" s="232">
        <v>227</v>
      </c>
      <c r="B2759" s="185" t="s">
        <v>4226</v>
      </c>
      <c r="C2759" s="175" t="s">
        <v>48</v>
      </c>
      <c r="D2759" s="190">
        <v>0.03</v>
      </c>
      <c r="E2759" s="170" t="s">
        <v>30</v>
      </c>
      <c r="F2759" s="170" t="s">
        <v>201</v>
      </c>
      <c r="G2759" s="175" t="s">
        <v>4557</v>
      </c>
      <c r="H2759" s="175"/>
    </row>
    <row r="2760" ht="14.25" spans="1:8">
      <c r="A2760" s="232">
        <v>228</v>
      </c>
      <c r="B2760" s="185" t="s">
        <v>4558</v>
      </c>
      <c r="C2760" s="175" t="s">
        <v>48</v>
      </c>
      <c r="D2760" s="190">
        <v>0.03</v>
      </c>
      <c r="E2760" s="170" t="s">
        <v>30</v>
      </c>
      <c r="F2760" s="170" t="s">
        <v>201</v>
      </c>
      <c r="G2760" s="175" t="s">
        <v>4559</v>
      </c>
      <c r="H2760" s="175"/>
    </row>
    <row r="2761" ht="14.25" spans="1:8">
      <c r="A2761" s="232">
        <v>229</v>
      </c>
      <c r="B2761" s="185" t="s">
        <v>4560</v>
      </c>
      <c r="C2761" s="175" t="s">
        <v>48</v>
      </c>
      <c r="D2761" s="190">
        <v>0.01</v>
      </c>
      <c r="E2761" s="170" t="s">
        <v>30</v>
      </c>
      <c r="F2761" s="170" t="s">
        <v>201</v>
      </c>
      <c r="G2761" s="175" t="s">
        <v>4561</v>
      </c>
      <c r="H2761" s="175"/>
    </row>
    <row r="2762" ht="14.25" spans="1:8">
      <c r="A2762" s="232">
        <v>230</v>
      </c>
      <c r="B2762" s="185" t="s">
        <v>4562</v>
      </c>
      <c r="C2762" s="175" t="s">
        <v>48</v>
      </c>
      <c r="D2762" s="190">
        <v>0.03</v>
      </c>
      <c r="E2762" s="170" t="s">
        <v>30</v>
      </c>
      <c r="F2762" s="170" t="s">
        <v>201</v>
      </c>
      <c r="G2762" s="175" t="s">
        <v>4563</v>
      </c>
      <c r="H2762" s="175"/>
    </row>
    <row r="2763" ht="14.25" spans="1:8">
      <c r="A2763" s="232">
        <v>231</v>
      </c>
      <c r="B2763" s="185" t="s">
        <v>4564</v>
      </c>
      <c r="C2763" s="175" t="s">
        <v>48</v>
      </c>
      <c r="D2763" s="190">
        <v>0.01</v>
      </c>
      <c r="E2763" s="170" t="s">
        <v>30</v>
      </c>
      <c r="F2763" s="170" t="s">
        <v>201</v>
      </c>
      <c r="G2763" s="175" t="s">
        <v>4565</v>
      </c>
      <c r="H2763" s="175"/>
    </row>
    <row r="2764" ht="14.25" spans="1:8">
      <c r="A2764" s="232">
        <v>232</v>
      </c>
      <c r="B2764" s="185" t="s">
        <v>4566</v>
      </c>
      <c r="C2764" s="175" t="s">
        <v>48</v>
      </c>
      <c r="D2764" s="190">
        <v>0.01</v>
      </c>
      <c r="E2764" s="170" t="s">
        <v>30</v>
      </c>
      <c r="F2764" s="170" t="s">
        <v>201</v>
      </c>
      <c r="G2764" s="175" t="s">
        <v>4567</v>
      </c>
      <c r="H2764" s="175"/>
    </row>
    <row r="2765" ht="14.25" spans="1:8">
      <c r="A2765" s="232">
        <v>233</v>
      </c>
      <c r="B2765" s="185" t="s">
        <v>4568</v>
      </c>
      <c r="C2765" s="175" t="s">
        <v>48</v>
      </c>
      <c r="D2765" s="190">
        <v>0.01</v>
      </c>
      <c r="E2765" s="170" t="s">
        <v>30</v>
      </c>
      <c r="F2765" s="170" t="s">
        <v>201</v>
      </c>
      <c r="G2765" s="175" t="s">
        <v>4569</v>
      </c>
      <c r="H2765" s="175"/>
    </row>
    <row r="2766" ht="14.25" spans="1:8">
      <c r="A2766" s="232">
        <v>234</v>
      </c>
      <c r="B2766" s="185" t="s">
        <v>4570</v>
      </c>
      <c r="C2766" s="175" t="s">
        <v>48</v>
      </c>
      <c r="D2766" s="190">
        <v>0.01</v>
      </c>
      <c r="E2766" s="170" t="s">
        <v>30</v>
      </c>
      <c r="F2766" s="170" t="s">
        <v>201</v>
      </c>
      <c r="G2766" s="175" t="s">
        <v>4571</v>
      </c>
      <c r="H2766" s="175"/>
    </row>
    <row r="2767" ht="14.25" spans="1:8">
      <c r="A2767" s="232">
        <v>235</v>
      </c>
      <c r="B2767" s="185" t="s">
        <v>4572</v>
      </c>
      <c r="C2767" s="175" t="s">
        <v>48</v>
      </c>
      <c r="D2767" s="190">
        <v>0.01</v>
      </c>
      <c r="E2767" s="170" t="s">
        <v>30</v>
      </c>
      <c r="F2767" s="170" t="s">
        <v>201</v>
      </c>
      <c r="G2767" s="175" t="s">
        <v>4573</v>
      </c>
      <c r="H2767" s="175"/>
    </row>
    <row r="2768" ht="14.25" spans="1:8">
      <c r="A2768" s="232">
        <v>236</v>
      </c>
      <c r="B2768" s="185" t="s">
        <v>4574</v>
      </c>
      <c r="C2768" s="175" t="s">
        <v>48</v>
      </c>
      <c r="D2768" s="190">
        <v>0.01</v>
      </c>
      <c r="E2768" s="170" t="s">
        <v>30</v>
      </c>
      <c r="F2768" s="170" t="s">
        <v>201</v>
      </c>
      <c r="G2768" s="175" t="s">
        <v>4575</v>
      </c>
      <c r="H2768" s="175"/>
    </row>
    <row r="2769" ht="14.25" spans="1:8">
      <c r="A2769" s="232">
        <v>237</v>
      </c>
      <c r="B2769" s="185" t="s">
        <v>4576</v>
      </c>
      <c r="C2769" s="175" t="s">
        <v>48</v>
      </c>
      <c r="D2769" s="190">
        <v>0.02</v>
      </c>
      <c r="E2769" s="170" t="s">
        <v>30</v>
      </c>
      <c r="F2769" s="170" t="s">
        <v>201</v>
      </c>
      <c r="G2769" s="175" t="s">
        <v>4577</v>
      </c>
      <c r="H2769" s="175"/>
    </row>
    <row r="2770" ht="14.25" spans="1:8">
      <c r="A2770" s="232">
        <v>238</v>
      </c>
      <c r="B2770" s="185" t="s">
        <v>4578</v>
      </c>
      <c r="C2770" s="175" t="s">
        <v>48</v>
      </c>
      <c r="D2770" s="190">
        <v>0.03</v>
      </c>
      <c r="E2770" s="170" t="s">
        <v>30</v>
      </c>
      <c r="F2770" s="170" t="s">
        <v>201</v>
      </c>
      <c r="G2770" s="175" t="s">
        <v>4579</v>
      </c>
      <c r="H2770" s="175"/>
    </row>
    <row r="2771" ht="14.25" spans="1:8">
      <c r="A2771" s="232">
        <v>239</v>
      </c>
      <c r="B2771" s="185" t="s">
        <v>4580</v>
      </c>
      <c r="C2771" s="175" t="s">
        <v>48</v>
      </c>
      <c r="D2771" s="190">
        <v>0.03</v>
      </c>
      <c r="E2771" s="170" t="s">
        <v>30</v>
      </c>
      <c r="F2771" s="170" t="s">
        <v>201</v>
      </c>
      <c r="G2771" s="175" t="s">
        <v>4581</v>
      </c>
      <c r="H2771" s="175"/>
    </row>
    <row r="2772" ht="14.25" spans="1:8">
      <c r="A2772" s="232">
        <v>240</v>
      </c>
      <c r="B2772" s="185" t="s">
        <v>4582</v>
      </c>
      <c r="C2772" s="175" t="s">
        <v>48</v>
      </c>
      <c r="D2772" s="190">
        <v>0.03</v>
      </c>
      <c r="E2772" s="170" t="s">
        <v>30</v>
      </c>
      <c r="F2772" s="170" t="s">
        <v>201</v>
      </c>
      <c r="G2772" s="175" t="s">
        <v>4583</v>
      </c>
      <c r="H2772" s="175"/>
    </row>
    <row r="2773" ht="14.25" spans="1:8">
      <c r="A2773" s="232">
        <v>241</v>
      </c>
      <c r="B2773" s="185" t="s">
        <v>4267</v>
      </c>
      <c r="C2773" s="175" t="s">
        <v>48</v>
      </c>
      <c r="D2773" s="190">
        <v>0.03</v>
      </c>
      <c r="E2773" s="170" t="s">
        <v>30</v>
      </c>
      <c r="F2773" s="170" t="s">
        <v>201</v>
      </c>
      <c r="G2773" s="175" t="s">
        <v>4584</v>
      </c>
      <c r="H2773" s="175"/>
    </row>
    <row r="2774" ht="14.25" spans="1:8">
      <c r="A2774" s="232">
        <v>242</v>
      </c>
      <c r="B2774" s="185" t="s">
        <v>2473</v>
      </c>
      <c r="C2774" s="175" t="s">
        <v>48</v>
      </c>
      <c r="D2774" s="190">
        <v>0.03</v>
      </c>
      <c r="E2774" s="170" t="s">
        <v>30</v>
      </c>
      <c r="F2774" s="170" t="s">
        <v>201</v>
      </c>
      <c r="G2774" s="175" t="s">
        <v>4585</v>
      </c>
      <c r="H2774" s="175"/>
    </row>
    <row r="2775" ht="14.25" spans="1:8">
      <c r="A2775" s="232">
        <v>243</v>
      </c>
      <c r="B2775" s="185" t="s">
        <v>4586</v>
      </c>
      <c r="C2775" s="175" t="s">
        <v>48</v>
      </c>
      <c r="D2775" s="190">
        <v>0.03</v>
      </c>
      <c r="E2775" s="170" t="s">
        <v>30</v>
      </c>
      <c r="F2775" s="170" t="s">
        <v>201</v>
      </c>
      <c r="G2775" s="175" t="s">
        <v>4587</v>
      </c>
      <c r="H2775" s="175"/>
    </row>
    <row r="2776" ht="14.25" spans="1:8">
      <c r="A2776" s="232">
        <v>244</v>
      </c>
      <c r="B2776" s="185" t="s">
        <v>4588</v>
      </c>
      <c r="C2776" s="175" t="s">
        <v>48</v>
      </c>
      <c r="D2776" s="190">
        <v>0.03</v>
      </c>
      <c r="E2776" s="170" t="s">
        <v>30</v>
      </c>
      <c r="F2776" s="170" t="s">
        <v>201</v>
      </c>
      <c r="G2776" s="175" t="s">
        <v>4589</v>
      </c>
      <c r="H2776" s="175"/>
    </row>
    <row r="2777" ht="14.25" spans="1:8">
      <c r="A2777" s="232">
        <v>245</v>
      </c>
      <c r="B2777" s="185" t="s">
        <v>4590</v>
      </c>
      <c r="C2777" s="175" t="s">
        <v>48</v>
      </c>
      <c r="D2777" s="190">
        <v>0.025</v>
      </c>
      <c r="E2777" s="170" t="s">
        <v>30</v>
      </c>
      <c r="F2777" s="170" t="s">
        <v>201</v>
      </c>
      <c r="G2777" s="175" t="s">
        <v>4591</v>
      </c>
      <c r="H2777" s="175"/>
    </row>
    <row r="2778" ht="14.25" spans="1:8">
      <c r="A2778" s="232">
        <v>246</v>
      </c>
      <c r="B2778" s="185" t="s">
        <v>4592</v>
      </c>
      <c r="C2778" s="175" t="s">
        <v>48</v>
      </c>
      <c r="D2778" s="190">
        <v>0.03</v>
      </c>
      <c r="E2778" s="170" t="s">
        <v>30</v>
      </c>
      <c r="F2778" s="170" t="s">
        <v>201</v>
      </c>
      <c r="G2778" s="175" t="s">
        <v>4593</v>
      </c>
      <c r="H2778" s="175"/>
    </row>
    <row r="2779" ht="14.25" spans="1:8">
      <c r="A2779" s="232">
        <v>247</v>
      </c>
      <c r="B2779" s="185" t="s">
        <v>4594</v>
      </c>
      <c r="C2779" s="175" t="s">
        <v>48</v>
      </c>
      <c r="D2779" s="190">
        <v>0.03</v>
      </c>
      <c r="E2779" s="170" t="s">
        <v>30</v>
      </c>
      <c r="F2779" s="170" t="s">
        <v>201</v>
      </c>
      <c r="G2779" s="175" t="s">
        <v>4595</v>
      </c>
      <c r="H2779" s="175"/>
    </row>
    <row r="2780" ht="14.25" spans="1:8">
      <c r="A2780" s="232">
        <v>248</v>
      </c>
      <c r="B2780" s="185" t="s">
        <v>4596</v>
      </c>
      <c r="C2780" s="175" t="s">
        <v>48</v>
      </c>
      <c r="D2780" s="190">
        <v>0.03</v>
      </c>
      <c r="E2780" s="170" t="s">
        <v>30</v>
      </c>
      <c r="F2780" s="170" t="s">
        <v>201</v>
      </c>
      <c r="G2780" s="175" t="s">
        <v>4597</v>
      </c>
      <c r="H2780" s="175"/>
    </row>
    <row r="2781" ht="14.25" spans="1:8">
      <c r="A2781" s="232">
        <v>249</v>
      </c>
      <c r="B2781" s="185" t="s">
        <v>4594</v>
      </c>
      <c r="C2781" s="175" t="s">
        <v>48</v>
      </c>
      <c r="D2781" s="190">
        <v>0.02</v>
      </c>
      <c r="E2781" s="170" t="s">
        <v>30</v>
      </c>
      <c r="F2781" s="170" t="s">
        <v>201</v>
      </c>
      <c r="G2781" s="175" t="s">
        <v>4598</v>
      </c>
      <c r="H2781" s="175"/>
    </row>
    <row r="2782" ht="14.25" spans="1:8">
      <c r="A2782" s="232">
        <v>250</v>
      </c>
      <c r="B2782" s="185" t="s">
        <v>4599</v>
      </c>
      <c r="C2782" s="175" t="s">
        <v>48</v>
      </c>
      <c r="D2782" s="190">
        <v>0.03</v>
      </c>
      <c r="E2782" s="170" t="s">
        <v>30</v>
      </c>
      <c r="F2782" s="170" t="s">
        <v>201</v>
      </c>
      <c r="G2782" s="175" t="s">
        <v>4600</v>
      </c>
      <c r="H2782" s="175"/>
    </row>
    <row r="2783" ht="14.25" spans="1:8">
      <c r="A2783" s="232">
        <v>251</v>
      </c>
      <c r="B2783" s="185" t="s">
        <v>660</v>
      </c>
      <c r="C2783" s="175" t="s">
        <v>48</v>
      </c>
      <c r="D2783" s="190">
        <v>0.025</v>
      </c>
      <c r="E2783" s="170" t="s">
        <v>30</v>
      </c>
      <c r="F2783" s="170" t="s">
        <v>201</v>
      </c>
      <c r="G2783" s="175" t="s">
        <v>4601</v>
      </c>
      <c r="H2783" s="175"/>
    </row>
    <row r="2784" ht="14.25" spans="1:8">
      <c r="A2784" s="232">
        <v>252</v>
      </c>
      <c r="B2784" s="185" t="s">
        <v>4602</v>
      </c>
      <c r="C2784" s="175" t="s">
        <v>48</v>
      </c>
      <c r="D2784" s="190">
        <v>0.01</v>
      </c>
      <c r="E2784" s="170" t="s">
        <v>30</v>
      </c>
      <c r="F2784" s="170" t="s">
        <v>201</v>
      </c>
      <c r="G2784" s="175" t="s">
        <v>4603</v>
      </c>
      <c r="H2784" s="175"/>
    </row>
    <row r="2785" ht="25.5" spans="1:8">
      <c r="A2785" s="232">
        <v>253</v>
      </c>
      <c r="B2785" s="185" t="s">
        <v>4604</v>
      </c>
      <c r="C2785" s="175" t="s">
        <v>48</v>
      </c>
      <c r="D2785" s="190">
        <v>0.02</v>
      </c>
      <c r="E2785" s="170" t="s">
        <v>30</v>
      </c>
      <c r="F2785" s="170" t="s">
        <v>201</v>
      </c>
      <c r="G2785" s="175" t="s">
        <v>4605</v>
      </c>
      <c r="H2785" s="175"/>
    </row>
    <row r="2786" ht="14.25" spans="1:8">
      <c r="A2786" s="232">
        <v>254</v>
      </c>
      <c r="B2786" s="185" t="s">
        <v>4606</v>
      </c>
      <c r="C2786" s="175" t="s">
        <v>48</v>
      </c>
      <c r="D2786" s="190">
        <v>0.02</v>
      </c>
      <c r="E2786" s="170" t="s">
        <v>30</v>
      </c>
      <c r="F2786" s="170" t="s">
        <v>201</v>
      </c>
      <c r="G2786" s="175" t="s">
        <v>4607</v>
      </c>
      <c r="H2786" s="175"/>
    </row>
    <row r="2787" ht="14.25" spans="1:8">
      <c r="A2787" s="232">
        <v>255</v>
      </c>
      <c r="B2787" s="185" t="s">
        <v>4608</v>
      </c>
      <c r="C2787" s="175" t="s">
        <v>48</v>
      </c>
      <c r="D2787" s="190">
        <v>0.02</v>
      </c>
      <c r="E2787" s="170" t="s">
        <v>30</v>
      </c>
      <c r="F2787" s="170" t="s">
        <v>201</v>
      </c>
      <c r="G2787" s="175" t="s">
        <v>4609</v>
      </c>
      <c r="H2787" s="175"/>
    </row>
    <row r="2788" ht="14.25" spans="1:8">
      <c r="A2788" s="232">
        <v>256</v>
      </c>
      <c r="B2788" s="185" t="s">
        <v>660</v>
      </c>
      <c r="C2788" s="175" t="s">
        <v>48</v>
      </c>
      <c r="D2788" s="190">
        <v>0.01</v>
      </c>
      <c r="E2788" s="170" t="s">
        <v>30</v>
      </c>
      <c r="F2788" s="170" t="s">
        <v>201</v>
      </c>
      <c r="G2788" s="175" t="s">
        <v>4610</v>
      </c>
      <c r="H2788" s="175"/>
    </row>
    <row r="2789" ht="14.25" spans="1:8">
      <c r="A2789" s="232">
        <v>257</v>
      </c>
      <c r="B2789" s="185" t="s">
        <v>4611</v>
      </c>
      <c r="C2789" s="175" t="s">
        <v>48</v>
      </c>
      <c r="D2789" s="190">
        <v>0.02</v>
      </c>
      <c r="E2789" s="170" t="s">
        <v>30</v>
      </c>
      <c r="F2789" s="170" t="s">
        <v>201</v>
      </c>
      <c r="G2789" s="175" t="s">
        <v>4612</v>
      </c>
      <c r="H2789" s="175"/>
    </row>
    <row r="2790" ht="14.25" spans="1:8">
      <c r="A2790" s="232">
        <v>258</v>
      </c>
      <c r="B2790" s="185" t="s">
        <v>4613</v>
      </c>
      <c r="C2790" s="175" t="s">
        <v>48</v>
      </c>
      <c r="D2790" s="190">
        <v>0.02</v>
      </c>
      <c r="E2790" s="170" t="s">
        <v>30</v>
      </c>
      <c r="F2790" s="170" t="s">
        <v>201</v>
      </c>
      <c r="G2790" s="175" t="s">
        <v>4614</v>
      </c>
      <c r="H2790" s="175"/>
    </row>
    <row r="2791" ht="14.25" spans="1:8">
      <c r="A2791" s="232">
        <v>259</v>
      </c>
      <c r="B2791" s="185" t="s">
        <v>4586</v>
      </c>
      <c r="C2791" s="175" t="s">
        <v>48</v>
      </c>
      <c r="D2791" s="190">
        <v>0.02</v>
      </c>
      <c r="E2791" s="170" t="s">
        <v>30</v>
      </c>
      <c r="F2791" s="170" t="s">
        <v>201</v>
      </c>
      <c r="G2791" s="175" t="s">
        <v>4587</v>
      </c>
      <c r="H2791" s="175"/>
    </row>
    <row r="2792" ht="14.25" spans="1:8">
      <c r="A2792" s="232">
        <v>260</v>
      </c>
      <c r="B2792" s="185" t="s">
        <v>4615</v>
      </c>
      <c r="C2792" s="175" t="s">
        <v>48</v>
      </c>
      <c r="D2792" s="190">
        <v>0.03</v>
      </c>
      <c r="E2792" s="170" t="s">
        <v>30</v>
      </c>
      <c r="F2792" s="170" t="s">
        <v>201</v>
      </c>
      <c r="G2792" s="175" t="s">
        <v>4559</v>
      </c>
      <c r="H2792" s="175"/>
    </row>
    <row r="2793" ht="14.25" spans="1:8">
      <c r="A2793" s="232">
        <v>261</v>
      </c>
      <c r="B2793" s="185" t="s">
        <v>4616</v>
      </c>
      <c r="C2793" s="175" t="s">
        <v>48</v>
      </c>
      <c r="D2793" s="190">
        <v>0.03</v>
      </c>
      <c r="E2793" s="170" t="s">
        <v>30</v>
      </c>
      <c r="F2793" s="170" t="s">
        <v>201</v>
      </c>
      <c r="G2793" s="175" t="s">
        <v>4617</v>
      </c>
      <c r="H2793" s="175"/>
    </row>
    <row r="2794" ht="38.25" spans="1:8">
      <c r="A2794" s="232">
        <v>262</v>
      </c>
      <c r="B2794" s="185" t="s">
        <v>4618</v>
      </c>
      <c r="C2794" s="175" t="s">
        <v>48</v>
      </c>
      <c r="D2794" s="190">
        <v>0.02</v>
      </c>
      <c r="E2794" s="170" t="s">
        <v>30</v>
      </c>
      <c r="F2794" s="170" t="s">
        <v>201</v>
      </c>
      <c r="G2794" s="175" t="s">
        <v>4619</v>
      </c>
      <c r="H2794" s="175"/>
    </row>
    <row r="2795" ht="25.5" spans="1:8">
      <c r="A2795" s="232">
        <v>263</v>
      </c>
      <c r="B2795" s="185" t="s">
        <v>4620</v>
      </c>
      <c r="C2795" s="175" t="s">
        <v>48</v>
      </c>
      <c r="D2795" s="190">
        <v>0.02</v>
      </c>
      <c r="E2795" s="170" t="s">
        <v>30</v>
      </c>
      <c r="F2795" s="170" t="s">
        <v>201</v>
      </c>
      <c r="G2795" s="175" t="s">
        <v>4621</v>
      </c>
      <c r="H2795" s="175"/>
    </row>
    <row r="2796" ht="25.5" spans="1:8">
      <c r="A2796" s="232">
        <v>264</v>
      </c>
      <c r="B2796" s="185" t="s">
        <v>4622</v>
      </c>
      <c r="C2796" s="175" t="s">
        <v>48</v>
      </c>
      <c r="D2796" s="190">
        <v>0.025</v>
      </c>
      <c r="E2796" s="170" t="s">
        <v>30</v>
      </c>
      <c r="F2796" s="170" t="s">
        <v>201</v>
      </c>
      <c r="G2796" s="175" t="s">
        <v>4623</v>
      </c>
      <c r="H2796" s="175"/>
    </row>
    <row r="2797" ht="38.25" spans="1:8">
      <c r="A2797" s="232">
        <v>265</v>
      </c>
      <c r="B2797" s="185" t="s">
        <v>4624</v>
      </c>
      <c r="C2797" s="175" t="s">
        <v>48</v>
      </c>
      <c r="D2797" s="190">
        <v>0.015</v>
      </c>
      <c r="E2797" s="170" t="s">
        <v>30</v>
      </c>
      <c r="F2797" s="170" t="s">
        <v>201</v>
      </c>
      <c r="G2797" s="175" t="s">
        <v>4625</v>
      </c>
      <c r="H2797" s="175"/>
    </row>
    <row r="2798" ht="14.25" spans="1:8">
      <c r="A2798" s="232">
        <v>266</v>
      </c>
      <c r="B2798" s="185" t="s">
        <v>4626</v>
      </c>
      <c r="C2798" s="175" t="s">
        <v>48</v>
      </c>
      <c r="D2798" s="190">
        <v>0.025</v>
      </c>
      <c r="E2798" s="170" t="s">
        <v>30</v>
      </c>
      <c r="F2798" s="170" t="s">
        <v>201</v>
      </c>
      <c r="G2798" s="175" t="s">
        <v>4627</v>
      </c>
      <c r="H2798" s="175"/>
    </row>
    <row r="2799" ht="25.5" spans="1:8">
      <c r="A2799" s="232">
        <v>267</v>
      </c>
      <c r="B2799" s="185" t="s">
        <v>4628</v>
      </c>
      <c r="C2799" s="175" t="s">
        <v>48</v>
      </c>
      <c r="D2799" s="190">
        <v>0.025</v>
      </c>
      <c r="E2799" s="170" t="s">
        <v>30</v>
      </c>
      <c r="F2799" s="170" t="s">
        <v>201</v>
      </c>
      <c r="G2799" s="175" t="s">
        <v>4629</v>
      </c>
      <c r="H2799" s="175"/>
    </row>
    <row r="2800" ht="25.5" spans="1:8">
      <c r="A2800" s="232">
        <v>268</v>
      </c>
      <c r="B2800" s="185" t="s">
        <v>4630</v>
      </c>
      <c r="C2800" s="175" t="s">
        <v>48</v>
      </c>
      <c r="D2800" s="190">
        <v>0.024</v>
      </c>
      <c r="E2800" s="170" t="s">
        <v>30</v>
      </c>
      <c r="F2800" s="170" t="s">
        <v>201</v>
      </c>
      <c r="G2800" s="175" t="s">
        <v>4631</v>
      </c>
      <c r="H2800" s="175"/>
    </row>
    <row r="2801" ht="14.25" spans="1:8">
      <c r="A2801" s="232">
        <v>269</v>
      </c>
      <c r="B2801" s="185" t="s">
        <v>4632</v>
      </c>
      <c r="C2801" s="175" t="s">
        <v>48</v>
      </c>
      <c r="D2801" s="190">
        <v>0.02</v>
      </c>
      <c r="E2801" s="170" t="s">
        <v>30</v>
      </c>
      <c r="F2801" s="170" t="s">
        <v>201</v>
      </c>
      <c r="G2801" s="175" t="s">
        <v>4633</v>
      </c>
      <c r="H2801" s="175"/>
    </row>
    <row r="2802" ht="14.25" spans="1:8">
      <c r="A2802" s="232">
        <v>270</v>
      </c>
      <c r="B2802" s="185" t="s">
        <v>4634</v>
      </c>
      <c r="C2802" s="175" t="s">
        <v>48</v>
      </c>
      <c r="D2802" s="190">
        <v>0.01</v>
      </c>
      <c r="E2802" s="170" t="s">
        <v>30</v>
      </c>
      <c r="F2802" s="170" t="s">
        <v>201</v>
      </c>
      <c r="G2802" s="175" t="s">
        <v>4635</v>
      </c>
      <c r="H2802" s="175"/>
    </row>
    <row r="2803" ht="14.25" spans="1:8">
      <c r="A2803" s="232">
        <v>271</v>
      </c>
      <c r="B2803" s="185" t="s">
        <v>4636</v>
      </c>
      <c r="C2803" s="175" t="s">
        <v>48</v>
      </c>
      <c r="D2803" s="190">
        <v>0.014</v>
      </c>
      <c r="E2803" s="170" t="s">
        <v>30</v>
      </c>
      <c r="F2803" s="170" t="s">
        <v>201</v>
      </c>
      <c r="G2803" s="175" t="s">
        <v>4637</v>
      </c>
      <c r="H2803" s="175"/>
    </row>
    <row r="2804" ht="51" spans="1:8">
      <c r="A2804" s="232">
        <v>272</v>
      </c>
      <c r="B2804" s="185" t="s">
        <v>4638</v>
      </c>
      <c r="C2804" s="175" t="s">
        <v>48</v>
      </c>
      <c r="D2804" s="190">
        <v>0.02</v>
      </c>
      <c r="E2804" s="170" t="s">
        <v>30</v>
      </c>
      <c r="F2804" s="170" t="s">
        <v>201</v>
      </c>
      <c r="G2804" s="175" t="s">
        <v>4639</v>
      </c>
      <c r="H2804" s="175"/>
    </row>
    <row r="2805" ht="25.5" spans="1:8">
      <c r="A2805" s="232">
        <v>273</v>
      </c>
      <c r="B2805" s="185" t="s">
        <v>4640</v>
      </c>
      <c r="C2805" s="175" t="s">
        <v>48</v>
      </c>
      <c r="D2805" s="190">
        <v>0.01</v>
      </c>
      <c r="E2805" s="170" t="s">
        <v>30</v>
      </c>
      <c r="F2805" s="170" t="s">
        <v>201</v>
      </c>
      <c r="G2805" s="175" t="s">
        <v>4641</v>
      </c>
      <c r="H2805" s="175"/>
    </row>
    <row r="2806" ht="25.5" spans="1:8">
      <c r="A2806" s="232">
        <v>274</v>
      </c>
      <c r="B2806" s="185" t="s">
        <v>4642</v>
      </c>
      <c r="C2806" s="175" t="s">
        <v>48</v>
      </c>
      <c r="D2806" s="190">
        <v>0.015</v>
      </c>
      <c r="E2806" s="170" t="s">
        <v>30</v>
      </c>
      <c r="F2806" s="170" t="s">
        <v>201</v>
      </c>
      <c r="G2806" s="175" t="s">
        <v>4643</v>
      </c>
      <c r="H2806" s="175"/>
    </row>
    <row r="2807" ht="25.5" spans="1:8">
      <c r="A2807" s="232">
        <v>275</v>
      </c>
      <c r="B2807" s="185" t="s">
        <v>4644</v>
      </c>
      <c r="C2807" s="175" t="s">
        <v>48</v>
      </c>
      <c r="D2807" s="190">
        <v>0.014</v>
      </c>
      <c r="E2807" s="170" t="s">
        <v>30</v>
      </c>
      <c r="F2807" s="170" t="s">
        <v>201</v>
      </c>
      <c r="G2807" s="175" t="s">
        <v>4645</v>
      </c>
      <c r="H2807" s="175"/>
    </row>
    <row r="2808" ht="14.25" spans="1:8">
      <c r="A2808" s="232">
        <v>276</v>
      </c>
      <c r="B2808" s="185" t="s">
        <v>4646</v>
      </c>
      <c r="C2808" s="175" t="s">
        <v>48</v>
      </c>
      <c r="D2808" s="190">
        <v>0.014</v>
      </c>
      <c r="E2808" s="170" t="s">
        <v>30</v>
      </c>
      <c r="F2808" s="170" t="s">
        <v>201</v>
      </c>
      <c r="G2808" s="175" t="s">
        <v>4647</v>
      </c>
      <c r="H2808" s="175"/>
    </row>
    <row r="2809" ht="14.25" spans="1:8">
      <c r="A2809" s="232">
        <v>277</v>
      </c>
      <c r="B2809" s="185" t="s">
        <v>4648</v>
      </c>
      <c r="C2809" s="175" t="s">
        <v>48</v>
      </c>
      <c r="D2809" s="190">
        <v>0.01</v>
      </c>
      <c r="E2809" s="170" t="s">
        <v>30</v>
      </c>
      <c r="F2809" s="170" t="s">
        <v>201</v>
      </c>
      <c r="G2809" s="175" t="s">
        <v>4649</v>
      </c>
      <c r="H2809" s="175"/>
    </row>
    <row r="2810" ht="25.5" spans="1:8">
      <c r="A2810" s="232">
        <v>278</v>
      </c>
      <c r="B2810" s="185" t="s">
        <v>4650</v>
      </c>
      <c r="C2810" s="175" t="s">
        <v>48</v>
      </c>
      <c r="D2810" s="190">
        <v>0.014</v>
      </c>
      <c r="E2810" s="170" t="s">
        <v>30</v>
      </c>
      <c r="F2810" s="170" t="s">
        <v>201</v>
      </c>
      <c r="G2810" s="175" t="s">
        <v>4651</v>
      </c>
      <c r="H2810" s="175"/>
    </row>
    <row r="2811" ht="25.5" spans="1:8">
      <c r="A2811" s="232">
        <v>279</v>
      </c>
      <c r="B2811" s="185" t="s">
        <v>4652</v>
      </c>
      <c r="C2811" s="175" t="s">
        <v>48</v>
      </c>
      <c r="D2811" s="190">
        <v>0.015</v>
      </c>
      <c r="E2811" s="170" t="s">
        <v>30</v>
      </c>
      <c r="F2811" s="170" t="s">
        <v>201</v>
      </c>
      <c r="G2811" s="175" t="s">
        <v>4653</v>
      </c>
      <c r="H2811" s="175"/>
    </row>
    <row r="2812" ht="14.25" spans="1:8">
      <c r="A2812" s="232">
        <v>280</v>
      </c>
      <c r="B2812" s="185" t="s">
        <v>4654</v>
      </c>
      <c r="C2812" s="175" t="s">
        <v>48</v>
      </c>
      <c r="D2812" s="190">
        <v>0.014</v>
      </c>
      <c r="E2812" s="170" t="s">
        <v>30</v>
      </c>
      <c r="F2812" s="170" t="s">
        <v>201</v>
      </c>
      <c r="G2812" s="175" t="s">
        <v>4655</v>
      </c>
      <c r="H2812" s="175"/>
    </row>
    <row r="2813" ht="14.25" spans="1:8">
      <c r="A2813" s="232">
        <v>281</v>
      </c>
      <c r="B2813" s="185" t="s">
        <v>4656</v>
      </c>
      <c r="C2813" s="175" t="s">
        <v>48</v>
      </c>
      <c r="D2813" s="190">
        <v>0.014</v>
      </c>
      <c r="E2813" s="170" t="s">
        <v>30</v>
      </c>
      <c r="F2813" s="170" t="s">
        <v>201</v>
      </c>
      <c r="G2813" s="175" t="s">
        <v>4657</v>
      </c>
      <c r="H2813" s="175"/>
    </row>
    <row r="2814" ht="25.5" spans="1:8">
      <c r="A2814" s="232">
        <v>282</v>
      </c>
      <c r="B2814" s="185" t="s">
        <v>4658</v>
      </c>
      <c r="C2814" s="175" t="s">
        <v>48</v>
      </c>
      <c r="D2814" s="190">
        <v>0.014</v>
      </c>
      <c r="E2814" s="170" t="s">
        <v>30</v>
      </c>
      <c r="F2814" s="170" t="s">
        <v>201</v>
      </c>
      <c r="G2814" s="175" t="s">
        <v>4659</v>
      </c>
      <c r="H2814" s="175"/>
    </row>
    <row r="2815" ht="14.25" spans="1:8">
      <c r="A2815" s="232">
        <v>283</v>
      </c>
      <c r="B2815" s="185" t="s">
        <v>2575</v>
      </c>
      <c r="C2815" s="175" t="s">
        <v>48</v>
      </c>
      <c r="D2815" s="190">
        <v>0.02</v>
      </c>
      <c r="E2815" s="170" t="s">
        <v>30</v>
      </c>
      <c r="F2815" s="170" t="s">
        <v>201</v>
      </c>
      <c r="G2815" s="175" t="s">
        <v>4660</v>
      </c>
      <c r="H2815" s="175"/>
    </row>
    <row r="2816" ht="14.25" spans="1:8">
      <c r="A2816" s="232">
        <v>284</v>
      </c>
      <c r="B2816" s="185" t="s">
        <v>660</v>
      </c>
      <c r="C2816" s="175" t="s">
        <v>48</v>
      </c>
      <c r="D2816" s="190">
        <v>0.015</v>
      </c>
      <c r="E2816" s="170" t="s">
        <v>30</v>
      </c>
      <c r="F2816" s="170" t="s">
        <v>201</v>
      </c>
      <c r="G2816" s="175" t="s">
        <v>4661</v>
      </c>
      <c r="H2816" s="175"/>
    </row>
    <row r="2817" ht="14.25" spans="1:8">
      <c r="A2817" s="232">
        <v>285</v>
      </c>
      <c r="B2817" s="185" t="s">
        <v>4662</v>
      </c>
      <c r="C2817" s="175" t="s">
        <v>48</v>
      </c>
      <c r="D2817" s="190">
        <v>0.03</v>
      </c>
      <c r="E2817" s="170" t="s">
        <v>30</v>
      </c>
      <c r="F2817" s="170" t="s">
        <v>201</v>
      </c>
      <c r="G2817" s="175" t="s">
        <v>4663</v>
      </c>
      <c r="H2817" s="175"/>
    </row>
    <row r="2818" ht="14.25" spans="1:8">
      <c r="A2818" s="232">
        <v>286</v>
      </c>
      <c r="B2818" s="185" t="s">
        <v>4664</v>
      </c>
      <c r="C2818" s="175" t="s">
        <v>48</v>
      </c>
      <c r="D2818" s="190">
        <v>0.02</v>
      </c>
      <c r="E2818" s="170" t="s">
        <v>30</v>
      </c>
      <c r="F2818" s="170" t="s">
        <v>201</v>
      </c>
      <c r="G2818" s="175" t="s">
        <v>4665</v>
      </c>
      <c r="H2818" s="175"/>
    </row>
    <row r="2819" ht="14.25" spans="1:8">
      <c r="A2819" s="232">
        <v>287</v>
      </c>
      <c r="B2819" s="185" t="s">
        <v>395</v>
      </c>
      <c r="C2819" s="175" t="s">
        <v>48</v>
      </c>
      <c r="D2819" s="190">
        <v>0.02</v>
      </c>
      <c r="E2819" s="170" t="s">
        <v>30</v>
      </c>
      <c r="F2819" s="170" t="s">
        <v>201</v>
      </c>
      <c r="G2819" s="175" t="s">
        <v>4666</v>
      </c>
      <c r="H2819" s="175"/>
    </row>
    <row r="2820" ht="14.25" spans="1:8">
      <c r="A2820" s="232">
        <v>288</v>
      </c>
      <c r="B2820" s="185" t="s">
        <v>2251</v>
      </c>
      <c r="C2820" s="175" t="s">
        <v>48</v>
      </c>
      <c r="D2820" s="190">
        <v>0.02</v>
      </c>
      <c r="E2820" s="170" t="s">
        <v>30</v>
      </c>
      <c r="F2820" s="170" t="s">
        <v>201</v>
      </c>
      <c r="G2820" s="175" t="s">
        <v>4667</v>
      </c>
      <c r="H2820" s="175"/>
    </row>
    <row r="2821" ht="14.25" spans="1:8">
      <c r="A2821" s="232">
        <v>289</v>
      </c>
      <c r="B2821" s="185" t="s">
        <v>4477</v>
      </c>
      <c r="C2821" s="175" t="s">
        <v>48</v>
      </c>
      <c r="D2821" s="190">
        <v>0.03</v>
      </c>
      <c r="E2821" s="170" t="s">
        <v>30</v>
      </c>
      <c r="F2821" s="170" t="s">
        <v>201</v>
      </c>
      <c r="G2821" s="175" t="s">
        <v>4668</v>
      </c>
      <c r="H2821" s="175"/>
    </row>
    <row r="2822" ht="14.25" spans="1:8">
      <c r="A2822" s="232">
        <v>290</v>
      </c>
      <c r="B2822" s="185" t="s">
        <v>4216</v>
      </c>
      <c r="C2822" s="175" t="s">
        <v>48</v>
      </c>
      <c r="D2822" s="190">
        <v>0.03</v>
      </c>
      <c r="E2822" s="170" t="s">
        <v>30</v>
      </c>
      <c r="F2822" s="170" t="s">
        <v>201</v>
      </c>
      <c r="G2822" s="175" t="s">
        <v>4217</v>
      </c>
      <c r="H2822" s="175"/>
    </row>
    <row r="2823" ht="14.25" spans="1:8">
      <c r="A2823" s="232">
        <v>291</v>
      </c>
      <c r="B2823" s="185" t="s">
        <v>4669</v>
      </c>
      <c r="C2823" s="175" t="s">
        <v>48</v>
      </c>
      <c r="D2823" s="190">
        <v>0.03</v>
      </c>
      <c r="E2823" s="170" t="s">
        <v>30</v>
      </c>
      <c r="F2823" s="170" t="s">
        <v>201</v>
      </c>
      <c r="G2823" s="175" t="s">
        <v>4670</v>
      </c>
      <c r="H2823" s="175"/>
    </row>
    <row r="2824" ht="14.25" spans="1:8">
      <c r="A2824" s="232">
        <v>292</v>
      </c>
      <c r="B2824" s="185" t="s">
        <v>4671</v>
      </c>
      <c r="C2824" s="175" t="s">
        <v>48</v>
      </c>
      <c r="D2824" s="190">
        <v>0.02</v>
      </c>
      <c r="E2824" s="170" t="s">
        <v>30</v>
      </c>
      <c r="F2824" s="170" t="s">
        <v>201</v>
      </c>
      <c r="G2824" s="175" t="s">
        <v>4672</v>
      </c>
      <c r="H2824" s="175"/>
    </row>
    <row r="2825" ht="14.25" spans="1:8">
      <c r="A2825" s="232">
        <v>293</v>
      </c>
      <c r="B2825" s="185" t="s">
        <v>4673</v>
      </c>
      <c r="C2825" s="175" t="s">
        <v>48</v>
      </c>
      <c r="D2825" s="190">
        <v>0.02</v>
      </c>
      <c r="E2825" s="170" t="s">
        <v>30</v>
      </c>
      <c r="F2825" s="170" t="s">
        <v>201</v>
      </c>
      <c r="G2825" s="175" t="s">
        <v>4674</v>
      </c>
      <c r="H2825" s="175"/>
    </row>
    <row r="2826" ht="14.25" spans="1:8">
      <c r="A2826" s="232">
        <v>294</v>
      </c>
      <c r="B2826" s="185" t="s">
        <v>4675</v>
      </c>
      <c r="C2826" s="175" t="s">
        <v>48</v>
      </c>
      <c r="D2826" s="190">
        <v>0.02</v>
      </c>
      <c r="E2826" s="170" t="s">
        <v>30</v>
      </c>
      <c r="F2826" s="170" t="s">
        <v>201</v>
      </c>
      <c r="G2826" s="175" t="s">
        <v>4676</v>
      </c>
      <c r="H2826" s="175"/>
    </row>
    <row r="2827" ht="14.25" spans="1:8">
      <c r="A2827" s="232">
        <v>295</v>
      </c>
      <c r="B2827" s="185" t="s">
        <v>4677</v>
      </c>
      <c r="C2827" s="175" t="s">
        <v>48</v>
      </c>
      <c r="D2827" s="190">
        <v>0.025</v>
      </c>
      <c r="E2827" s="170" t="s">
        <v>30</v>
      </c>
      <c r="F2827" s="170" t="s">
        <v>201</v>
      </c>
      <c r="G2827" s="175" t="s">
        <v>4678</v>
      </c>
      <c r="H2827" s="175"/>
    </row>
    <row r="2828" ht="14.25" spans="1:8">
      <c r="A2828" s="232">
        <v>296</v>
      </c>
      <c r="B2828" s="185" t="s">
        <v>4074</v>
      </c>
      <c r="C2828" s="175" t="s">
        <v>48</v>
      </c>
      <c r="D2828" s="190">
        <v>0.02</v>
      </c>
      <c r="E2828" s="170" t="s">
        <v>30</v>
      </c>
      <c r="F2828" s="170" t="s">
        <v>201</v>
      </c>
      <c r="G2828" s="175" t="s">
        <v>4679</v>
      </c>
      <c r="H2828" s="175"/>
    </row>
    <row r="2829" ht="14.25" spans="1:8">
      <c r="A2829" s="232">
        <v>297</v>
      </c>
      <c r="B2829" s="185" t="s">
        <v>4680</v>
      </c>
      <c r="C2829" s="175" t="s">
        <v>48</v>
      </c>
      <c r="D2829" s="190">
        <v>0.01</v>
      </c>
      <c r="E2829" s="170" t="s">
        <v>30</v>
      </c>
      <c r="F2829" s="170" t="s">
        <v>201</v>
      </c>
      <c r="G2829" s="175" t="s">
        <v>4681</v>
      </c>
      <c r="H2829" s="175"/>
    </row>
    <row r="2830" ht="14.25" spans="1:8">
      <c r="A2830" s="232">
        <v>298</v>
      </c>
      <c r="B2830" s="185" t="s">
        <v>4682</v>
      </c>
      <c r="C2830" s="175" t="s">
        <v>48</v>
      </c>
      <c r="D2830" s="190">
        <v>0.03</v>
      </c>
      <c r="E2830" s="170" t="s">
        <v>30</v>
      </c>
      <c r="F2830" s="170" t="s">
        <v>201</v>
      </c>
      <c r="G2830" s="175" t="s">
        <v>4683</v>
      </c>
      <c r="H2830" s="175"/>
    </row>
    <row r="2831" ht="14.25" spans="1:8">
      <c r="A2831" s="232">
        <v>299</v>
      </c>
      <c r="B2831" s="185" t="s">
        <v>4684</v>
      </c>
      <c r="C2831" s="175" t="s">
        <v>48</v>
      </c>
      <c r="D2831" s="190">
        <v>0.02</v>
      </c>
      <c r="E2831" s="170" t="s">
        <v>30</v>
      </c>
      <c r="F2831" s="170" t="s">
        <v>201</v>
      </c>
      <c r="G2831" s="175" t="s">
        <v>4685</v>
      </c>
      <c r="H2831" s="175"/>
    </row>
    <row r="2832" ht="14.25" spans="1:8">
      <c r="A2832" s="232">
        <v>300</v>
      </c>
      <c r="B2832" s="185" t="s">
        <v>4207</v>
      </c>
      <c r="C2832" s="175" t="s">
        <v>48</v>
      </c>
      <c r="D2832" s="190">
        <v>0.03</v>
      </c>
      <c r="E2832" s="170" t="s">
        <v>30</v>
      </c>
      <c r="F2832" s="170" t="s">
        <v>201</v>
      </c>
      <c r="G2832" s="175" t="s">
        <v>4686</v>
      </c>
      <c r="H2832" s="175"/>
    </row>
    <row r="2833" ht="14.25" spans="1:8">
      <c r="A2833" s="232">
        <v>301</v>
      </c>
      <c r="B2833" s="185" t="s">
        <v>4687</v>
      </c>
      <c r="C2833" s="175" t="s">
        <v>48</v>
      </c>
      <c r="D2833" s="190">
        <v>0.01</v>
      </c>
      <c r="E2833" s="170" t="s">
        <v>30</v>
      </c>
      <c r="F2833" s="170" t="s">
        <v>201</v>
      </c>
      <c r="G2833" s="175" t="s">
        <v>4688</v>
      </c>
      <c r="H2833" s="175"/>
    </row>
    <row r="2834" ht="14.25" spans="1:8">
      <c r="A2834" s="232">
        <v>302</v>
      </c>
      <c r="B2834" s="185" t="s">
        <v>2485</v>
      </c>
      <c r="C2834" s="175" t="s">
        <v>48</v>
      </c>
      <c r="D2834" s="190">
        <v>0.02</v>
      </c>
      <c r="E2834" s="170" t="s">
        <v>30</v>
      </c>
      <c r="F2834" s="170" t="s">
        <v>201</v>
      </c>
      <c r="G2834" s="175" t="s">
        <v>4689</v>
      </c>
      <c r="H2834" s="175"/>
    </row>
    <row r="2835" ht="14.25" spans="1:8">
      <c r="A2835" s="232">
        <v>303</v>
      </c>
      <c r="B2835" s="185" t="s">
        <v>957</v>
      </c>
      <c r="C2835" s="175" t="s">
        <v>48</v>
      </c>
      <c r="D2835" s="190">
        <v>0.021</v>
      </c>
      <c r="E2835" s="170" t="s">
        <v>30</v>
      </c>
      <c r="F2835" s="170" t="s">
        <v>201</v>
      </c>
      <c r="G2835" s="175" t="s">
        <v>4690</v>
      </c>
      <c r="H2835" s="175"/>
    </row>
    <row r="2836" ht="14.25" spans="1:8">
      <c r="A2836" s="232">
        <v>304</v>
      </c>
      <c r="B2836" s="185" t="s">
        <v>4691</v>
      </c>
      <c r="C2836" s="175" t="s">
        <v>48</v>
      </c>
      <c r="D2836" s="190">
        <v>0.02</v>
      </c>
      <c r="E2836" s="170" t="s">
        <v>30</v>
      </c>
      <c r="F2836" s="170" t="s">
        <v>201</v>
      </c>
      <c r="G2836" s="175" t="s">
        <v>4692</v>
      </c>
      <c r="H2836" s="175"/>
    </row>
    <row r="2837" ht="14.25" spans="1:8">
      <c r="A2837" s="232">
        <v>305</v>
      </c>
      <c r="B2837" s="185" t="s">
        <v>4693</v>
      </c>
      <c r="C2837" s="175" t="s">
        <v>48</v>
      </c>
      <c r="D2837" s="190">
        <v>0.02</v>
      </c>
      <c r="E2837" s="170" t="s">
        <v>30</v>
      </c>
      <c r="F2837" s="170" t="s">
        <v>201</v>
      </c>
      <c r="G2837" s="175" t="s">
        <v>4694</v>
      </c>
      <c r="H2837" s="175"/>
    </row>
    <row r="2838" ht="14.25" spans="1:8">
      <c r="A2838" s="232">
        <v>306</v>
      </c>
      <c r="B2838" s="185" t="s">
        <v>1793</v>
      </c>
      <c r="C2838" s="175" t="s">
        <v>48</v>
      </c>
      <c r="D2838" s="190">
        <v>0.02</v>
      </c>
      <c r="E2838" s="170" t="s">
        <v>30</v>
      </c>
      <c r="F2838" s="170" t="s">
        <v>201</v>
      </c>
      <c r="G2838" s="175" t="s">
        <v>4695</v>
      </c>
      <c r="H2838" s="175"/>
    </row>
    <row r="2839" ht="14.25" spans="1:8">
      <c r="A2839" s="232">
        <v>307</v>
      </c>
      <c r="B2839" s="185" t="s">
        <v>4696</v>
      </c>
      <c r="C2839" s="175" t="s">
        <v>48</v>
      </c>
      <c r="D2839" s="190">
        <v>0.02</v>
      </c>
      <c r="E2839" s="170" t="s">
        <v>30</v>
      </c>
      <c r="F2839" s="170" t="s">
        <v>201</v>
      </c>
      <c r="G2839" s="175" t="s">
        <v>4697</v>
      </c>
      <c r="H2839" s="175"/>
    </row>
    <row r="2840" ht="14.25" spans="1:8">
      <c r="A2840" s="232">
        <v>308</v>
      </c>
      <c r="B2840" s="185" t="s">
        <v>4698</v>
      </c>
      <c r="C2840" s="175" t="s">
        <v>48</v>
      </c>
      <c r="D2840" s="190">
        <v>0.03</v>
      </c>
      <c r="E2840" s="170" t="s">
        <v>30</v>
      </c>
      <c r="F2840" s="170" t="s">
        <v>201</v>
      </c>
      <c r="G2840" s="175" t="s">
        <v>4699</v>
      </c>
      <c r="H2840" s="175"/>
    </row>
    <row r="2841" ht="14.25" spans="1:8">
      <c r="A2841" s="232">
        <v>309</v>
      </c>
      <c r="B2841" s="185" t="s">
        <v>4700</v>
      </c>
      <c r="C2841" s="175" t="s">
        <v>48</v>
      </c>
      <c r="D2841" s="190">
        <v>0.03</v>
      </c>
      <c r="E2841" s="170" t="s">
        <v>30</v>
      </c>
      <c r="F2841" s="170" t="s">
        <v>201</v>
      </c>
      <c r="G2841" s="175" t="s">
        <v>4701</v>
      </c>
      <c r="H2841" s="175"/>
    </row>
    <row r="2842" ht="14.25" spans="1:8">
      <c r="A2842" s="232">
        <v>310</v>
      </c>
      <c r="B2842" s="185" t="s">
        <v>4702</v>
      </c>
      <c r="C2842" s="175" t="s">
        <v>48</v>
      </c>
      <c r="D2842" s="190">
        <v>0.01</v>
      </c>
      <c r="E2842" s="170" t="s">
        <v>30</v>
      </c>
      <c r="F2842" s="170" t="s">
        <v>201</v>
      </c>
      <c r="G2842" s="175" t="s">
        <v>4703</v>
      </c>
      <c r="H2842" s="175"/>
    </row>
    <row r="2843" ht="14.25" spans="1:8">
      <c r="A2843" s="232">
        <v>311</v>
      </c>
      <c r="B2843" s="185" t="s">
        <v>4704</v>
      </c>
      <c r="C2843" s="175" t="s">
        <v>48</v>
      </c>
      <c r="D2843" s="190">
        <v>0.03</v>
      </c>
      <c r="E2843" s="170" t="s">
        <v>30</v>
      </c>
      <c r="F2843" s="170" t="s">
        <v>201</v>
      </c>
      <c r="G2843" s="175" t="s">
        <v>4705</v>
      </c>
      <c r="H2843" s="175"/>
    </row>
    <row r="2844" ht="14.25" spans="1:8">
      <c r="A2844" s="232">
        <v>312</v>
      </c>
      <c r="B2844" s="185" t="s">
        <v>4706</v>
      </c>
      <c r="C2844" s="175" t="s">
        <v>48</v>
      </c>
      <c r="D2844" s="190">
        <v>0.03</v>
      </c>
      <c r="E2844" s="170" t="s">
        <v>30</v>
      </c>
      <c r="F2844" s="170" t="s">
        <v>201</v>
      </c>
      <c r="G2844" s="175" t="s">
        <v>4707</v>
      </c>
      <c r="H2844" s="175"/>
    </row>
    <row r="2845" ht="14.25" spans="1:8">
      <c r="A2845" s="232">
        <v>313</v>
      </c>
      <c r="B2845" s="185" t="s">
        <v>4708</v>
      </c>
      <c r="C2845" s="175" t="s">
        <v>48</v>
      </c>
      <c r="D2845" s="190">
        <v>0.03</v>
      </c>
      <c r="E2845" s="170" t="s">
        <v>30</v>
      </c>
      <c r="F2845" s="170" t="s">
        <v>201</v>
      </c>
      <c r="G2845" s="175" t="s">
        <v>4709</v>
      </c>
      <c r="H2845" s="175"/>
    </row>
    <row r="2846" ht="14.25" spans="1:8">
      <c r="A2846" s="232">
        <v>314</v>
      </c>
      <c r="B2846" s="185" t="s">
        <v>4710</v>
      </c>
      <c r="C2846" s="175" t="s">
        <v>48</v>
      </c>
      <c r="D2846" s="190">
        <v>0.02</v>
      </c>
      <c r="E2846" s="170" t="s">
        <v>30</v>
      </c>
      <c r="F2846" s="170" t="s">
        <v>201</v>
      </c>
      <c r="G2846" s="175" t="s">
        <v>4711</v>
      </c>
      <c r="H2846" s="175"/>
    </row>
    <row r="2847" ht="14.25" spans="1:8">
      <c r="A2847" s="232">
        <v>315</v>
      </c>
      <c r="B2847" s="185" t="s">
        <v>4712</v>
      </c>
      <c r="C2847" s="175" t="s">
        <v>48</v>
      </c>
      <c r="D2847" s="190">
        <v>0.005</v>
      </c>
      <c r="E2847" s="170" t="s">
        <v>30</v>
      </c>
      <c r="F2847" s="170" t="s">
        <v>201</v>
      </c>
      <c r="G2847" s="175" t="s">
        <v>4713</v>
      </c>
      <c r="H2847" s="175"/>
    </row>
    <row r="2848" ht="14.25" spans="1:8">
      <c r="A2848" s="232">
        <v>316</v>
      </c>
      <c r="B2848" s="185" t="s">
        <v>4714</v>
      </c>
      <c r="C2848" s="175" t="s">
        <v>48</v>
      </c>
      <c r="D2848" s="190">
        <v>0.03</v>
      </c>
      <c r="E2848" s="170" t="s">
        <v>30</v>
      </c>
      <c r="F2848" s="170" t="s">
        <v>201</v>
      </c>
      <c r="G2848" s="175" t="s">
        <v>4715</v>
      </c>
      <c r="H2848" s="175"/>
    </row>
    <row r="2849" ht="14.25" spans="1:8">
      <c r="A2849" s="232">
        <v>317</v>
      </c>
      <c r="B2849" s="185" t="s">
        <v>4716</v>
      </c>
      <c r="C2849" s="175" t="s">
        <v>48</v>
      </c>
      <c r="D2849" s="190">
        <v>0.03</v>
      </c>
      <c r="E2849" s="170" t="s">
        <v>30</v>
      </c>
      <c r="F2849" s="170" t="s">
        <v>201</v>
      </c>
      <c r="G2849" s="175" t="s">
        <v>4717</v>
      </c>
      <c r="H2849" s="175"/>
    </row>
    <row r="2850" ht="14.25" spans="1:8">
      <c r="A2850" s="232">
        <v>318</v>
      </c>
      <c r="B2850" s="185" t="s">
        <v>4718</v>
      </c>
      <c r="C2850" s="175" t="s">
        <v>48</v>
      </c>
      <c r="D2850" s="190">
        <v>0.03</v>
      </c>
      <c r="E2850" s="170" t="s">
        <v>30</v>
      </c>
      <c r="F2850" s="170" t="s">
        <v>201</v>
      </c>
      <c r="G2850" s="175" t="s">
        <v>4719</v>
      </c>
      <c r="H2850" s="175"/>
    </row>
    <row r="2851" ht="14.25" spans="1:8">
      <c r="A2851" s="232">
        <v>319</v>
      </c>
      <c r="B2851" s="185" t="s">
        <v>4720</v>
      </c>
      <c r="C2851" s="175" t="s">
        <v>48</v>
      </c>
      <c r="D2851" s="190">
        <v>0.03</v>
      </c>
      <c r="E2851" s="170" t="s">
        <v>30</v>
      </c>
      <c r="F2851" s="170" t="s">
        <v>201</v>
      </c>
      <c r="G2851" s="175" t="s">
        <v>4721</v>
      </c>
      <c r="H2851" s="175"/>
    </row>
    <row r="2852" ht="14.25" spans="1:8">
      <c r="A2852" s="232">
        <v>320</v>
      </c>
      <c r="B2852" s="185" t="s">
        <v>512</v>
      </c>
      <c r="C2852" s="175" t="s">
        <v>48</v>
      </c>
      <c r="D2852" s="190">
        <v>0.02</v>
      </c>
      <c r="E2852" s="170" t="s">
        <v>30</v>
      </c>
      <c r="F2852" s="170" t="s">
        <v>201</v>
      </c>
      <c r="G2852" s="175" t="s">
        <v>4722</v>
      </c>
      <c r="H2852" s="175"/>
    </row>
    <row r="2853" ht="14.25" spans="1:8">
      <c r="A2853" s="232">
        <v>321</v>
      </c>
      <c r="B2853" s="185" t="s">
        <v>4723</v>
      </c>
      <c r="C2853" s="175" t="s">
        <v>48</v>
      </c>
      <c r="D2853" s="190">
        <v>0.02</v>
      </c>
      <c r="E2853" s="170" t="s">
        <v>30</v>
      </c>
      <c r="F2853" s="170" t="s">
        <v>201</v>
      </c>
      <c r="G2853" s="175" t="s">
        <v>4724</v>
      </c>
      <c r="H2853" s="175"/>
    </row>
    <row r="2854" ht="14.25" spans="1:8">
      <c r="A2854" s="232">
        <v>322</v>
      </c>
      <c r="B2854" s="185" t="s">
        <v>4725</v>
      </c>
      <c r="C2854" s="175" t="s">
        <v>48</v>
      </c>
      <c r="D2854" s="190">
        <v>0.02</v>
      </c>
      <c r="E2854" s="170" t="s">
        <v>30</v>
      </c>
      <c r="F2854" s="170" t="s">
        <v>201</v>
      </c>
      <c r="G2854" s="175" t="s">
        <v>4726</v>
      </c>
      <c r="H2854" s="175"/>
    </row>
    <row r="2855" ht="14.25" spans="1:8">
      <c r="A2855" s="232">
        <v>323</v>
      </c>
      <c r="B2855" s="185" t="s">
        <v>4727</v>
      </c>
      <c r="C2855" s="175" t="s">
        <v>48</v>
      </c>
      <c r="D2855" s="190">
        <v>0.03</v>
      </c>
      <c r="E2855" s="170" t="s">
        <v>30</v>
      </c>
      <c r="F2855" s="170" t="s">
        <v>201</v>
      </c>
      <c r="G2855" s="175" t="s">
        <v>4728</v>
      </c>
      <c r="H2855" s="175"/>
    </row>
    <row r="2856" ht="14.25" spans="1:8">
      <c r="A2856" s="232">
        <v>324</v>
      </c>
      <c r="B2856" s="185" t="s">
        <v>4632</v>
      </c>
      <c r="C2856" s="175" t="s">
        <v>48</v>
      </c>
      <c r="D2856" s="190">
        <v>0.03</v>
      </c>
      <c r="E2856" s="170" t="s">
        <v>30</v>
      </c>
      <c r="F2856" s="170" t="s">
        <v>201</v>
      </c>
      <c r="G2856" s="175" t="s">
        <v>4729</v>
      </c>
      <c r="H2856" s="175"/>
    </row>
    <row r="2857" ht="14.25" spans="1:8">
      <c r="A2857" s="232">
        <v>325</v>
      </c>
      <c r="B2857" s="185" t="s">
        <v>4730</v>
      </c>
      <c r="C2857" s="175" t="s">
        <v>48</v>
      </c>
      <c r="D2857" s="190">
        <v>0.015</v>
      </c>
      <c r="E2857" s="170" t="s">
        <v>30</v>
      </c>
      <c r="F2857" s="170" t="s">
        <v>201</v>
      </c>
      <c r="G2857" s="175" t="s">
        <v>4731</v>
      </c>
      <c r="H2857" s="175"/>
    </row>
    <row r="2858" ht="14.25" spans="1:8">
      <c r="A2858" s="232">
        <v>326</v>
      </c>
      <c r="B2858" s="185" t="s">
        <v>4732</v>
      </c>
      <c r="C2858" s="175" t="s">
        <v>48</v>
      </c>
      <c r="D2858" s="190">
        <v>0.03</v>
      </c>
      <c r="E2858" s="170" t="s">
        <v>30</v>
      </c>
      <c r="F2858" s="170" t="s">
        <v>201</v>
      </c>
      <c r="G2858" s="175" t="s">
        <v>4733</v>
      </c>
      <c r="H2858" s="175"/>
    </row>
    <row r="2859" ht="14.25" spans="1:8">
      <c r="A2859" s="232">
        <v>327</v>
      </c>
      <c r="B2859" s="185" t="s">
        <v>2195</v>
      </c>
      <c r="C2859" s="175" t="s">
        <v>48</v>
      </c>
      <c r="D2859" s="190">
        <v>0.01</v>
      </c>
      <c r="E2859" s="170" t="s">
        <v>30</v>
      </c>
      <c r="F2859" s="170" t="s">
        <v>201</v>
      </c>
      <c r="G2859" s="175" t="s">
        <v>4734</v>
      </c>
      <c r="H2859" s="175"/>
    </row>
    <row r="2860" ht="14.25" spans="1:8">
      <c r="A2860" s="232">
        <v>328</v>
      </c>
      <c r="B2860" s="185" t="s">
        <v>4735</v>
      </c>
      <c r="C2860" s="175" t="s">
        <v>48</v>
      </c>
      <c r="D2860" s="190">
        <v>0.03</v>
      </c>
      <c r="E2860" s="170" t="s">
        <v>30</v>
      </c>
      <c r="F2860" s="170" t="s">
        <v>201</v>
      </c>
      <c r="G2860" s="175" t="s">
        <v>4736</v>
      </c>
      <c r="H2860" s="175"/>
    </row>
    <row r="2861" ht="14.25" spans="1:8">
      <c r="A2861" s="232">
        <v>329</v>
      </c>
      <c r="B2861" s="185" t="s">
        <v>1391</v>
      </c>
      <c r="C2861" s="175" t="s">
        <v>48</v>
      </c>
      <c r="D2861" s="190">
        <v>0.03</v>
      </c>
      <c r="E2861" s="170" t="s">
        <v>30</v>
      </c>
      <c r="F2861" s="170" t="s">
        <v>201</v>
      </c>
      <c r="G2861" s="175" t="s">
        <v>4737</v>
      </c>
      <c r="H2861" s="175"/>
    </row>
    <row r="2862" ht="14.25" spans="1:8">
      <c r="A2862" s="232">
        <v>330</v>
      </c>
      <c r="B2862" s="185" t="s">
        <v>4738</v>
      </c>
      <c r="C2862" s="175" t="s">
        <v>48</v>
      </c>
      <c r="D2862" s="190">
        <v>0.02</v>
      </c>
      <c r="E2862" s="170" t="s">
        <v>30</v>
      </c>
      <c r="F2862" s="170" t="s">
        <v>201</v>
      </c>
      <c r="G2862" s="175" t="s">
        <v>4739</v>
      </c>
      <c r="H2862" s="175"/>
    </row>
    <row r="2863" ht="14.25" spans="1:8">
      <c r="A2863" s="232">
        <v>331</v>
      </c>
      <c r="B2863" s="185" t="s">
        <v>4740</v>
      </c>
      <c r="C2863" s="175" t="s">
        <v>48</v>
      </c>
      <c r="D2863" s="190">
        <v>0.03</v>
      </c>
      <c r="E2863" s="170" t="s">
        <v>30</v>
      </c>
      <c r="F2863" s="170" t="s">
        <v>201</v>
      </c>
      <c r="G2863" s="175" t="s">
        <v>4741</v>
      </c>
      <c r="H2863" s="175"/>
    </row>
    <row r="2864" ht="14.25" spans="1:8">
      <c r="A2864" s="232">
        <v>332</v>
      </c>
      <c r="B2864" s="185" t="s">
        <v>4738</v>
      </c>
      <c r="C2864" s="175" t="s">
        <v>48</v>
      </c>
      <c r="D2864" s="190">
        <v>0.02</v>
      </c>
      <c r="E2864" s="170" t="s">
        <v>30</v>
      </c>
      <c r="F2864" s="170" t="s">
        <v>201</v>
      </c>
      <c r="G2864" s="175" t="s">
        <v>4742</v>
      </c>
      <c r="H2864" s="175"/>
    </row>
    <row r="2865" ht="14.25" spans="1:8">
      <c r="A2865" s="232">
        <v>333</v>
      </c>
      <c r="B2865" s="185" t="s">
        <v>4743</v>
      </c>
      <c r="C2865" s="175" t="s">
        <v>48</v>
      </c>
      <c r="D2865" s="190">
        <v>0.01</v>
      </c>
      <c r="E2865" s="170" t="s">
        <v>30</v>
      </c>
      <c r="F2865" s="170" t="s">
        <v>201</v>
      </c>
      <c r="G2865" s="175" t="s">
        <v>4744</v>
      </c>
      <c r="H2865" s="175"/>
    </row>
    <row r="2866" ht="25.5" spans="1:8">
      <c r="A2866" s="232">
        <v>334</v>
      </c>
      <c r="B2866" s="185" t="s">
        <v>4745</v>
      </c>
      <c r="C2866" s="175" t="s">
        <v>48</v>
      </c>
      <c r="D2866" s="190">
        <v>0.02</v>
      </c>
      <c r="E2866" s="170" t="s">
        <v>30</v>
      </c>
      <c r="F2866" s="170" t="s">
        <v>201</v>
      </c>
      <c r="G2866" s="175" t="s">
        <v>4746</v>
      </c>
      <c r="H2866" s="175"/>
    </row>
    <row r="2867" ht="14.25" spans="1:8">
      <c r="A2867" s="232">
        <v>335</v>
      </c>
      <c r="B2867" s="183" t="s">
        <v>4747</v>
      </c>
      <c r="C2867" s="175" t="s">
        <v>48</v>
      </c>
      <c r="D2867" s="190">
        <v>0.03</v>
      </c>
      <c r="E2867" s="170" t="s">
        <v>30</v>
      </c>
      <c r="F2867" s="170" t="s">
        <v>201</v>
      </c>
      <c r="G2867" s="175" t="s">
        <v>4748</v>
      </c>
      <c r="H2867" s="175"/>
    </row>
    <row r="2868" ht="14.25" spans="1:8">
      <c r="A2868" s="232">
        <v>336</v>
      </c>
      <c r="B2868" s="185" t="s">
        <v>1383</v>
      </c>
      <c r="C2868" s="175" t="s">
        <v>48</v>
      </c>
      <c r="D2868" s="190">
        <v>0.03</v>
      </c>
      <c r="E2868" s="170" t="s">
        <v>30</v>
      </c>
      <c r="F2868" s="170" t="s">
        <v>201</v>
      </c>
      <c r="G2868" s="175" t="s">
        <v>4749</v>
      </c>
      <c r="H2868" s="175"/>
    </row>
    <row r="2869" ht="14.25" spans="1:8">
      <c r="A2869" s="232">
        <v>337</v>
      </c>
      <c r="B2869" s="185" t="s">
        <v>4750</v>
      </c>
      <c r="C2869" s="175" t="s">
        <v>48</v>
      </c>
      <c r="D2869" s="190">
        <v>0.03</v>
      </c>
      <c r="E2869" s="170" t="s">
        <v>30</v>
      </c>
      <c r="F2869" s="170" t="s">
        <v>201</v>
      </c>
      <c r="G2869" s="175" t="s">
        <v>4751</v>
      </c>
      <c r="H2869" s="175"/>
    </row>
    <row r="2870" ht="14.25" spans="1:8">
      <c r="A2870" s="232">
        <v>338</v>
      </c>
      <c r="B2870" s="185" t="s">
        <v>4752</v>
      </c>
      <c r="C2870" s="175" t="s">
        <v>48</v>
      </c>
      <c r="D2870" s="190">
        <v>0.03</v>
      </c>
      <c r="E2870" s="170" t="s">
        <v>30</v>
      </c>
      <c r="F2870" s="170" t="s">
        <v>201</v>
      </c>
      <c r="G2870" s="175" t="s">
        <v>4753</v>
      </c>
      <c r="H2870" s="175"/>
    </row>
    <row r="2871" ht="14.25" spans="1:8">
      <c r="A2871" s="232">
        <v>339</v>
      </c>
      <c r="B2871" s="185" t="s">
        <v>3152</v>
      </c>
      <c r="C2871" s="175" t="s">
        <v>48</v>
      </c>
      <c r="D2871" s="190">
        <v>0.02</v>
      </c>
      <c r="E2871" s="170" t="s">
        <v>30</v>
      </c>
      <c r="F2871" s="170" t="s">
        <v>201</v>
      </c>
      <c r="G2871" s="175" t="s">
        <v>4754</v>
      </c>
      <c r="H2871" s="175"/>
    </row>
    <row r="2872" ht="14.25" spans="1:8">
      <c r="A2872" s="232">
        <v>340</v>
      </c>
      <c r="B2872" s="185" t="s">
        <v>3152</v>
      </c>
      <c r="C2872" s="175" t="s">
        <v>48</v>
      </c>
      <c r="D2872" s="190">
        <v>0.02</v>
      </c>
      <c r="E2872" s="170" t="s">
        <v>30</v>
      </c>
      <c r="F2872" s="170" t="s">
        <v>201</v>
      </c>
      <c r="G2872" s="175" t="s">
        <v>4755</v>
      </c>
      <c r="H2872" s="175"/>
    </row>
    <row r="2873" ht="14.25" spans="1:8">
      <c r="A2873" s="232">
        <v>341</v>
      </c>
      <c r="B2873" s="185" t="s">
        <v>4756</v>
      </c>
      <c r="C2873" s="175" t="s">
        <v>48</v>
      </c>
      <c r="D2873" s="190">
        <v>0.03</v>
      </c>
      <c r="E2873" s="170" t="s">
        <v>30</v>
      </c>
      <c r="F2873" s="170" t="s">
        <v>201</v>
      </c>
      <c r="G2873" s="175" t="s">
        <v>4757</v>
      </c>
      <c r="H2873" s="175"/>
    </row>
    <row r="2874" ht="14.25" spans="1:8">
      <c r="A2874" s="232">
        <v>342</v>
      </c>
      <c r="B2874" s="185" t="s">
        <v>4758</v>
      </c>
      <c r="C2874" s="175" t="s">
        <v>48</v>
      </c>
      <c r="D2874" s="190">
        <v>0.02</v>
      </c>
      <c r="E2874" s="170" t="s">
        <v>30</v>
      </c>
      <c r="F2874" s="170" t="s">
        <v>201</v>
      </c>
      <c r="G2874" s="175" t="s">
        <v>4759</v>
      </c>
      <c r="H2874" s="175"/>
    </row>
    <row r="2875" ht="14.25" spans="1:8">
      <c r="A2875" s="232">
        <v>343</v>
      </c>
      <c r="B2875" s="185" t="s">
        <v>4760</v>
      </c>
      <c r="C2875" s="175" t="s">
        <v>48</v>
      </c>
      <c r="D2875" s="190">
        <v>0.03</v>
      </c>
      <c r="E2875" s="170" t="s">
        <v>30</v>
      </c>
      <c r="F2875" s="170" t="s">
        <v>201</v>
      </c>
      <c r="G2875" s="175" t="s">
        <v>4761</v>
      </c>
      <c r="H2875" s="175"/>
    </row>
    <row r="2876" ht="14.25" spans="1:8">
      <c r="A2876" s="232">
        <v>344</v>
      </c>
      <c r="B2876" s="185" t="s">
        <v>4762</v>
      </c>
      <c r="C2876" s="175" t="s">
        <v>48</v>
      </c>
      <c r="D2876" s="190">
        <v>0.03</v>
      </c>
      <c r="E2876" s="170" t="s">
        <v>30</v>
      </c>
      <c r="F2876" s="170" t="s">
        <v>201</v>
      </c>
      <c r="G2876" s="175" t="s">
        <v>4763</v>
      </c>
      <c r="H2876" s="175"/>
    </row>
    <row r="2877" ht="14.25" spans="1:8">
      <c r="A2877" s="232">
        <v>345</v>
      </c>
      <c r="B2877" s="185" t="s">
        <v>4764</v>
      </c>
      <c r="C2877" s="175" t="s">
        <v>48</v>
      </c>
      <c r="D2877" s="190">
        <v>0.03</v>
      </c>
      <c r="E2877" s="170" t="s">
        <v>30</v>
      </c>
      <c r="F2877" s="170" t="s">
        <v>201</v>
      </c>
      <c r="G2877" s="175" t="s">
        <v>4765</v>
      </c>
      <c r="H2877" s="175"/>
    </row>
    <row r="2878" ht="14.25" spans="1:8">
      <c r="A2878" s="232">
        <v>346</v>
      </c>
      <c r="B2878" s="185" t="s">
        <v>4766</v>
      </c>
      <c r="C2878" s="175" t="s">
        <v>48</v>
      </c>
      <c r="D2878" s="190">
        <v>0.03</v>
      </c>
      <c r="E2878" s="170" t="s">
        <v>30</v>
      </c>
      <c r="F2878" s="170" t="s">
        <v>201</v>
      </c>
      <c r="G2878" s="175" t="s">
        <v>4767</v>
      </c>
      <c r="H2878" s="175"/>
    </row>
    <row r="2879" ht="14.25" spans="1:8">
      <c r="A2879" s="232">
        <v>347</v>
      </c>
      <c r="B2879" s="185" t="s">
        <v>4766</v>
      </c>
      <c r="C2879" s="175" t="s">
        <v>48</v>
      </c>
      <c r="D2879" s="190">
        <v>0.03</v>
      </c>
      <c r="E2879" s="170" t="s">
        <v>30</v>
      </c>
      <c r="F2879" s="170" t="s">
        <v>201</v>
      </c>
      <c r="G2879" s="175" t="s">
        <v>4768</v>
      </c>
      <c r="H2879" s="175"/>
    </row>
    <row r="2880" ht="14.25" spans="1:8">
      <c r="A2880" s="232">
        <v>348</v>
      </c>
      <c r="B2880" s="185" t="s">
        <v>4769</v>
      </c>
      <c r="C2880" s="175" t="s">
        <v>48</v>
      </c>
      <c r="D2880" s="190">
        <v>0.03</v>
      </c>
      <c r="E2880" s="170" t="s">
        <v>30</v>
      </c>
      <c r="F2880" s="170" t="s">
        <v>201</v>
      </c>
      <c r="G2880" s="175" t="s">
        <v>4770</v>
      </c>
      <c r="H2880" s="175"/>
    </row>
    <row r="2881" ht="14.25" spans="1:8">
      <c r="A2881" s="232">
        <v>349</v>
      </c>
      <c r="B2881" s="185" t="s">
        <v>4769</v>
      </c>
      <c r="C2881" s="175" t="s">
        <v>48</v>
      </c>
      <c r="D2881" s="190">
        <v>0.03</v>
      </c>
      <c r="E2881" s="170" t="s">
        <v>30</v>
      </c>
      <c r="F2881" s="170" t="s">
        <v>201</v>
      </c>
      <c r="G2881" s="175" t="s">
        <v>4771</v>
      </c>
      <c r="H2881" s="175"/>
    </row>
    <row r="2882" ht="14.25" spans="1:8">
      <c r="A2882" s="232">
        <v>350</v>
      </c>
      <c r="B2882" s="185" t="s">
        <v>4772</v>
      </c>
      <c r="C2882" s="175" t="s">
        <v>48</v>
      </c>
      <c r="D2882" s="190">
        <v>0.03</v>
      </c>
      <c r="E2882" s="170" t="s">
        <v>30</v>
      </c>
      <c r="F2882" s="170" t="s">
        <v>201</v>
      </c>
      <c r="G2882" s="175" t="s">
        <v>4773</v>
      </c>
      <c r="H2882" s="175"/>
    </row>
    <row r="2883" ht="14.25" spans="1:8">
      <c r="A2883" s="232">
        <v>351</v>
      </c>
      <c r="B2883" s="185" t="s">
        <v>4774</v>
      </c>
      <c r="C2883" s="175" t="s">
        <v>48</v>
      </c>
      <c r="D2883" s="190">
        <v>0.03</v>
      </c>
      <c r="E2883" s="170" t="s">
        <v>30</v>
      </c>
      <c r="F2883" s="170" t="s">
        <v>201</v>
      </c>
      <c r="G2883" s="175" t="s">
        <v>4775</v>
      </c>
      <c r="H2883" s="175"/>
    </row>
    <row r="2884" ht="14.25" spans="1:8">
      <c r="A2884" s="232">
        <v>352</v>
      </c>
      <c r="B2884" s="185" t="s">
        <v>4441</v>
      </c>
      <c r="C2884" s="175" t="s">
        <v>48</v>
      </c>
      <c r="D2884" s="190">
        <v>0.03</v>
      </c>
      <c r="E2884" s="170" t="s">
        <v>30</v>
      </c>
      <c r="F2884" s="170" t="s">
        <v>201</v>
      </c>
      <c r="G2884" s="175" t="s">
        <v>4776</v>
      </c>
      <c r="H2884" s="175"/>
    </row>
    <row r="2885" ht="14.25" spans="1:8">
      <c r="A2885" s="232">
        <v>353</v>
      </c>
      <c r="B2885" s="185" t="s">
        <v>4292</v>
      </c>
      <c r="C2885" s="175" t="s">
        <v>48</v>
      </c>
      <c r="D2885" s="190">
        <v>0.03</v>
      </c>
      <c r="E2885" s="170" t="s">
        <v>30</v>
      </c>
      <c r="F2885" s="170" t="s">
        <v>201</v>
      </c>
      <c r="G2885" s="175" t="s">
        <v>4777</v>
      </c>
      <c r="H2885" s="175"/>
    </row>
    <row r="2886" ht="14.25" spans="1:8">
      <c r="A2886" s="232">
        <v>354</v>
      </c>
      <c r="B2886" s="185" t="s">
        <v>4778</v>
      </c>
      <c r="C2886" s="175" t="s">
        <v>48</v>
      </c>
      <c r="D2886" s="190">
        <v>0.03</v>
      </c>
      <c r="E2886" s="170" t="s">
        <v>30</v>
      </c>
      <c r="F2886" s="170" t="s">
        <v>201</v>
      </c>
      <c r="G2886" s="175" t="s">
        <v>4779</v>
      </c>
      <c r="H2886" s="175"/>
    </row>
    <row r="2887" ht="14.25" spans="1:8">
      <c r="A2887" s="232">
        <v>355</v>
      </c>
      <c r="B2887" s="185" t="s">
        <v>4780</v>
      </c>
      <c r="C2887" s="175" t="s">
        <v>48</v>
      </c>
      <c r="D2887" s="190">
        <v>0.03</v>
      </c>
      <c r="E2887" s="170" t="s">
        <v>30</v>
      </c>
      <c r="F2887" s="170" t="s">
        <v>201</v>
      </c>
      <c r="G2887" s="175" t="s">
        <v>4781</v>
      </c>
      <c r="H2887" s="175"/>
    </row>
    <row r="2888" ht="14.25" spans="1:8">
      <c r="A2888" s="232">
        <v>356</v>
      </c>
      <c r="B2888" s="185" t="s">
        <v>4782</v>
      </c>
      <c r="C2888" s="175" t="s">
        <v>48</v>
      </c>
      <c r="D2888" s="190">
        <v>0.01</v>
      </c>
      <c r="E2888" s="170" t="s">
        <v>30</v>
      </c>
      <c r="F2888" s="170" t="s">
        <v>201</v>
      </c>
      <c r="G2888" s="175" t="s">
        <v>4783</v>
      </c>
      <c r="H2888" s="175"/>
    </row>
    <row r="2889" ht="14.25" spans="1:8">
      <c r="A2889" s="232">
        <v>357</v>
      </c>
      <c r="B2889" s="185" t="s">
        <v>4784</v>
      </c>
      <c r="C2889" s="175" t="s">
        <v>48</v>
      </c>
      <c r="D2889" s="190">
        <v>0.03</v>
      </c>
      <c r="E2889" s="170" t="s">
        <v>30</v>
      </c>
      <c r="F2889" s="170" t="s">
        <v>201</v>
      </c>
      <c r="G2889" s="175" t="s">
        <v>4785</v>
      </c>
      <c r="H2889" s="175"/>
    </row>
    <row r="2890" ht="14.25" spans="1:8">
      <c r="A2890" s="232">
        <v>358</v>
      </c>
      <c r="B2890" s="185" t="s">
        <v>4786</v>
      </c>
      <c r="C2890" s="175" t="s">
        <v>48</v>
      </c>
      <c r="D2890" s="190">
        <v>0.03</v>
      </c>
      <c r="E2890" s="170" t="s">
        <v>30</v>
      </c>
      <c r="F2890" s="170" t="s">
        <v>201</v>
      </c>
      <c r="G2890" s="175" t="s">
        <v>4787</v>
      </c>
      <c r="H2890" s="175"/>
    </row>
    <row r="2891" ht="14.25" spans="1:8">
      <c r="A2891" s="232">
        <v>359</v>
      </c>
      <c r="B2891" s="185" t="s">
        <v>4788</v>
      </c>
      <c r="C2891" s="175" t="s">
        <v>48</v>
      </c>
      <c r="D2891" s="190">
        <v>0.03</v>
      </c>
      <c r="E2891" s="170" t="s">
        <v>30</v>
      </c>
      <c r="F2891" s="170" t="s">
        <v>201</v>
      </c>
      <c r="G2891" s="175" t="s">
        <v>4789</v>
      </c>
      <c r="H2891" s="175"/>
    </row>
    <row r="2892" ht="14.25" spans="1:8">
      <c r="A2892" s="232">
        <v>360</v>
      </c>
      <c r="B2892" s="185" t="s">
        <v>4790</v>
      </c>
      <c r="C2892" s="175" t="s">
        <v>48</v>
      </c>
      <c r="D2892" s="190">
        <v>0.03</v>
      </c>
      <c r="E2892" s="170" t="s">
        <v>30</v>
      </c>
      <c r="F2892" s="170" t="s">
        <v>201</v>
      </c>
      <c r="G2892" s="175" t="s">
        <v>4791</v>
      </c>
      <c r="H2892" s="175"/>
    </row>
    <row r="2893" ht="14.25" spans="1:8">
      <c r="A2893" s="232">
        <v>361</v>
      </c>
      <c r="B2893" s="185" t="s">
        <v>4792</v>
      </c>
      <c r="C2893" s="175" t="s">
        <v>48</v>
      </c>
      <c r="D2893" s="190">
        <v>0.03</v>
      </c>
      <c r="E2893" s="170" t="s">
        <v>30</v>
      </c>
      <c r="F2893" s="170" t="s">
        <v>201</v>
      </c>
      <c r="G2893" s="175" t="s">
        <v>4793</v>
      </c>
      <c r="H2893" s="175"/>
    </row>
    <row r="2894" ht="14.25" spans="1:8">
      <c r="A2894" s="232">
        <v>362</v>
      </c>
      <c r="B2894" s="185" t="s">
        <v>4794</v>
      </c>
      <c r="C2894" s="175" t="s">
        <v>48</v>
      </c>
      <c r="D2894" s="190">
        <v>0.01</v>
      </c>
      <c r="E2894" s="170" t="s">
        <v>30</v>
      </c>
      <c r="F2894" s="170" t="s">
        <v>201</v>
      </c>
      <c r="G2894" s="175" t="s">
        <v>4795</v>
      </c>
      <c r="H2894" s="175"/>
    </row>
    <row r="2895" ht="14.25" spans="1:8">
      <c r="A2895" s="232">
        <v>363</v>
      </c>
      <c r="B2895" s="185" t="s">
        <v>4794</v>
      </c>
      <c r="C2895" s="175" t="s">
        <v>48</v>
      </c>
      <c r="D2895" s="190">
        <v>0.01</v>
      </c>
      <c r="E2895" s="170" t="s">
        <v>30</v>
      </c>
      <c r="F2895" s="170" t="s">
        <v>201</v>
      </c>
      <c r="G2895" s="175" t="s">
        <v>4796</v>
      </c>
      <c r="H2895" s="175"/>
    </row>
    <row r="2896" ht="14.25" spans="1:8">
      <c r="A2896" s="232">
        <v>364</v>
      </c>
      <c r="B2896" s="185" t="s">
        <v>4794</v>
      </c>
      <c r="C2896" s="175" t="s">
        <v>48</v>
      </c>
      <c r="D2896" s="190">
        <v>0.01</v>
      </c>
      <c r="E2896" s="170" t="s">
        <v>30</v>
      </c>
      <c r="F2896" s="170" t="s">
        <v>201</v>
      </c>
      <c r="G2896" s="175" t="s">
        <v>4797</v>
      </c>
      <c r="H2896" s="175"/>
    </row>
    <row r="2897" ht="14.25" spans="1:8">
      <c r="A2897" s="232">
        <v>365</v>
      </c>
      <c r="B2897" s="185" t="s">
        <v>4794</v>
      </c>
      <c r="C2897" s="175" t="s">
        <v>48</v>
      </c>
      <c r="D2897" s="190">
        <v>0.01</v>
      </c>
      <c r="E2897" s="170" t="s">
        <v>30</v>
      </c>
      <c r="F2897" s="170" t="s">
        <v>201</v>
      </c>
      <c r="G2897" s="175" t="s">
        <v>4798</v>
      </c>
      <c r="H2897" s="175"/>
    </row>
    <row r="2898" ht="14.25" spans="1:8">
      <c r="A2898" s="232">
        <v>366</v>
      </c>
      <c r="B2898" s="185" t="s">
        <v>4799</v>
      </c>
      <c r="C2898" s="175" t="s">
        <v>48</v>
      </c>
      <c r="D2898" s="190">
        <v>0.01</v>
      </c>
      <c r="E2898" s="170" t="s">
        <v>30</v>
      </c>
      <c r="F2898" s="170" t="s">
        <v>201</v>
      </c>
      <c r="G2898" s="175" t="s">
        <v>4800</v>
      </c>
      <c r="H2898" s="175"/>
    </row>
    <row r="2899" ht="14.25" spans="1:8">
      <c r="A2899" s="232">
        <v>367</v>
      </c>
      <c r="B2899" s="185" t="s">
        <v>1183</v>
      </c>
      <c r="C2899" s="175" t="s">
        <v>48</v>
      </c>
      <c r="D2899" s="190">
        <v>0.03</v>
      </c>
      <c r="E2899" s="170" t="s">
        <v>30</v>
      </c>
      <c r="F2899" s="170" t="s">
        <v>201</v>
      </c>
      <c r="G2899" s="175" t="s">
        <v>4801</v>
      </c>
      <c r="H2899" s="175"/>
    </row>
    <row r="2900" ht="14.25" spans="1:8">
      <c r="A2900" s="232">
        <v>368</v>
      </c>
      <c r="B2900" s="185" t="s">
        <v>4802</v>
      </c>
      <c r="C2900" s="175" t="s">
        <v>48</v>
      </c>
      <c r="D2900" s="190">
        <v>0.012</v>
      </c>
      <c r="E2900" s="170" t="s">
        <v>30</v>
      </c>
      <c r="F2900" s="170" t="s">
        <v>201</v>
      </c>
      <c r="G2900" s="175" t="s">
        <v>4803</v>
      </c>
      <c r="H2900" s="175"/>
    </row>
    <row r="2901" ht="14.25" spans="1:8">
      <c r="A2901" s="232">
        <v>369</v>
      </c>
      <c r="B2901" s="185" t="s">
        <v>4804</v>
      </c>
      <c r="C2901" s="175" t="s">
        <v>48</v>
      </c>
      <c r="D2901" s="190">
        <v>0.03</v>
      </c>
      <c r="E2901" s="170" t="s">
        <v>30</v>
      </c>
      <c r="F2901" s="170" t="s">
        <v>201</v>
      </c>
      <c r="G2901" s="175" t="s">
        <v>4805</v>
      </c>
      <c r="H2901" s="175"/>
    </row>
    <row r="2902" ht="14.25" spans="1:8">
      <c r="A2902" s="232">
        <v>370</v>
      </c>
      <c r="B2902" s="185" t="s">
        <v>349</v>
      </c>
      <c r="C2902" s="175" t="s">
        <v>48</v>
      </c>
      <c r="D2902" s="190">
        <v>0.005</v>
      </c>
      <c r="E2902" s="170" t="s">
        <v>30</v>
      </c>
      <c r="F2902" s="170" t="s">
        <v>201</v>
      </c>
      <c r="G2902" s="175" t="s">
        <v>4806</v>
      </c>
      <c r="H2902" s="175"/>
    </row>
    <row r="2903" ht="14.25" spans="1:8">
      <c r="A2903" s="232">
        <v>371</v>
      </c>
      <c r="B2903" s="185" t="s">
        <v>4232</v>
      </c>
      <c r="C2903" s="175" t="s">
        <v>48</v>
      </c>
      <c r="D2903" s="190">
        <v>0.01</v>
      </c>
      <c r="E2903" s="170" t="s">
        <v>30</v>
      </c>
      <c r="F2903" s="170" t="s">
        <v>201</v>
      </c>
      <c r="G2903" s="175" t="s">
        <v>4807</v>
      </c>
      <c r="H2903" s="175"/>
    </row>
    <row r="2904" ht="14.25" spans="1:8">
      <c r="A2904" s="232">
        <v>372</v>
      </c>
      <c r="B2904" s="185" t="s">
        <v>4808</v>
      </c>
      <c r="C2904" s="175" t="s">
        <v>48</v>
      </c>
      <c r="D2904" s="190">
        <v>0.02</v>
      </c>
      <c r="E2904" s="170" t="s">
        <v>30</v>
      </c>
      <c r="F2904" s="170" t="s">
        <v>201</v>
      </c>
      <c r="G2904" s="175" t="s">
        <v>4809</v>
      </c>
      <c r="H2904" s="175"/>
    </row>
    <row r="2905" ht="14.25" spans="1:8">
      <c r="A2905" s="232">
        <v>373</v>
      </c>
      <c r="B2905" s="185" t="s">
        <v>475</v>
      </c>
      <c r="C2905" s="175" t="s">
        <v>48</v>
      </c>
      <c r="D2905" s="190">
        <v>0.01</v>
      </c>
      <c r="E2905" s="170" t="s">
        <v>30</v>
      </c>
      <c r="F2905" s="170" t="s">
        <v>201</v>
      </c>
      <c r="G2905" s="175" t="s">
        <v>4810</v>
      </c>
      <c r="H2905" s="175"/>
    </row>
    <row r="2906" ht="14.25" spans="1:8">
      <c r="A2906" s="232">
        <v>374</v>
      </c>
      <c r="B2906" s="185" t="s">
        <v>4811</v>
      </c>
      <c r="C2906" s="175" t="s">
        <v>48</v>
      </c>
      <c r="D2906" s="190">
        <v>0.02</v>
      </c>
      <c r="E2906" s="170" t="s">
        <v>30</v>
      </c>
      <c r="F2906" s="170" t="s">
        <v>201</v>
      </c>
      <c r="G2906" s="175" t="s">
        <v>4242</v>
      </c>
      <c r="H2906" s="175"/>
    </row>
    <row r="2907" ht="14.25" spans="1:8">
      <c r="A2907" s="232">
        <v>375</v>
      </c>
      <c r="B2907" s="185" t="s">
        <v>4812</v>
      </c>
      <c r="C2907" s="175" t="s">
        <v>48</v>
      </c>
      <c r="D2907" s="190">
        <v>0.02</v>
      </c>
      <c r="E2907" s="170" t="s">
        <v>30</v>
      </c>
      <c r="F2907" s="170" t="s">
        <v>201</v>
      </c>
      <c r="G2907" s="175" t="s">
        <v>4813</v>
      </c>
      <c r="H2907" s="175"/>
    </row>
    <row r="2908" ht="14.25" spans="1:8">
      <c r="A2908" s="232">
        <v>376</v>
      </c>
      <c r="B2908" s="185" t="s">
        <v>4814</v>
      </c>
      <c r="C2908" s="175" t="s">
        <v>48</v>
      </c>
      <c r="D2908" s="190">
        <v>0.03</v>
      </c>
      <c r="E2908" s="170" t="s">
        <v>30</v>
      </c>
      <c r="F2908" s="170" t="s">
        <v>201</v>
      </c>
      <c r="G2908" s="175" t="s">
        <v>4815</v>
      </c>
      <c r="H2908" s="175"/>
    </row>
    <row r="2909" ht="14.25" spans="1:8">
      <c r="A2909" s="232">
        <v>377</v>
      </c>
      <c r="B2909" s="185" t="s">
        <v>4816</v>
      </c>
      <c r="C2909" s="175" t="s">
        <v>48</v>
      </c>
      <c r="D2909" s="190">
        <v>0.03</v>
      </c>
      <c r="E2909" s="170" t="s">
        <v>30</v>
      </c>
      <c r="F2909" s="170" t="s">
        <v>201</v>
      </c>
      <c r="G2909" s="175" t="s">
        <v>4817</v>
      </c>
      <c r="H2909" s="175"/>
    </row>
    <row r="2910" ht="14.25" spans="1:8">
      <c r="A2910" s="232">
        <v>378</v>
      </c>
      <c r="B2910" s="183" t="s">
        <v>4818</v>
      </c>
      <c r="C2910" s="175" t="s">
        <v>48</v>
      </c>
      <c r="D2910" s="190">
        <v>0.02</v>
      </c>
      <c r="E2910" s="170" t="s">
        <v>30</v>
      </c>
      <c r="F2910" s="170" t="s">
        <v>201</v>
      </c>
      <c r="G2910" s="175" t="s">
        <v>4819</v>
      </c>
      <c r="H2910" s="175"/>
    </row>
    <row r="2911" ht="14.25" spans="1:8">
      <c r="A2911" s="232">
        <v>379</v>
      </c>
      <c r="B2911" s="185" t="s">
        <v>4820</v>
      </c>
      <c r="C2911" s="175" t="s">
        <v>48</v>
      </c>
      <c r="D2911" s="190">
        <v>0.03</v>
      </c>
      <c r="E2911" s="170" t="s">
        <v>30</v>
      </c>
      <c r="F2911" s="170" t="s">
        <v>201</v>
      </c>
      <c r="G2911" s="175" t="s">
        <v>4821</v>
      </c>
      <c r="H2911" s="175"/>
    </row>
    <row r="2912" ht="14.25" spans="1:8">
      <c r="A2912" s="232">
        <v>380</v>
      </c>
      <c r="B2912" s="185" t="s">
        <v>4822</v>
      </c>
      <c r="C2912" s="175" t="s">
        <v>48</v>
      </c>
      <c r="D2912" s="190">
        <v>0.01</v>
      </c>
      <c r="E2912" s="170" t="s">
        <v>30</v>
      </c>
      <c r="F2912" s="170" t="s">
        <v>201</v>
      </c>
      <c r="G2912" s="175" t="s">
        <v>4823</v>
      </c>
      <c r="H2912" s="175"/>
    </row>
    <row r="2913" ht="14.25" spans="1:8">
      <c r="A2913" s="232">
        <v>381</v>
      </c>
      <c r="B2913" s="185" t="s">
        <v>3240</v>
      </c>
      <c r="C2913" s="175" t="s">
        <v>48</v>
      </c>
      <c r="D2913" s="190">
        <v>0.03</v>
      </c>
      <c r="E2913" s="170" t="s">
        <v>30</v>
      </c>
      <c r="F2913" s="170" t="s">
        <v>201</v>
      </c>
      <c r="G2913" s="175" t="s">
        <v>4824</v>
      </c>
      <c r="H2913" s="175"/>
    </row>
    <row r="2914" ht="14.25" spans="1:8">
      <c r="A2914" s="232">
        <v>382</v>
      </c>
      <c r="B2914" s="185" t="s">
        <v>4825</v>
      </c>
      <c r="C2914" s="175" t="s">
        <v>48</v>
      </c>
      <c r="D2914" s="190">
        <v>0.03</v>
      </c>
      <c r="E2914" s="170" t="s">
        <v>30</v>
      </c>
      <c r="F2914" s="170" t="s">
        <v>201</v>
      </c>
      <c r="G2914" s="175" t="s">
        <v>4826</v>
      </c>
      <c r="H2914" s="175"/>
    </row>
    <row r="2915" ht="14.25" spans="1:8">
      <c r="A2915" s="232">
        <v>383</v>
      </c>
      <c r="B2915" s="185" t="s">
        <v>4827</v>
      </c>
      <c r="C2915" s="175" t="s">
        <v>48</v>
      </c>
      <c r="D2915" s="190">
        <v>0.03</v>
      </c>
      <c r="E2915" s="170" t="s">
        <v>30</v>
      </c>
      <c r="F2915" s="170" t="s">
        <v>201</v>
      </c>
      <c r="G2915" s="175" t="s">
        <v>4828</v>
      </c>
      <c r="H2915" s="175"/>
    </row>
    <row r="2916" ht="14.25" spans="1:8">
      <c r="A2916" s="232">
        <v>384</v>
      </c>
      <c r="B2916" s="185" t="s">
        <v>2098</v>
      </c>
      <c r="C2916" s="175" t="s">
        <v>48</v>
      </c>
      <c r="D2916" s="190">
        <v>0.04</v>
      </c>
      <c r="E2916" s="170" t="s">
        <v>30</v>
      </c>
      <c r="F2916" s="170" t="s">
        <v>201</v>
      </c>
      <c r="G2916" s="175" t="s">
        <v>4829</v>
      </c>
      <c r="H2916" s="175"/>
    </row>
    <row r="2917" ht="14.25" spans="1:8">
      <c r="A2917" s="232">
        <v>385</v>
      </c>
      <c r="B2917" s="185" t="s">
        <v>2098</v>
      </c>
      <c r="C2917" s="175" t="s">
        <v>48</v>
      </c>
      <c r="D2917" s="190">
        <v>0.01</v>
      </c>
      <c r="E2917" s="170" t="s">
        <v>30</v>
      </c>
      <c r="F2917" s="170" t="s">
        <v>201</v>
      </c>
      <c r="G2917" s="175" t="s">
        <v>4830</v>
      </c>
      <c r="H2917" s="175"/>
    </row>
    <row r="2918" ht="14.25" spans="1:8">
      <c r="A2918" s="232">
        <v>386</v>
      </c>
      <c r="B2918" s="185" t="s">
        <v>4831</v>
      </c>
      <c r="C2918" s="175" t="s">
        <v>48</v>
      </c>
      <c r="D2918" s="190">
        <v>0.01</v>
      </c>
      <c r="E2918" s="170" t="s">
        <v>30</v>
      </c>
      <c r="F2918" s="170" t="s">
        <v>201</v>
      </c>
      <c r="G2918" s="175" t="s">
        <v>4832</v>
      </c>
      <c r="H2918" s="175"/>
    </row>
    <row r="2919" ht="14.25" spans="1:8">
      <c r="A2919" s="232">
        <v>387</v>
      </c>
      <c r="B2919" s="185" t="s">
        <v>4833</v>
      </c>
      <c r="C2919" s="175" t="s">
        <v>48</v>
      </c>
      <c r="D2919" s="190">
        <v>0.006</v>
      </c>
      <c r="E2919" s="170" t="s">
        <v>30</v>
      </c>
      <c r="F2919" s="170" t="s">
        <v>201</v>
      </c>
      <c r="G2919" s="175" t="s">
        <v>4834</v>
      </c>
      <c r="H2919" s="175"/>
    </row>
    <row r="2920" ht="14.25" spans="1:8">
      <c r="A2920" s="232">
        <v>388</v>
      </c>
      <c r="B2920" s="175" t="s">
        <v>4835</v>
      </c>
      <c r="C2920" s="175" t="s">
        <v>48</v>
      </c>
      <c r="D2920" s="190">
        <v>0.025</v>
      </c>
      <c r="E2920" s="170" t="s">
        <v>30</v>
      </c>
      <c r="F2920" s="170" t="s">
        <v>201</v>
      </c>
      <c r="G2920" s="175" t="s">
        <v>4836</v>
      </c>
      <c r="H2920" s="175"/>
    </row>
    <row r="2921" ht="14.25" spans="1:8">
      <c r="A2921" s="232">
        <v>389</v>
      </c>
      <c r="B2921" s="175" t="s">
        <v>4837</v>
      </c>
      <c r="C2921" s="175" t="s">
        <v>48</v>
      </c>
      <c r="D2921" s="190">
        <v>0.04</v>
      </c>
      <c r="E2921" s="170" t="s">
        <v>30</v>
      </c>
      <c r="F2921" s="170" t="s">
        <v>201</v>
      </c>
      <c r="G2921" s="175" t="s">
        <v>4838</v>
      </c>
      <c r="H2921" s="175"/>
    </row>
    <row r="2922" ht="14.25" spans="1:8">
      <c r="A2922" s="232">
        <v>390</v>
      </c>
      <c r="B2922" s="185" t="s">
        <v>4839</v>
      </c>
      <c r="C2922" s="175" t="s">
        <v>48</v>
      </c>
      <c r="D2922" s="190">
        <v>0.04</v>
      </c>
      <c r="E2922" s="170" t="s">
        <v>30</v>
      </c>
      <c r="F2922" s="170" t="s">
        <v>201</v>
      </c>
      <c r="G2922" s="175" t="s">
        <v>4840</v>
      </c>
      <c r="H2922" s="175"/>
    </row>
    <row r="2923" ht="14.25" spans="1:8">
      <c r="A2923" s="232">
        <v>391</v>
      </c>
      <c r="B2923" s="185" t="s">
        <v>2477</v>
      </c>
      <c r="C2923" s="175" t="s">
        <v>48</v>
      </c>
      <c r="D2923" s="190">
        <v>0.03</v>
      </c>
      <c r="E2923" s="170" t="s">
        <v>30</v>
      </c>
      <c r="F2923" s="170" t="s">
        <v>201</v>
      </c>
      <c r="G2923" s="175" t="s">
        <v>4841</v>
      </c>
      <c r="H2923" s="175"/>
    </row>
    <row r="2924" ht="14.25" spans="1:8">
      <c r="A2924" s="232">
        <v>392</v>
      </c>
      <c r="B2924" s="185" t="s">
        <v>2477</v>
      </c>
      <c r="C2924" s="175" t="s">
        <v>48</v>
      </c>
      <c r="D2924" s="190">
        <v>0.04</v>
      </c>
      <c r="E2924" s="170" t="s">
        <v>30</v>
      </c>
      <c r="F2924" s="170" t="s">
        <v>201</v>
      </c>
      <c r="G2924" s="175" t="s">
        <v>4842</v>
      </c>
      <c r="H2924" s="175"/>
    </row>
    <row r="2925" ht="14.25" spans="1:8">
      <c r="A2925" s="232">
        <v>393</v>
      </c>
      <c r="B2925" s="185" t="s">
        <v>2477</v>
      </c>
      <c r="C2925" s="175" t="s">
        <v>48</v>
      </c>
      <c r="D2925" s="190">
        <v>0.04</v>
      </c>
      <c r="E2925" s="170" t="s">
        <v>30</v>
      </c>
      <c r="F2925" s="170" t="s">
        <v>201</v>
      </c>
      <c r="G2925" s="175" t="s">
        <v>4843</v>
      </c>
      <c r="H2925" s="175"/>
    </row>
    <row r="2926" ht="14.25" spans="1:8">
      <c r="A2926" s="232">
        <v>394</v>
      </c>
      <c r="B2926" s="185" t="s">
        <v>4844</v>
      </c>
      <c r="C2926" s="175" t="s">
        <v>48</v>
      </c>
      <c r="D2926" s="190">
        <v>0.04</v>
      </c>
      <c r="E2926" s="170" t="s">
        <v>30</v>
      </c>
      <c r="F2926" s="170" t="s">
        <v>201</v>
      </c>
      <c r="G2926" s="175" t="s">
        <v>4845</v>
      </c>
      <c r="H2926" s="175"/>
    </row>
    <row r="2927" ht="14.25" spans="1:8">
      <c r="A2927" s="232">
        <v>395</v>
      </c>
      <c r="B2927" s="185" t="s">
        <v>4184</v>
      </c>
      <c r="C2927" s="175" t="s">
        <v>48</v>
      </c>
      <c r="D2927" s="190">
        <v>0.02</v>
      </c>
      <c r="E2927" s="170" t="s">
        <v>30</v>
      </c>
      <c r="F2927" s="170" t="s">
        <v>201</v>
      </c>
      <c r="G2927" s="175" t="s">
        <v>4846</v>
      </c>
      <c r="H2927" s="175"/>
    </row>
    <row r="2928" ht="14.25" spans="1:8">
      <c r="A2928" s="232">
        <v>396</v>
      </c>
      <c r="B2928" s="185" t="s">
        <v>4182</v>
      </c>
      <c r="C2928" s="175" t="s">
        <v>48</v>
      </c>
      <c r="D2928" s="190">
        <v>0.01</v>
      </c>
      <c r="E2928" s="170" t="s">
        <v>30</v>
      </c>
      <c r="F2928" s="170" t="s">
        <v>201</v>
      </c>
      <c r="G2928" s="175" t="s">
        <v>4183</v>
      </c>
      <c r="H2928" s="175"/>
    </row>
    <row r="2929" ht="14.25" spans="1:8">
      <c r="A2929" s="232">
        <v>397</v>
      </c>
      <c r="B2929" s="185" t="s">
        <v>4847</v>
      </c>
      <c r="C2929" s="175" t="s">
        <v>48</v>
      </c>
      <c r="D2929" s="190">
        <v>0.04</v>
      </c>
      <c r="E2929" s="170" t="s">
        <v>30</v>
      </c>
      <c r="F2929" s="170" t="s">
        <v>201</v>
      </c>
      <c r="G2929" s="175" t="s">
        <v>4848</v>
      </c>
      <c r="H2929" s="175"/>
    </row>
    <row r="2930" ht="14.25" spans="1:8">
      <c r="A2930" s="232">
        <v>398</v>
      </c>
      <c r="B2930" s="185" t="s">
        <v>4849</v>
      </c>
      <c r="C2930" s="175" t="s">
        <v>48</v>
      </c>
      <c r="D2930" s="190">
        <v>0.014</v>
      </c>
      <c r="E2930" s="170" t="s">
        <v>30</v>
      </c>
      <c r="F2930" s="170" t="s">
        <v>201</v>
      </c>
      <c r="G2930" s="175" t="s">
        <v>4850</v>
      </c>
      <c r="H2930" s="175"/>
    </row>
    <row r="2931" ht="14.25" spans="1:8">
      <c r="A2931" s="232">
        <v>399</v>
      </c>
      <c r="B2931" s="185" t="s">
        <v>4851</v>
      </c>
      <c r="C2931" s="175" t="s">
        <v>48</v>
      </c>
      <c r="D2931" s="190">
        <v>0.02</v>
      </c>
      <c r="E2931" s="170" t="s">
        <v>30</v>
      </c>
      <c r="F2931" s="170" t="s">
        <v>201</v>
      </c>
      <c r="G2931" s="175" t="s">
        <v>4852</v>
      </c>
      <c r="H2931" s="175"/>
    </row>
    <row r="2932" ht="14.25" spans="1:8">
      <c r="A2932" s="232">
        <v>400</v>
      </c>
      <c r="B2932" s="185" t="s">
        <v>4853</v>
      </c>
      <c r="C2932" s="175" t="s">
        <v>48</v>
      </c>
      <c r="D2932" s="190">
        <v>0.03</v>
      </c>
      <c r="E2932" s="170" t="s">
        <v>30</v>
      </c>
      <c r="F2932" s="170" t="s">
        <v>201</v>
      </c>
      <c r="G2932" s="175" t="s">
        <v>4854</v>
      </c>
      <c r="H2932" s="175"/>
    </row>
    <row r="2933" ht="14.25" spans="1:8">
      <c r="A2933" s="232">
        <v>401</v>
      </c>
      <c r="B2933" s="185" t="s">
        <v>4853</v>
      </c>
      <c r="C2933" s="175" t="s">
        <v>48</v>
      </c>
      <c r="D2933" s="190">
        <v>0.03</v>
      </c>
      <c r="E2933" s="170" t="s">
        <v>30</v>
      </c>
      <c r="F2933" s="170" t="s">
        <v>201</v>
      </c>
      <c r="G2933" s="175" t="s">
        <v>4855</v>
      </c>
      <c r="H2933" s="175"/>
    </row>
    <row r="2934" ht="14.25" spans="1:8">
      <c r="A2934" s="232">
        <v>402</v>
      </c>
      <c r="B2934" s="185" t="s">
        <v>4853</v>
      </c>
      <c r="C2934" s="175" t="s">
        <v>48</v>
      </c>
      <c r="D2934" s="190">
        <v>0.03</v>
      </c>
      <c r="E2934" s="170" t="s">
        <v>30</v>
      </c>
      <c r="F2934" s="170" t="s">
        <v>201</v>
      </c>
      <c r="G2934" s="175" t="s">
        <v>4856</v>
      </c>
      <c r="H2934" s="175"/>
    </row>
    <row r="2935" ht="14.25" spans="1:8">
      <c r="A2935" s="232">
        <v>403</v>
      </c>
      <c r="B2935" s="185" t="s">
        <v>4857</v>
      </c>
      <c r="C2935" s="175" t="s">
        <v>48</v>
      </c>
      <c r="D2935" s="190">
        <v>0.008</v>
      </c>
      <c r="E2935" s="170" t="s">
        <v>30</v>
      </c>
      <c r="F2935" s="170" t="s">
        <v>201</v>
      </c>
      <c r="G2935" s="175" t="s">
        <v>4858</v>
      </c>
      <c r="H2935" s="175"/>
    </row>
    <row r="2936" ht="14.25" spans="1:8">
      <c r="A2936" s="232">
        <v>404</v>
      </c>
      <c r="B2936" s="185" t="s">
        <v>4857</v>
      </c>
      <c r="C2936" s="175" t="s">
        <v>48</v>
      </c>
      <c r="D2936" s="190">
        <v>0.004</v>
      </c>
      <c r="E2936" s="170" t="s">
        <v>30</v>
      </c>
      <c r="F2936" s="170" t="s">
        <v>201</v>
      </c>
      <c r="G2936" s="175" t="s">
        <v>4859</v>
      </c>
      <c r="H2936" s="175"/>
    </row>
    <row r="2937" ht="14.25" spans="1:8">
      <c r="A2937" s="232">
        <v>405</v>
      </c>
      <c r="B2937" s="185" t="s">
        <v>4857</v>
      </c>
      <c r="C2937" s="175" t="s">
        <v>48</v>
      </c>
      <c r="D2937" s="190">
        <v>0.003</v>
      </c>
      <c r="E2937" s="170" t="s">
        <v>30</v>
      </c>
      <c r="F2937" s="170" t="s">
        <v>201</v>
      </c>
      <c r="G2937" s="175" t="s">
        <v>4860</v>
      </c>
      <c r="H2937" s="175"/>
    </row>
    <row r="2938" ht="14.25" spans="1:8">
      <c r="A2938" s="232">
        <v>406</v>
      </c>
      <c r="B2938" s="185" t="s">
        <v>4857</v>
      </c>
      <c r="C2938" s="175" t="s">
        <v>48</v>
      </c>
      <c r="D2938" s="190">
        <v>0.003</v>
      </c>
      <c r="E2938" s="170" t="s">
        <v>30</v>
      </c>
      <c r="F2938" s="170" t="s">
        <v>201</v>
      </c>
      <c r="G2938" s="175" t="s">
        <v>4861</v>
      </c>
      <c r="H2938" s="175"/>
    </row>
    <row r="2939" ht="14.25" spans="1:8">
      <c r="A2939" s="232">
        <v>407</v>
      </c>
      <c r="B2939" s="185" t="s">
        <v>4857</v>
      </c>
      <c r="C2939" s="175" t="s">
        <v>48</v>
      </c>
      <c r="D2939" s="190">
        <v>0.003</v>
      </c>
      <c r="E2939" s="170" t="s">
        <v>30</v>
      </c>
      <c r="F2939" s="170" t="s">
        <v>201</v>
      </c>
      <c r="G2939" s="175" t="s">
        <v>4862</v>
      </c>
      <c r="H2939" s="175"/>
    </row>
    <row r="2940" ht="14.25" spans="1:8">
      <c r="A2940" s="232">
        <v>408</v>
      </c>
      <c r="B2940" s="185" t="s">
        <v>4857</v>
      </c>
      <c r="C2940" s="175" t="s">
        <v>48</v>
      </c>
      <c r="D2940" s="190">
        <v>0.003</v>
      </c>
      <c r="E2940" s="170" t="s">
        <v>30</v>
      </c>
      <c r="F2940" s="170" t="s">
        <v>201</v>
      </c>
      <c r="G2940" s="175" t="s">
        <v>4863</v>
      </c>
      <c r="H2940" s="175"/>
    </row>
    <row r="2941" ht="14.25" spans="1:8">
      <c r="A2941" s="232">
        <v>409</v>
      </c>
      <c r="B2941" s="185" t="s">
        <v>4857</v>
      </c>
      <c r="C2941" s="175" t="s">
        <v>48</v>
      </c>
      <c r="D2941" s="190">
        <v>0.003</v>
      </c>
      <c r="E2941" s="170" t="s">
        <v>30</v>
      </c>
      <c r="F2941" s="170" t="s">
        <v>201</v>
      </c>
      <c r="G2941" s="175" t="s">
        <v>4864</v>
      </c>
      <c r="H2941" s="175"/>
    </row>
    <row r="2942" ht="14.25" spans="1:8">
      <c r="A2942" s="232">
        <v>410</v>
      </c>
      <c r="B2942" s="185" t="s">
        <v>4857</v>
      </c>
      <c r="C2942" s="175" t="s">
        <v>48</v>
      </c>
      <c r="D2942" s="190">
        <v>0.003</v>
      </c>
      <c r="E2942" s="170" t="s">
        <v>30</v>
      </c>
      <c r="F2942" s="170" t="s">
        <v>201</v>
      </c>
      <c r="G2942" s="175" t="s">
        <v>4865</v>
      </c>
      <c r="H2942" s="175"/>
    </row>
    <row r="2943" ht="14.25" spans="1:8">
      <c r="A2943" s="232">
        <v>411</v>
      </c>
      <c r="B2943" s="185" t="s">
        <v>4857</v>
      </c>
      <c r="C2943" s="175" t="s">
        <v>48</v>
      </c>
      <c r="D2943" s="190">
        <v>0.003</v>
      </c>
      <c r="E2943" s="170" t="s">
        <v>30</v>
      </c>
      <c r="F2943" s="170" t="s">
        <v>201</v>
      </c>
      <c r="G2943" s="175" t="s">
        <v>4866</v>
      </c>
      <c r="H2943" s="175"/>
    </row>
    <row r="2944" ht="14.25" spans="1:8">
      <c r="A2944" s="232">
        <v>412</v>
      </c>
      <c r="B2944" s="185" t="s">
        <v>4867</v>
      </c>
      <c r="C2944" s="175" t="s">
        <v>48</v>
      </c>
      <c r="D2944" s="190">
        <v>0.02</v>
      </c>
      <c r="E2944" s="170" t="s">
        <v>30</v>
      </c>
      <c r="F2944" s="170" t="s">
        <v>201</v>
      </c>
      <c r="G2944" s="175" t="s">
        <v>4868</v>
      </c>
      <c r="H2944" s="175"/>
    </row>
    <row r="2945" ht="14.25" spans="1:8">
      <c r="A2945" s="232">
        <v>413</v>
      </c>
      <c r="B2945" s="185" t="s">
        <v>4869</v>
      </c>
      <c r="C2945" s="175" t="s">
        <v>48</v>
      </c>
      <c r="D2945" s="190">
        <v>0.02</v>
      </c>
      <c r="E2945" s="170" t="s">
        <v>30</v>
      </c>
      <c r="F2945" s="170" t="s">
        <v>201</v>
      </c>
      <c r="G2945" s="175" t="s">
        <v>4870</v>
      </c>
      <c r="H2945" s="175"/>
    </row>
    <row r="2946" ht="14.25" spans="1:8">
      <c r="A2946" s="232">
        <v>414</v>
      </c>
      <c r="B2946" s="185" t="s">
        <v>2321</v>
      </c>
      <c r="C2946" s="175" t="s">
        <v>48</v>
      </c>
      <c r="D2946" s="190">
        <v>0.005</v>
      </c>
      <c r="E2946" s="170" t="s">
        <v>30</v>
      </c>
      <c r="F2946" s="170" t="s">
        <v>201</v>
      </c>
      <c r="G2946" s="175" t="s">
        <v>4871</v>
      </c>
      <c r="H2946" s="175"/>
    </row>
    <row r="2947" ht="14.25" spans="1:8">
      <c r="A2947" s="232">
        <v>415</v>
      </c>
      <c r="B2947" s="185" t="s">
        <v>4872</v>
      </c>
      <c r="C2947" s="175" t="s">
        <v>48</v>
      </c>
      <c r="D2947" s="190">
        <v>0.015</v>
      </c>
      <c r="E2947" s="170" t="s">
        <v>30</v>
      </c>
      <c r="F2947" s="170" t="s">
        <v>201</v>
      </c>
      <c r="G2947" s="175" t="s">
        <v>4219</v>
      </c>
      <c r="H2947" s="175"/>
    </row>
    <row r="2948" ht="14.25" spans="1:8">
      <c r="A2948" s="232">
        <v>416</v>
      </c>
      <c r="B2948" s="185" t="s">
        <v>4873</v>
      </c>
      <c r="C2948" s="175" t="s">
        <v>48</v>
      </c>
      <c r="D2948" s="190">
        <v>0.15</v>
      </c>
      <c r="E2948" s="170" t="s">
        <v>30</v>
      </c>
      <c r="F2948" s="170" t="s">
        <v>201</v>
      </c>
      <c r="G2948" s="175" t="s">
        <v>4874</v>
      </c>
      <c r="H2948" s="175"/>
    </row>
    <row r="2949" ht="14.25" spans="1:8">
      <c r="A2949" s="232">
        <v>417</v>
      </c>
      <c r="B2949" s="185" t="s">
        <v>4875</v>
      </c>
      <c r="C2949" s="175" t="s">
        <v>48</v>
      </c>
      <c r="D2949" s="190">
        <v>0.01</v>
      </c>
      <c r="E2949" s="170" t="s">
        <v>30</v>
      </c>
      <c r="F2949" s="170" t="s">
        <v>201</v>
      </c>
      <c r="G2949" s="175" t="s">
        <v>4876</v>
      </c>
      <c r="H2949" s="175"/>
    </row>
    <row r="2950" ht="14.25" spans="1:8">
      <c r="A2950" s="232">
        <v>418</v>
      </c>
      <c r="B2950" s="185" t="s">
        <v>4875</v>
      </c>
      <c r="C2950" s="175" t="s">
        <v>48</v>
      </c>
      <c r="D2950" s="190">
        <v>0.01</v>
      </c>
      <c r="E2950" s="170" t="s">
        <v>30</v>
      </c>
      <c r="F2950" s="170" t="s">
        <v>201</v>
      </c>
      <c r="G2950" s="175" t="s">
        <v>4877</v>
      </c>
      <c r="H2950" s="175"/>
    </row>
    <row r="2951" ht="14.25" spans="1:8">
      <c r="A2951" s="232">
        <v>419</v>
      </c>
      <c r="B2951" s="185" t="s">
        <v>4317</v>
      </c>
      <c r="C2951" s="175" t="s">
        <v>48</v>
      </c>
      <c r="D2951" s="190">
        <v>0.01</v>
      </c>
      <c r="E2951" s="170" t="s">
        <v>30</v>
      </c>
      <c r="F2951" s="170" t="s">
        <v>201</v>
      </c>
      <c r="G2951" s="175" t="s">
        <v>4318</v>
      </c>
      <c r="H2951" s="175"/>
    </row>
    <row r="2952" ht="14.25" spans="1:8">
      <c r="A2952" s="232">
        <v>420</v>
      </c>
      <c r="B2952" s="185" t="s">
        <v>4878</v>
      </c>
      <c r="C2952" s="175" t="s">
        <v>48</v>
      </c>
      <c r="D2952" s="190">
        <v>0.01</v>
      </c>
      <c r="E2952" s="170" t="s">
        <v>30</v>
      </c>
      <c r="F2952" s="170" t="s">
        <v>201</v>
      </c>
      <c r="G2952" s="175" t="s">
        <v>4879</v>
      </c>
      <c r="H2952" s="175"/>
    </row>
    <row r="2953" ht="14.25" spans="1:8">
      <c r="A2953" s="232">
        <v>421</v>
      </c>
      <c r="B2953" s="185" t="s">
        <v>1183</v>
      </c>
      <c r="C2953" s="175" t="s">
        <v>48</v>
      </c>
      <c r="D2953" s="190">
        <v>0.03</v>
      </c>
      <c r="E2953" s="170" t="s">
        <v>30</v>
      </c>
      <c r="F2953" s="170" t="s">
        <v>201</v>
      </c>
      <c r="G2953" s="175" t="s">
        <v>4880</v>
      </c>
      <c r="H2953" s="175"/>
    </row>
    <row r="2954" ht="14.25" spans="1:8">
      <c r="A2954" s="232">
        <v>422</v>
      </c>
      <c r="B2954" s="185" t="s">
        <v>3579</v>
      </c>
      <c r="C2954" s="175" t="s">
        <v>48</v>
      </c>
      <c r="D2954" s="190">
        <v>0.03</v>
      </c>
      <c r="E2954" s="170" t="s">
        <v>30</v>
      </c>
      <c r="F2954" s="170" t="s">
        <v>201</v>
      </c>
      <c r="G2954" s="175" t="s">
        <v>4881</v>
      </c>
      <c r="H2954" s="175"/>
    </row>
    <row r="2955" ht="14.25" spans="1:8">
      <c r="A2955" s="232">
        <v>423</v>
      </c>
      <c r="B2955" s="185" t="s">
        <v>1654</v>
      </c>
      <c r="C2955" s="175" t="s">
        <v>48</v>
      </c>
      <c r="D2955" s="190">
        <v>0.03</v>
      </c>
      <c r="E2955" s="170" t="s">
        <v>30</v>
      </c>
      <c r="F2955" s="170" t="s">
        <v>201</v>
      </c>
      <c r="G2955" s="175" t="s">
        <v>4882</v>
      </c>
      <c r="H2955" s="175"/>
    </row>
    <row r="2956" ht="14.25" spans="1:8">
      <c r="A2956" s="232">
        <v>424</v>
      </c>
      <c r="B2956" s="185" t="s">
        <v>1742</v>
      </c>
      <c r="C2956" s="175" t="s">
        <v>48</v>
      </c>
      <c r="D2956" s="190">
        <v>0.03</v>
      </c>
      <c r="E2956" s="170" t="s">
        <v>30</v>
      </c>
      <c r="F2956" s="170" t="s">
        <v>201</v>
      </c>
      <c r="G2956" s="175" t="s">
        <v>4284</v>
      </c>
      <c r="H2956" s="175"/>
    </row>
    <row r="2957" ht="14.25" spans="1:8">
      <c r="A2957" s="232">
        <v>425</v>
      </c>
      <c r="B2957" s="185" t="s">
        <v>4883</v>
      </c>
      <c r="C2957" s="175" t="s">
        <v>48</v>
      </c>
      <c r="D2957" s="190">
        <v>0.03</v>
      </c>
      <c r="E2957" s="170" t="s">
        <v>30</v>
      </c>
      <c r="F2957" s="170" t="s">
        <v>201</v>
      </c>
      <c r="G2957" s="175" t="s">
        <v>4884</v>
      </c>
      <c r="H2957" s="175"/>
    </row>
    <row r="2958" ht="14.25" spans="1:8">
      <c r="A2958" s="232">
        <v>426</v>
      </c>
      <c r="B2958" s="185" t="s">
        <v>1654</v>
      </c>
      <c r="C2958" s="175" t="s">
        <v>48</v>
      </c>
      <c r="D2958" s="190">
        <v>0.03</v>
      </c>
      <c r="E2958" s="170" t="s">
        <v>30</v>
      </c>
      <c r="F2958" s="170" t="s">
        <v>201</v>
      </c>
      <c r="G2958" s="175" t="s">
        <v>4885</v>
      </c>
      <c r="H2958" s="175"/>
    </row>
    <row r="2959" ht="14.25" spans="1:8">
      <c r="A2959" s="232">
        <v>427</v>
      </c>
      <c r="B2959" s="185" t="s">
        <v>1654</v>
      </c>
      <c r="C2959" s="175" t="s">
        <v>48</v>
      </c>
      <c r="D2959" s="190">
        <v>0.05</v>
      </c>
      <c r="E2959" s="170" t="s">
        <v>30</v>
      </c>
      <c r="F2959" s="170" t="s">
        <v>201</v>
      </c>
      <c r="G2959" s="175" t="s">
        <v>4886</v>
      </c>
      <c r="H2959" s="175"/>
    </row>
    <row r="2960" ht="14.25" spans="1:8">
      <c r="A2960" s="232">
        <v>428</v>
      </c>
      <c r="B2960" s="185" t="s">
        <v>4887</v>
      </c>
      <c r="C2960" s="175" t="s">
        <v>48</v>
      </c>
      <c r="D2960" s="190">
        <v>0.01</v>
      </c>
      <c r="E2960" s="170" t="s">
        <v>30</v>
      </c>
      <c r="F2960" s="170" t="s">
        <v>201</v>
      </c>
      <c r="G2960" s="175" t="s">
        <v>4888</v>
      </c>
      <c r="H2960" s="175"/>
    </row>
    <row r="2961" ht="14.25" spans="1:8">
      <c r="A2961" s="232">
        <v>429</v>
      </c>
      <c r="B2961" s="185" t="s">
        <v>4887</v>
      </c>
      <c r="C2961" s="175" t="s">
        <v>48</v>
      </c>
      <c r="D2961" s="190">
        <v>0.01</v>
      </c>
      <c r="E2961" s="170" t="s">
        <v>30</v>
      </c>
      <c r="F2961" s="170" t="s">
        <v>201</v>
      </c>
      <c r="G2961" s="175" t="s">
        <v>4889</v>
      </c>
      <c r="H2961" s="175"/>
    </row>
    <row r="2962" ht="14.25" spans="1:8">
      <c r="A2962" s="232">
        <v>430</v>
      </c>
      <c r="B2962" s="185" t="s">
        <v>4887</v>
      </c>
      <c r="C2962" s="175" t="s">
        <v>48</v>
      </c>
      <c r="D2962" s="190">
        <v>0.01</v>
      </c>
      <c r="E2962" s="170" t="s">
        <v>30</v>
      </c>
      <c r="F2962" s="170" t="s">
        <v>201</v>
      </c>
      <c r="G2962" s="175" t="s">
        <v>4890</v>
      </c>
      <c r="H2962" s="175"/>
    </row>
    <row r="2963" ht="14.25" spans="1:8">
      <c r="A2963" s="232">
        <v>431</v>
      </c>
      <c r="B2963" s="185" t="s">
        <v>4887</v>
      </c>
      <c r="C2963" s="175" t="s">
        <v>48</v>
      </c>
      <c r="D2963" s="190">
        <v>0.01</v>
      </c>
      <c r="E2963" s="170" t="s">
        <v>30</v>
      </c>
      <c r="F2963" s="170" t="s">
        <v>201</v>
      </c>
      <c r="G2963" s="175" t="s">
        <v>4891</v>
      </c>
      <c r="H2963" s="175"/>
    </row>
    <row r="2964" ht="14.25" spans="1:8">
      <c r="A2964" s="232">
        <v>432</v>
      </c>
      <c r="B2964" s="185" t="s">
        <v>4887</v>
      </c>
      <c r="C2964" s="175" t="s">
        <v>48</v>
      </c>
      <c r="D2964" s="190">
        <v>0.01</v>
      </c>
      <c r="E2964" s="170" t="s">
        <v>30</v>
      </c>
      <c r="F2964" s="170" t="s">
        <v>201</v>
      </c>
      <c r="G2964" s="175" t="s">
        <v>4892</v>
      </c>
      <c r="H2964" s="175"/>
    </row>
    <row r="2965" ht="14.25" spans="1:8">
      <c r="A2965" s="232">
        <v>433</v>
      </c>
      <c r="B2965" s="185" t="s">
        <v>4887</v>
      </c>
      <c r="C2965" s="175" t="s">
        <v>48</v>
      </c>
      <c r="D2965" s="190">
        <v>0.01</v>
      </c>
      <c r="E2965" s="170" t="s">
        <v>30</v>
      </c>
      <c r="F2965" s="170" t="s">
        <v>201</v>
      </c>
      <c r="G2965" s="175" t="s">
        <v>4893</v>
      </c>
      <c r="H2965" s="175"/>
    </row>
    <row r="2966" ht="14.25" spans="1:8">
      <c r="A2966" s="232">
        <v>434</v>
      </c>
      <c r="B2966" s="185" t="s">
        <v>4887</v>
      </c>
      <c r="C2966" s="175" t="s">
        <v>48</v>
      </c>
      <c r="D2966" s="190">
        <v>0.01</v>
      </c>
      <c r="E2966" s="170" t="s">
        <v>30</v>
      </c>
      <c r="F2966" s="170" t="s">
        <v>201</v>
      </c>
      <c r="G2966" s="175" t="s">
        <v>4894</v>
      </c>
      <c r="H2966" s="175"/>
    </row>
    <row r="2967" ht="14.25" spans="1:8">
      <c r="A2967" s="232">
        <v>435</v>
      </c>
      <c r="B2967" s="185" t="s">
        <v>4887</v>
      </c>
      <c r="C2967" s="175" t="s">
        <v>48</v>
      </c>
      <c r="D2967" s="190">
        <v>0.01</v>
      </c>
      <c r="E2967" s="170" t="s">
        <v>30</v>
      </c>
      <c r="F2967" s="170" t="s">
        <v>201</v>
      </c>
      <c r="G2967" s="175" t="s">
        <v>4895</v>
      </c>
      <c r="H2967" s="175"/>
    </row>
    <row r="2968" ht="14.25" spans="1:8">
      <c r="A2968" s="232">
        <v>436</v>
      </c>
      <c r="B2968" s="185" t="s">
        <v>4896</v>
      </c>
      <c r="C2968" s="175" t="s">
        <v>48</v>
      </c>
      <c r="D2968" s="190">
        <v>0.01</v>
      </c>
      <c r="E2968" s="170" t="s">
        <v>30</v>
      </c>
      <c r="F2968" s="170" t="s">
        <v>201</v>
      </c>
      <c r="G2968" s="175" t="s">
        <v>4897</v>
      </c>
      <c r="H2968" s="175"/>
    </row>
    <row r="2969" ht="14.25" spans="1:8">
      <c r="A2969" s="232">
        <v>437</v>
      </c>
      <c r="B2969" s="185" t="s">
        <v>4898</v>
      </c>
      <c r="C2969" s="175" t="s">
        <v>48</v>
      </c>
      <c r="D2969" s="190">
        <v>0.02</v>
      </c>
      <c r="E2969" s="170" t="s">
        <v>30</v>
      </c>
      <c r="F2969" s="170" t="s">
        <v>201</v>
      </c>
      <c r="G2969" s="175" t="s">
        <v>4899</v>
      </c>
      <c r="H2969" s="175"/>
    </row>
    <row r="2970" ht="14.25" spans="1:8">
      <c r="A2970" s="232">
        <v>438</v>
      </c>
      <c r="B2970" s="185" t="s">
        <v>2087</v>
      </c>
      <c r="C2970" s="175" t="s">
        <v>48</v>
      </c>
      <c r="D2970" s="190">
        <v>0.02</v>
      </c>
      <c r="E2970" s="170" t="s">
        <v>30</v>
      </c>
      <c r="F2970" s="170" t="s">
        <v>201</v>
      </c>
      <c r="G2970" s="175" t="s">
        <v>4900</v>
      </c>
      <c r="H2970" s="175"/>
    </row>
    <row r="2971" ht="14.25" spans="1:8">
      <c r="A2971" s="232">
        <v>439</v>
      </c>
      <c r="B2971" s="185" t="s">
        <v>4901</v>
      </c>
      <c r="C2971" s="175" t="s">
        <v>48</v>
      </c>
      <c r="D2971" s="190">
        <v>0.014</v>
      </c>
      <c r="E2971" s="170" t="s">
        <v>30</v>
      </c>
      <c r="F2971" s="170" t="s">
        <v>201</v>
      </c>
      <c r="G2971" s="175" t="s">
        <v>4902</v>
      </c>
      <c r="H2971" s="175"/>
    </row>
    <row r="2972" ht="14.25" spans="1:8">
      <c r="A2972" s="232">
        <v>440</v>
      </c>
      <c r="B2972" s="185" t="s">
        <v>4898</v>
      </c>
      <c r="C2972" s="175" t="s">
        <v>48</v>
      </c>
      <c r="D2972" s="190">
        <v>0.004</v>
      </c>
      <c r="E2972" s="170" t="s">
        <v>30</v>
      </c>
      <c r="F2972" s="170" t="s">
        <v>201</v>
      </c>
      <c r="G2972" s="175" t="s">
        <v>4903</v>
      </c>
      <c r="H2972" s="175"/>
    </row>
    <row r="2973" ht="14.25" spans="1:8">
      <c r="A2973" s="232">
        <v>441</v>
      </c>
      <c r="B2973" s="185" t="s">
        <v>4904</v>
      </c>
      <c r="C2973" s="175" t="s">
        <v>48</v>
      </c>
      <c r="D2973" s="190">
        <v>0.008</v>
      </c>
      <c r="E2973" s="170" t="s">
        <v>30</v>
      </c>
      <c r="F2973" s="170" t="s">
        <v>201</v>
      </c>
      <c r="G2973" s="175" t="s">
        <v>4905</v>
      </c>
      <c r="H2973" s="175"/>
    </row>
    <row r="2974" ht="14.25" spans="1:8">
      <c r="A2974" s="232">
        <v>442</v>
      </c>
      <c r="B2974" s="185" t="s">
        <v>4904</v>
      </c>
      <c r="C2974" s="175" t="s">
        <v>48</v>
      </c>
      <c r="D2974" s="190">
        <v>0.008</v>
      </c>
      <c r="E2974" s="170" t="s">
        <v>30</v>
      </c>
      <c r="F2974" s="170" t="s">
        <v>201</v>
      </c>
      <c r="G2974" s="175" t="s">
        <v>4906</v>
      </c>
      <c r="H2974" s="175"/>
    </row>
    <row r="2975" ht="14.25" spans="1:8">
      <c r="A2975" s="232">
        <v>443</v>
      </c>
      <c r="B2975" s="185" t="s">
        <v>4898</v>
      </c>
      <c r="C2975" s="175" t="s">
        <v>48</v>
      </c>
      <c r="D2975" s="190">
        <v>0.03</v>
      </c>
      <c r="E2975" s="170" t="s">
        <v>30</v>
      </c>
      <c r="F2975" s="170" t="s">
        <v>201</v>
      </c>
      <c r="G2975" s="175" t="s">
        <v>4907</v>
      </c>
      <c r="H2975" s="175"/>
    </row>
    <row r="2976" ht="14.25" spans="1:8">
      <c r="A2976" s="232">
        <v>444</v>
      </c>
      <c r="B2976" s="185" t="s">
        <v>4908</v>
      </c>
      <c r="C2976" s="175" t="s">
        <v>48</v>
      </c>
      <c r="D2976" s="190">
        <v>0.02</v>
      </c>
      <c r="E2976" s="170" t="s">
        <v>30</v>
      </c>
      <c r="F2976" s="170" t="s">
        <v>201</v>
      </c>
      <c r="G2976" s="175" t="s">
        <v>4909</v>
      </c>
      <c r="H2976" s="175"/>
    </row>
    <row r="2977" ht="14.25" spans="1:8">
      <c r="A2977" s="232">
        <v>445</v>
      </c>
      <c r="B2977" s="185" t="s">
        <v>4910</v>
      </c>
      <c r="C2977" s="175" t="s">
        <v>48</v>
      </c>
      <c r="D2977" s="190">
        <v>0.02</v>
      </c>
      <c r="E2977" s="170" t="s">
        <v>30</v>
      </c>
      <c r="F2977" s="170" t="s">
        <v>201</v>
      </c>
      <c r="G2977" s="175" t="s">
        <v>4911</v>
      </c>
      <c r="H2977" s="175"/>
    </row>
    <row r="2978" ht="14.25" spans="1:8">
      <c r="A2978" s="232">
        <v>446</v>
      </c>
      <c r="B2978" s="185" t="s">
        <v>4912</v>
      </c>
      <c r="C2978" s="175" t="s">
        <v>48</v>
      </c>
      <c r="D2978" s="190">
        <v>0.08</v>
      </c>
      <c r="E2978" s="170" t="s">
        <v>30</v>
      </c>
      <c r="F2978" s="170" t="s">
        <v>201</v>
      </c>
      <c r="G2978" s="175" t="s">
        <v>4913</v>
      </c>
      <c r="H2978" s="175"/>
    </row>
    <row r="2979" ht="14.25" spans="1:8">
      <c r="A2979" s="232">
        <v>447</v>
      </c>
      <c r="B2979" s="185" t="s">
        <v>4914</v>
      </c>
      <c r="C2979" s="175" t="s">
        <v>48</v>
      </c>
      <c r="D2979" s="190">
        <v>0.38</v>
      </c>
      <c r="E2979" s="170" t="s">
        <v>30</v>
      </c>
      <c r="F2979" s="170" t="s">
        <v>201</v>
      </c>
      <c r="G2979" s="175" t="s">
        <v>4915</v>
      </c>
      <c r="H2979" s="175"/>
    </row>
    <row r="2980" ht="14.25" spans="1:8">
      <c r="A2980" s="232">
        <v>448</v>
      </c>
      <c r="B2980" s="185" t="s">
        <v>4916</v>
      </c>
      <c r="C2980" s="175" t="s">
        <v>48</v>
      </c>
      <c r="D2980" s="190">
        <v>0.04</v>
      </c>
      <c r="E2980" s="170" t="s">
        <v>30</v>
      </c>
      <c r="F2980" s="170" t="s">
        <v>201</v>
      </c>
      <c r="G2980" s="175" t="s">
        <v>4917</v>
      </c>
      <c r="H2980" s="175"/>
    </row>
    <row r="2981" ht="14.25" spans="1:8">
      <c r="A2981" s="232">
        <v>449</v>
      </c>
      <c r="B2981" s="185" t="s">
        <v>4918</v>
      </c>
      <c r="C2981" s="175" t="s">
        <v>48</v>
      </c>
      <c r="D2981" s="190">
        <v>0.015</v>
      </c>
      <c r="E2981" s="170" t="s">
        <v>30</v>
      </c>
      <c r="F2981" s="170" t="s">
        <v>201</v>
      </c>
      <c r="G2981" s="175" t="s">
        <v>4919</v>
      </c>
      <c r="H2981" s="175"/>
    </row>
    <row r="2982" ht="14.25" spans="1:8">
      <c r="A2982" s="232">
        <v>450</v>
      </c>
      <c r="B2982" s="185" t="s">
        <v>4608</v>
      </c>
      <c r="C2982" s="175" t="s">
        <v>48</v>
      </c>
      <c r="D2982" s="190">
        <v>0.03</v>
      </c>
      <c r="E2982" s="170" t="s">
        <v>30</v>
      </c>
      <c r="F2982" s="170" t="s">
        <v>201</v>
      </c>
      <c r="G2982" s="175" t="s">
        <v>4163</v>
      </c>
      <c r="H2982" s="175"/>
    </row>
    <row r="2983" ht="25.5" spans="1:8">
      <c r="A2983" s="232">
        <v>451</v>
      </c>
      <c r="B2983" s="185" t="s">
        <v>4920</v>
      </c>
      <c r="C2983" s="175" t="s">
        <v>48</v>
      </c>
      <c r="D2983" s="190">
        <v>0.01</v>
      </c>
      <c r="E2983" s="170" t="s">
        <v>30</v>
      </c>
      <c r="F2983" s="170" t="s">
        <v>201</v>
      </c>
      <c r="G2983" s="175" t="s">
        <v>4921</v>
      </c>
      <c r="H2983" s="175"/>
    </row>
    <row r="2984" ht="14.25" spans="1:8">
      <c r="A2984" s="232">
        <v>452</v>
      </c>
      <c r="B2984" s="185" t="s">
        <v>4922</v>
      </c>
      <c r="C2984" s="175" t="s">
        <v>48</v>
      </c>
      <c r="D2984" s="190">
        <v>0.04</v>
      </c>
      <c r="E2984" s="170" t="s">
        <v>30</v>
      </c>
      <c r="F2984" s="170" t="s">
        <v>201</v>
      </c>
      <c r="G2984" s="175" t="s">
        <v>4923</v>
      </c>
      <c r="H2984" s="175"/>
    </row>
    <row r="2985" ht="14.25" spans="1:8">
      <c r="A2985" s="232">
        <v>453</v>
      </c>
      <c r="B2985" s="185" t="s">
        <v>4924</v>
      </c>
      <c r="C2985" s="175" t="s">
        <v>48</v>
      </c>
      <c r="D2985" s="190">
        <v>0.02</v>
      </c>
      <c r="E2985" s="170" t="s">
        <v>30</v>
      </c>
      <c r="F2985" s="170" t="s">
        <v>201</v>
      </c>
      <c r="G2985" s="175" t="s">
        <v>4925</v>
      </c>
      <c r="H2985" s="175"/>
    </row>
    <row r="2986" ht="14.25" spans="1:8">
      <c r="A2986" s="232">
        <v>454</v>
      </c>
      <c r="B2986" s="185" t="s">
        <v>4926</v>
      </c>
      <c r="C2986" s="175" t="s">
        <v>48</v>
      </c>
      <c r="D2986" s="190">
        <v>0.02</v>
      </c>
      <c r="E2986" s="170" t="s">
        <v>30</v>
      </c>
      <c r="F2986" s="170" t="s">
        <v>201</v>
      </c>
      <c r="G2986" s="175" t="s">
        <v>4927</v>
      </c>
      <c r="H2986" s="175"/>
    </row>
    <row r="2987" ht="14.25" spans="1:8">
      <c r="A2987" s="232">
        <v>455</v>
      </c>
      <c r="B2987" s="185" t="s">
        <v>4928</v>
      </c>
      <c r="C2987" s="175" t="s">
        <v>48</v>
      </c>
      <c r="D2987" s="190">
        <v>0.01</v>
      </c>
      <c r="E2987" s="170" t="s">
        <v>30</v>
      </c>
      <c r="F2987" s="170" t="s">
        <v>201</v>
      </c>
      <c r="G2987" s="175" t="s">
        <v>4929</v>
      </c>
      <c r="H2987" s="175"/>
    </row>
    <row r="2988" ht="14.25" spans="1:8">
      <c r="A2988" s="232">
        <v>456</v>
      </c>
      <c r="B2988" s="185" t="s">
        <v>4930</v>
      </c>
      <c r="C2988" s="175" t="s">
        <v>48</v>
      </c>
      <c r="D2988" s="190">
        <v>0.3</v>
      </c>
      <c r="E2988" s="170" t="s">
        <v>30</v>
      </c>
      <c r="F2988" s="170" t="s">
        <v>59</v>
      </c>
      <c r="G2988" s="175" t="s">
        <v>4931</v>
      </c>
      <c r="H2988" s="175"/>
    </row>
    <row r="2989" ht="14.25" spans="1:8">
      <c r="A2989" s="232">
        <v>457</v>
      </c>
      <c r="B2989" s="185" t="s">
        <v>4932</v>
      </c>
      <c r="C2989" s="175" t="s">
        <v>48</v>
      </c>
      <c r="D2989" s="190">
        <v>0.04</v>
      </c>
      <c r="E2989" s="170" t="s">
        <v>30</v>
      </c>
      <c r="F2989" s="170" t="s">
        <v>201</v>
      </c>
      <c r="G2989" s="175" t="s">
        <v>4933</v>
      </c>
      <c r="H2989" s="175"/>
    </row>
    <row r="2990" ht="14.25" spans="1:8">
      <c r="A2990" s="232">
        <v>458</v>
      </c>
      <c r="B2990" s="185" t="s">
        <v>4932</v>
      </c>
      <c r="C2990" s="175" t="s">
        <v>48</v>
      </c>
      <c r="D2990" s="190">
        <v>0.08</v>
      </c>
      <c r="E2990" s="170" t="s">
        <v>30</v>
      </c>
      <c r="F2990" s="170" t="s">
        <v>201</v>
      </c>
      <c r="G2990" s="175" t="s">
        <v>4934</v>
      </c>
      <c r="H2990" s="175"/>
    </row>
    <row r="2991" ht="14.25" spans="1:8">
      <c r="A2991" s="232">
        <v>459</v>
      </c>
      <c r="B2991" s="183" t="s">
        <v>4935</v>
      </c>
      <c r="C2991" s="175" t="s">
        <v>48</v>
      </c>
      <c r="D2991" s="190">
        <v>0.03</v>
      </c>
      <c r="E2991" s="204" t="s">
        <v>30</v>
      </c>
      <c r="F2991" s="204" t="s">
        <v>201</v>
      </c>
      <c r="G2991" s="175" t="s">
        <v>4936</v>
      </c>
      <c r="H2991" s="175"/>
    </row>
    <row r="2992" ht="14.25" spans="1:8">
      <c r="A2992" s="232">
        <v>460</v>
      </c>
      <c r="B2992" s="183" t="s">
        <v>779</v>
      </c>
      <c r="C2992" s="175" t="s">
        <v>48</v>
      </c>
      <c r="D2992" s="190">
        <v>0.03</v>
      </c>
      <c r="E2992" s="204" t="s">
        <v>30</v>
      </c>
      <c r="F2992" s="204" t="s">
        <v>201</v>
      </c>
      <c r="G2992" s="175" t="s">
        <v>3908</v>
      </c>
      <c r="H2992" s="175"/>
    </row>
    <row r="2993" ht="14.25" spans="1:8">
      <c r="A2993" s="232">
        <v>461</v>
      </c>
      <c r="B2993" s="183" t="s">
        <v>779</v>
      </c>
      <c r="C2993" s="175" t="s">
        <v>48</v>
      </c>
      <c r="D2993" s="190">
        <v>0.03</v>
      </c>
      <c r="E2993" s="204" t="s">
        <v>30</v>
      </c>
      <c r="F2993" s="204" t="s">
        <v>201</v>
      </c>
      <c r="G2993" s="175" t="s">
        <v>4937</v>
      </c>
      <c r="H2993" s="175"/>
    </row>
    <row r="2994" ht="14.25" spans="1:8">
      <c r="A2994" s="232">
        <v>462</v>
      </c>
      <c r="B2994" s="184" t="s">
        <v>4259</v>
      </c>
      <c r="C2994" s="175" t="s">
        <v>48</v>
      </c>
      <c r="D2994" s="190">
        <v>0.03</v>
      </c>
      <c r="E2994" s="257" t="s">
        <v>30</v>
      </c>
      <c r="F2994" s="257" t="s">
        <v>201</v>
      </c>
      <c r="G2994" s="175" t="s">
        <v>4260</v>
      </c>
      <c r="H2994" s="175"/>
    </row>
    <row r="2995" ht="14.25" spans="1:8">
      <c r="A2995" s="232">
        <v>463</v>
      </c>
      <c r="B2995" s="183" t="s">
        <v>4938</v>
      </c>
      <c r="C2995" s="175" t="s">
        <v>48</v>
      </c>
      <c r="D2995" s="190">
        <v>0.03</v>
      </c>
      <c r="E2995" s="204" t="s">
        <v>30</v>
      </c>
      <c r="F2995" s="204" t="s">
        <v>201</v>
      </c>
      <c r="G2995" s="175" t="s">
        <v>4939</v>
      </c>
      <c r="H2995" s="175"/>
    </row>
    <row r="2996" ht="14.25" spans="1:8">
      <c r="A2996" s="232">
        <v>464</v>
      </c>
      <c r="B2996" s="183" t="s">
        <v>4940</v>
      </c>
      <c r="C2996" s="175" t="s">
        <v>48</v>
      </c>
      <c r="D2996" s="190">
        <v>0.03</v>
      </c>
      <c r="E2996" s="204" t="s">
        <v>30</v>
      </c>
      <c r="F2996" s="204" t="s">
        <v>201</v>
      </c>
      <c r="G2996" s="175" t="s">
        <v>4941</v>
      </c>
      <c r="H2996" s="175"/>
    </row>
    <row r="2997" ht="14.25" spans="1:8">
      <c r="A2997" s="232">
        <v>465</v>
      </c>
      <c r="B2997" s="183" t="s">
        <v>2683</v>
      </c>
      <c r="C2997" s="175" t="s">
        <v>48</v>
      </c>
      <c r="D2997" s="190">
        <v>0.03</v>
      </c>
      <c r="E2997" s="204" t="s">
        <v>30</v>
      </c>
      <c r="F2997" s="204" t="s">
        <v>201</v>
      </c>
      <c r="G2997" s="175" t="s">
        <v>4942</v>
      </c>
      <c r="H2997" s="175"/>
    </row>
    <row r="2998" ht="14.25" spans="1:8">
      <c r="A2998" s="232">
        <v>466</v>
      </c>
      <c r="B2998" s="183" t="s">
        <v>4943</v>
      </c>
      <c r="C2998" s="175" t="s">
        <v>48</v>
      </c>
      <c r="D2998" s="190">
        <v>0.03</v>
      </c>
      <c r="E2998" s="204" t="s">
        <v>30</v>
      </c>
      <c r="F2998" s="204" t="s">
        <v>201</v>
      </c>
      <c r="G2998" s="175" t="s">
        <v>4944</v>
      </c>
      <c r="H2998" s="175"/>
    </row>
    <row r="2999" ht="14.25" spans="1:8">
      <c r="A2999" s="232">
        <v>467</v>
      </c>
      <c r="B2999" s="183" t="s">
        <v>4945</v>
      </c>
      <c r="C2999" s="175" t="s">
        <v>48</v>
      </c>
      <c r="D2999" s="190">
        <v>0.03</v>
      </c>
      <c r="E2999" s="204" t="s">
        <v>30</v>
      </c>
      <c r="F2999" s="204" t="s">
        <v>201</v>
      </c>
      <c r="G2999" s="175" t="s">
        <v>4946</v>
      </c>
      <c r="H2999" s="175"/>
    </row>
    <row r="3000" ht="14.25" spans="1:8">
      <c r="A3000" s="232">
        <v>468</v>
      </c>
      <c r="B3000" s="183" t="s">
        <v>4947</v>
      </c>
      <c r="C3000" s="175" t="s">
        <v>48</v>
      </c>
      <c r="D3000" s="190">
        <v>0.03</v>
      </c>
      <c r="E3000" s="204" t="s">
        <v>30</v>
      </c>
      <c r="F3000" s="204" t="s">
        <v>201</v>
      </c>
      <c r="G3000" s="175" t="s">
        <v>4948</v>
      </c>
      <c r="H3000" s="175"/>
    </row>
    <row r="3001" ht="14.25" spans="1:8">
      <c r="A3001" s="232">
        <v>469</v>
      </c>
      <c r="B3001" s="183" t="s">
        <v>4949</v>
      </c>
      <c r="C3001" s="175" t="s">
        <v>48</v>
      </c>
      <c r="D3001" s="190">
        <v>0.03</v>
      </c>
      <c r="E3001" s="204" t="s">
        <v>30</v>
      </c>
      <c r="F3001" s="204" t="s">
        <v>201</v>
      </c>
      <c r="G3001" s="175" t="s">
        <v>4950</v>
      </c>
      <c r="H3001" s="175"/>
    </row>
    <row r="3002" ht="14.25" spans="1:8">
      <c r="A3002" s="232">
        <v>470</v>
      </c>
      <c r="B3002" s="183" t="s">
        <v>2251</v>
      </c>
      <c r="C3002" s="175" t="s">
        <v>48</v>
      </c>
      <c r="D3002" s="190">
        <v>0.01</v>
      </c>
      <c r="E3002" s="204" t="s">
        <v>30</v>
      </c>
      <c r="F3002" s="204" t="s">
        <v>201</v>
      </c>
      <c r="G3002" s="175" t="s">
        <v>4951</v>
      </c>
      <c r="H3002" s="175"/>
    </row>
    <row r="3003" ht="14.25" spans="1:8">
      <c r="A3003" s="232">
        <v>471</v>
      </c>
      <c r="B3003" s="183" t="s">
        <v>4949</v>
      </c>
      <c r="C3003" s="175" t="s">
        <v>48</v>
      </c>
      <c r="D3003" s="190">
        <v>0.03</v>
      </c>
      <c r="E3003" s="204" t="s">
        <v>30</v>
      </c>
      <c r="F3003" s="204" t="s">
        <v>201</v>
      </c>
      <c r="G3003" s="175" t="s">
        <v>4952</v>
      </c>
      <c r="H3003" s="175"/>
    </row>
    <row r="3004" ht="14.25" spans="1:8">
      <c r="A3004" s="232">
        <v>472</v>
      </c>
      <c r="B3004" s="183" t="s">
        <v>4953</v>
      </c>
      <c r="C3004" s="175" t="s">
        <v>48</v>
      </c>
      <c r="D3004" s="190">
        <v>0.03</v>
      </c>
      <c r="E3004" s="204" t="s">
        <v>30</v>
      </c>
      <c r="F3004" s="204" t="s">
        <v>201</v>
      </c>
      <c r="G3004" s="175" t="s">
        <v>4954</v>
      </c>
      <c r="H3004" s="175"/>
    </row>
    <row r="3005" ht="14.25" spans="1:8">
      <c r="A3005" s="232">
        <v>473</v>
      </c>
      <c r="B3005" s="183" t="s">
        <v>4955</v>
      </c>
      <c r="C3005" s="175" t="s">
        <v>48</v>
      </c>
      <c r="D3005" s="190">
        <v>0.02</v>
      </c>
      <c r="E3005" s="204" t="s">
        <v>30</v>
      </c>
      <c r="F3005" s="204" t="s">
        <v>201</v>
      </c>
      <c r="G3005" s="175" t="s">
        <v>4956</v>
      </c>
      <c r="H3005" s="175"/>
    </row>
    <row r="3006" ht="14.25" spans="1:8">
      <c r="A3006" s="232">
        <v>474</v>
      </c>
      <c r="B3006" s="183" t="s">
        <v>4955</v>
      </c>
      <c r="C3006" s="175" t="s">
        <v>48</v>
      </c>
      <c r="D3006" s="190">
        <v>0.02</v>
      </c>
      <c r="E3006" s="204" t="s">
        <v>30</v>
      </c>
      <c r="F3006" s="204" t="s">
        <v>201</v>
      </c>
      <c r="G3006" s="175" t="s">
        <v>4957</v>
      </c>
      <c r="H3006" s="175"/>
    </row>
    <row r="3007" ht="14.25" spans="1:8">
      <c r="A3007" s="232">
        <v>475</v>
      </c>
      <c r="B3007" s="183" t="s">
        <v>4955</v>
      </c>
      <c r="C3007" s="175" t="s">
        <v>48</v>
      </c>
      <c r="D3007" s="190">
        <v>0.02</v>
      </c>
      <c r="E3007" s="204" t="s">
        <v>30</v>
      </c>
      <c r="F3007" s="204" t="s">
        <v>201</v>
      </c>
      <c r="G3007" s="175" t="s">
        <v>4958</v>
      </c>
      <c r="H3007" s="175"/>
    </row>
    <row r="3008" ht="14.25" spans="1:8">
      <c r="A3008" s="232">
        <v>476</v>
      </c>
      <c r="B3008" s="183" t="s">
        <v>4955</v>
      </c>
      <c r="C3008" s="175" t="s">
        <v>48</v>
      </c>
      <c r="D3008" s="190">
        <v>0.02</v>
      </c>
      <c r="E3008" s="204" t="s">
        <v>30</v>
      </c>
      <c r="F3008" s="204" t="s">
        <v>201</v>
      </c>
      <c r="G3008" s="175" t="s">
        <v>4959</v>
      </c>
      <c r="H3008" s="175"/>
    </row>
    <row r="3009" ht="14.25" spans="1:8">
      <c r="A3009" s="232">
        <v>477</v>
      </c>
      <c r="B3009" s="183" t="s">
        <v>4955</v>
      </c>
      <c r="C3009" s="175" t="s">
        <v>48</v>
      </c>
      <c r="D3009" s="190">
        <v>0.02</v>
      </c>
      <c r="E3009" s="204" t="s">
        <v>30</v>
      </c>
      <c r="F3009" s="204" t="s">
        <v>201</v>
      </c>
      <c r="G3009" s="175" t="s">
        <v>4960</v>
      </c>
      <c r="H3009" s="175"/>
    </row>
    <row r="3010" ht="14.25" spans="1:8">
      <c r="A3010" s="232">
        <v>478</v>
      </c>
      <c r="B3010" s="183" t="s">
        <v>4955</v>
      </c>
      <c r="C3010" s="175" t="s">
        <v>48</v>
      </c>
      <c r="D3010" s="190">
        <v>0.02</v>
      </c>
      <c r="E3010" s="204" t="s">
        <v>30</v>
      </c>
      <c r="F3010" s="204" t="s">
        <v>201</v>
      </c>
      <c r="G3010" s="175" t="s">
        <v>4961</v>
      </c>
      <c r="H3010" s="175"/>
    </row>
    <row r="3011" ht="14.25" spans="1:8">
      <c r="A3011" s="232">
        <v>479</v>
      </c>
      <c r="B3011" s="183" t="s">
        <v>4955</v>
      </c>
      <c r="C3011" s="175" t="s">
        <v>48</v>
      </c>
      <c r="D3011" s="190">
        <v>0.02</v>
      </c>
      <c r="E3011" s="204" t="s">
        <v>30</v>
      </c>
      <c r="F3011" s="204" t="s">
        <v>201</v>
      </c>
      <c r="G3011" s="175" t="s">
        <v>4962</v>
      </c>
      <c r="H3011" s="175"/>
    </row>
    <row r="3012" ht="14.25" spans="1:8">
      <c r="A3012" s="232">
        <v>480</v>
      </c>
      <c r="B3012" s="183" t="s">
        <v>4955</v>
      </c>
      <c r="C3012" s="175" t="s">
        <v>48</v>
      </c>
      <c r="D3012" s="190">
        <v>0.03</v>
      </c>
      <c r="E3012" s="204" t="s">
        <v>30</v>
      </c>
      <c r="F3012" s="204" t="s">
        <v>201</v>
      </c>
      <c r="G3012" s="175" t="s">
        <v>4963</v>
      </c>
      <c r="H3012" s="175"/>
    </row>
    <row r="3013" ht="14.25" spans="1:8">
      <c r="A3013" s="232">
        <v>481</v>
      </c>
      <c r="B3013" s="183" t="s">
        <v>4955</v>
      </c>
      <c r="C3013" s="175" t="s">
        <v>48</v>
      </c>
      <c r="D3013" s="190">
        <v>0.03</v>
      </c>
      <c r="E3013" s="204" t="s">
        <v>30</v>
      </c>
      <c r="F3013" s="204" t="s">
        <v>201</v>
      </c>
      <c r="G3013" s="175" t="s">
        <v>4964</v>
      </c>
      <c r="H3013" s="175"/>
    </row>
    <row r="3014" ht="14.25" spans="1:8">
      <c r="A3014" s="232">
        <v>482</v>
      </c>
      <c r="B3014" s="183" t="s">
        <v>4965</v>
      </c>
      <c r="C3014" s="175" t="s">
        <v>48</v>
      </c>
      <c r="D3014" s="190">
        <v>0.01</v>
      </c>
      <c r="E3014" s="204" t="s">
        <v>30</v>
      </c>
      <c r="F3014" s="204" t="s">
        <v>201</v>
      </c>
      <c r="G3014" s="175" t="s">
        <v>4966</v>
      </c>
      <c r="H3014" s="175"/>
    </row>
    <row r="3015" ht="14.25" spans="1:8">
      <c r="A3015" s="232">
        <v>483</v>
      </c>
      <c r="B3015" s="183" t="s">
        <v>4967</v>
      </c>
      <c r="C3015" s="175" t="s">
        <v>48</v>
      </c>
      <c r="D3015" s="190">
        <v>0.02</v>
      </c>
      <c r="E3015" s="204" t="s">
        <v>30</v>
      </c>
      <c r="F3015" s="204" t="s">
        <v>201</v>
      </c>
      <c r="G3015" s="175" t="s">
        <v>4968</v>
      </c>
      <c r="H3015" s="175"/>
    </row>
    <row r="3016" ht="14.25" spans="1:8">
      <c r="A3016" s="232">
        <v>484</v>
      </c>
      <c r="B3016" s="184" t="s">
        <v>4419</v>
      </c>
      <c r="C3016" s="175" t="s">
        <v>48</v>
      </c>
      <c r="D3016" s="190">
        <v>0.03</v>
      </c>
      <c r="E3016" s="257" t="s">
        <v>30</v>
      </c>
      <c r="F3016" s="257" t="s">
        <v>201</v>
      </c>
      <c r="G3016" s="175" t="s">
        <v>4969</v>
      </c>
      <c r="H3016" s="175"/>
    </row>
    <row r="3017" ht="14.25" spans="1:8">
      <c r="A3017" s="232">
        <v>485</v>
      </c>
      <c r="B3017" s="184" t="s">
        <v>4419</v>
      </c>
      <c r="C3017" s="175" t="s">
        <v>48</v>
      </c>
      <c r="D3017" s="190">
        <v>0.03</v>
      </c>
      <c r="E3017" s="257" t="s">
        <v>30</v>
      </c>
      <c r="F3017" s="257" t="s">
        <v>201</v>
      </c>
      <c r="G3017" s="175" t="s">
        <v>1939</v>
      </c>
      <c r="H3017" s="175"/>
    </row>
    <row r="3018" ht="14.25" spans="1:8">
      <c r="A3018" s="232">
        <v>486</v>
      </c>
      <c r="B3018" s="184" t="s">
        <v>4419</v>
      </c>
      <c r="C3018" s="175" t="s">
        <v>48</v>
      </c>
      <c r="D3018" s="190">
        <v>0.03</v>
      </c>
      <c r="E3018" s="257" t="s">
        <v>30</v>
      </c>
      <c r="F3018" s="257" t="s">
        <v>201</v>
      </c>
      <c r="G3018" s="175" t="s">
        <v>4970</v>
      </c>
      <c r="H3018" s="175"/>
    </row>
    <row r="3019" ht="14.25" spans="1:8">
      <c r="A3019" s="232">
        <v>487</v>
      </c>
      <c r="B3019" s="184" t="s">
        <v>4419</v>
      </c>
      <c r="C3019" s="175" t="s">
        <v>48</v>
      </c>
      <c r="D3019" s="190">
        <v>0.03</v>
      </c>
      <c r="E3019" s="257" t="s">
        <v>30</v>
      </c>
      <c r="F3019" s="257" t="s">
        <v>201</v>
      </c>
      <c r="G3019" s="175" t="s">
        <v>4971</v>
      </c>
      <c r="H3019" s="175"/>
    </row>
    <row r="3020" ht="14.25" spans="1:8">
      <c r="A3020" s="232">
        <v>488</v>
      </c>
      <c r="B3020" s="184" t="s">
        <v>4419</v>
      </c>
      <c r="C3020" s="175" t="s">
        <v>48</v>
      </c>
      <c r="D3020" s="190">
        <v>0.03</v>
      </c>
      <c r="E3020" s="257" t="s">
        <v>2492</v>
      </c>
      <c r="F3020" s="257" t="s">
        <v>201</v>
      </c>
      <c r="G3020" s="175" t="s">
        <v>4972</v>
      </c>
      <c r="H3020" s="175"/>
    </row>
    <row r="3021" ht="14.25" spans="1:8">
      <c r="A3021" s="232">
        <v>489</v>
      </c>
      <c r="B3021" s="183" t="s">
        <v>4973</v>
      </c>
      <c r="C3021" s="175" t="s">
        <v>48</v>
      </c>
      <c r="D3021" s="190">
        <v>0.03</v>
      </c>
      <c r="E3021" s="204" t="s">
        <v>30</v>
      </c>
      <c r="F3021" s="204" t="s">
        <v>201</v>
      </c>
      <c r="G3021" s="175" t="s">
        <v>4974</v>
      </c>
      <c r="H3021" s="175"/>
    </row>
    <row r="3022" ht="14.25" spans="1:8">
      <c r="A3022" s="232">
        <v>490</v>
      </c>
      <c r="B3022" s="183" t="s">
        <v>4400</v>
      </c>
      <c r="C3022" s="175" t="s">
        <v>48</v>
      </c>
      <c r="D3022" s="190">
        <v>0.03</v>
      </c>
      <c r="E3022" s="204" t="s">
        <v>30</v>
      </c>
      <c r="F3022" s="204" t="s">
        <v>201</v>
      </c>
      <c r="G3022" s="175" t="s">
        <v>4975</v>
      </c>
      <c r="H3022" s="175"/>
    </row>
    <row r="3023" ht="14.25" spans="1:8">
      <c r="A3023" s="232">
        <v>491</v>
      </c>
      <c r="B3023" s="183" t="s">
        <v>4976</v>
      </c>
      <c r="C3023" s="175" t="s">
        <v>48</v>
      </c>
      <c r="D3023" s="190">
        <v>0.03</v>
      </c>
      <c r="E3023" s="204" t="s">
        <v>30</v>
      </c>
      <c r="F3023" s="204" t="s">
        <v>201</v>
      </c>
      <c r="G3023" s="175" t="s">
        <v>4977</v>
      </c>
      <c r="H3023" s="175"/>
    </row>
    <row r="3024" ht="14.25" spans="1:8">
      <c r="A3024" s="232">
        <v>492</v>
      </c>
      <c r="B3024" s="183" t="s">
        <v>4382</v>
      </c>
      <c r="C3024" s="175" t="s">
        <v>48</v>
      </c>
      <c r="D3024" s="190">
        <v>0.03</v>
      </c>
      <c r="E3024" s="204" t="s">
        <v>30</v>
      </c>
      <c r="F3024" s="204" t="s">
        <v>201</v>
      </c>
      <c r="G3024" s="175" t="s">
        <v>4978</v>
      </c>
      <c r="H3024" s="175"/>
    </row>
    <row r="3025" ht="14.25" spans="1:8">
      <c r="A3025" s="232">
        <v>493</v>
      </c>
      <c r="B3025" s="183" t="s">
        <v>4979</v>
      </c>
      <c r="C3025" s="175" t="s">
        <v>48</v>
      </c>
      <c r="D3025" s="190">
        <v>0.03</v>
      </c>
      <c r="E3025" s="257" t="s">
        <v>30</v>
      </c>
      <c r="F3025" s="257" t="s">
        <v>201</v>
      </c>
      <c r="G3025" s="175" t="s">
        <v>4980</v>
      </c>
      <c r="H3025" s="175"/>
    </row>
    <row r="3026" ht="14.25" spans="1:8">
      <c r="A3026" s="232">
        <v>494</v>
      </c>
      <c r="B3026" s="183" t="s">
        <v>4981</v>
      </c>
      <c r="C3026" s="175" t="s">
        <v>48</v>
      </c>
      <c r="D3026" s="190">
        <v>0.03</v>
      </c>
      <c r="E3026" s="204" t="s">
        <v>30</v>
      </c>
      <c r="F3026" s="204" t="s">
        <v>201</v>
      </c>
      <c r="G3026" s="175" t="s">
        <v>4982</v>
      </c>
      <c r="H3026" s="175"/>
    </row>
    <row r="3027" ht="14.25" spans="1:8">
      <c r="A3027" s="232">
        <v>495</v>
      </c>
      <c r="B3027" s="183" t="s">
        <v>4983</v>
      </c>
      <c r="C3027" s="175" t="s">
        <v>48</v>
      </c>
      <c r="D3027" s="190">
        <v>0.01</v>
      </c>
      <c r="E3027" s="204" t="s">
        <v>30</v>
      </c>
      <c r="F3027" s="204" t="s">
        <v>201</v>
      </c>
      <c r="G3027" s="175" t="s">
        <v>4161</v>
      </c>
      <c r="H3027" s="175"/>
    </row>
    <row r="3028" ht="14.25" spans="1:8">
      <c r="A3028" s="232">
        <v>496</v>
      </c>
      <c r="B3028" s="183" t="s">
        <v>4984</v>
      </c>
      <c r="C3028" s="175" t="s">
        <v>48</v>
      </c>
      <c r="D3028" s="190">
        <v>0.01</v>
      </c>
      <c r="E3028" s="204" t="s">
        <v>30</v>
      </c>
      <c r="F3028" s="204" t="s">
        <v>201</v>
      </c>
      <c r="G3028" s="175" t="s">
        <v>4985</v>
      </c>
      <c r="H3028" s="175"/>
    </row>
    <row r="3029" ht="14.25" spans="1:8">
      <c r="A3029" s="232">
        <v>497</v>
      </c>
      <c r="B3029" s="183" t="s">
        <v>4986</v>
      </c>
      <c r="C3029" s="175" t="s">
        <v>48</v>
      </c>
      <c r="D3029" s="190">
        <v>0.01</v>
      </c>
      <c r="E3029" s="204" t="s">
        <v>30</v>
      </c>
      <c r="F3029" s="204" t="s">
        <v>201</v>
      </c>
      <c r="G3029" s="175" t="s">
        <v>4987</v>
      </c>
      <c r="H3029" s="175"/>
    </row>
    <row r="3030" ht="14.25" spans="1:8">
      <c r="A3030" s="232">
        <v>498</v>
      </c>
      <c r="B3030" s="183" t="s">
        <v>637</v>
      </c>
      <c r="C3030" s="175" t="s">
        <v>48</v>
      </c>
      <c r="D3030" s="190">
        <v>0.03</v>
      </c>
      <c r="E3030" s="204" t="s">
        <v>30</v>
      </c>
      <c r="F3030" s="204" t="s">
        <v>201</v>
      </c>
      <c r="G3030" s="175" t="s">
        <v>4988</v>
      </c>
      <c r="H3030" s="175"/>
    </row>
    <row r="3031" ht="14.25" spans="1:8">
      <c r="A3031" s="232">
        <v>499</v>
      </c>
      <c r="B3031" s="183" t="s">
        <v>1066</v>
      </c>
      <c r="C3031" s="175" t="s">
        <v>48</v>
      </c>
      <c r="D3031" s="190">
        <v>0.03</v>
      </c>
      <c r="E3031" s="204" t="s">
        <v>30</v>
      </c>
      <c r="F3031" s="204" t="s">
        <v>201</v>
      </c>
      <c r="G3031" s="175" t="s">
        <v>4989</v>
      </c>
      <c r="H3031" s="175"/>
    </row>
    <row r="3032" ht="14.25" spans="1:8">
      <c r="A3032" s="232">
        <v>500</v>
      </c>
      <c r="B3032" s="183" t="s">
        <v>4908</v>
      </c>
      <c r="C3032" s="175" t="s">
        <v>48</v>
      </c>
      <c r="D3032" s="190">
        <v>0.025</v>
      </c>
      <c r="E3032" s="204" t="s">
        <v>30</v>
      </c>
      <c r="F3032" s="204" t="s">
        <v>201</v>
      </c>
      <c r="G3032" s="175" t="s">
        <v>4909</v>
      </c>
      <c r="H3032" s="175"/>
    </row>
    <row r="3033" ht="14.25" spans="1:8">
      <c r="A3033" s="232">
        <v>501</v>
      </c>
      <c r="B3033" s="184" t="s">
        <v>4990</v>
      </c>
      <c r="C3033" s="175" t="s">
        <v>48</v>
      </c>
      <c r="D3033" s="190">
        <v>0.03</v>
      </c>
      <c r="E3033" s="204" t="s">
        <v>30</v>
      </c>
      <c r="F3033" s="204" t="s">
        <v>201</v>
      </c>
      <c r="G3033" s="175" t="s">
        <v>4991</v>
      </c>
      <c r="H3033" s="175"/>
    </row>
    <row r="3034" ht="14.25" spans="1:8">
      <c r="A3034" s="232">
        <v>502</v>
      </c>
      <c r="B3034" s="183" t="s">
        <v>4760</v>
      </c>
      <c r="C3034" s="175" t="s">
        <v>48</v>
      </c>
      <c r="D3034" s="190">
        <v>0.03</v>
      </c>
      <c r="E3034" s="204" t="s">
        <v>30</v>
      </c>
      <c r="F3034" s="204" t="s">
        <v>201</v>
      </c>
      <c r="G3034" s="175" t="s">
        <v>4992</v>
      </c>
      <c r="H3034" s="175"/>
    </row>
    <row r="3035" ht="14.25" spans="1:8">
      <c r="A3035" s="232">
        <v>503</v>
      </c>
      <c r="B3035" s="183" t="s">
        <v>4382</v>
      </c>
      <c r="C3035" s="175" t="s">
        <v>48</v>
      </c>
      <c r="D3035" s="190">
        <v>0.03</v>
      </c>
      <c r="E3035" s="204" t="s">
        <v>30</v>
      </c>
      <c r="F3035" s="204" t="s">
        <v>201</v>
      </c>
      <c r="G3035" s="175" t="s">
        <v>4993</v>
      </c>
      <c r="H3035" s="175"/>
    </row>
    <row r="3036" ht="14.25" spans="1:8">
      <c r="A3036" s="232">
        <v>504</v>
      </c>
      <c r="B3036" s="183" t="s">
        <v>4994</v>
      </c>
      <c r="C3036" s="175" t="s">
        <v>48</v>
      </c>
      <c r="D3036" s="190">
        <v>0.02</v>
      </c>
      <c r="E3036" s="204" t="s">
        <v>30</v>
      </c>
      <c r="F3036" s="204" t="s">
        <v>201</v>
      </c>
      <c r="G3036" s="175" t="s">
        <v>4995</v>
      </c>
      <c r="H3036" s="175"/>
    </row>
    <row r="3037" ht="14.25" spans="1:8">
      <c r="A3037" s="232">
        <v>505</v>
      </c>
      <c r="B3037" s="183" t="s">
        <v>4376</v>
      </c>
      <c r="C3037" s="175" t="s">
        <v>48</v>
      </c>
      <c r="D3037" s="190">
        <v>0.03472</v>
      </c>
      <c r="E3037" s="204" t="s">
        <v>30</v>
      </c>
      <c r="F3037" s="204" t="s">
        <v>265</v>
      </c>
      <c r="G3037" s="175" t="s">
        <v>4377</v>
      </c>
      <c r="H3037" s="175"/>
    </row>
    <row r="3038" ht="14.25" spans="1:8">
      <c r="A3038" s="232">
        <v>506</v>
      </c>
      <c r="B3038" s="183" t="s">
        <v>1202</v>
      </c>
      <c r="C3038" s="175" t="s">
        <v>48</v>
      </c>
      <c r="D3038" s="190">
        <v>0.01</v>
      </c>
      <c r="E3038" s="204" t="s">
        <v>30</v>
      </c>
      <c r="F3038" s="204" t="s">
        <v>201</v>
      </c>
      <c r="G3038" s="175" t="s">
        <v>4996</v>
      </c>
      <c r="H3038" s="175"/>
    </row>
    <row r="3039" ht="14.25" spans="1:8">
      <c r="A3039" s="232">
        <v>507</v>
      </c>
      <c r="B3039" s="183" t="s">
        <v>4994</v>
      </c>
      <c r="C3039" s="175" t="s">
        <v>48</v>
      </c>
      <c r="D3039" s="190">
        <v>0.02</v>
      </c>
      <c r="E3039" s="204" t="s">
        <v>30</v>
      </c>
      <c r="F3039" s="204" t="s">
        <v>201</v>
      </c>
      <c r="G3039" s="175" t="s">
        <v>4997</v>
      </c>
      <c r="H3039" s="175"/>
    </row>
    <row r="3040" ht="14.25" spans="1:8">
      <c r="A3040" s="232">
        <v>508</v>
      </c>
      <c r="B3040" s="183" t="s">
        <v>4228</v>
      </c>
      <c r="C3040" s="175" t="s">
        <v>48</v>
      </c>
      <c r="D3040" s="190">
        <v>0.04</v>
      </c>
      <c r="E3040" s="204" t="s">
        <v>30</v>
      </c>
      <c r="F3040" s="204" t="s">
        <v>4998</v>
      </c>
      <c r="G3040" s="175" t="s">
        <v>4999</v>
      </c>
      <c r="H3040" s="175"/>
    </row>
    <row r="3041" ht="14.25" spans="1:8">
      <c r="A3041" s="232">
        <v>509</v>
      </c>
      <c r="B3041" s="183" t="s">
        <v>4228</v>
      </c>
      <c r="C3041" s="175" t="s">
        <v>48</v>
      </c>
      <c r="D3041" s="190">
        <v>0.03</v>
      </c>
      <c r="E3041" s="204" t="s">
        <v>30</v>
      </c>
      <c r="F3041" s="204" t="s">
        <v>5000</v>
      </c>
      <c r="G3041" s="175" t="s">
        <v>4377</v>
      </c>
      <c r="H3041" s="175"/>
    </row>
    <row r="3042" ht="38.25" spans="1:8">
      <c r="A3042" s="232">
        <v>510</v>
      </c>
      <c r="B3042" s="183" t="s">
        <v>5001</v>
      </c>
      <c r="C3042" s="175" t="s">
        <v>48</v>
      </c>
      <c r="D3042" s="190">
        <v>0.03</v>
      </c>
      <c r="E3042" s="204" t="s">
        <v>30</v>
      </c>
      <c r="F3042" s="204" t="s">
        <v>201</v>
      </c>
      <c r="G3042" s="175" t="s">
        <v>5002</v>
      </c>
      <c r="H3042" s="175"/>
    </row>
    <row r="3043" ht="14.25" spans="1:8">
      <c r="A3043" s="232">
        <v>511</v>
      </c>
      <c r="B3043" s="183" t="s">
        <v>5003</v>
      </c>
      <c r="C3043" s="175" t="s">
        <v>48</v>
      </c>
      <c r="D3043" s="190">
        <v>0.03</v>
      </c>
      <c r="E3043" s="204" t="s">
        <v>30</v>
      </c>
      <c r="F3043" s="204" t="s">
        <v>201</v>
      </c>
      <c r="G3043" s="175" t="s">
        <v>5004</v>
      </c>
      <c r="H3043" s="175"/>
    </row>
    <row r="3044" ht="14.25" spans="1:8">
      <c r="A3044" s="232">
        <v>512</v>
      </c>
      <c r="B3044" s="183" t="s">
        <v>5003</v>
      </c>
      <c r="C3044" s="175" t="s">
        <v>48</v>
      </c>
      <c r="D3044" s="190">
        <v>0.02</v>
      </c>
      <c r="E3044" s="204" t="s">
        <v>30</v>
      </c>
      <c r="F3044" s="204" t="s">
        <v>201</v>
      </c>
      <c r="G3044" s="175" t="s">
        <v>5005</v>
      </c>
      <c r="H3044" s="175"/>
    </row>
    <row r="3045" ht="14.25" spans="1:8">
      <c r="A3045" s="232">
        <v>513</v>
      </c>
      <c r="B3045" s="183" t="s">
        <v>5003</v>
      </c>
      <c r="C3045" s="175" t="s">
        <v>48</v>
      </c>
      <c r="D3045" s="190">
        <v>0.03</v>
      </c>
      <c r="E3045" s="204" t="s">
        <v>30</v>
      </c>
      <c r="F3045" s="204" t="s">
        <v>201</v>
      </c>
      <c r="G3045" s="175" t="s">
        <v>5006</v>
      </c>
      <c r="H3045" s="175"/>
    </row>
    <row r="3046" ht="14.25" spans="1:8">
      <c r="A3046" s="232">
        <v>514</v>
      </c>
      <c r="B3046" s="183" t="s">
        <v>5007</v>
      </c>
      <c r="C3046" s="175" t="s">
        <v>48</v>
      </c>
      <c r="D3046" s="190">
        <v>0.01</v>
      </c>
      <c r="E3046" s="204" t="s">
        <v>30</v>
      </c>
      <c r="F3046" s="204" t="s">
        <v>201</v>
      </c>
      <c r="G3046" s="175" t="s">
        <v>5008</v>
      </c>
      <c r="H3046" s="175"/>
    </row>
    <row r="3047" ht="14.25" spans="1:8">
      <c r="A3047" s="232">
        <v>515</v>
      </c>
      <c r="B3047" s="183" t="s">
        <v>4918</v>
      </c>
      <c r="C3047" s="175" t="s">
        <v>48</v>
      </c>
      <c r="D3047" s="190">
        <v>0.02</v>
      </c>
      <c r="E3047" s="204" t="s">
        <v>30</v>
      </c>
      <c r="F3047" s="204" t="s">
        <v>201</v>
      </c>
      <c r="G3047" s="175" t="s">
        <v>4919</v>
      </c>
      <c r="H3047" s="175"/>
    </row>
    <row r="3048" ht="14.25" spans="1:8">
      <c r="A3048" s="232">
        <v>516</v>
      </c>
      <c r="B3048" s="183" t="s">
        <v>3488</v>
      </c>
      <c r="C3048" s="175" t="s">
        <v>48</v>
      </c>
      <c r="D3048" s="190">
        <v>0.03</v>
      </c>
      <c r="E3048" s="204" t="s">
        <v>30</v>
      </c>
      <c r="F3048" s="204" t="s">
        <v>201</v>
      </c>
      <c r="G3048" s="175" t="s">
        <v>5009</v>
      </c>
      <c r="H3048" s="175"/>
    </row>
    <row r="3049" ht="14.25" spans="1:8">
      <c r="A3049" s="232">
        <v>517</v>
      </c>
      <c r="B3049" s="184" t="s">
        <v>1763</v>
      </c>
      <c r="C3049" s="175" t="s">
        <v>48</v>
      </c>
      <c r="D3049" s="190">
        <v>0.03</v>
      </c>
      <c r="E3049" s="257" t="s">
        <v>30</v>
      </c>
      <c r="F3049" s="257" t="s">
        <v>201</v>
      </c>
      <c r="G3049" s="175" t="s">
        <v>5010</v>
      </c>
      <c r="H3049" s="175"/>
    </row>
    <row r="3050" ht="14.25" spans="1:8">
      <c r="A3050" s="232">
        <v>518</v>
      </c>
      <c r="B3050" s="184" t="s">
        <v>4369</v>
      </c>
      <c r="C3050" s="175" t="s">
        <v>48</v>
      </c>
      <c r="D3050" s="190">
        <v>0.03</v>
      </c>
      <c r="E3050" s="257" t="s">
        <v>30</v>
      </c>
      <c r="F3050" s="257" t="s">
        <v>201</v>
      </c>
      <c r="G3050" s="175" t="s">
        <v>4370</v>
      </c>
      <c r="H3050" s="175"/>
    </row>
    <row r="3051" ht="14.25" spans="1:8">
      <c r="A3051" s="232">
        <v>519</v>
      </c>
      <c r="B3051" s="184" t="s">
        <v>5011</v>
      </c>
      <c r="C3051" s="175" t="s">
        <v>48</v>
      </c>
      <c r="D3051" s="190">
        <v>0.03</v>
      </c>
      <c r="E3051" s="257" t="s">
        <v>30</v>
      </c>
      <c r="F3051" s="257" t="s">
        <v>201</v>
      </c>
      <c r="G3051" s="175" t="s">
        <v>5012</v>
      </c>
      <c r="H3051" s="175"/>
    </row>
    <row r="3052" ht="14.25" spans="1:8">
      <c r="A3052" s="232">
        <v>520</v>
      </c>
      <c r="B3052" s="184" t="s">
        <v>5013</v>
      </c>
      <c r="C3052" s="175" t="s">
        <v>48</v>
      </c>
      <c r="D3052" s="190">
        <v>0.01</v>
      </c>
      <c r="E3052" s="257" t="s">
        <v>30</v>
      </c>
      <c r="F3052" s="257" t="s">
        <v>201</v>
      </c>
      <c r="G3052" s="175" t="s">
        <v>5014</v>
      </c>
      <c r="H3052" s="175"/>
    </row>
    <row r="3053" ht="14.25" spans="1:8">
      <c r="A3053" s="232">
        <v>521</v>
      </c>
      <c r="B3053" s="183" t="s">
        <v>5015</v>
      </c>
      <c r="C3053" s="175" t="s">
        <v>48</v>
      </c>
      <c r="D3053" s="190">
        <v>0.03</v>
      </c>
      <c r="E3053" s="204" t="s">
        <v>30</v>
      </c>
      <c r="F3053" s="204" t="s">
        <v>201</v>
      </c>
      <c r="G3053" s="175" t="s">
        <v>815</v>
      </c>
      <c r="H3053" s="175"/>
    </row>
    <row r="3054" ht="14.25" spans="1:8">
      <c r="A3054" s="232">
        <v>522</v>
      </c>
      <c r="B3054" s="183" t="s">
        <v>5016</v>
      </c>
      <c r="C3054" s="175" t="s">
        <v>48</v>
      </c>
      <c r="D3054" s="190">
        <v>0.03</v>
      </c>
      <c r="E3054" s="204" t="s">
        <v>30</v>
      </c>
      <c r="F3054" s="204" t="s">
        <v>201</v>
      </c>
      <c r="G3054" s="175" t="s">
        <v>5017</v>
      </c>
      <c r="H3054" s="175"/>
    </row>
    <row r="3055" ht="14.25" spans="1:8">
      <c r="A3055" s="232">
        <v>523</v>
      </c>
      <c r="B3055" s="183" t="s">
        <v>2621</v>
      </c>
      <c r="C3055" s="175" t="s">
        <v>48</v>
      </c>
      <c r="D3055" s="190">
        <v>0.03</v>
      </c>
      <c r="E3055" s="204" t="s">
        <v>30</v>
      </c>
      <c r="F3055" s="204" t="s">
        <v>201</v>
      </c>
      <c r="G3055" s="175" t="s">
        <v>5018</v>
      </c>
      <c r="H3055" s="175"/>
    </row>
    <row r="3056" ht="14.25" spans="1:8">
      <c r="A3056" s="232">
        <v>524</v>
      </c>
      <c r="B3056" s="183" t="s">
        <v>5019</v>
      </c>
      <c r="C3056" s="175" t="s">
        <v>48</v>
      </c>
      <c r="D3056" s="190">
        <v>0.03</v>
      </c>
      <c r="E3056" s="204" t="s">
        <v>30</v>
      </c>
      <c r="F3056" s="204" t="s">
        <v>201</v>
      </c>
      <c r="G3056" s="175" t="s">
        <v>5020</v>
      </c>
      <c r="H3056" s="175"/>
    </row>
    <row r="3057" ht="14.25" spans="1:8">
      <c r="A3057" s="232">
        <v>525</v>
      </c>
      <c r="B3057" s="183" t="s">
        <v>2098</v>
      </c>
      <c r="C3057" s="175" t="s">
        <v>48</v>
      </c>
      <c r="D3057" s="190">
        <v>0.03</v>
      </c>
      <c r="E3057" s="204" t="s">
        <v>30</v>
      </c>
      <c r="F3057" s="204" t="s">
        <v>201</v>
      </c>
      <c r="G3057" s="175" t="s">
        <v>5021</v>
      </c>
      <c r="H3057" s="175"/>
    </row>
    <row r="3058" ht="14.25" spans="1:8">
      <c r="A3058" s="232">
        <v>526</v>
      </c>
      <c r="B3058" s="184" t="s">
        <v>5022</v>
      </c>
      <c r="C3058" s="175" t="s">
        <v>48</v>
      </c>
      <c r="D3058" s="190">
        <v>0.03</v>
      </c>
      <c r="E3058" s="257" t="s">
        <v>30</v>
      </c>
      <c r="F3058" s="257" t="s">
        <v>201</v>
      </c>
      <c r="G3058" s="175" t="s">
        <v>5023</v>
      </c>
      <c r="H3058" s="175"/>
    </row>
    <row r="3059" ht="14.25" spans="1:8">
      <c r="A3059" s="232">
        <v>527</v>
      </c>
      <c r="B3059" s="184" t="s">
        <v>5024</v>
      </c>
      <c r="C3059" s="175" t="s">
        <v>48</v>
      </c>
      <c r="D3059" s="190">
        <v>0.03</v>
      </c>
      <c r="E3059" s="257" t="s">
        <v>30</v>
      </c>
      <c r="F3059" s="257" t="s">
        <v>201</v>
      </c>
      <c r="G3059" s="175" t="s">
        <v>5025</v>
      </c>
      <c r="H3059" s="175"/>
    </row>
    <row r="3060" ht="14.25" spans="1:8">
      <c r="A3060" s="232">
        <v>528</v>
      </c>
      <c r="B3060" s="184" t="s">
        <v>5026</v>
      </c>
      <c r="C3060" s="175" t="s">
        <v>48</v>
      </c>
      <c r="D3060" s="190">
        <v>0.03</v>
      </c>
      <c r="E3060" s="257" t="s">
        <v>30</v>
      </c>
      <c r="F3060" s="257" t="s">
        <v>201</v>
      </c>
      <c r="G3060" s="175" t="s">
        <v>5027</v>
      </c>
      <c r="H3060" s="175"/>
    </row>
    <row r="3061" ht="14.25" spans="1:8">
      <c r="A3061" s="232">
        <v>529</v>
      </c>
      <c r="B3061" s="184" t="s">
        <v>5028</v>
      </c>
      <c r="C3061" s="175" t="s">
        <v>48</v>
      </c>
      <c r="D3061" s="190">
        <v>0.02</v>
      </c>
      <c r="E3061" s="257" t="s">
        <v>30</v>
      </c>
      <c r="F3061" s="257" t="s">
        <v>201</v>
      </c>
      <c r="G3061" s="175" t="s">
        <v>5029</v>
      </c>
      <c r="H3061" s="175"/>
    </row>
    <row r="3062" ht="38.25" spans="1:8">
      <c r="A3062" s="232">
        <v>530</v>
      </c>
      <c r="B3062" s="184" t="s">
        <v>5030</v>
      </c>
      <c r="C3062" s="175" t="s">
        <v>48</v>
      </c>
      <c r="D3062" s="190">
        <v>0.03</v>
      </c>
      <c r="E3062" s="257" t="s">
        <v>30</v>
      </c>
      <c r="F3062" s="257" t="s">
        <v>201</v>
      </c>
      <c r="G3062" s="175" t="s">
        <v>4410</v>
      </c>
      <c r="H3062" s="175"/>
    </row>
    <row r="3063" ht="14.25" spans="1:8">
      <c r="A3063" s="232">
        <v>531</v>
      </c>
      <c r="B3063" s="184" t="s">
        <v>5031</v>
      </c>
      <c r="C3063" s="175" t="s">
        <v>48</v>
      </c>
      <c r="D3063" s="190">
        <v>0.03</v>
      </c>
      <c r="E3063" s="257" t="s">
        <v>30</v>
      </c>
      <c r="F3063" s="257" t="s">
        <v>201</v>
      </c>
      <c r="G3063" s="175" t="s">
        <v>5032</v>
      </c>
      <c r="H3063" s="175"/>
    </row>
    <row r="3064" ht="14.25" spans="1:8">
      <c r="A3064" s="232">
        <v>532</v>
      </c>
      <c r="B3064" s="184" t="s">
        <v>5033</v>
      </c>
      <c r="C3064" s="175" t="s">
        <v>48</v>
      </c>
      <c r="D3064" s="190">
        <v>0.03</v>
      </c>
      <c r="E3064" s="257" t="s">
        <v>30</v>
      </c>
      <c r="F3064" s="257" t="s">
        <v>201</v>
      </c>
      <c r="G3064" s="175" t="s">
        <v>4828</v>
      </c>
      <c r="H3064" s="175"/>
    </row>
    <row r="3065" ht="14.25" spans="1:8">
      <c r="A3065" s="232">
        <v>533</v>
      </c>
      <c r="B3065" s="184" t="s">
        <v>5034</v>
      </c>
      <c r="C3065" s="175" t="s">
        <v>48</v>
      </c>
      <c r="D3065" s="190">
        <v>0.03</v>
      </c>
      <c r="E3065" s="257" t="s">
        <v>30</v>
      </c>
      <c r="F3065" s="257" t="s">
        <v>201</v>
      </c>
      <c r="G3065" s="175" t="s">
        <v>5035</v>
      </c>
      <c r="H3065" s="175"/>
    </row>
    <row r="3066" ht="14.25" spans="1:8">
      <c r="A3066" s="232">
        <v>534</v>
      </c>
      <c r="B3066" s="184" t="s">
        <v>5036</v>
      </c>
      <c r="C3066" s="175" t="s">
        <v>48</v>
      </c>
      <c r="D3066" s="190">
        <v>0.03</v>
      </c>
      <c r="E3066" s="257" t="s">
        <v>30</v>
      </c>
      <c r="F3066" s="257" t="s">
        <v>201</v>
      </c>
      <c r="G3066" s="175" t="s">
        <v>5037</v>
      </c>
      <c r="H3066" s="175"/>
    </row>
    <row r="3067" ht="14.25" spans="1:8">
      <c r="A3067" s="232">
        <v>535</v>
      </c>
      <c r="B3067" s="184" t="s">
        <v>5038</v>
      </c>
      <c r="C3067" s="175" t="s">
        <v>48</v>
      </c>
      <c r="D3067" s="190">
        <v>0.01</v>
      </c>
      <c r="E3067" s="257" t="s">
        <v>30</v>
      </c>
      <c r="F3067" s="257" t="s">
        <v>201</v>
      </c>
      <c r="G3067" s="175" t="s">
        <v>5039</v>
      </c>
      <c r="H3067" s="175"/>
    </row>
    <row r="3068" ht="14.25" spans="1:8">
      <c r="A3068" s="232">
        <v>536</v>
      </c>
      <c r="B3068" s="184" t="s">
        <v>4148</v>
      </c>
      <c r="C3068" s="175" t="s">
        <v>48</v>
      </c>
      <c r="D3068" s="190">
        <v>0.03</v>
      </c>
      <c r="E3068" s="257" t="s">
        <v>30</v>
      </c>
      <c r="F3068" s="257" t="s">
        <v>201</v>
      </c>
      <c r="G3068" s="175" t="s">
        <v>4392</v>
      </c>
      <c r="H3068" s="175"/>
    </row>
    <row r="3069" ht="14.25" spans="1:8">
      <c r="A3069" s="232">
        <v>537</v>
      </c>
      <c r="B3069" s="183" t="s">
        <v>4448</v>
      </c>
      <c r="C3069" s="175" t="s">
        <v>48</v>
      </c>
      <c r="D3069" s="190">
        <v>0.03</v>
      </c>
      <c r="E3069" s="257" t="s">
        <v>30</v>
      </c>
      <c r="F3069" s="257" t="s">
        <v>201</v>
      </c>
      <c r="G3069" s="175" t="s">
        <v>4449</v>
      </c>
      <c r="H3069" s="175"/>
    </row>
    <row r="3070" ht="14.25" spans="1:8">
      <c r="A3070" s="232">
        <v>538</v>
      </c>
      <c r="B3070" s="183" t="s">
        <v>5040</v>
      </c>
      <c r="C3070" s="175" t="s">
        <v>48</v>
      </c>
      <c r="D3070" s="190">
        <v>0.03</v>
      </c>
      <c r="E3070" s="257" t="s">
        <v>30</v>
      </c>
      <c r="F3070" s="257" t="s">
        <v>201</v>
      </c>
      <c r="G3070" s="175" t="s">
        <v>5041</v>
      </c>
      <c r="H3070" s="175"/>
    </row>
    <row r="3071" ht="14.25" spans="1:8">
      <c r="A3071" s="232">
        <v>539</v>
      </c>
      <c r="B3071" s="183" t="s">
        <v>4837</v>
      </c>
      <c r="C3071" s="175" t="s">
        <v>48</v>
      </c>
      <c r="D3071" s="190">
        <v>0.02</v>
      </c>
      <c r="E3071" s="257" t="s">
        <v>30</v>
      </c>
      <c r="F3071" s="257" t="s">
        <v>201</v>
      </c>
      <c r="G3071" s="175" t="s">
        <v>4838</v>
      </c>
      <c r="H3071" s="175"/>
    </row>
    <row r="3072" ht="14.25" spans="1:8">
      <c r="A3072" s="232">
        <v>540</v>
      </c>
      <c r="B3072" s="183" t="s">
        <v>5042</v>
      </c>
      <c r="C3072" s="175" t="s">
        <v>48</v>
      </c>
      <c r="D3072" s="190">
        <v>0.02</v>
      </c>
      <c r="E3072" s="257" t="s">
        <v>30</v>
      </c>
      <c r="F3072" s="257" t="s">
        <v>201</v>
      </c>
      <c r="G3072" s="175" t="s">
        <v>5043</v>
      </c>
      <c r="H3072" s="175"/>
    </row>
    <row r="3073" ht="14.25" spans="1:8">
      <c r="A3073" s="232">
        <v>541</v>
      </c>
      <c r="B3073" s="183" t="s">
        <v>5044</v>
      </c>
      <c r="C3073" s="175" t="s">
        <v>48</v>
      </c>
      <c r="D3073" s="190">
        <v>0.01</v>
      </c>
      <c r="E3073" s="204" t="s">
        <v>30</v>
      </c>
      <c r="F3073" s="204" t="s">
        <v>201</v>
      </c>
      <c r="G3073" s="175" t="s">
        <v>5045</v>
      </c>
      <c r="H3073" s="175"/>
    </row>
    <row r="3074" ht="14.25" spans="1:8">
      <c r="A3074" s="232">
        <v>542</v>
      </c>
      <c r="B3074" s="183" t="s">
        <v>677</v>
      </c>
      <c r="C3074" s="175" t="s">
        <v>48</v>
      </c>
      <c r="D3074" s="190">
        <v>0.03</v>
      </c>
      <c r="E3074" s="204" t="s">
        <v>30</v>
      </c>
      <c r="F3074" s="204" t="s">
        <v>201</v>
      </c>
      <c r="G3074" s="175" t="s">
        <v>4214</v>
      </c>
      <c r="H3074" s="175"/>
    </row>
    <row r="3075" ht="14.25" spans="1:8">
      <c r="A3075" s="232">
        <v>543</v>
      </c>
      <c r="B3075" s="183" t="s">
        <v>5046</v>
      </c>
      <c r="C3075" s="175" t="s">
        <v>48</v>
      </c>
      <c r="D3075" s="190">
        <v>0.03</v>
      </c>
      <c r="E3075" s="204" t="s">
        <v>30</v>
      </c>
      <c r="F3075" s="204" t="s">
        <v>201</v>
      </c>
      <c r="G3075" s="175" t="s">
        <v>5047</v>
      </c>
      <c r="H3075" s="175"/>
    </row>
    <row r="3076" ht="14.25" spans="1:8">
      <c r="A3076" s="232">
        <v>544</v>
      </c>
      <c r="B3076" s="183" t="s">
        <v>4199</v>
      </c>
      <c r="C3076" s="175" t="s">
        <v>48</v>
      </c>
      <c r="D3076" s="190">
        <v>0.03</v>
      </c>
      <c r="E3076" s="204" t="s">
        <v>30</v>
      </c>
      <c r="F3076" s="204" t="s">
        <v>201</v>
      </c>
      <c r="G3076" s="175" t="s">
        <v>4200</v>
      </c>
      <c r="H3076" s="175"/>
    </row>
    <row r="3077" ht="14.25" spans="1:8">
      <c r="A3077" s="232">
        <v>545</v>
      </c>
      <c r="B3077" s="183" t="s">
        <v>4175</v>
      </c>
      <c r="C3077" s="175" t="s">
        <v>48</v>
      </c>
      <c r="D3077" s="190">
        <v>0.03</v>
      </c>
      <c r="E3077" s="204" t="s">
        <v>30</v>
      </c>
      <c r="F3077" s="204" t="s">
        <v>201</v>
      </c>
      <c r="G3077" s="175" t="s">
        <v>4176</v>
      </c>
      <c r="H3077" s="175"/>
    </row>
    <row r="3078" ht="14.25" spans="1:8">
      <c r="A3078" s="232">
        <v>546</v>
      </c>
      <c r="B3078" s="184" t="s">
        <v>5048</v>
      </c>
      <c r="C3078" s="175" t="s">
        <v>48</v>
      </c>
      <c r="D3078" s="190">
        <v>0.03</v>
      </c>
      <c r="E3078" s="257" t="s">
        <v>30</v>
      </c>
      <c r="F3078" s="257" t="s">
        <v>201</v>
      </c>
      <c r="G3078" s="175" t="s">
        <v>5049</v>
      </c>
      <c r="H3078" s="175"/>
    </row>
    <row r="3079" ht="14.25" spans="1:8">
      <c r="A3079" s="232">
        <v>547</v>
      </c>
      <c r="B3079" s="184" t="s">
        <v>5050</v>
      </c>
      <c r="C3079" s="175" t="s">
        <v>48</v>
      </c>
      <c r="D3079" s="190">
        <v>0.03</v>
      </c>
      <c r="E3079" s="257" t="s">
        <v>30</v>
      </c>
      <c r="F3079" s="257" t="s">
        <v>201</v>
      </c>
      <c r="G3079" s="175" t="s">
        <v>5051</v>
      </c>
      <c r="H3079" s="175"/>
    </row>
    <row r="3080" ht="14.25" spans="1:8">
      <c r="A3080" s="232">
        <v>548</v>
      </c>
      <c r="B3080" s="184" t="s">
        <v>5052</v>
      </c>
      <c r="C3080" s="175" t="s">
        <v>48</v>
      </c>
      <c r="D3080" s="190">
        <v>0.02</v>
      </c>
      <c r="E3080" s="257" t="s">
        <v>30</v>
      </c>
      <c r="F3080" s="257" t="s">
        <v>201</v>
      </c>
      <c r="G3080" s="175" t="s">
        <v>5053</v>
      </c>
      <c r="H3080" s="175"/>
    </row>
    <row r="3081" ht="14.25" spans="1:8">
      <c r="A3081" s="232">
        <v>549</v>
      </c>
      <c r="B3081" s="183" t="s">
        <v>5054</v>
      </c>
      <c r="C3081" s="175" t="s">
        <v>48</v>
      </c>
      <c r="D3081" s="190">
        <v>0.03</v>
      </c>
      <c r="E3081" s="204" t="s">
        <v>30</v>
      </c>
      <c r="F3081" s="204" t="s">
        <v>201</v>
      </c>
      <c r="G3081" s="175" t="s">
        <v>5055</v>
      </c>
      <c r="H3081" s="175"/>
    </row>
    <row r="3082" ht="14.25" spans="1:8">
      <c r="A3082" s="232">
        <v>550</v>
      </c>
      <c r="B3082" s="183" t="s">
        <v>5056</v>
      </c>
      <c r="C3082" s="175" t="s">
        <v>48</v>
      </c>
      <c r="D3082" s="190">
        <v>0.03</v>
      </c>
      <c r="E3082" s="204" t="s">
        <v>30</v>
      </c>
      <c r="F3082" s="204" t="s">
        <v>201</v>
      </c>
      <c r="G3082" s="175" t="s">
        <v>5057</v>
      </c>
      <c r="H3082" s="175"/>
    </row>
    <row r="3083" ht="14.25" spans="1:8">
      <c r="A3083" s="232">
        <v>551</v>
      </c>
      <c r="B3083" s="183" t="s">
        <v>5058</v>
      </c>
      <c r="C3083" s="175" t="s">
        <v>48</v>
      </c>
      <c r="D3083" s="190">
        <v>0.03</v>
      </c>
      <c r="E3083" s="204" t="s">
        <v>30</v>
      </c>
      <c r="F3083" s="204" t="s">
        <v>201</v>
      </c>
      <c r="G3083" s="175" t="s">
        <v>5059</v>
      </c>
      <c r="H3083" s="175"/>
    </row>
    <row r="3084" ht="14.25" spans="1:8">
      <c r="A3084" s="232">
        <v>552</v>
      </c>
      <c r="B3084" s="183" t="s">
        <v>5060</v>
      </c>
      <c r="C3084" s="175" t="s">
        <v>48</v>
      </c>
      <c r="D3084" s="190">
        <v>0.03</v>
      </c>
      <c r="E3084" s="204" t="s">
        <v>30</v>
      </c>
      <c r="F3084" s="204" t="s">
        <v>201</v>
      </c>
      <c r="G3084" s="175" t="s">
        <v>5061</v>
      </c>
      <c r="H3084" s="175"/>
    </row>
    <row r="3085" ht="14.25" spans="1:8">
      <c r="A3085" s="232">
        <v>553</v>
      </c>
      <c r="B3085" s="183" t="s">
        <v>5062</v>
      </c>
      <c r="C3085" s="175" t="s">
        <v>48</v>
      </c>
      <c r="D3085" s="190">
        <v>0.03</v>
      </c>
      <c r="E3085" s="204" t="s">
        <v>30</v>
      </c>
      <c r="F3085" s="204" t="s">
        <v>201</v>
      </c>
      <c r="G3085" s="175" t="s">
        <v>5063</v>
      </c>
      <c r="H3085" s="175"/>
    </row>
    <row r="3086" ht="14.25" spans="1:8">
      <c r="A3086" s="232">
        <v>554</v>
      </c>
      <c r="B3086" s="183" t="s">
        <v>2045</v>
      </c>
      <c r="C3086" s="175" t="s">
        <v>48</v>
      </c>
      <c r="D3086" s="190">
        <v>0.02</v>
      </c>
      <c r="E3086" s="204" t="s">
        <v>30</v>
      </c>
      <c r="F3086" s="204" t="s">
        <v>201</v>
      </c>
      <c r="G3086" s="175" t="s">
        <v>4179</v>
      </c>
      <c r="H3086" s="175"/>
    </row>
    <row r="3087" ht="14.25" spans="1:8">
      <c r="A3087" s="232">
        <v>555</v>
      </c>
      <c r="B3087" s="183" t="s">
        <v>5064</v>
      </c>
      <c r="C3087" s="175" t="s">
        <v>48</v>
      </c>
      <c r="D3087" s="190">
        <v>0.03</v>
      </c>
      <c r="E3087" s="204" t="s">
        <v>30</v>
      </c>
      <c r="F3087" s="204" t="s">
        <v>201</v>
      </c>
      <c r="G3087" s="175" t="s">
        <v>5065</v>
      </c>
      <c r="H3087" s="175"/>
    </row>
    <row r="3088" ht="14.25" spans="1:8">
      <c r="A3088" s="232">
        <v>556</v>
      </c>
      <c r="B3088" s="183" t="s">
        <v>4500</v>
      </c>
      <c r="C3088" s="175" t="s">
        <v>48</v>
      </c>
      <c r="D3088" s="190">
        <v>0.03</v>
      </c>
      <c r="E3088" s="204" t="s">
        <v>30</v>
      </c>
      <c r="F3088" s="204" t="s">
        <v>201</v>
      </c>
      <c r="G3088" s="175" t="s">
        <v>5066</v>
      </c>
      <c r="H3088" s="175"/>
    </row>
    <row r="3089" ht="14.25" spans="1:8">
      <c r="A3089" s="232">
        <v>557</v>
      </c>
      <c r="B3089" s="183" t="s">
        <v>5067</v>
      </c>
      <c r="C3089" s="175" t="s">
        <v>48</v>
      </c>
      <c r="D3089" s="190">
        <v>0.03</v>
      </c>
      <c r="E3089" s="204" t="s">
        <v>30</v>
      </c>
      <c r="F3089" s="204" t="s">
        <v>201</v>
      </c>
      <c r="G3089" s="175" t="s">
        <v>5068</v>
      </c>
      <c r="H3089" s="175"/>
    </row>
    <row r="3090" ht="14.25" spans="1:8">
      <c r="A3090" s="232">
        <v>558</v>
      </c>
      <c r="B3090" s="183" t="s">
        <v>4898</v>
      </c>
      <c r="C3090" s="175" t="s">
        <v>48</v>
      </c>
      <c r="D3090" s="190">
        <v>0.01</v>
      </c>
      <c r="E3090" s="204" t="s">
        <v>30</v>
      </c>
      <c r="F3090" s="204" t="s">
        <v>201</v>
      </c>
      <c r="G3090" s="175" t="s">
        <v>5069</v>
      </c>
      <c r="H3090" s="175"/>
    </row>
    <row r="3091" ht="14.25" spans="1:8">
      <c r="A3091" s="232">
        <v>559</v>
      </c>
      <c r="B3091" s="183" t="s">
        <v>3579</v>
      </c>
      <c r="C3091" s="175" t="s">
        <v>48</v>
      </c>
      <c r="D3091" s="190">
        <v>0.03</v>
      </c>
      <c r="E3091" s="257" t="s">
        <v>30</v>
      </c>
      <c r="F3091" s="257" t="s">
        <v>201</v>
      </c>
      <c r="G3091" s="175" t="s">
        <v>5070</v>
      </c>
      <c r="H3091" s="175"/>
    </row>
    <row r="3092" ht="14.25" spans="1:8">
      <c r="A3092" s="232">
        <v>560</v>
      </c>
      <c r="B3092" s="184" t="s">
        <v>5071</v>
      </c>
      <c r="C3092" s="175" t="s">
        <v>48</v>
      </c>
      <c r="D3092" s="190">
        <v>0.03</v>
      </c>
      <c r="E3092" s="257" t="s">
        <v>30</v>
      </c>
      <c r="F3092" s="257" t="s">
        <v>201</v>
      </c>
      <c r="G3092" s="175" t="s">
        <v>5072</v>
      </c>
      <c r="H3092" s="175"/>
    </row>
    <row r="3093" ht="14.25" spans="1:8">
      <c r="A3093" s="232">
        <v>561</v>
      </c>
      <c r="B3093" s="184" t="s">
        <v>5073</v>
      </c>
      <c r="C3093" s="175" t="s">
        <v>48</v>
      </c>
      <c r="D3093" s="190">
        <v>0.0301</v>
      </c>
      <c r="E3093" s="257" t="s">
        <v>30</v>
      </c>
      <c r="F3093" s="257" t="s">
        <v>201</v>
      </c>
      <c r="G3093" s="175" t="s">
        <v>5074</v>
      </c>
      <c r="H3093" s="175"/>
    </row>
    <row r="3094" ht="14.25" spans="1:8">
      <c r="A3094" s="232">
        <v>562</v>
      </c>
      <c r="B3094" s="184" t="s">
        <v>5075</v>
      </c>
      <c r="C3094" s="175" t="s">
        <v>48</v>
      </c>
      <c r="D3094" s="190">
        <v>0.0302</v>
      </c>
      <c r="E3094" s="257" t="s">
        <v>30</v>
      </c>
      <c r="F3094" s="257" t="s">
        <v>201</v>
      </c>
      <c r="G3094" s="175" t="s">
        <v>5076</v>
      </c>
      <c r="H3094" s="175"/>
    </row>
    <row r="3095" ht="14.25" spans="1:8">
      <c r="A3095" s="232">
        <v>563</v>
      </c>
      <c r="B3095" s="183" t="s">
        <v>5077</v>
      </c>
      <c r="C3095" s="175" t="s">
        <v>48</v>
      </c>
      <c r="D3095" s="190">
        <v>0.03</v>
      </c>
      <c r="E3095" s="204" t="s">
        <v>30</v>
      </c>
      <c r="F3095" s="204" t="s">
        <v>201</v>
      </c>
      <c r="G3095" s="175" t="s">
        <v>5078</v>
      </c>
      <c r="H3095" s="175"/>
    </row>
    <row r="3096" ht="14.25" spans="1:8">
      <c r="A3096" s="232">
        <v>564</v>
      </c>
      <c r="B3096" s="184" t="s">
        <v>5079</v>
      </c>
      <c r="C3096" s="175" t="s">
        <v>48</v>
      </c>
      <c r="D3096" s="190">
        <v>0.03</v>
      </c>
      <c r="E3096" s="257" t="s">
        <v>30</v>
      </c>
      <c r="F3096" s="257" t="s">
        <v>201</v>
      </c>
      <c r="G3096" s="175" t="s">
        <v>5080</v>
      </c>
      <c r="H3096" s="175"/>
    </row>
    <row r="3097" ht="14.25" spans="1:8">
      <c r="A3097" s="232">
        <v>565</v>
      </c>
      <c r="B3097" s="183" t="s">
        <v>5081</v>
      </c>
      <c r="C3097" s="175" t="s">
        <v>48</v>
      </c>
      <c r="D3097" s="190">
        <v>0.03</v>
      </c>
      <c r="E3097" s="204" t="s">
        <v>30</v>
      </c>
      <c r="F3097" s="204" t="s">
        <v>201</v>
      </c>
      <c r="G3097" s="175" t="s">
        <v>5082</v>
      </c>
      <c r="H3097" s="175"/>
    </row>
    <row r="3098" ht="14.25" spans="1:8">
      <c r="A3098" s="232">
        <v>566</v>
      </c>
      <c r="B3098" s="183" t="s">
        <v>5083</v>
      </c>
      <c r="C3098" s="175" t="s">
        <v>48</v>
      </c>
      <c r="D3098" s="190">
        <v>0.03</v>
      </c>
      <c r="E3098" s="204" t="s">
        <v>30</v>
      </c>
      <c r="F3098" s="204" t="s">
        <v>201</v>
      </c>
      <c r="G3098" s="175" t="s">
        <v>5084</v>
      </c>
      <c r="H3098" s="175"/>
    </row>
    <row r="3099" ht="14.25" spans="1:8">
      <c r="A3099" s="232">
        <v>567</v>
      </c>
      <c r="B3099" s="183" t="s">
        <v>5085</v>
      </c>
      <c r="C3099" s="175" t="s">
        <v>48</v>
      </c>
      <c r="D3099" s="190">
        <v>0.03</v>
      </c>
      <c r="E3099" s="204" t="s">
        <v>30</v>
      </c>
      <c r="F3099" s="204" t="s">
        <v>201</v>
      </c>
      <c r="G3099" s="175" t="s">
        <v>5086</v>
      </c>
      <c r="H3099" s="175"/>
    </row>
    <row r="3100" ht="14.25" spans="1:8">
      <c r="A3100" s="232">
        <v>568</v>
      </c>
      <c r="B3100" s="183" t="s">
        <v>5087</v>
      </c>
      <c r="C3100" s="175" t="s">
        <v>48</v>
      </c>
      <c r="D3100" s="190">
        <v>0.03</v>
      </c>
      <c r="E3100" s="204" t="s">
        <v>30</v>
      </c>
      <c r="F3100" s="204" t="s">
        <v>201</v>
      </c>
      <c r="G3100" s="175" t="s">
        <v>5088</v>
      </c>
      <c r="H3100" s="175"/>
    </row>
    <row r="3101" ht="14.25" spans="1:8">
      <c r="A3101" s="232">
        <v>569</v>
      </c>
      <c r="B3101" s="183" t="s">
        <v>5089</v>
      </c>
      <c r="C3101" s="175" t="s">
        <v>48</v>
      </c>
      <c r="D3101" s="190">
        <v>0.03</v>
      </c>
      <c r="E3101" s="204" t="s">
        <v>30</v>
      </c>
      <c r="F3101" s="204" t="s">
        <v>201</v>
      </c>
      <c r="G3101" s="175" t="s">
        <v>5090</v>
      </c>
      <c r="H3101" s="175"/>
    </row>
    <row r="3102" ht="14.25" spans="1:8">
      <c r="A3102" s="232">
        <v>570</v>
      </c>
      <c r="B3102" s="183" t="s">
        <v>5091</v>
      </c>
      <c r="C3102" s="175" t="s">
        <v>48</v>
      </c>
      <c r="D3102" s="190">
        <v>0.005</v>
      </c>
      <c r="E3102" s="204" t="s">
        <v>30</v>
      </c>
      <c r="F3102" s="204" t="s">
        <v>201</v>
      </c>
      <c r="G3102" s="175" t="s">
        <v>5092</v>
      </c>
      <c r="H3102" s="175"/>
    </row>
    <row r="3103" ht="14.25" spans="1:8">
      <c r="A3103" s="232">
        <v>571</v>
      </c>
      <c r="B3103" s="183" t="s">
        <v>5093</v>
      </c>
      <c r="C3103" s="175" t="s">
        <v>48</v>
      </c>
      <c r="D3103" s="190">
        <v>0.03</v>
      </c>
      <c r="E3103" s="204" t="s">
        <v>30</v>
      </c>
      <c r="F3103" s="204" t="s">
        <v>201</v>
      </c>
      <c r="G3103" s="175" t="s">
        <v>5094</v>
      </c>
      <c r="H3103" s="175"/>
    </row>
    <row r="3104" ht="14.25" spans="1:8">
      <c r="A3104" s="232">
        <v>572</v>
      </c>
      <c r="B3104" s="183" t="s">
        <v>5093</v>
      </c>
      <c r="C3104" s="175" t="s">
        <v>48</v>
      </c>
      <c r="D3104" s="190">
        <v>0.03</v>
      </c>
      <c r="E3104" s="204" t="s">
        <v>30</v>
      </c>
      <c r="F3104" s="204" t="s">
        <v>201</v>
      </c>
      <c r="G3104" s="175" t="s">
        <v>5095</v>
      </c>
      <c r="H3104" s="175"/>
    </row>
    <row r="3105" ht="14.25" spans="1:8">
      <c r="A3105" s="232">
        <v>573</v>
      </c>
      <c r="B3105" s="183" t="s">
        <v>5093</v>
      </c>
      <c r="C3105" s="175" t="s">
        <v>48</v>
      </c>
      <c r="D3105" s="190">
        <v>0.03</v>
      </c>
      <c r="E3105" s="204" t="s">
        <v>30</v>
      </c>
      <c r="F3105" s="204" t="s">
        <v>201</v>
      </c>
      <c r="G3105" s="175" t="s">
        <v>5096</v>
      </c>
      <c r="H3105" s="175"/>
    </row>
    <row r="3106" ht="14.25" spans="1:8">
      <c r="A3106" s="232">
        <v>574</v>
      </c>
      <c r="B3106" s="183" t="s">
        <v>5097</v>
      </c>
      <c r="C3106" s="175" t="s">
        <v>48</v>
      </c>
      <c r="D3106" s="190">
        <v>0.03</v>
      </c>
      <c r="E3106" s="204" t="s">
        <v>30</v>
      </c>
      <c r="F3106" s="204" t="s">
        <v>201</v>
      </c>
      <c r="G3106" s="175" t="s">
        <v>5098</v>
      </c>
      <c r="H3106" s="175"/>
    </row>
    <row r="3107" ht="14.25" spans="1:8">
      <c r="A3107" s="232">
        <v>575</v>
      </c>
      <c r="B3107" s="183" t="s">
        <v>5099</v>
      </c>
      <c r="C3107" s="175" t="s">
        <v>48</v>
      </c>
      <c r="D3107" s="190">
        <v>0.03</v>
      </c>
      <c r="E3107" s="204" t="s">
        <v>30</v>
      </c>
      <c r="F3107" s="204" t="s">
        <v>201</v>
      </c>
      <c r="G3107" s="175" t="s">
        <v>5100</v>
      </c>
      <c r="H3107" s="175"/>
    </row>
    <row r="3108" ht="14.25" spans="1:8">
      <c r="A3108" s="232">
        <v>576</v>
      </c>
      <c r="B3108" s="183" t="s">
        <v>5101</v>
      </c>
      <c r="C3108" s="175" t="s">
        <v>48</v>
      </c>
      <c r="D3108" s="190">
        <v>0.03</v>
      </c>
      <c r="E3108" s="204" t="s">
        <v>30</v>
      </c>
      <c r="F3108" s="204" t="s">
        <v>201</v>
      </c>
      <c r="G3108" s="175" t="s">
        <v>5102</v>
      </c>
      <c r="H3108" s="175"/>
    </row>
    <row r="3109" ht="14.25" spans="1:8">
      <c r="A3109" s="232">
        <v>577</v>
      </c>
      <c r="B3109" s="184" t="s">
        <v>5103</v>
      </c>
      <c r="C3109" s="175" t="s">
        <v>48</v>
      </c>
      <c r="D3109" s="190">
        <v>0.03</v>
      </c>
      <c r="E3109" s="257" t="s">
        <v>30</v>
      </c>
      <c r="F3109" s="257" t="s">
        <v>201</v>
      </c>
      <c r="G3109" s="175" t="s">
        <v>5104</v>
      </c>
      <c r="H3109" s="175"/>
    </row>
    <row r="3110" ht="14.25" spans="1:8">
      <c r="A3110" s="232">
        <v>578</v>
      </c>
      <c r="B3110" s="184" t="s">
        <v>5105</v>
      </c>
      <c r="C3110" s="175" t="s">
        <v>48</v>
      </c>
      <c r="D3110" s="190">
        <v>0.03</v>
      </c>
      <c r="E3110" s="257" t="s">
        <v>30</v>
      </c>
      <c r="F3110" s="257" t="s">
        <v>201</v>
      </c>
      <c r="G3110" s="175" t="s">
        <v>5106</v>
      </c>
      <c r="H3110" s="175"/>
    </row>
    <row r="3111" ht="14.25" spans="1:8">
      <c r="A3111" s="232">
        <v>579</v>
      </c>
      <c r="B3111" s="184" t="s">
        <v>5107</v>
      </c>
      <c r="C3111" s="175" t="s">
        <v>48</v>
      </c>
      <c r="D3111" s="190">
        <v>0.03</v>
      </c>
      <c r="E3111" s="257" t="s">
        <v>30</v>
      </c>
      <c r="F3111" s="257" t="s">
        <v>201</v>
      </c>
      <c r="G3111" s="175" t="s">
        <v>5108</v>
      </c>
      <c r="H3111" s="175"/>
    </row>
    <row r="3112" ht="14.25" spans="1:8">
      <c r="A3112" s="232">
        <v>580</v>
      </c>
      <c r="B3112" s="184" t="s">
        <v>2579</v>
      </c>
      <c r="C3112" s="175" t="s">
        <v>48</v>
      </c>
      <c r="D3112" s="190">
        <v>0.01</v>
      </c>
      <c r="E3112" s="257" t="s">
        <v>30</v>
      </c>
      <c r="F3112" s="257" t="s">
        <v>201</v>
      </c>
      <c r="G3112" s="175" t="s">
        <v>5109</v>
      </c>
      <c r="H3112" s="175"/>
    </row>
    <row r="3113" ht="14.25" spans="1:8">
      <c r="A3113" s="232">
        <v>581</v>
      </c>
      <c r="B3113" s="184" t="s">
        <v>5110</v>
      </c>
      <c r="C3113" s="175" t="s">
        <v>48</v>
      </c>
      <c r="D3113" s="190">
        <v>0.02</v>
      </c>
      <c r="E3113" s="257" t="s">
        <v>30</v>
      </c>
      <c r="F3113" s="257" t="s">
        <v>201</v>
      </c>
      <c r="G3113" s="175" t="s">
        <v>5111</v>
      </c>
      <c r="H3113" s="175"/>
    </row>
    <row r="3114" ht="14.25" spans="1:8">
      <c r="A3114" s="232">
        <v>582</v>
      </c>
      <c r="B3114" s="184" t="s">
        <v>4551</v>
      </c>
      <c r="C3114" s="175" t="s">
        <v>48</v>
      </c>
      <c r="D3114" s="190">
        <v>0.03</v>
      </c>
      <c r="E3114" s="257" t="s">
        <v>30</v>
      </c>
      <c r="F3114" s="257" t="s">
        <v>201</v>
      </c>
      <c r="G3114" s="175" t="s">
        <v>5112</v>
      </c>
      <c r="H3114" s="175"/>
    </row>
    <row r="3115" ht="14.25" spans="1:8">
      <c r="A3115" s="232">
        <v>583</v>
      </c>
      <c r="B3115" s="184" t="s">
        <v>5113</v>
      </c>
      <c r="C3115" s="175" t="s">
        <v>48</v>
      </c>
      <c r="D3115" s="190">
        <v>0.02</v>
      </c>
      <c r="E3115" s="257" t="s">
        <v>30</v>
      </c>
      <c r="F3115" s="257" t="s">
        <v>201</v>
      </c>
      <c r="G3115" s="175" t="s">
        <v>5114</v>
      </c>
      <c r="H3115" s="175"/>
    </row>
    <row r="3116" ht="14.25" spans="1:8">
      <c r="A3116" s="232">
        <v>584</v>
      </c>
      <c r="B3116" s="184" t="s">
        <v>5115</v>
      </c>
      <c r="C3116" s="175" t="s">
        <v>48</v>
      </c>
      <c r="D3116" s="190">
        <v>0.005</v>
      </c>
      <c r="E3116" s="257" t="s">
        <v>30</v>
      </c>
      <c r="F3116" s="257" t="s">
        <v>201</v>
      </c>
      <c r="G3116" s="175" t="s">
        <v>5116</v>
      </c>
      <c r="H3116" s="175"/>
    </row>
    <row r="3117" ht="14.25" spans="1:8">
      <c r="A3117" s="232">
        <v>585</v>
      </c>
      <c r="B3117" s="184" t="s">
        <v>5117</v>
      </c>
      <c r="C3117" s="175" t="s">
        <v>48</v>
      </c>
      <c r="D3117" s="190">
        <v>0.03</v>
      </c>
      <c r="E3117" s="257" t="s">
        <v>30</v>
      </c>
      <c r="F3117" s="257" t="s">
        <v>201</v>
      </c>
      <c r="G3117" s="175" t="s">
        <v>5118</v>
      </c>
      <c r="H3117" s="175"/>
    </row>
    <row r="3118" ht="14.25" spans="1:8">
      <c r="A3118" s="232">
        <v>586</v>
      </c>
      <c r="B3118" s="183" t="s">
        <v>5119</v>
      </c>
      <c r="C3118" s="175" t="s">
        <v>48</v>
      </c>
      <c r="D3118" s="190">
        <v>0.03</v>
      </c>
      <c r="E3118" s="204" t="s">
        <v>30</v>
      </c>
      <c r="F3118" s="204" t="s">
        <v>201</v>
      </c>
      <c r="G3118" s="175" t="s">
        <v>5120</v>
      </c>
      <c r="H3118" s="175"/>
    </row>
    <row r="3119" ht="14.25" spans="1:8">
      <c r="A3119" s="232">
        <v>587</v>
      </c>
      <c r="B3119" s="183" t="s">
        <v>5121</v>
      </c>
      <c r="C3119" s="175" t="s">
        <v>48</v>
      </c>
      <c r="D3119" s="190">
        <v>0.03</v>
      </c>
      <c r="E3119" s="204" t="s">
        <v>30</v>
      </c>
      <c r="F3119" s="204" t="s">
        <v>201</v>
      </c>
      <c r="G3119" s="175" t="s">
        <v>5122</v>
      </c>
      <c r="H3119" s="175"/>
    </row>
    <row r="3120" ht="14.25" spans="1:8">
      <c r="A3120" s="232">
        <v>588</v>
      </c>
      <c r="B3120" s="183" t="s">
        <v>5123</v>
      </c>
      <c r="C3120" s="175" t="s">
        <v>48</v>
      </c>
      <c r="D3120" s="190">
        <v>0.03</v>
      </c>
      <c r="E3120" s="204" t="s">
        <v>30</v>
      </c>
      <c r="F3120" s="204" t="s">
        <v>201</v>
      </c>
      <c r="G3120" s="175" t="s">
        <v>5124</v>
      </c>
      <c r="H3120" s="175"/>
    </row>
    <row r="3121" ht="14.25" spans="1:8">
      <c r="A3121" s="232">
        <v>589</v>
      </c>
      <c r="B3121" s="183" t="s">
        <v>5125</v>
      </c>
      <c r="C3121" s="175" t="s">
        <v>48</v>
      </c>
      <c r="D3121" s="190">
        <v>0.03</v>
      </c>
      <c r="E3121" s="204" t="s">
        <v>30</v>
      </c>
      <c r="F3121" s="204" t="s">
        <v>201</v>
      </c>
      <c r="G3121" s="175" t="s">
        <v>4215</v>
      </c>
      <c r="H3121" s="175"/>
    </row>
    <row r="3122" ht="14.25" spans="1:8">
      <c r="A3122" s="232">
        <v>590</v>
      </c>
      <c r="B3122" s="183" t="s">
        <v>5126</v>
      </c>
      <c r="C3122" s="175" t="s">
        <v>48</v>
      </c>
      <c r="D3122" s="190">
        <v>0.01</v>
      </c>
      <c r="E3122" s="204" t="s">
        <v>30</v>
      </c>
      <c r="F3122" s="204" t="s">
        <v>201</v>
      </c>
      <c r="G3122" s="175" t="s">
        <v>5127</v>
      </c>
      <c r="H3122" s="175"/>
    </row>
    <row r="3123" ht="14.25" spans="1:8">
      <c r="A3123" s="232">
        <v>591</v>
      </c>
      <c r="B3123" s="183" t="s">
        <v>5128</v>
      </c>
      <c r="C3123" s="175" t="s">
        <v>48</v>
      </c>
      <c r="D3123" s="190">
        <v>0.03</v>
      </c>
      <c r="E3123" s="204" t="s">
        <v>30</v>
      </c>
      <c r="F3123" s="204" t="s">
        <v>201</v>
      </c>
      <c r="G3123" s="175" t="s">
        <v>5129</v>
      </c>
      <c r="H3123" s="175"/>
    </row>
    <row r="3124" ht="14.25" spans="1:8">
      <c r="A3124" s="232">
        <v>592</v>
      </c>
      <c r="B3124" s="183" t="s">
        <v>5130</v>
      </c>
      <c r="C3124" s="175" t="s">
        <v>48</v>
      </c>
      <c r="D3124" s="190">
        <v>0.03</v>
      </c>
      <c r="E3124" s="204" t="s">
        <v>30</v>
      </c>
      <c r="F3124" s="204" t="s">
        <v>201</v>
      </c>
      <c r="G3124" s="175" t="s">
        <v>5131</v>
      </c>
      <c r="H3124" s="175"/>
    </row>
    <row r="3125" ht="14.25" spans="1:8">
      <c r="A3125" s="232">
        <v>593</v>
      </c>
      <c r="B3125" s="183" t="s">
        <v>3061</v>
      </c>
      <c r="C3125" s="175" t="s">
        <v>48</v>
      </c>
      <c r="D3125" s="190">
        <v>0.03</v>
      </c>
      <c r="E3125" s="204" t="s">
        <v>30</v>
      </c>
      <c r="F3125" s="204" t="s">
        <v>201</v>
      </c>
      <c r="G3125" s="175" t="s">
        <v>5132</v>
      </c>
      <c r="H3125" s="175"/>
    </row>
    <row r="3126" ht="14.25" spans="1:8">
      <c r="A3126" s="232">
        <v>594</v>
      </c>
      <c r="B3126" s="183" t="s">
        <v>5133</v>
      </c>
      <c r="C3126" s="175" t="s">
        <v>48</v>
      </c>
      <c r="D3126" s="190">
        <v>0.03</v>
      </c>
      <c r="E3126" s="204" t="s">
        <v>30</v>
      </c>
      <c r="F3126" s="204" t="s">
        <v>201</v>
      </c>
      <c r="G3126" s="175" t="s">
        <v>5134</v>
      </c>
      <c r="H3126" s="175"/>
    </row>
    <row r="3127" ht="14.25" spans="1:8">
      <c r="A3127" s="232">
        <v>595</v>
      </c>
      <c r="B3127" s="183" t="s">
        <v>5135</v>
      </c>
      <c r="C3127" s="175" t="s">
        <v>48</v>
      </c>
      <c r="D3127" s="190">
        <v>0.02</v>
      </c>
      <c r="E3127" s="204" t="s">
        <v>30</v>
      </c>
      <c r="F3127" s="204" t="s">
        <v>201</v>
      </c>
      <c r="G3127" s="175" t="s">
        <v>5136</v>
      </c>
      <c r="H3127" s="175"/>
    </row>
    <row r="3128" ht="14.25" spans="1:8">
      <c r="A3128" s="232">
        <v>596</v>
      </c>
      <c r="B3128" s="183" t="s">
        <v>5137</v>
      </c>
      <c r="C3128" s="175" t="s">
        <v>48</v>
      </c>
      <c r="D3128" s="190">
        <v>0.03</v>
      </c>
      <c r="E3128" s="204" t="s">
        <v>30</v>
      </c>
      <c r="F3128" s="204" t="s">
        <v>201</v>
      </c>
      <c r="G3128" s="175" t="s">
        <v>5138</v>
      </c>
      <c r="H3128" s="175"/>
    </row>
    <row r="3129" ht="14.25" spans="1:8">
      <c r="A3129" s="232">
        <v>597</v>
      </c>
      <c r="B3129" s="183" t="s">
        <v>5139</v>
      </c>
      <c r="C3129" s="175" t="s">
        <v>48</v>
      </c>
      <c r="D3129" s="190">
        <v>0.03</v>
      </c>
      <c r="E3129" s="204" t="s">
        <v>30</v>
      </c>
      <c r="F3129" s="204" t="s">
        <v>201</v>
      </c>
      <c r="G3129" s="175" t="s">
        <v>5140</v>
      </c>
      <c r="H3129" s="175"/>
    </row>
    <row r="3130" ht="14.25" spans="1:8">
      <c r="A3130" s="232">
        <v>598</v>
      </c>
      <c r="B3130" s="183" t="s">
        <v>5139</v>
      </c>
      <c r="C3130" s="175" t="s">
        <v>48</v>
      </c>
      <c r="D3130" s="190">
        <v>0.03</v>
      </c>
      <c r="E3130" s="204" t="s">
        <v>30</v>
      </c>
      <c r="F3130" s="204" t="s">
        <v>201</v>
      </c>
      <c r="G3130" s="175" t="s">
        <v>5141</v>
      </c>
      <c r="H3130" s="175"/>
    </row>
    <row r="3131" ht="14.25" spans="1:8">
      <c r="A3131" s="232">
        <v>599</v>
      </c>
      <c r="B3131" s="183" t="s">
        <v>5139</v>
      </c>
      <c r="C3131" s="175" t="s">
        <v>48</v>
      </c>
      <c r="D3131" s="190">
        <v>0.03</v>
      </c>
      <c r="E3131" s="204" t="s">
        <v>30</v>
      </c>
      <c r="F3131" s="204" t="s">
        <v>201</v>
      </c>
      <c r="G3131" s="175" t="s">
        <v>5142</v>
      </c>
      <c r="H3131" s="175"/>
    </row>
    <row r="3132" ht="14.25" spans="1:8">
      <c r="A3132" s="232">
        <v>600</v>
      </c>
      <c r="B3132" s="183" t="s">
        <v>5143</v>
      </c>
      <c r="C3132" s="175" t="s">
        <v>48</v>
      </c>
      <c r="D3132" s="190">
        <v>0.03</v>
      </c>
      <c r="E3132" s="204" t="s">
        <v>30</v>
      </c>
      <c r="F3132" s="204" t="s">
        <v>201</v>
      </c>
      <c r="G3132" s="175" t="s">
        <v>5144</v>
      </c>
      <c r="H3132" s="175"/>
    </row>
    <row r="3133" ht="14.25" spans="1:8">
      <c r="A3133" s="232">
        <v>601</v>
      </c>
      <c r="B3133" s="183" t="s">
        <v>5145</v>
      </c>
      <c r="C3133" s="175" t="s">
        <v>48</v>
      </c>
      <c r="D3133" s="190">
        <v>0.02</v>
      </c>
      <c r="E3133" s="204" t="s">
        <v>30</v>
      </c>
      <c r="F3133" s="204" t="s">
        <v>201</v>
      </c>
      <c r="G3133" s="175" t="s">
        <v>5146</v>
      </c>
      <c r="H3133" s="175"/>
    </row>
    <row r="3134" ht="14.25" spans="1:8">
      <c r="A3134" s="232">
        <v>602</v>
      </c>
      <c r="B3134" s="183" t="s">
        <v>4718</v>
      </c>
      <c r="C3134" s="175" t="s">
        <v>48</v>
      </c>
      <c r="D3134" s="190">
        <v>0.03</v>
      </c>
      <c r="E3134" s="204" t="s">
        <v>30</v>
      </c>
      <c r="F3134" s="204" t="s">
        <v>201</v>
      </c>
      <c r="G3134" s="175" t="s">
        <v>5147</v>
      </c>
      <c r="H3134" s="175"/>
    </row>
    <row r="3135" ht="14.25" spans="1:8">
      <c r="A3135" s="232">
        <v>603</v>
      </c>
      <c r="B3135" s="183" t="s">
        <v>5148</v>
      </c>
      <c r="C3135" s="175" t="s">
        <v>48</v>
      </c>
      <c r="D3135" s="190">
        <v>0.03</v>
      </c>
      <c r="E3135" s="204" t="s">
        <v>30</v>
      </c>
      <c r="F3135" s="204" t="s">
        <v>201</v>
      </c>
      <c r="G3135" s="175" t="s">
        <v>5149</v>
      </c>
      <c r="H3135" s="175"/>
    </row>
    <row r="3136" ht="14.25" spans="1:8">
      <c r="A3136" s="232">
        <v>604</v>
      </c>
      <c r="B3136" s="183" t="s">
        <v>3152</v>
      </c>
      <c r="C3136" s="175" t="s">
        <v>48</v>
      </c>
      <c r="D3136" s="190">
        <v>0.03</v>
      </c>
      <c r="E3136" s="204" t="s">
        <v>30</v>
      </c>
      <c r="F3136" s="204" t="s">
        <v>201</v>
      </c>
      <c r="G3136" s="175" t="s">
        <v>5150</v>
      </c>
      <c r="H3136" s="175"/>
    </row>
    <row r="3137" ht="14.25" spans="1:8">
      <c r="A3137" s="232">
        <v>605</v>
      </c>
      <c r="B3137" s="183" t="s">
        <v>5151</v>
      </c>
      <c r="C3137" s="175" t="s">
        <v>48</v>
      </c>
      <c r="D3137" s="190">
        <v>0.02</v>
      </c>
      <c r="E3137" s="204" t="s">
        <v>30</v>
      </c>
      <c r="F3137" s="204" t="s">
        <v>201</v>
      </c>
      <c r="G3137" s="175" t="s">
        <v>4181</v>
      </c>
      <c r="H3137" s="175"/>
    </row>
    <row r="3138" ht="14.25" spans="1:8">
      <c r="A3138" s="232">
        <v>606</v>
      </c>
      <c r="B3138" s="183" t="s">
        <v>1391</v>
      </c>
      <c r="C3138" s="175" t="s">
        <v>48</v>
      </c>
      <c r="D3138" s="190">
        <v>0.03</v>
      </c>
      <c r="E3138" s="204" t="s">
        <v>30</v>
      </c>
      <c r="F3138" s="204" t="s">
        <v>201</v>
      </c>
      <c r="G3138" s="175" t="s">
        <v>4737</v>
      </c>
      <c r="H3138" s="175"/>
    </row>
    <row r="3139" ht="14.25" spans="1:8">
      <c r="A3139" s="232">
        <v>607</v>
      </c>
      <c r="B3139" s="184" t="s">
        <v>4898</v>
      </c>
      <c r="C3139" s="175" t="s">
        <v>48</v>
      </c>
      <c r="D3139" s="190">
        <v>0.02</v>
      </c>
      <c r="E3139" s="257" t="s">
        <v>30</v>
      </c>
      <c r="F3139" s="257" t="s">
        <v>201</v>
      </c>
      <c r="G3139" s="175" t="s">
        <v>4902</v>
      </c>
      <c r="H3139" s="175"/>
    </row>
    <row r="3140" ht="14.25" spans="1:8">
      <c r="A3140" s="232">
        <v>608</v>
      </c>
      <c r="B3140" s="184" t="s">
        <v>4898</v>
      </c>
      <c r="C3140" s="175" t="s">
        <v>48</v>
      </c>
      <c r="D3140" s="190">
        <v>0.02</v>
      </c>
      <c r="E3140" s="257" t="s">
        <v>30</v>
      </c>
      <c r="F3140" s="257" t="s">
        <v>201</v>
      </c>
      <c r="G3140" s="175" t="s">
        <v>4903</v>
      </c>
      <c r="H3140" s="175"/>
    </row>
    <row r="3141" ht="14.25" spans="1:8">
      <c r="A3141" s="232">
        <v>609</v>
      </c>
      <c r="B3141" s="184" t="s">
        <v>4898</v>
      </c>
      <c r="C3141" s="175" t="s">
        <v>48</v>
      </c>
      <c r="D3141" s="190">
        <v>0.02</v>
      </c>
      <c r="E3141" s="257" t="s">
        <v>30</v>
      </c>
      <c r="F3141" s="257" t="s">
        <v>201</v>
      </c>
      <c r="G3141" s="175" t="s">
        <v>4899</v>
      </c>
      <c r="H3141" s="175"/>
    </row>
    <row r="3142" ht="14.25" spans="1:8">
      <c r="A3142" s="232">
        <v>610</v>
      </c>
      <c r="B3142" s="184" t="s">
        <v>4898</v>
      </c>
      <c r="C3142" s="175" t="s">
        <v>48</v>
      </c>
      <c r="D3142" s="190">
        <v>0.02</v>
      </c>
      <c r="E3142" s="257" t="s">
        <v>30</v>
      </c>
      <c r="F3142" s="257" t="s">
        <v>201</v>
      </c>
      <c r="G3142" s="175" t="s">
        <v>4907</v>
      </c>
      <c r="H3142" s="175"/>
    </row>
    <row r="3143" ht="14.25" spans="1:8">
      <c r="A3143" s="232">
        <v>611</v>
      </c>
      <c r="B3143" s="184" t="s">
        <v>5152</v>
      </c>
      <c r="C3143" s="175" t="s">
        <v>48</v>
      </c>
      <c r="D3143" s="190">
        <v>0.02</v>
      </c>
      <c r="E3143" s="257" t="s">
        <v>30</v>
      </c>
      <c r="F3143" s="257" t="s">
        <v>201</v>
      </c>
      <c r="G3143" s="175" t="s">
        <v>5153</v>
      </c>
      <c r="H3143" s="175"/>
    </row>
    <row r="3144" ht="14.25" spans="1:8">
      <c r="A3144" s="232">
        <v>612</v>
      </c>
      <c r="B3144" s="184" t="s">
        <v>5152</v>
      </c>
      <c r="C3144" s="175" t="s">
        <v>48</v>
      </c>
      <c r="D3144" s="190">
        <v>0.02</v>
      </c>
      <c r="E3144" s="257" t="s">
        <v>30</v>
      </c>
      <c r="F3144" s="257" t="s">
        <v>201</v>
      </c>
      <c r="G3144" s="175" t="s">
        <v>5154</v>
      </c>
      <c r="H3144" s="175"/>
    </row>
    <row r="3145" ht="14.25" spans="1:8">
      <c r="A3145" s="232">
        <v>613</v>
      </c>
      <c r="B3145" s="184" t="s">
        <v>4325</v>
      </c>
      <c r="C3145" s="175" t="s">
        <v>48</v>
      </c>
      <c r="D3145" s="190">
        <v>0.02</v>
      </c>
      <c r="E3145" s="257" t="s">
        <v>30</v>
      </c>
      <c r="F3145" s="257" t="s">
        <v>201</v>
      </c>
      <c r="G3145" s="175" t="s">
        <v>5155</v>
      </c>
      <c r="H3145" s="175"/>
    </row>
    <row r="3146" ht="14.25" spans="1:8">
      <c r="A3146" s="232">
        <v>614</v>
      </c>
      <c r="B3146" s="184" t="s">
        <v>4325</v>
      </c>
      <c r="C3146" s="175" t="s">
        <v>48</v>
      </c>
      <c r="D3146" s="190">
        <v>0.02</v>
      </c>
      <c r="E3146" s="257" t="s">
        <v>30</v>
      </c>
      <c r="F3146" s="257" t="s">
        <v>201</v>
      </c>
      <c r="G3146" s="175" t="s">
        <v>5156</v>
      </c>
      <c r="H3146" s="175"/>
    </row>
    <row r="3147" ht="14.25" spans="1:8">
      <c r="A3147" s="232">
        <v>615</v>
      </c>
      <c r="B3147" s="184" t="s">
        <v>4904</v>
      </c>
      <c r="C3147" s="175" t="s">
        <v>48</v>
      </c>
      <c r="D3147" s="190">
        <v>0.02</v>
      </c>
      <c r="E3147" s="257" t="s">
        <v>30</v>
      </c>
      <c r="F3147" s="257" t="s">
        <v>201</v>
      </c>
      <c r="G3147" s="175" t="s">
        <v>4906</v>
      </c>
      <c r="H3147" s="175"/>
    </row>
    <row r="3148" ht="14.25" spans="1:8">
      <c r="A3148" s="232">
        <v>616</v>
      </c>
      <c r="B3148" s="184" t="s">
        <v>4904</v>
      </c>
      <c r="C3148" s="175" t="s">
        <v>48</v>
      </c>
      <c r="D3148" s="190">
        <v>0.02</v>
      </c>
      <c r="E3148" s="257" t="s">
        <v>30</v>
      </c>
      <c r="F3148" s="257" t="s">
        <v>201</v>
      </c>
      <c r="G3148" s="175" t="s">
        <v>4905</v>
      </c>
      <c r="H3148" s="175"/>
    </row>
    <row r="3149" ht="14.25" spans="1:8">
      <c r="A3149" s="232">
        <v>617</v>
      </c>
      <c r="B3149" s="184" t="s">
        <v>5157</v>
      </c>
      <c r="C3149" s="175" t="s">
        <v>48</v>
      </c>
      <c r="D3149" s="190">
        <v>0.03</v>
      </c>
      <c r="E3149" s="257" t="s">
        <v>30</v>
      </c>
      <c r="F3149" s="257" t="s">
        <v>201</v>
      </c>
      <c r="G3149" s="175" t="s">
        <v>4900</v>
      </c>
      <c r="H3149" s="175"/>
    </row>
    <row r="3150" ht="14.25" spans="1:8">
      <c r="A3150" s="232">
        <v>618</v>
      </c>
      <c r="B3150" s="184" t="s">
        <v>5158</v>
      </c>
      <c r="C3150" s="175" t="s">
        <v>48</v>
      </c>
      <c r="D3150" s="190">
        <v>0.01</v>
      </c>
      <c r="E3150" s="257" t="s">
        <v>30</v>
      </c>
      <c r="F3150" s="257" t="s">
        <v>201</v>
      </c>
      <c r="G3150" s="175" t="s">
        <v>4895</v>
      </c>
      <c r="H3150" s="175"/>
    </row>
    <row r="3151" ht="14.25" spans="1:8">
      <c r="A3151" s="232">
        <v>619</v>
      </c>
      <c r="B3151" s="184" t="s">
        <v>5158</v>
      </c>
      <c r="C3151" s="175" t="s">
        <v>48</v>
      </c>
      <c r="D3151" s="190">
        <v>0.01</v>
      </c>
      <c r="E3151" s="257" t="s">
        <v>30</v>
      </c>
      <c r="F3151" s="257" t="s">
        <v>201</v>
      </c>
      <c r="G3151" s="175" t="s">
        <v>4894</v>
      </c>
      <c r="H3151" s="175"/>
    </row>
    <row r="3152" ht="14.25" spans="1:8">
      <c r="A3152" s="232">
        <v>620</v>
      </c>
      <c r="B3152" s="184" t="s">
        <v>5158</v>
      </c>
      <c r="C3152" s="175" t="s">
        <v>48</v>
      </c>
      <c r="D3152" s="190">
        <v>0.01</v>
      </c>
      <c r="E3152" s="257" t="s">
        <v>30</v>
      </c>
      <c r="F3152" s="257" t="s">
        <v>201</v>
      </c>
      <c r="G3152" s="175" t="s">
        <v>4893</v>
      </c>
      <c r="H3152" s="175"/>
    </row>
    <row r="3153" ht="14.25" spans="1:8">
      <c r="A3153" s="232">
        <v>621</v>
      </c>
      <c r="B3153" s="184" t="s">
        <v>5158</v>
      </c>
      <c r="C3153" s="175" t="s">
        <v>48</v>
      </c>
      <c r="D3153" s="190">
        <v>0.01</v>
      </c>
      <c r="E3153" s="257" t="s">
        <v>30</v>
      </c>
      <c r="F3153" s="257" t="s">
        <v>201</v>
      </c>
      <c r="G3153" s="175" t="s">
        <v>4892</v>
      </c>
      <c r="H3153" s="175"/>
    </row>
    <row r="3154" ht="14.25" spans="1:8">
      <c r="A3154" s="232">
        <v>622</v>
      </c>
      <c r="B3154" s="184" t="s">
        <v>5158</v>
      </c>
      <c r="C3154" s="175" t="s">
        <v>48</v>
      </c>
      <c r="D3154" s="190">
        <v>0.01</v>
      </c>
      <c r="E3154" s="257" t="s">
        <v>30</v>
      </c>
      <c r="F3154" s="257" t="s">
        <v>201</v>
      </c>
      <c r="G3154" s="175" t="s">
        <v>4891</v>
      </c>
      <c r="H3154" s="175"/>
    </row>
    <row r="3155" ht="14.25" spans="1:8">
      <c r="A3155" s="232">
        <v>623</v>
      </c>
      <c r="B3155" s="184" t="s">
        <v>5158</v>
      </c>
      <c r="C3155" s="175" t="s">
        <v>48</v>
      </c>
      <c r="D3155" s="190">
        <v>0.01</v>
      </c>
      <c r="E3155" s="257" t="s">
        <v>30</v>
      </c>
      <c r="F3155" s="257" t="s">
        <v>201</v>
      </c>
      <c r="G3155" s="175" t="s">
        <v>4890</v>
      </c>
      <c r="H3155" s="175"/>
    </row>
    <row r="3156" ht="14.25" spans="1:8">
      <c r="A3156" s="232">
        <v>624</v>
      </c>
      <c r="B3156" s="184" t="s">
        <v>5158</v>
      </c>
      <c r="C3156" s="175" t="s">
        <v>48</v>
      </c>
      <c r="D3156" s="190">
        <v>0.01</v>
      </c>
      <c r="E3156" s="257" t="s">
        <v>30</v>
      </c>
      <c r="F3156" s="257" t="s">
        <v>201</v>
      </c>
      <c r="G3156" s="175" t="s">
        <v>4889</v>
      </c>
      <c r="H3156" s="175"/>
    </row>
    <row r="3157" ht="14.25" spans="1:8">
      <c r="A3157" s="232">
        <v>625</v>
      </c>
      <c r="B3157" s="184" t="s">
        <v>5158</v>
      </c>
      <c r="C3157" s="175" t="s">
        <v>48</v>
      </c>
      <c r="D3157" s="190">
        <v>0.01</v>
      </c>
      <c r="E3157" s="257" t="s">
        <v>30</v>
      </c>
      <c r="F3157" s="257" t="s">
        <v>201</v>
      </c>
      <c r="G3157" s="175" t="s">
        <v>4888</v>
      </c>
      <c r="H3157" s="175"/>
    </row>
    <row r="3158" ht="14.25" spans="1:8">
      <c r="A3158" s="232">
        <v>626</v>
      </c>
      <c r="B3158" s="184" t="s">
        <v>5159</v>
      </c>
      <c r="C3158" s="175" t="s">
        <v>48</v>
      </c>
      <c r="D3158" s="190">
        <v>0.01</v>
      </c>
      <c r="E3158" s="257" t="s">
        <v>30</v>
      </c>
      <c r="F3158" s="257" t="s">
        <v>201</v>
      </c>
      <c r="G3158" s="175" t="s">
        <v>4237</v>
      </c>
      <c r="H3158" s="175"/>
    </row>
    <row r="3159" ht="14.25" spans="1:8">
      <c r="A3159" s="232">
        <v>627</v>
      </c>
      <c r="B3159" s="184" t="s">
        <v>5160</v>
      </c>
      <c r="C3159" s="175" t="s">
        <v>48</v>
      </c>
      <c r="D3159" s="190">
        <v>0.03</v>
      </c>
      <c r="E3159" s="257" t="s">
        <v>30</v>
      </c>
      <c r="F3159" s="257" t="s">
        <v>201</v>
      </c>
      <c r="G3159" s="175" t="s">
        <v>5161</v>
      </c>
      <c r="H3159" s="175"/>
    </row>
    <row r="3160" ht="14.25" spans="1:8">
      <c r="A3160" s="232">
        <v>628</v>
      </c>
      <c r="B3160" s="184" t="s">
        <v>5162</v>
      </c>
      <c r="C3160" s="175" t="s">
        <v>48</v>
      </c>
      <c r="D3160" s="190">
        <v>0.03</v>
      </c>
      <c r="E3160" s="257" t="s">
        <v>30</v>
      </c>
      <c r="F3160" s="257" t="s">
        <v>201</v>
      </c>
      <c r="G3160" s="175" t="s">
        <v>5163</v>
      </c>
      <c r="H3160" s="175"/>
    </row>
    <row r="3161" ht="14.25" spans="1:8">
      <c r="A3161" s="232">
        <v>629</v>
      </c>
      <c r="B3161" s="184" t="s">
        <v>5164</v>
      </c>
      <c r="C3161" s="175" t="s">
        <v>48</v>
      </c>
      <c r="D3161" s="190">
        <v>0.03</v>
      </c>
      <c r="E3161" s="257" t="s">
        <v>30</v>
      </c>
      <c r="F3161" s="257" t="s">
        <v>201</v>
      </c>
      <c r="G3161" s="175" t="s">
        <v>5165</v>
      </c>
      <c r="H3161" s="175"/>
    </row>
    <row r="3162" ht="14.25" spans="1:8">
      <c r="A3162" s="232">
        <v>630</v>
      </c>
      <c r="B3162" s="184" t="s">
        <v>2152</v>
      </c>
      <c r="C3162" s="175" t="s">
        <v>48</v>
      </c>
      <c r="D3162" s="190">
        <v>0.01</v>
      </c>
      <c r="E3162" s="257" t="s">
        <v>30</v>
      </c>
      <c r="F3162" s="257" t="s">
        <v>201</v>
      </c>
      <c r="G3162" s="175" t="s">
        <v>5166</v>
      </c>
      <c r="H3162" s="175"/>
    </row>
    <row r="3163" ht="14.25" spans="1:8">
      <c r="A3163" s="232">
        <v>631</v>
      </c>
      <c r="B3163" s="184" t="s">
        <v>5167</v>
      </c>
      <c r="C3163" s="175" t="s">
        <v>48</v>
      </c>
      <c r="D3163" s="190">
        <v>0.02</v>
      </c>
      <c r="E3163" s="257" t="s">
        <v>30</v>
      </c>
      <c r="F3163" s="257" t="s">
        <v>201</v>
      </c>
      <c r="G3163" s="175" t="s">
        <v>5168</v>
      </c>
      <c r="H3163" s="175"/>
    </row>
    <row r="3164" ht="14.25" spans="1:8">
      <c r="A3164" s="232">
        <v>632</v>
      </c>
      <c r="B3164" s="184" t="s">
        <v>5167</v>
      </c>
      <c r="C3164" s="175" t="s">
        <v>48</v>
      </c>
      <c r="D3164" s="190">
        <v>0.02</v>
      </c>
      <c r="E3164" s="257" t="s">
        <v>30</v>
      </c>
      <c r="F3164" s="257" t="s">
        <v>201</v>
      </c>
      <c r="G3164" s="175" t="s">
        <v>5169</v>
      </c>
      <c r="H3164" s="175"/>
    </row>
    <row r="3165" ht="14.25" spans="1:8">
      <c r="A3165" s="232">
        <v>633</v>
      </c>
      <c r="B3165" s="184" t="s">
        <v>5170</v>
      </c>
      <c r="C3165" s="175" t="s">
        <v>48</v>
      </c>
      <c r="D3165" s="190">
        <v>0.03</v>
      </c>
      <c r="E3165" s="257" t="s">
        <v>30</v>
      </c>
      <c r="F3165" s="257" t="s">
        <v>201</v>
      </c>
      <c r="G3165" s="175" t="s">
        <v>5171</v>
      </c>
      <c r="H3165" s="175"/>
    </row>
    <row r="3166" ht="14.25" spans="1:8">
      <c r="A3166" s="232">
        <v>634</v>
      </c>
      <c r="B3166" s="184" t="s">
        <v>5172</v>
      </c>
      <c r="C3166" s="175" t="s">
        <v>48</v>
      </c>
      <c r="D3166" s="190">
        <v>0.03</v>
      </c>
      <c r="E3166" s="257" t="s">
        <v>30</v>
      </c>
      <c r="F3166" s="257" t="s">
        <v>201</v>
      </c>
      <c r="G3166" s="175" t="s">
        <v>5173</v>
      </c>
      <c r="H3166" s="175"/>
    </row>
    <row r="3167" ht="14.25" spans="1:8">
      <c r="A3167" s="232">
        <v>635</v>
      </c>
      <c r="B3167" s="184" t="s">
        <v>5174</v>
      </c>
      <c r="C3167" s="175" t="s">
        <v>48</v>
      </c>
      <c r="D3167" s="190">
        <v>0.03</v>
      </c>
      <c r="E3167" s="257" t="s">
        <v>30</v>
      </c>
      <c r="F3167" s="257" t="s">
        <v>201</v>
      </c>
      <c r="G3167" s="175" t="s">
        <v>5175</v>
      </c>
      <c r="H3167" s="175"/>
    </row>
    <row r="3168" ht="14.25" spans="1:8">
      <c r="A3168" s="232">
        <v>636</v>
      </c>
      <c r="B3168" s="184" t="s">
        <v>5174</v>
      </c>
      <c r="C3168" s="175" t="s">
        <v>48</v>
      </c>
      <c r="D3168" s="190">
        <v>0.03</v>
      </c>
      <c r="E3168" s="257" t="s">
        <v>30</v>
      </c>
      <c r="F3168" s="257" t="s">
        <v>201</v>
      </c>
      <c r="G3168" s="175" t="s">
        <v>5176</v>
      </c>
      <c r="H3168" s="175"/>
    </row>
    <row r="3169" ht="14.25" spans="1:8">
      <c r="A3169" s="232">
        <v>637</v>
      </c>
      <c r="B3169" s="184" t="s">
        <v>5174</v>
      </c>
      <c r="C3169" s="175" t="s">
        <v>48</v>
      </c>
      <c r="D3169" s="190">
        <v>0.03</v>
      </c>
      <c r="E3169" s="257" t="s">
        <v>30</v>
      </c>
      <c r="F3169" s="257" t="s">
        <v>201</v>
      </c>
      <c r="G3169" s="175" t="s">
        <v>5177</v>
      </c>
      <c r="H3169" s="175"/>
    </row>
    <row r="3170" ht="14.25" spans="1:8">
      <c r="A3170" s="232">
        <v>638</v>
      </c>
      <c r="B3170" s="184" t="s">
        <v>512</v>
      </c>
      <c r="C3170" s="175" t="s">
        <v>48</v>
      </c>
      <c r="D3170" s="190">
        <v>0.03</v>
      </c>
      <c r="E3170" s="257" t="s">
        <v>30</v>
      </c>
      <c r="F3170" s="257" t="s">
        <v>201</v>
      </c>
      <c r="G3170" s="175" t="s">
        <v>5178</v>
      </c>
      <c r="H3170" s="175"/>
    </row>
    <row r="3171" ht="14.25" spans="1:8">
      <c r="A3171" s="232">
        <v>639</v>
      </c>
      <c r="B3171" s="184" t="s">
        <v>5179</v>
      </c>
      <c r="C3171" s="175" t="s">
        <v>48</v>
      </c>
      <c r="D3171" s="190">
        <v>0.025</v>
      </c>
      <c r="E3171" s="257" t="s">
        <v>30</v>
      </c>
      <c r="F3171" s="257" t="s">
        <v>201</v>
      </c>
      <c r="G3171" s="175" t="s">
        <v>5180</v>
      </c>
      <c r="H3171" s="175"/>
    </row>
    <row r="3172" ht="14.25" spans="1:8">
      <c r="A3172" s="232">
        <v>640</v>
      </c>
      <c r="B3172" s="184" t="s">
        <v>5174</v>
      </c>
      <c r="C3172" s="175" t="s">
        <v>48</v>
      </c>
      <c r="D3172" s="190">
        <v>0.03</v>
      </c>
      <c r="E3172" s="257" t="s">
        <v>30</v>
      </c>
      <c r="F3172" s="257" t="s">
        <v>201</v>
      </c>
      <c r="G3172" s="175" t="s">
        <v>5181</v>
      </c>
      <c r="H3172" s="175"/>
    </row>
    <row r="3173" ht="14.25" spans="1:8">
      <c r="A3173" s="232">
        <v>641</v>
      </c>
      <c r="B3173" s="184" t="s">
        <v>5174</v>
      </c>
      <c r="C3173" s="175" t="s">
        <v>48</v>
      </c>
      <c r="D3173" s="190">
        <v>0.03</v>
      </c>
      <c r="E3173" s="257" t="s">
        <v>30</v>
      </c>
      <c r="F3173" s="257" t="s">
        <v>201</v>
      </c>
      <c r="G3173" s="175" t="s">
        <v>5182</v>
      </c>
      <c r="H3173" s="175"/>
    </row>
    <row r="3174" ht="14.25" spans="1:8">
      <c r="A3174" s="232">
        <v>642</v>
      </c>
      <c r="B3174" s="184" t="s">
        <v>4875</v>
      </c>
      <c r="C3174" s="175" t="s">
        <v>48</v>
      </c>
      <c r="D3174" s="190">
        <v>0.03</v>
      </c>
      <c r="E3174" s="257" t="s">
        <v>30</v>
      </c>
      <c r="F3174" s="257" t="s">
        <v>201</v>
      </c>
      <c r="G3174" s="175" t="s">
        <v>5183</v>
      </c>
      <c r="H3174" s="175"/>
    </row>
    <row r="3175" ht="14.25" spans="1:8">
      <c r="A3175" s="232">
        <v>643</v>
      </c>
      <c r="B3175" s="184" t="s">
        <v>5184</v>
      </c>
      <c r="C3175" s="175" t="s">
        <v>48</v>
      </c>
      <c r="D3175" s="190">
        <v>0.01</v>
      </c>
      <c r="E3175" s="257" t="s">
        <v>30</v>
      </c>
      <c r="F3175" s="257" t="s">
        <v>201</v>
      </c>
      <c r="G3175" s="175" t="s">
        <v>5185</v>
      </c>
      <c r="H3175" s="175"/>
    </row>
    <row r="3176" ht="14.25" spans="1:8">
      <c r="A3176" s="232">
        <v>644</v>
      </c>
      <c r="B3176" s="183" t="s">
        <v>5186</v>
      </c>
      <c r="C3176" s="175" t="s">
        <v>48</v>
      </c>
      <c r="D3176" s="190">
        <v>0.03</v>
      </c>
      <c r="E3176" s="204" t="s">
        <v>30</v>
      </c>
      <c r="F3176" s="204" t="s">
        <v>201</v>
      </c>
      <c r="G3176" s="175" t="s">
        <v>5187</v>
      </c>
      <c r="H3176" s="175"/>
    </row>
    <row r="3177" ht="14.25" spans="1:8">
      <c r="A3177" s="232">
        <v>645</v>
      </c>
      <c r="B3177" s="183" t="s">
        <v>2417</v>
      </c>
      <c r="C3177" s="175" t="s">
        <v>48</v>
      </c>
      <c r="D3177" s="190">
        <v>0.02</v>
      </c>
      <c r="E3177" s="204" t="s">
        <v>30</v>
      </c>
      <c r="F3177" s="204" t="s">
        <v>201</v>
      </c>
      <c r="G3177" s="175" t="s">
        <v>5188</v>
      </c>
      <c r="H3177" s="175"/>
    </row>
    <row r="3178" ht="14.25" spans="1:8">
      <c r="A3178" s="232">
        <v>646</v>
      </c>
      <c r="B3178" s="183" t="s">
        <v>5189</v>
      </c>
      <c r="C3178" s="175" t="s">
        <v>48</v>
      </c>
      <c r="D3178" s="190">
        <v>0.02</v>
      </c>
      <c r="E3178" s="204" t="s">
        <v>30</v>
      </c>
      <c r="F3178" s="204" t="s">
        <v>201</v>
      </c>
      <c r="G3178" s="175" t="s">
        <v>5190</v>
      </c>
      <c r="H3178" s="175"/>
    </row>
    <row r="3179" ht="14.25" spans="1:8">
      <c r="A3179" s="232">
        <v>647</v>
      </c>
      <c r="B3179" s="183" t="s">
        <v>2417</v>
      </c>
      <c r="C3179" s="175" t="s">
        <v>48</v>
      </c>
      <c r="D3179" s="190">
        <v>0.02</v>
      </c>
      <c r="E3179" s="204" t="s">
        <v>30</v>
      </c>
      <c r="F3179" s="204" t="s">
        <v>201</v>
      </c>
      <c r="G3179" s="175" t="s">
        <v>5191</v>
      </c>
      <c r="H3179" s="175"/>
    </row>
    <row r="3180" ht="14.25" spans="1:8">
      <c r="A3180" s="232">
        <v>648</v>
      </c>
      <c r="B3180" s="184" t="s">
        <v>5192</v>
      </c>
      <c r="C3180" s="175" t="s">
        <v>48</v>
      </c>
      <c r="D3180" s="190">
        <v>0.02</v>
      </c>
      <c r="E3180" s="257" t="s">
        <v>30</v>
      </c>
      <c r="F3180" s="257" t="s">
        <v>201</v>
      </c>
      <c r="G3180" s="175" t="s">
        <v>5193</v>
      </c>
      <c r="H3180" s="175"/>
    </row>
    <row r="3181" ht="14.25" spans="1:8">
      <c r="A3181" s="232">
        <v>649</v>
      </c>
      <c r="B3181" s="184" t="s">
        <v>5194</v>
      </c>
      <c r="C3181" s="175" t="s">
        <v>48</v>
      </c>
      <c r="D3181" s="190">
        <v>0.03</v>
      </c>
      <c r="E3181" s="257" t="s">
        <v>30</v>
      </c>
      <c r="F3181" s="257" t="s">
        <v>201</v>
      </c>
      <c r="G3181" s="175" t="s">
        <v>5195</v>
      </c>
      <c r="H3181" s="175"/>
    </row>
    <row r="3182" ht="14.25" spans="1:8">
      <c r="A3182" s="232">
        <v>650</v>
      </c>
      <c r="B3182" s="184" t="s">
        <v>5196</v>
      </c>
      <c r="C3182" s="175" t="s">
        <v>48</v>
      </c>
      <c r="D3182" s="190">
        <v>0.02</v>
      </c>
      <c r="E3182" s="257" t="s">
        <v>30</v>
      </c>
      <c r="F3182" s="257" t="s">
        <v>201</v>
      </c>
      <c r="G3182" s="175" t="s">
        <v>5197</v>
      </c>
      <c r="H3182" s="175"/>
    </row>
    <row r="3183" ht="14.25" spans="1:8">
      <c r="A3183" s="232">
        <v>651</v>
      </c>
      <c r="B3183" s="184" t="s">
        <v>5198</v>
      </c>
      <c r="C3183" s="175" t="s">
        <v>48</v>
      </c>
      <c r="D3183" s="190">
        <v>0.03</v>
      </c>
      <c r="E3183" s="257" t="s">
        <v>30</v>
      </c>
      <c r="F3183" s="257" t="s">
        <v>201</v>
      </c>
      <c r="G3183" s="175" t="s">
        <v>5199</v>
      </c>
      <c r="H3183" s="175"/>
    </row>
    <row r="3184" ht="14.25" spans="1:8">
      <c r="A3184" s="232">
        <v>652</v>
      </c>
      <c r="B3184" s="184" t="s">
        <v>4735</v>
      </c>
      <c r="C3184" s="175" t="s">
        <v>48</v>
      </c>
      <c r="D3184" s="190">
        <v>0.03</v>
      </c>
      <c r="E3184" s="257" t="s">
        <v>30</v>
      </c>
      <c r="F3184" s="257" t="s">
        <v>201</v>
      </c>
      <c r="G3184" s="175" t="s">
        <v>5200</v>
      </c>
      <c r="H3184" s="175"/>
    </row>
    <row r="3185" ht="14.25" spans="1:8">
      <c r="A3185" s="232">
        <v>653</v>
      </c>
      <c r="B3185" s="183" t="s">
        <v>5201</v>
      </c>
      <c r="C3185" s="175" t="s">
        <v>48</v>
      </c>
      <c r="D3185" s="190">
        <v>0.03</v>
      </c>
      <c r="E3185" s="204" t="s">
        <v>30</v>
      </c>
      <c r="F3185" s="204" t="s">
        <v>201</v>
      </c>
      <c r="G3185" s="175" t="s">
        <v>5202</v>
      </c>
      <c r="H3185" s="175"/>
    </row>
    <row r="3186" ht="14.25" spans="1:8">
      <c r="A3186" s="232">
        <v>654</v>
      </c>
      <c r="B3186" s="183" t="s">
        <v>5203</v>
      </c>
      <c r="C3186" s="175" t="s">
        <v>48</v>
      </c>
      <c r="D3186" s="190">
        <v>0.03</v>
      </c>
      <c r="E3186" s="204" t="s">
        <v>30</v>
      </c>
      <c r="F3186" s="204" t="s">
        <v>201</v>
      </c>
      <c r="G3186" s="175" t="s">
        <v>5204</v>
      </c>
      <c r="H3186" s="175"/>
    </row>
    <row r="3187" ht="14.25" spans="1:8">
      <c r="A3187" s="232">
        <v>655</v>
      </c>
      <c r="B3187" s="183" t="s">
        <v>5203</v>
      </c>
      <c r="C3187" s="175" t="s">
        <v>48</v>
      </c>
      <c r="D3187" s="190">
        <v>0.03</v>
      </c>
      <c r="E3187" s="204" t="s">
        <v>30</v>
      </c>
      <c r="F3187" s="204" t="s">
        <v>201</v>
      </c>
      <c r="G3187" s="175" t="s">
        <v>5205</v>
      </c>
      <c r="H3187" s="175"/>
    </row>
    <row r="3188" ht="14.25" spans="1:8">
      <c r="A3188" s="232">
        <v>656</v>
      </c>
      <c r="B3188" s="183" t="s">
        <v>5206</v>
      </c>
      <c r="C3188" s="175" t="s">
        <v>48</v>
      </c>
      <c r="D3188" s="190">
        <v>0.03</v>
      </c>
      <c r="E3188" s="204" t="s">
        <v>30</v>
      </c>
      <c r="F3188" s="204" t="s">
        <v>201</v>
      </c>
      <c r="G3188" s="175" t="s">
        <v>5207</v>
      </c>
      <c r="H3188" s="175"/>
    </row>
    <row r="3189" ht="14.25" spans="1:8">
      <c r="A3189" s="232">
        <v>657</v>
      </c>
      <c r="B3189" s="184" t="s">
        <v>5208</v>
      </c>
      <c r="C3189" s="175" t="s">
        <v>48</v>
      </c>
      <c r="D3189" s="190">
        <v>0.01</v>
      </c>
      <c r="E3189" s="257" t="s">
        <v>30</v>
      </c>
      <c r="F3189" s="257" t="s">
        <v>201</v>
      </c>
      <c r="G3189" s="175" t="s">
        <v>5209</v>
      </c>
      <c r="H3189" s="175"/>
    </row>
    <row r="3190" ht="14.25" spans="1:8">
      <c r="A3190" s="232">
        <v>658</v>
      </c>
      <c r="B3190" s="184" t="s">
        <v>5210</v>
      </c>
      <c r="C3190" s="175" t="s">
        <v>48</v>
      </c>
      <c r="D3190" s="190">
        <v>0.03</v>
      </c>
      <c r="E3190" s="257" t="s">
        <v>30</v>
      </c>
      <c r="F3190" s="257" t="s">
        <v>201</v>
      </c>
      <c r="G3190" s="175" t="s">
        <v>5211</v>
      </c>
      <c r="H3190" s="175"/>
    </row>
    <row r="3191" ht="14.25" spans="1:8">
      <c r="A3191" s="232">
        <v>659</v>
      </c>
      <c r="B3191" s="184" t="s">
        <v>5212</v>
      </c>
      <c r="C3191" s="175" t="s">
        <v>48</v>
      </c>
      <c r="D3191" s="190">
        <v>0.01</v>
      </c>
      <c r="E3191" s="204" t="s">
        <v>30</v>
      </c>
      <c r="F3191" s="204" t="s">
        <v>201</v>
      </c>
      <c r="G3191" s="175" t="s">
        <v>5213</v>
      </c>
      <c r="H3191" s="175"/>
    </row>
    <row r="3192" ht="14.25" spans="1:8">
      <c r="A3192" s="232">
        <v>660</v>
      </c>
      <c r="B3192" s="184" t="s">
        <v>5214</v>
      </c>
      <c r="C3192" s="175" t="s">
        <v>48</v>
      </c>
      <c r="D3192" s="190">
        <v>0.03</v>
      </c>
      <c r="E3192" s="204" t="s">
        <v>30</v>
      </c>
      <c r="F3192" s="204" t="s">
        <v>201</v>
      </c>
      <c r="G3192" s="175" t="s">
        <v>5215</v>
      </c>
      <c r="H3192" s="175"/>
    </row>
    <row r="3193" ht="14.25" spans="1:8">
      <c r="A3193" s="232">
        <v>661</v>
      </c>
      <c r="B3193" s="184" t="s">
        <v>4914</v>
      </c>
      <c r="C3193" s="175" t="s">
        <v>48</v>
      </c>
      <c r="D3193" s="190">
        <v>0.03</v>
      </c>
      <c r="E3193" s="204" t="s">
        <v>30</v>
      </c>
      <c r="F3193" s="204" t="s">
        <v>201</v>
      </c>
      <c r="G3193" s="175" t="s">
        <v>4915</v>
      </c>
      <c r="H3193" s="175"/>
    </row>
    <row r="3194" ht="14.25" spans="1:8">
      <c r="A3194" s="232">
        <v>662</v>
      </c>
      <c r="B3194" s="184" t="s">
        <v>4792</v>
      </c>
      <c r="C3194" s="175" t="s">
        <v>48</v>
      </c>
      <c r="D3194" s="190">
        <v>0.03</v>
      </c>
      <c r="E3194" s="204" t="s">
        <v>30</v>
      </c>
      <c r="F3194" s="204" t="s">
        <v>201</v>
      </c>
      <c r="G3194" s="175" t="s">
        <v>4793</v>
      </c>
      <c r="H3194" s="175"/>
    </row>
    <row r="3195" ht="14.25" spans="1:8">
      <c r="A3195" s="232">
        <v>663</v>
      </c>
      <c r="B3195" s="184" t="s">
        <v>5216</v>
      </c>
      <c r="C3195" s="175" t="s">
        <v>48</v>
      </c>
      <c r="D3195" s="190">
        <v>0.005</v>
      </c>
      <c r="E3195" s="204" t="s">
        <v>30</v>
      </c>
      <c r="F3195" s="204" t="s">
        <v>201</v>
      </c>
      <c r="G3195" s="175" t="s">
        <v>5217</v>
      </c>
      <c r="H3195" s="175"/>
    </row>
    <row r="3196" ht="14.25" spans="1:8">
      <c r="A3196" s="232">
        <v>664</v>
      </c>
      <c r="B3196" s="184" t="s">
        <v>5218</v>
      </c>
      <c r="C3196" s="175" t="s">
        <v>48</v>
      </c>
      <c r="D3196" s="190">
        <v>0.01</v>
      </c>
      <c r="E3196" s="257" t="s">
        <v>30</v>
      </c>
      <c r="F3196" s="257" t="s">
        <v>201</v>
      </c>
      <c r="G3196" s="175" t="s">
        <v>5219</v>
      </c>
      <c r="H3196" s="175"/>
    </row>
    <row r="3197" ht="14.25" spans="1:8">
      <c r="A3197" s="232">
        <v>665</v>
      </c>
      <c r="B3197" s="184" t="s">
        <v>4477</v>
      </c>
      <c r="C3197" s="175" t="s">
        <v>48</v>
      </c>
      <c r="D3197" s="190">
        <v>0.03</v>
      </c>
      <c r="E3197" s="257" t="s">
        <v>30</v>
      </c>
      <c r="F3197" s="257" t="s">
        <v>201</v>
      </c>
      <c r="G3197" s="175" t="s">
        <v>5220</v>
      </c>
      <c r="H3197" s="175"/>
    </row>
    <row r="3198" ht="14.25" spans="1:8">
      <c r="A3198" s="232">
        <v>666</v>
      </c>
      <c r="B3198" s="183" t="s">
        <v>3058</v>
      </c>
      <c r="C3198" s="175" t="s">
        <v>48</v>
      </c>
      <c r="D3198" s="190">
        <v>0.02</v>
      </c>
      <c r="E3198" s="204" t="s">
        <v>30</v>
      </c>
      <c r="F3198" s="204" t="s">
        <v>201</v>
      </c>
      <c r="G3198" s="175" t="s">
        <v>4201</v>
      </c>
      <c r="H3198" s="175"/>
    </row>
    <row r="3199" ht="14.25" spans="1:8">
      <c r="A3199" s="232">
        <v>667</v>
      </c>
      <c r="B3199" s="183" t="s">
        <v>349</v>
      </c>
      <c r="C3199" s="175" t="s">
        <v>48</v>
      </c>
      <c r="D3199" s="190">
        <v>0.01</v>
      </c>
      <c r="E3199" s="204" t="s">
        <v>30</v>
      </c>
      <c r="F3199" s="204" t="s">
        <v>201</v>
      </c>
      <c r="G3199" s="175" t="s">
        <v>5221</v>
      </c>
      <c r="H3199" s="175"/>
    </row>
    <row r="3200" ht="14.25" spans="1:8">
      <c r="A3200" s="232">
        <v>668</v>
      </c>
      <c r="B3200" s="183" t="s">
        <v>5222</v>
      </c>
      <c r="C3200" s="175" t="s">
        <v>48</v>
      </c>
      <c r="D3200" s="190">
        <v>0.03</v>
      </c>
      <c r="E3200" s="204" t="s">
        <v>30</v>
      </c>
      <c r="F3200" s="204" t="s">
        <v>201</v>
      </c>
      <c r="G3200" s="175" t="s">
        <v>5223</v>
      </c>
      <c r="H3200" s="175"/>
    </row>
    <row r="3201" ht="14.25" spans="1:8">
      <c r="A3201" s="232">
        <v>669</v>
      </c>
      <c r="B3201" s="184" t="s">
        <v>5224</v>
      </c>
      <c r="C3201" s="175" t="s">
        <v>48</v>
      </c>
      <c r="D3201" s="190">
        <v>0.03</v>
      </c>
      <c r="E3201" s="257" t="s">
        <v>30</v>
      </c>
      <c r="F3201" s="257" t="s">
        <v>201</v>
      </c>
      <c r="G3201" s="175" t="s">
        <v>5225</v>
      </c>
      <c r="H3201" s="175"/>
    </row>
    <row r="3202" ht="14.25" spans="1:8">
      <c r="A3202" s="232">
        <v>670</v>
      </c>
      <c r="B3202" s="184" t="s">
        <v>4914</v>
      </c>
      <c r="C3202" s="175" t="s">
        <v>48</v>
      </c>
      <c r="D3202" s="190">
        <v>0.02</v>
      </c>
      <c r="E3202" s="257" t="s">
        <v>30</v>
      </c>
      <c r="F3202" s="257" t="s">
        <v>201</v>
      </c>
      <c r="G3202" s="175" t="s">
        <v>5226</v>
      </c>
      <c r="H3202" s="175"/>
    </row>
    <row r="3203" ht="14.25" spans="1:8">
      <c r="A3203" s="232">
        <v>671</v>
      </c>
      <c r="B3203" s="184" t="s">
        <v>5227</v>
      </c>
      <c r="C3203" s="175" t="s">
        <v>48</v>
      </c>
      <c r="D3203" s="190">
        <v>0.01</v>
      </c>
      <c r="E3203" s="257" t="s">
        <v>30</v>
      </c>
      <c r="F3203" s="257" t="s">
        <v>201</v>
      </c>
      <c r="G3203" s="175" t="s">
        <v>5228</v>
      </c>
      <c r="H3203" s="175"/>
    </row>
    <row r="3204" ht="14.25" spans="1:8">
      <c r="A3204" s="232">
        <v>672</v>
      </c>
      <c r="B3204" s="184" t="s">
        <v>2107</v>
      </c>
      <c r="C3204" s="175" t="s">
        <v>48</v>
      </c>
      <c r="D3204" s="190">
        <v>0.03</v>
      </c>
      <c r="E3204" s="257" t="s">
        <v>30</v>
      </c>
      <c r="F3204" s="257" t="s">
        <v>201</v>
      </c>
      <c r="G3204" s="175" t="s">
        <v>5229</v>
      </c>
      <c r="H3204" s="175"/>
    </row>
    <row r="3205" ht="14.25" spans="1:8">
      <c r="A3205" s="232">
        <v>673</v>
      </c>
      <c r="B3205" s="184" t="s">
        <v>5230</v>
      </c>
      <c r="C3205" s="175" t="s">
        <v>48</v>
      </c>
      <c r="D3205" s="190">
        <v>0.03</v>
      </c>
      <c r="E3205" s="257" t="s">
        <v>30</v>
      </c>
      <c r="F3205" s="257" t="s">
        <v>201</v>
      </c>
      <c r="G3205" s="175" t="s">
        <v>5231</v>
      </c>
      <c r="H3205" s="175"/>
    </row>
    <row r="3206" ht="14.25" spans="1:8">
      <c r="A3206" s="232">
        <v>674</v>
      </c>
      <c r="B3206" s="183" t="s">
        <v>5232</v>
      </c>
      <c r="C3206" s="175" t="s">
        <v>48</v>
      </c>
      <c r="D3206" s="190">
        <v>0.01</v>
      </c>
      <c r="E3206" s="204" t="s">
        <v>30</v>
      </c>
      <c r="F3206" s="204" t="s">
        <v>201</v>
      </c>
      <c r="G3206" s="175" t="s">
        <v>5233</v>
      </c>
      <c r="H3206" s="175"/>
    </row>
    <row r="3207" ht="14.25" spans="1:8">
      <c r="A3207" s="232">
        <v>675</v>
      </c>
      <c r="B3207" s="183" t="s">
        <v>5234</v>
      </c>
      <c r="C3207" s="175" t="s">
        <v>48</v>
      </c>
      <c r="D3207" s="190">
        <v>0.02</v>
      </c>
      <c r="E3207" s="204" t="s">
        <v>30</v>
      </c>
      <c r="F3207" s="204" t="s">
        <v>201</v>
      </c>
      <c r="G3207" s="175" t="s">
        <v>5235</v>
      </c>
      <c r="H3207" s="175"/>
    </row>
    <row r="3208" ht="14.25" spans="1:8">
      <c r="A3208" s="232">
        <v>676</v>
      </c>
      <c r="B3208" s="184" t="s">
        <v>5236</v>
      </c>
      <c r="C3208" s="175" t="s">
        <v>48</v>
      </c>
      <c r="D3208" s="190">
        <v>0.03</v>
      </c>
      <c r="E3208" s="257" t="s">
        <v>30</v>
      </c>
      <c r="F3208" s="257" t="s">
        <v>201</v>
      </c>
      <c r="G3208" s="175" t="s">
        <v>5237</v>
      </c>
      <c r="H3208" s="175"/>
    </row>
    <row r="3209" ht="14.25" spans="1:8">
      <c r="A3209" s="232">
        <v>677</v>
      </c>
      <c r="B3209" s="184" t="s">
        <v>5238</v>
      </c>
      <c r="C3209" s="175" t="s">
        <v>48</v>
      </c>
      <c r="D3209" s="190">
        <v>0.01</v>
      </c>
      <c r="E3209" s="257" t="s">
        <v>30</v>
      </c>
      <c r="F3209" s="257" t="s">
        <v>201</v>
      </c>
      <c r="G3209" s="175" t="s">
        <v>5239</v>
      </c>
      <c r="H3209" s="175"/>
    </row>
    <row r="3210" ht="14.25" spans="1:8">
      <c r="A3210" s="232">
        <v>678</v>
      </c>
      <c r="B3210" s="184" t="s">
        <v>5240</v>
      </c>
      <c r="C3210" s="175" t="s">
        <v>48</v>
      </c>
      <c r="D3210" s="190">
        <v>0.05</v>
      </c>
      <c r="E3210" s="257" t="s">
        <v>30</v>
      </c>
      <c r="F3210" s="257" t="s">
        <v>201</v>
      </c>
      <c r="G3210" s="175" t="s">
        <v>5241</v>
      </c>
      <c r="H3210" s="175"/>
    </row>
    <row r="3211" ht="14.25" spans="1:8">
      <c r="A3211" s="232">
        <v>679</v>
      </c>
      <c r="B3211" s="184" t="s">
        <v>5242</v>
      </c>
      <c r="C3211" s="175" t="s">
        <v>48</v>
      </c>
      <c r="D3211" s="190">
        <v>0.04</v>
      </c>
      <c r="E3211" s="257" t="s">
        <v>30</v>
      </c>
      <c r="F3211" s="257" t="s">
        <v>201</v>
      </c>
      <c r="G3211" s="175" t="s">
        <v>5243</v>
      </c>
      <c r="H3211" s="175"/>
    </row>
    <row r="3212" ht="14.25" spans="1:8">
      <c r="A3212" s="232">
        <v>680</v>
      </c>
      <c r="B3212" s="184" t="s">
        <v>5244</v>
      </c>
      <c r="C3212" s="175" t="s">
        <v>48</v>
      </c>
      <c r="D3212" s="190">
        <v>0.04</v>
      </c>
      <c r="E3212" s="257" t="s">
        <v>30</v>
      </c>
      <c r="F3212" s="257" t="s">
        <v>201</v>
      </c>
      <c r="G3212" s="175" t="s">
        <v>5245</v>
      </c>
      <c r="H3212" s="175"/>
    </row>
    <row r="3213" ht="14.25" spans="1:8">
      <c r="A3213" s="232">
        <v>681</v>
      </c>
      <c r="B3213" s="184" t="s">
        <v>779</v>
      </c>
      <c r="C3213" s="175" t="s">
        <v>48</v>
      </c>
      <c r="D3213" s="190">
        <v>0.04</v>
      </c>
      <c r="E3213" s="257" t="s">
        <v>30</v>
      </c>
      <c r="F3213" s="257" t="s">
        <v>201</v>
      </c>
      <c r="G3213" s="175" t="s">
        <v>5246</v>
      </c>
      <c r="H3213" s="175"/>
    </row>
    <row r="3214" ht="14.25" spans="1:8">
      <c r="A3214" s="232">
        <v>682</v>
      </c>
      <c r="B3214" s="184" t="s">
        <v>1252</v>
      </c>
      <c r="C3214" s="175" t="s">
        <v>48</v>
      </c>
      <c r="D3214" s="190">
        <v>0.04</v>
      </c>
      <c r="E3214" s="257" t="s">
        <v>30</v>
      </c>
      <c r="F3214" s="257" t="s">
        <v>201</v>
      </c>
      <c r="G3214" s="175" t="s">
        <v>5247</v>
      </c>
      <c r="H3214" s="175"/>
    </row>
    <row r="3215" ht="14.25" spans="1:8">
      <c r="A3215" s="232">
        <v>683</v>
      </c>
      <c r="B3215" s="184" t="s">
        <v>5248</v>
      </c>
      <c r="C3215" s="175" t="s">
        <v>48</v>
      </c>
      <c r="D3215" s="190">
        <v>0.03</v>
      </c>
      <c r="E3215" s="257" t="s">
        <v>30</v>
      </c>
      <c r="F3215" s="257" t="s">
        <v>201</v>
      </c>
      <c r="G3215" s="175" t="s">
        <v>5249</v>
      </c>
      <c r="H3215" s="175"/>
    </row>
    <row r="3216" ht="14.25" spans="1:8">
      <c r="A3216" s="232">
        <v>684</v>
      </c>
      <c r="B3216" s="184" t="s">
        <v>5250</v>
      </c>
      <c r="C3216" s="175" t="s">
        <v>48</v>
      </c>
      <c r="D3216" s="190">
        <v>2.04</v>
      </c>
      <c r="E3216" s="257" t="s">
        <v>30</v>
      </c>
      <c r="F3216" s="257" t="s">
        <v>204</v>
      </c>
      <c r="G3216" s="175" t="s">
        <v>5251</v>
      </c>
      <c r="H3216" s="175"/>
    </row>
    <row r="3217" ht="14.25" spans="1:8">
      <c r="A3217" s="232">
        <v>685</v>
      </c>
      <c r="B3217" s="184" t="s">
        <v>5250</v>
      </c>
      <c r="C3217" s="175" t="s">
        <v>48</v>
      </c>
      <c r="D3217" s="190">
        <v>2</v>
      </c>
      <c r="E3217" s="257" t="s">
        <v>30</v>
      </c>
      <c r="F3217" s="257" t="s">
        <v>204</v>
      </c>
      <c r="G3217" s="175" t="s">
        <v>5252</v>
      </c>
      <c r="H3217" s="175"/>
    </row>
    <row r="3218" ht="14.25" spans="1:8">
      <c r="A3218" s="232">
        <v>686</v>
      </c>
      <c r="B3218" s="184" t="s">
        <v>5253</v>
      </c>
      <c r="C3218" s="175" t="s">
        <v>48</v>
      </c>
      <c r="D3218" s="190">
        <v>0.05</v>
      </c>
      <c r="E3218" s="257" t="s">
        <v>30</v>
      </c>
      <c r="F3218" s="257" t="s">
        <v>201</v>
      </c>
      <c r="G3218" s="175" t="s">
        <v>5254</v>
      </c>
      <c r="H3218" s="175"/>
    </row>
    <row r="3219" ht="14.25" spans="1:8">
      <c r="A3219" s="232">
        <v>687</v>
      </c>
      <c r="B3219" s="184" t="s">
        <v>5255</v>
      </c>
      <c r="C3219" s="175" t="s">
        <v>48</v>
      </c>
      <c r="D3219" s="190">
        <v>0.09</v>
      </c>
      <c r="E3219" s="257" t="s">
        <v>30</v>
      </c>
      <c r="F3219" s="257" t="s">
        <v>201</v>
      </c>
      <c r="G3219" s="175" t="s">
        <v>5256</v>
      </c>
      <c r="H3219" s="175"/>
    </row>
    <row r="3220" ht="14.25" spans="1:8">
      <c r="A3220" s="232">
        <v>688</v>
      </c>
      <c r="B3220" s="184" t="s">
        <v>2098</v>
      </c>
      <c r="C3220" s="175" t="s">
        <v>48</v>
      </c>
      <c r="D3220" s="190">
        <v>0.03</v>
      </c>
      <c r="E3220" s="257" t="s">
        <v>30</v>
      </c>
      <c r="F3220" s="257" t="s">
        <v>201</v>
      </c>
      <c r="G3220" s="175" t="s">
        <v>4829</v>
      </c>
      <c r="H3220" s="175"/>
    </row>
    <row r="3221" ht="14.25" spans="1:8">
      <c r="A3221" s="232">
        <v>689</v>
      </c>
      <c r="B3221" s="184" t="s">
        <v>2098</v>
      </c>
      <c r="C3221" s="175" t="s">
        <v>48</v>
      </c>
      <c r="D3221" s="190">
        <v>0.03</v>
      </c>
      <c r="E3221" s="257" t="s">
        <v>30</v>
      </c>
      <c r="F3221" s="257" t="s">
        <v>201</v>
      </c>
      <c r="G3221" s="175" t="s">
        <v>4830</v>
      </c>
      <c r="H3221" s="175"/>
    </row>
    <row r="3222" ht="14.25" spans="1:8">
      <c r="A3222" s="232">
        <v>690</v>
      </c>
      <c r="B3222" s="184" t="s">
        <v>5257</v>
      </c>
      <c r="C3222" s="175" t="s">
        <v>48</v>
      </c>
      <c r="D3222" s="190">
        <v>0.03</v>
      </c>
      <c r="E3222" s="257" t="s">
        <v>30</v>
      </c>
      <c r="F3222" s="257" t="s">
        <v>201</v>
      </c>
      <c r="G3222" s="175" t="s">
        <v>5132</v>
      </c>
      <c r="H3222" s="175"/>
    </row>
    <row r="3223" ht="14.25" spans="1:8">
      <c r="A3223" s="232">
        <v>691</v>
      </c>
      <c r="B3223" s="184" t="s">
        <v>4531</v>
      </c>
      <c r="C3223" s="175" t="s">
        <v>48</v>
      </c>
      <c r="D3223" s="190">
        <v>0.05</v>
      </c>
      <c r="E3223" s="257" t="s">
        <v>30</v>
      </c>
      <c r="F3223" s="257" t="s">
        <v>201</v>
      </c>
      <c r="G3223" s="175" t="s">
        <v>4532</v>
      </c>
      <c r="H3223" s="175"/>
    </row>
    <row r="3224" ht="14.25" spans="1:8">
      <c r="A3224" s="232">
        <v>692</v>
      </c>
      <c r="B3224" s="184" t="s">
        <v>5028</v>
      </c>
      <c r="C3224" s="175" t="s">
        <v>48</v>
      </c>
      <c r="D3224" s="190">
        <v>0.04</v>
      </c>
      <c r="E3224" s="257" t="s">
        <v>30</v>
      </c>
      <c r="F3224" s="257" t="s">
        <v>201</v>
      </c>
      <c r="G3224" s="175" t="s">
        <v>5029</v>
      </c>
      <c r="H3224" s="175"/>
    </row>
    <row r="3225" ht="14.25" spans="1:8">
      <c r="A3225" s="232">
        <v>693</v>
      </c>
      <c r="B3225" s="184" t="s">
        <v>712</v>
      </c>
      <c r="C3225" s="175" t="s">
        <v>48</v>
      </c>
      <c r="D3225" s="190">
        <v>0.03</v>
      </c>
      <c r="E3225" s="257" t="s">
        <v>30</v>
      </c>
      <c r="F3225" s="257" t="s">
        <v>201</v>
      </c>
      <c r="G3225" s="175" t="s">
        <v>5258</v>
      </c>
      <c r="H3225" s="175"/>
    </row>
    <row r="3226" ht="14.25" spans="1:8">
      <c r="A3226" s="232">
        <v>694</v>
      </c>
      <c r="B3226" s="184" t="s">
        <v>5259</v>
      </c>
      <c r="C3226" s="175" t="s">
        <v>48</v>
      </c>
      <c r="D3226" s="190">
        <v>0.04</v>
      </c>
      <c r="E3226" s="257" t="s">
        <v>30</v>
      </c>
      <c r="F3226" s="257" t="s">
        <v>201</v>
      </c>
      <c r="G3226" s="175" t="s">
        <v>5260</v>
      </c>
      <c r="H3226" s="175"/>
    </row>
    <row r="3227" ht="14.25" spans="1:8">
      <c r="A3227" s="232">
        <v>695</v>
      </c>
      <c r="B3227" s="184" t="s">
        <v>5261</v>
      </c>
      <c r="C3227" s="175" t="s">
        <v>48</v>
      </c>
      <c r="D3227" s="190">
        <v>0.08</v>
      </c>
      <c r="E3227" s="257" t="s">
        <v>30</v>
      </c>
      <c r="F3227" s="257" t="s">
        <v>201</v>
      </c>
      <c r="G3227" s="175" t="s">
        <v>5262</v>
      </c>
      <c r="H3227" s="175"/>
    </row>
    <row r="3228" ht="14.25" spans="1:8">
      <c r="A3228" s="232">
        <v>696</v>
      </c>
      <c r="B3228" s="184" t="s">
        <v>4857</v>
      </c>
      <c r="C3228" s="175" t="s">
        <v>48</v>
      </c>
      <c r="D3228" s="190">
        <v>0.09</v>
      </c>
      <c r="E3228" s="257" t="s">
        <v>30</v>
      </c>
      <c r="F3228" s="257" t="s">
        <v>201</v>
      </c>
      <c r="G3228" s="175" t="s">
        <v>5263</v>
      </c>
      <c r="H3228" s="175"/>
    </row>
    <row r="3229" ht="14.25" spans="1:8">
      <c r="A3229" s="232">
        <v>697</v>
      </c>
      <c r="B3229" s="184" t="s">
        <v>4857</v>
      </c>
      <c r="C3229" s="175" t="s">
        <v>48</v>
      </c>
      <c r="D3229" s="190">
        <v>0.14</v>
      </c>
      <c r="E3229" s="257" t="s">
        <v>30</v>
      </c>
      <c r="F3229" s="257" t="s">
        <v>201</v>
      </c>
      <c r="G3229" s="175" t="s">
        <v>5264</v>
      </c>
      <c r="H3229" s="175"/>
    </row>
    <row r="3230" ht="25.5" spans="1:8">
      <c r="A3230" s="232">
        <v>698</v>
      </c>
      <c r="B3230" s="184" t="s">
        <v>5265</v>
      </c>
      <c r="C3230" s="175" t="s">
        <v>48</v>
      </c>
      <c r="D3230" s="190">
        <v>0.03</v>
      </c>
      <c r="E3230" s="257" t="s">
        <v>30</v>
      </c>
      <c r="F3230" s="257" t="s">
        <v>201</v>
      </c>
      <c r="G3230" s="175" t="s">
        <v>5266</v>
      </c>
      <c r="H3230" s="175"/>
    </row>
    <row r="3231" ht="14.25" spans="1:8">
      <c r="A3231" s="232">
        <v>699</v>
      </c>
      <c r="B3231" s="184" t="s">
        <v>5267</v>
      </c>
      <c r="C3231" s="175" t="s">
        <v>48</v>
      </c>
      <c r="D3231" s="190">
        <v>0.1</v>
      </c>
      <c r="E3231" s="257" t="s">
        <v>30</v>
      </c>
      <c r="F3231" s="257" t="s">
        <v>201</v>
      </c>
      <c r="G3231" s="175" t="s">
        <v>5268</v>
      </c>
      <c r="H3231" s="175"/>
    </row>
    <row r="3232" ht="14.25" spans="1:8">
      <c r="A3232" s="232">
        <v>700</v>
      </c>
      <c r="B3232" s="183" t="s">
        <v>5269</v>
      </c>
      <c r="C3232" s="175" t="s">
        <v>48</v>
      </c>
      <c r="D3232" s="190">
        <v>0.02</v>
      </c>
      <c r="E3232" s="204" t="s">
        <v>30</v>
      </c>
      <c r="F3232" s="204" t="s">
        <v>201</v>
      </c>
      <c r="G3232" s="175" t="s">
        <v>5270</v>
      </c>
      <c r="H3232" s="175"/>
    </row>
    <row r="3233" ht="14.25" spans="1:8">
      <c r="A3233" s="232">
        <v>701</v>
      </c>
      <c r="B3233" s="183" t="s">
        <v>5271</v>
      </c>
      <c r="C3233" s="175" t="s">
        <v>48</v>
      </c>
      <c r="D3233" s="190">
        <v>0.02</v>
      </c>
      <c r="E3233" s="204" t="s">
        <v>30</v>
      </c>
      <c r="F3233" s="204" t="s">
        <v>201</v>
      </c>
      <c r="G3233" s="175" t="s">
        <v>5270</v>
      </c>
      <c r="H3233" s="175"/>
    </row>
    <row r="3234" ht="14.25" spans="1:8">
      <c r="A3234" s="232">
        <v>702</v>
      </c>
      <c r="B3234" s="183" t="s">
        <v>5271</v>
      </c>
      <c r="C3234" s="175" t="s">
        <v>48</v>
      </c>
      <c r="D3234" s="190">
        <v>0.02</v>
      </c>
      <c r="E3234" s="204" t="s">
        <v>30</v>
      </c>
      <c r="F3234" s="204" t="s">
        <v>201</v>
      </c>
      <c r="G3234" s="175" t="s">
        <v>4264</v>
      </c>
      <c r="H3234" s="175"/>
    </row>
    <row r="3235" ht="14.25" spans="1:8">
      <c r="A3235" s="232">
        <v>703</v>
      </c>
      <c r="B3235" s="183" t="s">
        <v>4696</v>
      </c>
      <c r="C3235" s="175" t="s">
        <v>48</v>
      </c>
      <c r="D3235" s="190">
        <v>0.03</v>
      </c>
      <c r="E3235" s="204" t="s">
        <v>30</v>
      </c>
      <c r="F3235" s="204" t="s">
        <v>201</v>
      </c>
      <c r="G3235" s="175" t="s">
        <v>5272</v>
      </c>
      <c r="H3235" s="175"/>
    </row>
    <row r="3236" ht="14.25" spans="1:8">
      <c r="A3236" s="232">
        <v>704</v>
      </c>
      <c r="B3236" s="183" t="s">
        <v>5028</v>
      </c>
      <c r="C3236" s="175" t="s">
        <v>48</v>
      </c>
      <c r="D3236" s="190">
        <v>0.03</v>
      </c>
      <c r="E3236" s="204" t="s">
        <v>30</v>
      </c>
      <c r="F3236" s="204" t="s">
        <v>201</v>
      </c>
      <c r="G3236" s="175" t="s">
        <v>5273</v>
      </c>
      <c r="H3236" s="175"/>
    </row>
    <row r="3237" ht="14.25" spans="1:8">
      <c r="A3237" s="232">
        <v>705</v>
      </c>
      <c r="B3237" s="183" t="s">
        <v>5274</v>
      </c>
      <c r="C3237" s="175" t="s">
        <v>48</v>
      </c>
      <c r="D3237" s="190">
        <v>0.03</v>
      </c>
      <c r="E3237" s="204" t="s">
        <v>30</v>
      </c>
      <c r="F3237" s="204" t="s">
        <v>201</v>
      </c>
      <c r="G3237" s="175" t="s">
        <v>5275</v>
      </c>
      <c r="H3237" s="175"/>
    </row>
    <row r="3238" ht="14.25" spans="1:8">
      <c r="A3238" s="232">
        <v>706</v>
      </c>
      <c r="B3238" s="184" t="s">
        <v>4710</v>
      </c>
      <c r="C3238" s="175" t="s">
        <v>48</v>
      </c>
      <c r="D3238" s="190">
        <v>0.02</v>
      </c>
      <c r="E3238" s="204" t="s">
        <v>30</v>
      </c>
      <c r="F3238" s="204" t="s">
        <v>201</v>
      </c>
      <c r="G3238" s="175" t="s">
        <v>4297</v>
      </c>
      <c r="H3238" s="175"/>
    </row>
    <row r="3239" ht="14.25" spans="1:8">
      <c r="A3239" s="232">
        <v>707</v>
      </c>
      <c r="B3239" s="183" t="s">
        <v>4710</v>
      </c>
      <c r="C3239" s="175" t="s">
        <v>48</v>
      </c>
      <c r="D3239" s="190">
        <v>0.03</v>
      </c>
      <c r="E3239" s="204" t="s">
        <v>30</v>
      </c>
      <c r="F3239" s="204" t="s">
        <v>201</v>
      </c>
      <c r="G3239" s="175" t="s">
        <v>5276</v>
      </c>
      <c r="H3239" s="175"/>
    </row>
    <row r="3240" ht="14.25" spans="1:8">
      <c r="A3240" s="232">
        <v>708</v>
      </c>
      <c r="B3240" s="183" t="s">
        <v>5277</v>
      </c>
      <c r="C3240" s="175" t="s">
        <v>48</v>
      </c>
      <c r="D3240" s="190">
        <v>0.03</v>
      </c>
      <c r="E3240" s="204" t="s">
        <v>30</v>
      </c>
      <c r="F3240" s="204" t="s">
        <v>201</v>
      </c>
      <c r="G3240" s="175" t="s">
        <v>5278</v>
      </c>
      <c r="H3240" s="175"/>
    </row>
    <row r="3241" ht="14.25" spans="1:8">
      <c r="A3241" s="232">
        <v>709</v>
      </c>
      <c r="B3241" s="183" t="s">
        <v>5279</v>
      </c>
      <c r="C3241" s="175" t="s">
        <v>48</v>
      </c>
      <c r="D3241" s="190">
        <v>0.03</v>
      </c>
      <c r="E3241" s="204" t="s">
        <v>30</v>
      </c>
      <c r="F3241" s="204" t="s">
        <v>201</v>
      </c>
      <c r="G3241" s="175" t="s">
        <v>5280</v>
      </c>
      <c r="H3241" s="175"/>
    </row>
    <row r="3242" ht="14.25" spans="1:8">
      <c r="A3242" s="232">
        <v>710</v>
      </c>
      <c r="B3242" s="183" t="s">
        <v>5281</v>
      </c>
      <c r="C3242" s="175" t="s">
        <v>48</v>
      </c>
      <c r="D3242" s="190">
        <v>0.02</v>
      </c>
      <c r="E3242" s="257" t="s">
        <v>30</v>
      </c>
      <c r="F3242" s="257" t="s">
        <v>201</v>
      </c>
      <c r="G3242" s="175" t="s">
        <v>5282</v>
      </c>
      <c r="H3242" s="175"/>
    </row>
    <row r="3243" ht="14.25" spans="1:8">
      <c r="A3243" s="232">
        <v>711</v>
      </c>
      <c r="B3243" s="183" t="s">
        <v>5048</v>
      </c>
      <c r="C3243" s="175" t="s">
        <v>48</v>
      </c>
      <c r="D3243" s="190">
        <v>0.02</v>
      </c>
      <c r="E3243" s="204" t="s">
        <v>30</v>
      </c>
      <c r="F3243" s="204" t="s">
        <v>201</v>
      </c>
      <c r="G3243" s="175" t="s">
        <v>5283</v>
      </c>
      <c r="H3243" s="175"/>
    </row>
    <row r="3244" ht="25.5" spans="1:8">
      <c r="A3244" s="232">
        <v>712</v>
      </c>
      <c r="B3244" s="183" t="s">
        <v>5284</v>
      </c>
      <c r="C3244" s="175" t="s">
        <v>48</v>
      </c>
      <c r="D3244" s="190">
        <v>0.03</v>
      </c>
      <c r="E3244" s="204" t="s">
        <v>30</v>
      </c>
      <c r="F3244" s="204" t="s">
        <v>201</v>
      </c>
      <c r="G3244" s="175" t="s">
        <v>5285</v>
      </c>
      <c r="H3244" s="175"/>
    </row>
    <row r="3245" ht="14.25" spans="1:8">
      <c r="A3245" s="232">
        <v>713</v>
      </c>
      <c r="B3245" s="183" t="s">
        <v>5286</v>
      </c>
      <c r="C3245" s="175" t="s">
        <v>48</v>
      </c>
      <c r="D3245" s="190">
        <v>0.03</v>
      </c>
      <c r="E3245" s="204" t="s">
        <v>30</v>
      </c>
      <c r="F3245" s="204" t="s">
        <v>201</v>
      </c>
      <c r="G3245" s="175" t="s">
        <v>5287</v>
      </c>
      <c r="H3245" s="175"/>
    </row>
    <row r="3246" ht="14.25" spans="1:8">
      <c r="A3246" s="232">
        <v>714</v>
      </c>
      <c r="B3246" s="183" t="s">
        <v>4263</v>
      </c>
      <c r="C3246" s="175" t="s">
        <v>48</v>
      </c>
      <c r="D3246" s="190">
        <v>0.03</v>
      </c>
      <c r="E3246" s="204" t="s">
        <v>30</v>
      </c>
      <c r="F3246" s="204" t="s">
        <v>201</v>
      </c>
      <c r="G3246" s="175" t="s">
        <v>5288</v>
      </c>
      <c r="H3246" s="175"/>
    </row>
    <row r="3247" ht="14.25" spans="1:8">
      <c r="A3247" s="232">
        <v>715</v>
      </c>
      <c r="B3247" s="183" t="s">
        <v>5289</v>
      </c>
      <c r="C3247" s="175" t="s">
        <v>48</v>
      </c>
      <c r="D3247" s="190">
        <v>0.03</v>
      </c>
      <c r="E3247" s="204" t="s">
        <v>30</v>
      </c>
      <c r="F3247" s="204" t="s">
        <v>201</v>
      </c>
      <c r="G3247" s="175" t="s">
        <v>5290</v>
      </c>
      <c r="H3247" s="175"/>
    </row>
    <row r="3248" ht="14.25" spans="1:8">
      <c r="A3248" s="232">
        <v>716</v>
      </c>
      <c r="B3248" s="183" t="s">
        <v>5291</v>
      </c>
      <c r="C3248" s="175" t="s">
        <v>48</v>
      </c>
      <c r="D3248" s="190">
        <v>0.02</v>
      </c>
      <c r="E3248" s="204" t="s">
        <v>30</v>
      </c>
      <c r="F3248" s="204" t="s">
        <v>201</v>
      </c>
      <c r="G3248" s="175" t="s">
        <v>5029</v>
      </c>
      <c r="H3248" s="175"/>
    </row>
    <row r="3249" ht="14.25" spans="1:8">
      <c r="A3249" s="232">
        <v>717</v>
      </c>
      <c r="B3249" s="183" t="s">
        <v>2957</v>
      </c>
      <c r="C3249" s="175" t="s">
        <v>48</v>
      </c>
      <c r="D3249" s="190">
        <v>0.02</v>
      </c>
      <c r="E3249" s="204" t="s">
        <v>30</v>
      </c>
      <c r="F3249" s="204" t="s">
        <v>201</v>
      </c>
      <c r="G3249" s="175" t="s">
        <v>5292</v>
      </c>
      <c r="H3249" s="175"/>
    </row>
    <row r="3250" ht="14.25" spans="1:8">
      <c r="A3250" s="232">
        <v>718</v>
      </c>
      <c r="B3250" s="183" t="s">
        <v>2957</v>
      </c>
      <c r="C3250" s="175" t="s">
        <v>48</v>
      </c>
      <c r="D3250" s="190">
        <v>0.005</v>
      </c>
      <c r="E3250" s="204" t="s">
        <v>30</v>
      </c>
      <c r="F3250" s="204" t="s">
        <v>201</v>
      </c>
      <c r="G3250" s="175" t="s">
        <v>5293</v>
      </c>
      <c r="H3250" s="175"/>
    </row>
    <row r="3251" ht="14.25" spans="1:8">
      <c r="A3251" s="232">
        <v>719</v>
      </c>
      <c r="B3251" s="183" t="s">
        <v>5294</v>
      </c>
      <c r="C3251" s="175" t="s">
        <v>48</v>
      </c>
      <c r="D3251" s="190">
        <v>0.03</v>
      </c>
      <c r="E3251" s="204" t="s">
        <v>30</v>
      </c>
      <c r="F3251" s="204" t="s">
        <v>201</v>
      </c>
      <c r="G3251" s="175" t="s">
        <v>5295</v>
      </c>
      <c r="H3251" s="175"/>
    </row>
    <row r="3252" ht="14.25" spans="1:8">
      <c r="A3252" s="232">
        <v>720</v>
      </c>
      <c r="B3252" s="183" t="s">
        <v>5296</v>
      </c>
      <c r="C3252" s="175" t="s">
        <v>48</v>
      </c>
      <c r="D3252" s="190">
        <v>0.03</v>
      </c>
      <c r="E3252" s="204" t="s">
        <v>30</v>
      </c>
      <c r="F3252" s="204" t="s">
        <v>201</v>
      </c>
      <c r="G3252" s="175" t="s">
        <v>5297</v>
      </c>
      <c r="H3252" s="175"/>
    </row>
    <row r="3253" ht="14.25" spans="1:8">
      <c r="A3253" s="232">
        <v>721</v>
      </c>
      <c r="B3253" s="183" t="s">
        <v>4529</v>
      </c>
      <c r="C3253" s="175" t="s">
        <v>48</v>
      </c>
      <c r="D3253" s="190">
        <v>0.03</v>
      </c>
      <c r="E3253" s="204" t="s">
        <v>30</v>
      </c>
      <c r="F3253" s="204" t="s">
        <v>201</v>
      </c>
      <c r="G3253" s="175" t="s">
        <v>5298</v>
      </c>
      <c r="H3253" s="175"/>
    </row>
    <row r="3254" ht="14.25" spans="1:8">
      <c r="A3254" s="232">
        <v>722</v>
      </c>
      <c r="B3254" s="183" t="s">
        <v>4529</v>
      </c>
      <c r="C3254" s="175" t="s">
        <v>48</v>
      </c>
      <c r="D3254" s="190">
        <v>0.03</v>
      </c>
      <c r="E3254" s="204" t="s">
        <v>30</v>
      </c>
      <c r="F3254" s="204" t="s">
        <v>201</v>
      </c>
      <c r="G3254" s="175" t="s">
        <v>5299</v>
      </c>
      <c r="H3254" s="175"/>
    </row>
    <row r="3255" ht="14.25" spans="1:8">
      <c r="A3255" s="232">
        <v>723</v>
      </c>
      <c r="B3255" s="183" t="s">
        <v>5300</v>
      </c>
      <c r="C3255" s="175" t="s">
        <v>48</v>
      </c>
      <c r="D3255" s="190">
        <v>0.02</v>
      </c>
      <c r="E3255" s="204" t="s">
        <v>30</v>
      </c>
      <c r="F3255" s="204" t="s">
        <v>201</v>
      </c>
      <c r="G3255" s="175" t="s">
        <v>5049</v>
      </c>
      <c r="H3255" s="175"/>
    </row>
    <row r="3256" ht="14.25" spans="1:8">
      <c r="A3256" s="232">
        <v>724</v>
      </c>
      <c r="B3256" s="183" t="s">
        <v>897</v>
      </c>
      <c r="C3256" s="175" t="s">
        <v>48</v>
      </c>
      <c r="D3256" s="190">
        <v>0.015</v>
      </c>
      <c r="E3256" s="204" t="s">
        <v>30</v>
      </c>
      <c r="F3256" s="204" t="s">
        <v>201</v>
      </c>
      <c r="G3256" s="175" t="s">
        <v>5301</v>
      </c>
      <c r="H3256" s="175"/>
    </row>
    <row r="3257" ht="14.25" spans="1:8">
      <c r="A3257" s="232">
        <v>725</v>
      </c>
      <c r="B3257" s="183" t="s">
        <v>5302</v>
      </c>
      <c r="C3257" s="175" t="s">
        <v>48</v>
      </c>
      <c r="D3257" s="190">
        <v>0.02</v>
      </c>
      <c r="E3257" s="204" t="s">
        <v>30</v>
      </c>
      <c r="F3257" s="204" t="s">
        <v>201</v>
      </c>
      <c r="G3257" s="175" t="s">
        <v>5266</v>
      </c>
      <c r="H3257" s="175"/>
    </row>
    <row r="3258" ht="14.25" spans="1:8">
      <c r="A3258" s="232">
        <v>726</v>
      </c>
      <c r="B3258" s="183" t="s">
        <v>5303</v>
      </c>
      <c r="C3258" s="175" t="s">
        <v>48</v>
      </c>
      <c r="D3258" s="190">
        <v>0.02</v>
      </c>
      <c r="E3258" s="204" t="s">
        <v>30</v>
      </c>
      <c r="F3258" s="204" t="s">
        <v>201</v>
      </c>
      <c r="G3258" s="175" t="s">
        <v>4219</v>
      </c>
      <c r="H3258" s="175"/>
    </row>
    <row r="3259" ht="14.25" spans="1:8">
      <c r="A3259" s="232">
        <v>727</v>
      </c>
      <c r="B3259" s="183" t="s">
        <v>5304</v>
      </c>
      <c r="C3259" s="175" t="s">
        <v>48</v>
      </c>
      <c r="D3259" s="190">
        <v>0.01</v>
      </c>
      <c r="E3259" s="204" t="s">
        <v>30</v>
      </c>
      <c r="F3259" s="204" t="s">
        <v>201</v>
      </c>
      <c r="G3259" s="175" t="s">
        <v>5305</v>
      </c>
      <c r="H3259" s="175"/>
    </row>
    <row r="3260" ht="14.25" spans="1:8">
      <c r="A3260" s="232">
        <v>728</v>
      </c>
      <c r="B3260" s="183" t="s">
        <v>5306</v>
      </c>
      <c r="C3260" s="175" t="s">
        <v>48</v>
      </c>
      <c r="D3260" s="190">
        <v>0.02</v>
      </c>
      <c r="E3260" s="204" t="s">
        <v>30</v>
      </c>
      <c r="F3260" s="204" t="s">
        <v>201</v>
      </c>
      <c r="G3260" s="175" t="s">
        <v>5307</v>
      </c>
      <c r="H3260" s="175"/>
    </row>
    <row r="3261" ht="14.25" spans="1:8">
      <c r="A3261" s="232">
        <v>729</v>
      </c>
      <c r="B3261" s="183" t="s">
        <v>5308</v>
      </c>
      <c r="C3261" s="175" t="s">
        <v>48</v>
      </c>
      <c r="D3261" s="190">
        <v>0.01</v>
      </c>
      <c r="E3261" s="204" t="s">
        <v>30</v>
      </c>
      <c r="F3261" s="204" t="s">
        <v>201</v>
      </c>
      <c r="G3261" s="175" t="s">
        <v>5309</v>
      </c>
      <c r="H3261" s="175"/>
    </row>
    <row r="3262" ht="14.25" spans="1:8">
      <c r="A3262" s="232">
        <v>730</v>
      </c>
      <c r="B3262" s="183" t="s">
        <v>5308</v>
      </c>
      <c r="C3262" s="175" t="s">
        <v>48</v>
      </c>
      <c r="D3262" s="190">
        <v>0.01</v>
      </c>
      <c r="E3262" s="204" t="s">
        <v>30</v>
      </c>
      <c r="F3262" s="204" t="s">
        <v>201</v>
      </c>
      <c r="G3262" s="175" t="s">
        <v>5310</v>
      </c>
      <c r="H3262" s="175"/>
    </row>
    <row r="3263" ht="14.25" spans="1:8">
      <c r="A3263" s="232">
        <v>731</v>
      </c>
      <c r="B3263" s="183" t="s">
        <v>5067</v>
      </c>
      <c r="C3263" s="175" t="s">
        <v>48</v>
      </c>
      <c r="D3263" s="190">
        <v>0.03</v>
      </c>
      <c r="E3263" s="204" t="s">
        <v>30</v>
      </c>
      <c r="F3263" s="204" t="s">
        <v>201</v>
      </c>
      <c r="G3263" s="175" t="s">
        <v>5068</v>
      </c>
      <c r="H3263" s="175"/>
    </row>
    <row r="3264" ht="14.25" spans="1:8">
      <c r="A3264" s="232">
        <v>732</v>
      </c>
      <c r="B3264" s="183" t="s">
        <v>5311</v>
      </c>
      <c r="C3264" s="175" t="s">
        <v>48</v>
      </c>
      <c r="D3264" s="190">
        <v>0.03</v>
      </c>
      <c r="E3264" s="204" t="s">
        <v>30</v>
      </c>
      <c r="F3264" s="204" t="s">
        <v>201</v>
      </c>
      <c r="G3264" s="175" t="s">
        <v>4829</v>
      </c>
      <c r="H3264" s="175"/>
    </row>
    <row r="3265" ht="14.25" spans="1:8">
      <c r="A3265" s="232">
        <v>733</v>
      </c>
      <c r="B3265" s="183" t="s">
        <v>512</v>
      </c>
      <c r="C3265" s="175" t="s">
        <v>48</v>
      </c>
      <c r="D3265" s="190">
        <v>0.03</v>
      </c>
      <c r="E3265" s="204" t="s">
        <v>30</v>
      </c>
      <c r="F3265" s="204" t="s">
        <v>201</v>
      </c>
      <c r="G3265" s="175" t="s">
        <v>4830</v>
      </c>
      <c r="H3265" s="175"/>
    </row>
    <row r="3266" ht="14.25" spans="1:8">
      <c r="A3266" s="232">
        <v>734</v>
      </c>
      <c r="B3266" s="183" t="s">
        <v>5312</v>
      </c>
      <c r="C3266" s="175" t="s">
        <v>48</v>
      </c>
      <c r="D3266" s="190">
        <v>0.01</v>
      </c>
      <c r="E3266" s="204" t="s">
        <v>30</v>
      </c>
      <c r="F3266" s="204" t="s">
        <v>201</v>
      </c>
      <c r="G3266" s="175" t="s">
        <v>5313</v>
      </c>
      <c r="H3266" s="175"/>
    </row>
    <row r="3267" ht="14.25" spans="1:8">
      <c r="A3267" s="232">
        <v>735</v>
      </c>
      <c r="B3267" s="183" t="s">
        <v>5314</v>
      </c>
      <c r="C3267" s="175" t="s">
        <v>48</v>
      </c>
      <c r="D3267" s="190">
        <v>0.03</v>
      </c>
      <c r="E3267" s="204" t="s">
        <v>30</v>
      </c>
      <c r="F3267" s="204" t="s">
        <v>201</v>
      </c>
      <c r="G3267" s="175" t="s">
        <v>5063</v>
      </c>
      <c r="H3267" s="175"/>
    </row>
    <row r="3268" ht="14.25" spans="1:8">
      <c r="A3268" s="232">
        <v>736</v>
      </c>
      <c r="B3268" s="183" t="s">
        <v>1953</v>
      </c>
      <c r="C3268" s="175" t="s">
        <v>48</v>
      </c>
      <c r="D3268" s="190">
        <v>0.03</v>
      </c>
      <c r="E3268" s="204" t="s">
        <v>30</v>
      </c>
      <c r="F3268" s="204" t="s">
        <v>201</v>
      </c>
      <c r="G3268" s="175" t="s">
        <v>5315</v>
      </c>
      <c r="H3268" s="175"/>
    </row>
    <row r="3269" ht="14.25" spans="1:8">
      <c r="A3269" s="232">
        <v>737</v>
      </c>
      <c r="B3269" s="183" t="s">
        <v>5224</v>
      </c>
      <c r="C3269" s="175" t="s">
        <v>48</v>
      </c>
      <c r="D3269" s="190">
        <v>0.03</v>
      </c>
      <c r="E3269" s="204" t="s">
        <v>30</v>
      </c>
      <c r="F3269" s="204" t="s">
        <v>201</v>
      </c>
      <c r="G3269" s="175" t="s">
        <v>4528</v>
      </c>
      <c r="H3269" s="175"/>
    </row>
    <row r="3270" ht="14.25" spans="1:8">
      <c r="A3270" s="232">
        <v>738</v>
      </c>
      <c r="B3270" s="183" t="s">
        <v>5107</v>
      </c>
      <c r="C3270" s="175" t="s">
        <v>48</v>
      </c>
      <c r="D3270" s="190">
        <v>0.03</v>
      </c>
      <c r="E3270" s="204" t="s">
        <v>30</v>
      </c>
      <c r="F3270" s="204" t="s">
        <v>201</v>
      </c>
      <c r="G3270" s="175" t="s">
        <v>5316</v>
      </c>
      <c r="H3270" s="175"/>
    </row>
    <row r="3271" ht="14.25" spans="1:8">
      <c r="A3271" s="232">
        <v>739</v>
      </c>
      <c r="B3271" s="183" t="s">
        <v>1697</v>
      </c>
      <c r="C3271" s="175" t="s">
        <v>48</v>
      </c>
      <c r="D3271" s="190">
        <v>0.03</v>
      </c>
      <c r="E3271" s="204" t="s">
        <v>30</v>
      </c>
      <c r="F3271" s="204" t="s">
        <v>201</v>
      </c>
      <c r="G3271" s="175" t="s">
        <v>4530</v>
      </c>
      <c r="H3271" s="175"/>
    </row>
    <row r="3272" ht="14.25" spans="1:8">
      <c r="A3272" s="232">
        <v>740</v>
      </c>
      <c r="B3272" s="184" t="s">
        <v>5317</v>
      </c>
      <c r="C3272" s="175" t="s">
        <v>48</v>
      </c>
      <c r="D3272" s="190">
        <v>0.03</v>
      </c>
      <c r="E3272" s="204" t="s">
        <v>30</v>
      </c>
      <c r="F3272" s="204" t="s">
        <v>201</v>
      </c>
      <c r="G3272" s="175" t="s">
        <v>5318</v>
      </c>
      <c r="H3272" s="175"/>
    </row>
    <row r="3273" ht="14.25" spans="1:8">
      <c r="A3273" s="232">
        <v>741</v>
      </c>
      <c r="B3273" s="183" t="s">
        <v>4439</v>
      </c>
      <c r="C3273" s="175" t="s">
        <v>48</v>
      </c>
      <c r="D3273" s="190">
        <v>0.01</v>
      </c>
      <c r="E3273" s="204" t="s">
        <v>30</v>
      </c>
      <c r="F3273" s="204" t="s">
        <v>201</v>
      </c>
      <c r="G3273" s="175" t="s">
        <v>5319</v>
      </c>
      <c r="H3273" s="175"/>
    </row>
    <row r="3274" ht="14.25" spans="1:8">
      <c r="A3274" s="232">
        <v>742</v>
      </c>
      <c r="B3274" s="183" t="s">
        <v>5320</v>
      </c>
      <c r="C3274" s="175" t="s">
        <v>48</v>
      </c>
      <c r="D3274" s="190">
        <v>0.01</v>
      </c>
      <c r="E3274" s="204" t="s">
        <v>30</v>
      </c>
      <c r="F3274" s="204" t="s">
        <v>201</v>
      </c>
      <c r="G3274" s="175" t="s">
        <v>5321</v>
      </c>
      <c r="H3274" s="175"/>
    </row>
    <row r="3275" ht="14.25" spans="1:8">
      <c r="A3275" s="232">
        <v>743</v>
      </c>
      <c r="B3275" s="183" t="s">
        <v>5320</v>
      </c>
      <c r="C3275" s="175" t="s">
        <v>48</v>
      </c>
      <c r="D3275" s="190">
        <v>0.03</v>
      </c>
      <c r="E3275" s="204" t="s">
        <v>30</v>
      </c>
      <c r="F3275" s="204" t="s">
        <v>201</v>
      </c>
      <c r="G3275" s="175" t="s">
        <v>5322</v>
      </c>
      <c r="H3275" s="175"/>
    </row>
    <row r="3276" ht="14.25" spans="1:8">
      <c r="A3276" s="232">
        <v>744</v>
      </c>
      <c r="B3276" s="183" t="s">
        <v>5323</v>
      </c>
      <c r="C3276" s="175" t="s">
        <v>48</v>
      </c>
      <c r="D3276" s="190">
        <v>0.02</v>
      </c>
      <c r="E3276" s="204" t="s">
        <v>30</v>
      </c>
      <c r="F3276" s="204" t="s">
        <v>201</v>
      </c>
      <c r="G3276" s="175" t="s">
        <v>5324</v>
      </c>
      <c r="H3276" s="175"/>
    </row>
    <row r="3277" ht="14.25" spans="1:8">
      <c r="A3277" s="232">
        <v>745</v>
      </c>
      <c r="B3277" s="183" t="s">
        <v>5325</v>
      </c>
      <c r="C3277" s="175" t="s">
        <v>48</v>
      </c>
      <c r="D3277" s="190">
        <v>0.03</v>
      </c>
      <c r="E3277" s="257" t="s">
        <v>30</v>
      </c>
      <c r="F3277" s="257" t="s">
        <v>201</v>
      </c>
      <c r="G3277" s="175" t="s">
        <v>5326</v>
      </c>
      <c r="H3277" s="175"/>
    </row>
    <row r="3278" ht="14.25" spans="1:8">
      <c r="A3278" s="232">
        <v>746</v>
      </c>
      <c r="B3278" s="183" t="s">
        <v>5327</v>
      </c>
      <c r="C3278" s="175" t="s">
        <v>48</v>
      </c>
      <c r="D3278" s="190">
        <v>0.03</v>
      </c>
      <c r="E3278" s="257" t="s">
        <v>30</v>
      </c>
      <c r="F3278" s="257" t="s">
        <v>201</v>
      </c>
      <c r="G3278" s="175" t="s">
        <v>5328</v>
      </c>
      <c r="H3278" s="175"/>
    </row>
    <row r="3279" ht="14.25" spans="1:8">
      <c r="A3279" s="232">
        <v>747</v>
      </c>
      <c r="B3279" s="183" t="s">
        <v>4259</v>
      </c>
      <c r="C3279" s="175" t="s">
        <v>48</v>
      </c>
      <c r="D3279" s="190">
        <v>0.02</v>
      </c>
      <c r="E3279" s="257" t="s">
        <v>30</v>
      </c>
      <c r="F3279" s="257" t="s">
        <v>201</v>
      </c>
      <c r="G3279" s="175" t="s">
        <v>4711</v>
      </c>
      <c r="H3279" s="175"/>
    </row>
    <row r="3280" ht="14.25" spans="1:8">
      <c r="A3280" s="232">
        <v>748</v>
      </c>
      <c r="B3280" s="183" t="s">
        <v>5329</v>
      </c>
      <c r="C3280" s="175" t="s">
        <v>48</v>
      </c>
      <c r="D3280" s="190">
        <v>0.03</v>
      </c>
      <c r="E3280" s="204" t="s">
        <v>30</v>
      </c>
      <c r="F3280" s="204" t="s">
        <v>201</v>
      </c>
      <c r="G3280" s="175" t="s">
        <v>4701</v>
      </c>
      <c r="H3280" s="175"/>
    </row>
    <row r="3281" ht="14.25" spans="1:8">
      <c r="A3281" s="232">
        <v>749</v>
      </c>
      <c r="B3281" s="183" t="s">
        <v>5330</v>
      </c>
      <c r="C3281" s="175" t="s">
        <v>48</v>
      </c>
      <c r="D3281" s="190">
        <v>0.02</v>
      </c>
      <c r="E3281" s="204" t="s">
        <v>30</v>
      </c>
      <c r="F3281" s="204" t="s">
        <v>201</v>
      </c>
      <c r="G3281" s="175" t="s">
        <v>5331</v>
      </c>
      <c r="H3281" s="175"/>
    </row>
    <row r="3282" ht="14.25" spans="1:8">
      <c r="A3282" s="232">
        <v>750</v>
      </c>
      <c r="B3282" s="183" t="s">
        <v>5332</v>
      </c>
      <c r="C3282" s="175" t="s">
        <v>48</v>
      </c>
      <c r="D3282" s="190">
        <v>0.02</v>
      </c>
      <c r="E3282" s="204" t="s">
        <v>30</v>
      </c>
      <c r="F3282" s="204" t="s">
        <v>201</v>
      </c>
      <c r="G3282" s="175" t="s">
        <v>5333</v>
      </c>
      <c r="H3282" s="175"/>
    </row>
    <row r="3283" ht="14.25" spans="1:8">
      <c r="A3283" s="232">
        <v>751</v>
      </c>
      <c r="B3283" s="183" t="s">
        <v>5332</v>
      </c>
      <c r="C3283" s="175" t="s">
        <v>48</v>
      </c>
      <c r="D3283" s="190">
        <v>0.01</v>
      </c>
      <c r="E3283" s="204" t="s">
        <v>30</v>
      </c>
      <c r="F3283" s="204" t="s">
        <v>201</v>
      </c>
      <c r="G3283" s="175" t="s">
        <v>5334</v>
      </c>
      <c r="H3283" s="175"/>
    </row>
    <row r="3284" ht="14.25" spans="1:8">
      <c r="A3284" s="232">
        <v>752</v>
      </c>
      <c r="B3284" s="183" t="s">
        <v>5335</v>
      </c>
      <c r="C3284" s="175" t="s">
        <v>48</v>
      </c>
      <c r="D3284" s="190">
        <v>0.02</v>
      </c>
      <c r="E3284" s="204" t="s">
        <v>30</v>
      </c>
      <c r="F3284" s="204" t="s">
        <v>201</v>
      </c>
      <c r="G3284" s="175" t="s">
        <v>5336</v>
      </c>
      <c r="H3284" s="175"/>
    </row>
    <row r="3285" ht="14.25" spans="1:8">
      <c r="A3285" s="232">
        <v>753</v>
      </c>
      <c r="B3285" s="183" t="s">
        <v>1476</v>
      </c>
      <c r="C3285" s="175" t="s">
        <v>48</v>
      </c>
      <c r="D3285" s="190">
        <v>0.03</v>
      </c>
      <c r="E3285" s="204" t="s">
        <v>30</v>
      </c>
      <c r="F3285" s="204" t="s">
        <v>201</v>
      </c>
      <c r="G3285" s="175" t="s">
        <v>5337</v>
      </c>
      <c r="H3285" s="175"/>
    </row>
    <row r="3286" ht="14.25" spans="1:8">
      <c r="A3286" s="232">
        <v>754</v>
      </c>
      <c r="B3286" s="183" t="s">
        <v>5338</v>
      </c>
      <c r="C3286" s="175" t="s">
        <v>48</v>
      </c>
      <c r="D3286" s="190">
        <v>0.01</v>
      </c>
      <c r="E3286" s="204" t="s">
        <v>30</v>
      </c>
      <c r="F3286" s="204" t="s">
        <v>201</v>
      </c>
      <c r="G3286" s="175" t="s">
        <v>5339</v>
      </c>
      <c r="H3286" s="175"/>
    </row>
    <row r="3287" ht="14.25" spans="1:8">
      <c r="A3287" s="232">
        <v>755</v>
      </c>
      <c r="B3287" s="183" t="s">
        <v>5340</v>
      </c>
      <c r="C3287" s="175" t="s">
        <v>48</v>
      </c>
      <c r="D3287" s="190">
        <v>0.01</v>
      </c>
      <c r="E3287" s="204" t="s">
        <v>30</v>
      </c>
      <c r="F3287" s="204" t="s">
        <v>201</v>
      </c>
      <c r="G3287" s="175" t="s">
        <v>5178</v>
      </c>
      <c r="H3287" s="175"/>
    </row>
    <row r="3288" ht="14.25" spans="1:8">
      <c r="A3288" s="232">
        <v>756</v>
      </c>
      <c r="B3288" s="183" t="s">
        <v>4182</v>
      </c>
      <c r="C3288" s="175" t="s">
        <v>48</v>
      </c>
      <c r="D3288" s="190">
        <v>0.0822</v>
      </c>
      <c r="E3288" s="204" t="s">
        <v>318</v>
      </c>
      <c r="F3288" s="204" t="s">
        <v>30</v>
      </c>
      <c r="G3288" s="175" t="s">
        <v>5341</v>
      </c>
      <c r="H3288" s="175"/>
    </row>
    <row r="3289" ht="14.25" spans="1:8">
      <c r="A3289" s="232">
        <v>757</v>
      </c>
      <c r="B3289" s="183" t="s">
        <v>5342</v>
      </c>
      <c r="C3289" s="175" t="s">
        <v>48</v>
      </c>
      <c r="D3289" s="190">
        <v>0.02</v>
      </c>
      <c r="E3289" s="204" t="s">
        <v>30</v>
      </c>
      <c r="F3289" s="204" t="s">
        <v>201</v>
      </c>
      <c r="G3289" s="175" t="s">
        <v>5343</v>
      </c>
      <c r="H3289" s="175"/>
    </row>
    <row r="3290" ht="14.25" spans="1:8">
      <c r="A3290" s="232">
        <v>758</v>
      </c>
      <c r="B3290" s="183" t="s">
        <v>5344</v>
      </c>
      <c r="C3290" s="175" t="s">
        <v>48</v>
      </c>
      <c r="D3290" s="190">
        <v>0.01</v>
      </c>
      <c r="E3290" s="204" t="s">
        <v>30</v>
      </c>
      <c r="F3290" s="204" t="s">
        <v>201</v>
      </c>
      <c r="G3290" s="175" t="s">
        <v>5345</v>
      </c>
      <c r="H3290" s="175"/>
    </row>
    <row r="3291" ht="14.25" spans="1:8">
      <c r="A3291" s="232">
        <v>759</v>
      </c>
      <c r="B3291" s="183" t="s">
        <v>5346</v>
      </c>
      <c r="C3291" s="175" t="s">
        <v>48</v>
      </c>
      <c r="D3291" s="190">
        <v>0.02</v>
      </c>
      <c r="E3291" s="204" t="s">
        <v>30</v>
      </c>
      <c r="F3291" s="204" t="s">
        <v>201</v>
      </c>
      <c r="G3291" s="175" t="s">
        <v>5347</v>
      </c>
      <c r="H3291" s="175"/>
    </row>
    <row r="3292" ht="14.25" spans="1:8">
      <c r="A3292" s="232">
        <v>760</v>
      </c>
      <c r="B3292" s="183" t="s">
        <v>4341</v>
      </c>
      <c r="C3292" s="175" t="s">
        <v>48</v>
      </c>
      <c r="D3292" s="190">
        <v>0.02</v>
      </c>
      <c r="E3292" s="204" t="s">
        <v>30</v>
      </c>
      <c r="F3292" s="204" t="s">
        <v>201</v>
      </c>
      <c r="G3292" s="175" t="s">
        <v>5225</v>
      </c>
      <c r="H3292" s="175"/>
    </row>
    <row r="3293" ht="14.25" spans="1:8">
      <c r="A3293" s="232">
        <v>761</v>
      </c>
      <c r="B3293" s="183" t="s">
        <v>5348</v>
      </c>
      <c r="C3293" s="175" t="s">
        <v>48</v>
      </c>
      <c r="D3293" s="190">
        <v>0.005</v>
      </c>
      <c r="E3293" s="204" t="s">
        <v>30</v>
      </c>
      <c r="F3293" s="204" t="s">
        <v>201</v>
      </c>
      <c r="G3293" s="175" t="s">
        <v>5349</v>
      </c>
      <c r="H3293" s="175"/>
    </row>
    <row r="3294" ht="14.25" spans="1:8">
      <c r="A3294" s="232">
        <v>762</v>
      </c>
      <c r="B3294" s="183" t="s">
        <v>5350</v>
      </c>
      <c r="C3294" s="175" t="s">
        <v>48</v>
      </c>
      <c r="D3294" s="190">
        <v>0.01</v>
      </c>
      <c r="E3294" s="204" t="s">
        <v>30</v>
      </c>
      <c r="F3294" s="204" t="s">
        <v>201</v>
      </c>
      <c r="G3294" s="175" t="s">
        <v>5351</v>
      </c>
      <c r="H3294" s="175"/>
    </row>
    <row r="3295" ht="14.25" spans="1:8">
      <c r="A3295" s="232">
        <v>763</v>
      </c>
      <c r="B3295" s="183" t="s">
        <v>5350</v>
      </c>
      <c r="C3295" s="175" t="s">
        <v>48</v>
      </c>
      <c r="D3295" s="190">
        <v>0.06</v>
      </c>
      <c r="E3295" s="204" t="s">
        <v>30</v>
      </c>
      <c r="F3295" s="204" t="s">
        <v>201</v>
      </c>
      <c r="G3295" s="175" t="s">
        <v>5352</v>
      </c>
      <c r="H3295" s="175"/>
    </row>
    <row r="3296" ht="14.25" spans="1:8">
      <c r="A3296" s="232">
        <v>764</v>
      </c>
      <c r="B3296" s="183" t="s">
        <v>5353</v>
      </c>
      <c r="C3296" s="175" t="s">
        <v>48</v>
      </c>
      <c r="D3296" s="190">
        <v>0.05</v>
      </c>
      <c r="E3296" s="204" t="s">
        <v>30</v>
      </c>
      <c r="F3296" s="204" t="s">
        <v>201</v>
      </c>
      <c r="G3296" s="175" t="s">
        <v>5354</v>
      </c>
      <c r="H3296" s="175"/>
    </row>
    <row r="3297" ht="14.25" spans="1:8">
      <c r="A3297" s="232">
        <v>765</v>
      </c>
      <c r="B3297" s="183" t="s">
        <v>4487</v>
      </c>
      <c r="C3297" s="175" t="s">
        <v>48</v>
      </c>
      <c r="D3297" s="190">
        <v>0.03</v>
      </c>
      <c r="E3297" s="204" t="s">
        <v>30</v>
      </c>
      <c r="F3297" s="204" t="s">
        <v>201</v>
      </c>
      <c r="G3297" s="175" t="s">
        <v>5355</v>
      </c>
      <c r="H3297" s="175"/>
    </row>
    <row r="3298" ht="14.25" spans="1:8">
      <c r="A3298" s="232">
        <v>766</v>
      </c>
      <c r="B3298" s="183" t="s">
        <v>4896</v>
      </c>
      <c r="C3298" s="175" t="s">
        <v>48</v>
      </c>
      <c r="D3298" s="190">
        <v>0.02</v>
      </c>
      <c r="E3298" s="204" t="s">
        <v>30</v>
      </c>
      <c r="F3298" s="204" t="s">
        <v>201</v>
      </c>
      <c r="G3298" s="175" t="s">
        <v>5356</v>
      </c>
      <c r="H3298" s="175"/>
    </row>
    <row r="3299" ht="14.25" spans="1:8">
      <c r="A3299" s="232">
        <v>767</v>
      </c>
      <c r="B3299" s="183" t="s">
        <v>4896</v>
      </c>
      <c r="C3299" s="175" t="s">
        <v>48</v>
      </c>
      <c r="D3299" s="190">
        <v>0.02</v>
      </c>
      <c r="E3299" s="204" t="s">
        <v>30</v>
      </c>
      <c r="F3299" s="204" t="s">
        <v>201</v>
      </c>
      <c r="G3299" s="175" t="s">
        <v>4897</v>
      </c>
      <c r="H3299" s="175"/>
    </row>
    <row r="3300" ht="14.25" spans="1:8">
      <c r="A3300" s="232">
        <v>768</v>
      </c>
      <c r="B3300" s="183" t="s">
        <v>5227</v>
      </c>
      <c r="C3300" s="175" t="s">
        <v>48</v>
      </c>
      <c r="D3300" s="190">
        <v>0.01</v>
      </c>
      <c r="E3300" s="204" t="s">
        <v>30</v>
      </c>
      <c r="F3300" s="204" t="s">
        <v>201</v>
      </c>
      <c r="G3300" s="175" t="s">
        <v>5228</v>
      </c>
      <c r="H3300" s="175"/>
    </row>
    <row r="3301" ht="14.25" spans="1:8">
      <c r="A3301" s="232">
        <v>769</v>
      </c>
      <c r="B3301" s="183" t="s">
        <v>4407</v>
      </c>
      <c r="C3301" s="175" t="s">
        <v>48</v>
      </c>
      <c r="D3301" s="190">
        <v>0.04</v>
      </c>
      <c r="E3301" s="204" t="s">
        <v>30</v>
      </c>
      <c r="F3301" s="204" t="s">
        <v>201</v>
      </c>
      <c r="G3301" s="175" t="s">
        <v>5357</v>
      </c>
      <c r="H3301" s="175"/>
    </row>
    <row r="3302" ht="14.25" spans="1:8">
      <c r="A3302" s="232">
        <v>770</v>
      </c>
      <c r="B3302" s="183" t="s">
        <v>5358</v>
      </c>
      <c r="C3302" s="175" t="s">
        <v>48</v>
      </c>
      <c r="D3302" s="190">
        <v>0.03</v>
      </c>
      <c r="E3302" s="204" t="s">
        <v>30</v>
      </c>
      <c r="F3302" s="204" t="s">
        <v>201</v>
      </c>
      <c r="G3302" s="175" t="s">
        <v>5359</v>
      </c>
      <c r="H3302" s="175"/>
    </row>
    <row r="3303" ht="14.25" spans="1:8">
      <c r="A3303" s="232">
        <v>771</v>
      </c>
      <c r="B3303" s="183" t="s">
        <v>512</v>
      </c>
      <c r="C3303" s="175" t="s">
        <v>48</v>
      </c>
      <c r="D3303" s="190">
        <v>0.005</v>
      </c>
      <c r="E3303" s="204" t="s">
        <v>30</v>
      </c>
      <c r="F3303" s="204" t="s">
        <v>201</v>
      </c>
      <c r="G3303" s="175" t="s">
        <v>5360</v>
      </c>
      <c r="H3303" s="175"/>
    </row>
    <row r="3304" ht="14.25" spans="1:8">
      <c r="A3304" s="232">
        <v>772</v>
      </c>
      <c r="B3304" s="183" t="s">
        <v>512</v>
      </c>
      <c r="C3304" s="175" t="s">
        <v>48</v>
      </c>
      <c r="D3304" s="190">
        <v>0.005</v>
      </c>
      <c r="E3304" s="204" t="s">
        <v>30</v>
      </c>
      <c r="F3304" s="204" t="s">
        <v>201</v>
      </c>
      <c r="G3304" s="175" t="s">
        <v>5361</v>
      </c>
      <c r="H3304" s="175"/>
    </row>
    <row r="3305" ht="14.25" spans="1:8">
      <c r="A3305" s="232">
        <v>773</v>
      </c>
      <c r="B3305" s="183" t="s">
        <v>5362</v>
      </c>
      <c r="C3305" s="175" t="s">
        <v>48</v>
      </c>
      <c r="D3305" s="190">
        <v>0.005</v>
      </c>
      <c r="E3305" s="204" t="s">
        <v>30</v>
      </c>
      <c r="F3305" s="204" t="s">
        <v>201</v>
      </c>
      <c r="G3305" s="175" t="s">
        <v>5363</v>
      </c>
      <c r="H3305" s="175"/>
    </row>
    <row r="3306" ht="14.25" spans="1:8">
      <c r="A3306" s="232">
        <v>774</v>
      </c>
      <c r="B3306" s="183" t="s">
        <v>5364</v>
      </c>
      <c r="C3306" s="175" t="s">
        <v>48</v>
      </c>
      <c r="D3306" s="190">
        <v>0.005</v>
      </c>
      <c r="E3306" s="204" t="s">
        <v>30</v>
      </c>
      <c r="F3306" s="204" t="s">
        <v>201</v>
      </c>
      <c r="G3306" s="175" t="s">
        <v>5365</v>
      </c>
      <c r="H3306" s="175"/>
    </row>
    <row r="3307" ht="14.25" spans="1:8">
      <c r="A3307" s="232">
        <v>775</v>
      </c>
      <c r="B3307" s="183" t="s">
        <v>5366</v>
      </c>
      <c r="C3307" s="175" t="s">
        <v>48</v>
      </c>
      <c r="D3307" s="190">
        <v>0.02</v>
      </c>
      <c r="E3307" s="204" t="s">
        <v>30</v>
      </c>
      <c r="F3307" s="204" t="s">
        <v>201</v>
      </c>
      <c r="G3307" s="175" t="s">
        <v>5367</v>
      </c>
      <c r="H3307" s="175"/>
    </row>
    <row r="3308" ht="14.25" spans="1:8">
      <c r="A3308" s="232">
        <v>776</v>
      </c>
      <c r="B3308" s="183" t="s">
        <v>4818</v>
      </c>
      <c r="C3308" s="175" t="s">
        <v>48</v>
      </c>
      <c r="D3308" s="190">
        <v>0.03</v>
      </c>
      <c r="E3308" s="204" t="s">
        <v>30</v>
      </c>
      <c r="F3308" s="204" t="s">
        <v>188</v>
      </c>
      <c r="G3308" s="175" t="s">
        <v>4819</v>
      </c>
      <c r="H3308" s="175"/>
    </row>
    <row r="3309" ht="14.25" spans="1:8">
      <c r="A3309" s="232">
        <v>777</v>
      </c>
      <c r="B3309" s="183" t="s">
        <v>4384</v>
      </c>
      <c r="C3309" s="175" t="s">
        <v>48</v>
      </c>
      <c r="D3309" s="190">
        <v>0.012</v>
      </c>
      <c r="E3309" s="204" t="s">
        <v>30</v>
      </c>
      <c r="F3309" s="204" t="s">
        <v>201</v>
      </c>
      <c r="G3309" s="175" t="s">
        <v>5039</v>
      </c>
      <c r="H3309" s="175"/>
    </row>
    <row r="3310" ht="14.25" spans="1:8">
      <c r="A3310" s="232">
        <v>778</v>
      </c>
      <c r="B3310" s="183" t="s">
        <v>5240</v>
      </c>
      <c r="C3310" s="175" t="s">
        <v>48</v>
      </c>
      <c r="D3310" s="190">
        <v>0.03</v>
      </c>
      <c r="E3310" s="204" t="s">
        <v>30</v>
      </c>
      <c r="F3310" s="204" t="s">
        <v>201</v>
      </c>
      <c r="G3310" s="175" t="s">
        <v>5368</v>
      </c>
      <c r="H3310" s="175"/>
    </row>
    <row r="3311" ht="14.25" spans="1:8">
      <c r="A3311" s="232">
        <v>779</v>
      </c>
      <c r="B3311" s="183" t="s">
        <v>4847</v>
      </c>
      <c r="C3311" s="175" t="s">
        <v>48</v>
      </c>
      <c r="D3311" s="190">
        <v>0.02</v>
      </c>
      <c r="E3311" s="204" t="s">
        <v>30</v>
      </c>
      <c r="F3311" s="204" t="s">
        <v>201</v>
      </c>
      <c r="G3311" s="175" t="s">
        <v>4848</v>
      </c>
      <c r="H3311" s="175"/>
    </row>
    <row r="3312" ht="14.25" spans="1:8">
      <c r="A3312" s="232">
        <v>780</v>
      </c>
      <c r="B3312" s="183" t="s">
        <v>4983</v>
      </c>
      <c r="C3312" s="175" t="s">
        <v>48</v>
      </c>
      <c r="D3312" s="190">
        <v>0.02</v>
      </c>
      <c r="E3312" s="204" t="s">
        <v>30</v>
      </c>
      <c r="F3312" s="204" t="s">
        <v>201</v>
      </c>
      <c r="G3312" s="175" t="s">
        <v>4161</v>
      </c>
      <c r="H3312" s="175"/>
    </row>
    <row r="3313" ht="14.25" spans="1:8">
      <c r="A3313" s="232">
        <v>781</v>
      </c>
      <c r="B3313" s="183" t="s">
        <v>5369</v>
      </c>
      <c r="C3313" s="175" t="s">
        <v>48</v>
      </c>
      <c r="D3313" s="190">
        <v>0.3</v>
      </c>
      <c r="E3313" s="204" t="s">
        <v>30</v>
      </c>
      <c r="F3313" s="204" t="s">
        <v>553</v>
      </c>
      <c r="G3313" s="175" t="s">
        <v>4931</v>
      </c>
      <c r="H3313" s="175"/>
    </row>
    <row r="3314" ht="14.25" spans="1:8">
      <c r="A3314" s="232">
        <v>782</v>
      </c>
      <c r="B3314" s="183" t="s">
        <v>5267</v>
      </c>
      <c r="C3314" s="175" t="s">
        <v>48</v>
      </c>
      <c r="D3314" s="190">
        <v>0.03</v>
      </c>
      <c r="E3314" s="204" t="s">
        <v>30</v>
      </c>
      <c r="F3314" s="204" t="s">
        <v>201</v>
      </c>
      <c r="G3314" s="175" t="s">
        <v>5370</v>
      </c>
      <c r="H3314" s="175"/>
    </row>
    <row r="3315" ht="14.25" spans="1:8">
      <c r="A3315" s="232">
        <v>783</v>
      </c>
      <c r="B3315" s="183" t="s">
        <v>5371</v>
      </c>
      <c r="C3315" s="175" t="s">
        <v>48</v>
      </c>
      <c r="D3315" s="190">
        <v>0.01</v>
      </c>
      <c r="E3315" s="204" t="s">
        <v>30</v>
      </c>
      <c r="F3315" s="204" t="s">
        <v>201</v>
      </c>
      <c r="G3315" s="175" t="s">
        <v>5372</v>
      </c>
      <c r="H3315" s="175"/>
    </row>
    <row r="3316" ht="25.5" spans="1:8">
      <c r="A3316" s="232">
        <v>784</v>
      </c>
      <c r="B3316" s="183" t="s">
        <v>5373</v>
      </c>
      <c r="C3316" s="175" t="s">
        <v>48</v>
      </c>
      <c r="D3316" s="190">
        <v>2.043</v>
      </c>
      <c r="E3316" s="204" t="s">
        <v>204</v>
      </c>
      <c r="F3316" s="204" t="s">
        <v>30</v>
      </c>
      <c r="G3316" s="175" t="s">
        <v>5374</v>
      </c>
      <c r="H3316" s="175"/>
    </row>
    <row r="3317" ht="14.25" spans="1:8">
      <c r="A3317" s="232">
        <v>785</v>
      </c>
      <c r="B3317" s="183" t="s">
        <v>5375</v>
      </c>
      <c r="C3317" s="175" t="s">
        <v>48</v>
      </c>
      <c r="D3317" s="190">
        <v>0.11</v>
      </c>
      <c r="E3317" s="204" t="s">
        <v>30</v>
      </c>
      <c r="F3317" s="204" t="s">
        <v>201</v>
      </c>
      <c r="G3317" s="258" t="s">
        <v>5376</v>
      </c>
      <c r="H3317" s="175"/>
    </row>
    <row r="3318" ht="14.25" spans="1:8">
      <c r="A3318" s="232">
        <v>786</v>
      </c>
      <c r="B3318" s="183" t="s">
        <v>5375</v>
      </c>
      <c r="C3318" s="175" t="s">
        <v>48</v>
      </c>
      <c r="D3318" s="190">
        <v>0.13</v>
      </c>
      <c r="E3318" s="204" t="s">
        <v>30</v>
      </c>
      <c r="F3318" s="204" t="s">
        <v>201</v>
      </c>
      <c r="G3318" s="258" t="s">
        <v>5377</v>
      </c>
      <c r="H3318" s="175"/>
    </row>
    <row r="3319" ht="14.25" spans="1:8">
      <c r="A3319" s="232">
        <v>787</v>
      </c>
      <c r="B3319" s="183" t="s">
        <v>3679</v>
      </c>
      <c r="C3319" s="175" t="s">
        <v>48</v>
      </c>
      <c r="D3319" s="190">
        <v>0.005</v>
      </c>
      <c r="E3319" s="204" t="s">
        <v>30</v>
      </c>
      <c r="F3319" s="204" t="s">
        <v>201</v>
      </c>
      <c r="G3319" s="258" t="s">
        <v>5378</v>
      </c>
      <c r="H3319" s="175"/>
    </row>
    <row r="3320" ht="14.25" spans="1:8">
      <c r="A3320" s="232">
        <v>788</v>
      </c>
      <c r="B3320" s="183" t="s">
        <v>5379</v>
      </c>
      <c r="C3320" s="175" t="s">
        <v>48</v>
      </c>
      <c r="D3320" s="190">
        <v>0.08</v>
      </c>
      <c r="E3320" s="204" t="s">
        <v>30</v>
      </c>
      <c r="F3320" s="204" t="s">
        <v>201</v>
      </c>
      <c r="G3320" s="258" t="s">
        <v>3853</v>
      </c>
      <c r="H3320" s="175"/>
    </row>
    <row r="3321" ht="14.25" spans="1:8">
      <c r="A3321" s="232">
        <v>789</v>
      </c>
      <c r="B3321" s="183" t="s">
        <v>5380</v>
      </c>
      <c r="C3321" s="175" t="s">
        <v>48</v>
      </c>
      <c r="D3321" s="190">
        <v>0.01</v>
      </c>
      <c r="E3321" s="204" t="s">
        <v>30</v>
      </c>
      <c r="F3321" s="204" t="s">
        <v>201</v>
      </c>
      <c r="G3321" s="258" t="s">
        <v>5381</v>
      </c>
      <c r="H3321" s="175"/>
    </row>
    <row r="3322" ht="14.25" spans="1:8">
      <c r="A3322" s="232">
        <v>790</v>
      </c>
      <c r="B3322" s="183" t="s">
        <v>5382</v>
      </c>
      <c r="C3322" s="175" t="s">
        <v>48</v>
      </c>
      <c r="D3322" s="190">
        <v>0.04</v>
      </c>
      <c r="E3322" s="204" t="s">
        <v>30</v>
      </c>
      <c r="F3322" s="204" t="s">
        <v>201</v>
      </c>
      <c r="G3322" s="258" t="s">
        <v>5383</v>
      </c>
      <c r="H3322" s="175"/>
    </row>
    <row r="3323" ht="14.25" spans="1:8">
      <c r="A3323" s="232">
        <v>791</v>
      </c>
      <c r="B3323" s="175" t="s">
        <v>5384</v>
      </c>
      <c r="C3323" s="175" t="s">
        <v>48</v>
      </c>
      <c r="D3323" s="173">
        <v>0.02</v>
      </c>
      <c r="E3323" s="170" t="s">
        <v>30</v>
      </c>
      <c r="F3323" s="204" t="s">
        <v>201</v>
      </c>
      <c r="G3323" s="175" t="s">
        <v>5385</v>
      </c>
      <c r="H3323" s="175"/>
    </row>
    <row r="3324" ht="14.25" spans="1:8">
      <c r="A3324" s="232">
        <v>792</v>
      </c>
      <c r="B3324" s="175" t="s">
        <v>5386</v>
      </c>
      <c r="C3324" s="175" t="s">
        <v>48</v>
      </c>
      <c r="D3324" s="173">
        <v>0.1</v>
      </c>
      <c r="E3324" s="170" t="s">
        <v>30</v>
      </c>
      <c r="F3324" s="204" t="s">
        <v>201</v>
      </c>
      <c r="G3324" s="175" t="s">
        <v>5387</v>
      </c>
      <c r="H3324" s="175"/>
    </row>
    <row r="3325" ht="14.25" spans="1:8">
      <c r="A3325" s="232">
        <v>793</v>
      </c>
      <c r="B3325" s="175" t="s">
        <v>5375</v>
      </c>
      <c r="C3325" s="175" t="s">
        <v>48</v>
      </c>
      <c r="D3325" s="173">
        <v>0.06</v>
      </c>
      <c r="E3325" s="170" t="s">
        <v>30</v>
      </c>
      <c r="F3325" s="204" t="s">
        <v>201</v>
      </c>
      <c r="G3325" s="175" t="s">
        <v>4284</v>
      </c>
      <c r="H3325" s="175"/>
    </row>
    <row r="3326" ht="14.25" spans="1:8">
      <c r="A3326" s="232">
        <v>794</v>
      </c>
      <c r="B3326" s="175" t="s">
        <v>5388</v>
      </c>
      <c r="C3326" s="175" t="s">
        <v>48</v>
      </c>
      <c r="D3326" s="173">
        <v>0.06</v>
      </c>
      <c r="E3326" s="170" t="s">
        <v>30</v>
      </c>
      <c r="F3326" s="204" t="s">
        <v>201</v>
      </c>
      <c r="G3326" s="175" t="s">
        <v>5389</v>
      </c>
      <c r="H3326" s="175"/>
    </row>
    <row r="3327" ht="14.25" spans="1:8">
      <c r="A3327" s="232">
        <v>795</v>
      </c>
      <c r="B3327" s="175" t="s">
        <v>349</v>
      </c>
      <c r="C3327" s="175" t="s">
        <v>48</v>
      </c>
      <c r="D3327" s="173">
        <v>0.005</v>
      </c>
      <c r="E3327" s="170" t="s">
        <v>30</v>
      </c>
      <c r="F3327" s="204" t="s">
        <v>201</v>
      </c>
      <c r="G3327" s="175" t="s">
        <v>5390</v>
      </c>
      <c r="H3327" s="175"/>
    </row>
    <row r="3328" ht="14.25" spans="1:8">
      <c r="A3328" s="232">
        <v>796</v>
      </c>
      <c r="B3328" s="175" t="s">
        <v>5391</v>
      </c>
      <c r="C3328" s="175" t="s">
        <v>48</v>
      </c>
      <c r="D3328" s="173">
        <v>0.04</v>
      </c>
      <c r="E3328" s="170" t="s">
        <v>30</v>
      </c>
      <c r="F3328" s="204" t="s">
        <v>201</v>
      </c>
      <c r="G3328" s="175" t="s">
        <v>5392</v>
      </c>
      <c r="H3328" s="175"/>
    </row>
    <row r="3329" ht="14.25" spans="1:8">
      <c r="A3329" s="232">
        <v>797</v>
      </c>
      <c r="B3329" s="175" t="s">
        <v>5300</v>
      </c>
      <c r="C3329" s="175" t="s">
        <v>48</v>
      </c>
      <c r="D3329" s="173">
        <v>0.01</v>
      </c>
      <c r="E3329" s="170" t="s">
        <v>30</v>
      </c>
      <c r="F3329" s="204" t="s">
        <v>201</v>
      </c>
      <c r="G3329" s="175" t="s">
        <v>5337</v>
      </c>
      <c r="H3329" s="175"/>
    </row>
    <row r="3330" ht="14.25" spans="1:8">
      <c r="A3330" s="232">
        <v>798</v>
      </c>
      <c r="B3330" s="175" t="s">
        <v>4994</v>
      </c>
      <c r="C3330" s="175" t="s">
        <v>48</v>
      </c>
      <c r="D3330" s="173">
        <v>0.01</v>
      </c>
      <c r="E3330" s="170" t="s">
        <v>30</v>
      </c>
      <c r="F3330" s="204" t="s">
        <v>201</v>
      </c>
      <c r="G3330" s="175" t="s">
        <v>5393</v>
      </c>
      <c r="H3330" s="175"/>
    </row>
    <row r="3331" ht="14.25" spans="1:8">
      <c r="A3331" s="232">
        <v>799</v>
      </c>
      <c r="B3331" s="259" t="s">
        <v>1346</v>
      </c>
      <c r="C3331" s="175" t="s">
        <v>48</v>
      </c>
      <c r="D3331" s="260">
        <v>0.03</v>
      </c>
      <c r="E3331" s="217" t="s">
        <v>30</v>
      </c>
      <c r="F3331" s="261" t="s">
        <v>201</v>
      </c>
      <c r="G3331" s="215" t="s">
        <v>5394</v>
      </c>
      <c r="H3331" s="175"/>
    </row>
    <row r="3332" ht="14.25" spans="1:8">
      <c r="A3332" s="232">
        <v>800</v>
      </c>
      <c r="B3332" s="259" t="s">
        <v>4740</v>
      </c>
      <c r="C3332" s="175" t="s">
        <v>48</v>
      </c>
      <c r="D3332" s="260">
        <v>0.03</v>
      </c>
      <c r="E3332" s="217" t="s">
        <v>30</v>
      </c>
      <c r="F3332" s="261" t="s">
        <v>201</v>
      </c>
      <c r="G3332" s="215" t="s">
        <v>4741</v>
      </c>
      <c r="H3332" s="175"/>
    </row>
    <row r="3333" ht="14.25" spans="1:8">
      <c r="A3333" s="232">
        <v>801</v>
      </c>
      <c r="B3333" s="184" t="s">
        <v>1879</v>
      </c>
      <c r="C3333" s="175" t="s">
        <v>48</v>
      </c>
      <c r="D3333" s="260">
        <v>0.1</v>
      </c>
      <c r="E3333" s="257" t="s">
        <v>30</v>
      </c>
      <c r="F3333" s="257" t="s">
        <v>201</v>
      </c>
      <c r="G3333" s="215" t="s">
        <v>5262</v>
      </c>
      <c r="H3333" s="175"/>
    </row>
    <row r="3334" ht="14.25" spans="1:8">
      <c r="A3334" s="232">
        <v>802</v>
      </c>
      <c r="B3334" s="184" t="s">
        <v>712</v>
      </c>
      <c r="C3334" s="175" t="s">
        <v>48</v>
      </c>
      <c r="D3334" s="260">
        <v>0.12</v>
      </c>
      <c r="E3334" s="257" t="s">
        <v>30</v>
      </c>
      <c r="F3334" s="257" t="s">
        <v>201</v>
      </c>
      <c r="G3334" s="215" t="s">
        <v>5068</v>
      </c>
      <c r="H3334" s="175"/>
    </row>
    <row r="3335" ht="14.25" spans="1:8">
      <c r="A3335" s="232">
        <v>803</v>
      </c>
      <c r="B3335" s="184" t="s">
        <v>5395</v>
      </c>
      <c r="C3335" s="175" t="s">
        <v>48</v>
      </c>
      <c r="D3335" s="260">
        <v>0.04</v>
      </c>
      <c r="E3335" s="257" t="s">
        <v>30</v>
      </c>
      <c r="F3335" s="257" t="s">
        <v>201</v>
      </c>
      <c r="G3335" s="215" t="s">
        <v>5392</v>
      </c>
      <c r="H3335" s="175"/>
    </row>
    <row r="3336" ht="25.5" spans="1:8">
      <c r="A3336" s="232">
        <v>804</v>
      </c>
      <c r="B3336" s="184" t="s">
        <v>4220</v>
      </c>
      <c r="C3336" s="175" t="s">
        <v>48</v>
      </c>
      <c r="D3336" s="260">
        <v>0.2</v>
      </c>
      <c r="E3336" s="257" t="s">
        <v>30</v>
      </c>
      <c r="F3336" s="257" t="s">
        <v>201</v>
      </c>
      <c r="G3336" s="215" t="s">
        <v>4221</v>
      </c>
      <c r="H3336" s="175" t="s">
        <v>1888</v>
      </c>
    </row>
    <row r="3337" ht="14.25" spans="1:8">
      <c r="A3337" s="232">
        <v>805</v>
      </c>
      <c r="B3337" s="184" t="s">
        <v>5396</v>
      </c>
      <c r="C3337" s="175" t="s">
        <v>48</v>
      </c>
      <c r="D3337" s="260">
        <v>0.01</v>
      </c>
      <c r="E3337" s="257" t="s">
        <v>30</v>
      </c>
      <c r="F3337" s="257" t="s">
        <v>201</v>
      </c>
      <c r="G3337" s="215" t="s">
        <v>5397</v>
      </c>
      <c r="H3337" s="175"/>
    </row>
    <row r="3338" ht="14.25" spans="1:8">
      <c r="A3338" s="232">
        <v>806</v>
      </c>
      <c r="B3338" s="183" t="s">
        <v>5388</v>
      </c>
      <c r="C3338" s="175" t="s">
        <v>48</v>
      </c>
      <c r="D3338" s="260">
        <v>0.05</v>
      </c>
      <c r="E3338" s="204" t="s">
        <v>30</v>
      </c>
      <c r="F3338" s="204" t="s">
        <v>201</v>
      </c>
      <c r="G3338" s="215" t="s">
        <v>5389</v>
      </c>
      <c r="H3338" s="175"/>
    </row>
    <row r="3339" ht="14.25" spans="1:8">
      <c r="A3339" s="232">
        <v>807</v>
      </c>
      <c r="B3339" s="183" t="s">
        <v>5398</v>
      </c>
      <c r="C3339" s="175" t="s">
        <v>48</v>
      </c>
      <c r="D3339" s="260">
        <v>0.01</v>
      </c>
      <c r="E3339" s="204" t="s">
        <v>30</v>
      </c>
      <c r="F3339" s="204" t="s">
        <v>201</v>
      </c>
      <c r="G3339" s="215" t="s">
        <v>5399</v>
      </c>
      <c r="H3339" s="175"/>
    </row>
    <row r="3340" ht="14.25" spans="1:8">
      <c r="A3340" s="232">
        <v>808</v>
      </c>
      <c r="B3340" s="183" t="s">
        <v>5400</v>
      </c>
      <c r="C3340" s="175" t="s">
        <v>48</v>
      </c>
      <c r="D3340" s="260">
        <v>0.01</v>
      </c>
      <c r="E3340" s="204" t="s">
        <v>30</v>
      </c>
      <c r="F3340" s="204" t="s">
        <v>201</v>
      </c>
      <c r="G3340" s="215" t="s">
        <v>5401</v>
      </c>
      <c r="H3340" s="175"/>
    </row>
    <row r="3341" ht="14.25" spans="1:8">
      <c r="A3341" s="232">
        <v>809</v>
      </c>
      <c r="B3341" s="183" t="s">
        <v>4281</v>
      </c>
      <c r="C3341" s="175" t="s">
        <v>48</v>
      </c>
      <c r="D3341" s="260">
        <v>0.01</v>
      </c>
      <c r="E3341" s="204" t="s">
        <v>30</v>
      </c>
      <c r="F3341" s="204" t="s">
        <v>201</v>
      </c>
      <c r="G3341" s="215" t="s">
        <v>5402</v>
      </c>
      <c r="H3341" s="175"/>
    </row>
    <row r="3342" ht="14.25" spans="1:8">
      <c r="A3342" s="232">
        <v>810</v>
      </c>
      <c r="B3342" s="183" t="s">
        <v>3823</v>
      </c>
      <c r="C3342" s="175" t="s">
        <v>48</v>
      </c>
      <c r="D3342" s="260">
        <v>0.02</v>
      </c>
      <c r="E3342" s="204" t="s">
        <v>30</v>
      </c>
      <c r="F3342" s="204" t="s">
        <v>201</v>
      </c>
      <c r="G3342" s="215" t="s">
        <v>5403</v>
      </c>
      <c r="H3342" s="175" t="s">
        <v>672</v>
      </c>
    </row>
    <row r="3343" ht="14.25" spans="1:8">
      <c r="A3343" s="232">
        <v>811</v>
      </c>
      <c r="B3343" s="183" t="s">
        <v>5404</v>
      </c>
      <c r="C3343" s="175" t="s">
        <v>48</v>
      </c>
      <c r="D3343" s="260">
        <v>0.02</v>
      </c>
      <c r="E3343" s="204" t="s">
        <v>30</v>
      </c>
      <c r="F3343" s="204" t="s">
        <v>201</v>
      </c>
      <c r="G3343" s="215" t="s">
        <v>5405</v>
      </c>
      <c r="H3343" s="175" t="s">
        <v>672</v>
      </c>
    </row>
    <row r="3344" ht="14.25" spans="1:8">
      <c r="A3344" s="232">
        <v>812</v>
      </c>
      <c r="B3344" s="183" t="s">
        <v>699</v>
      </c>
      <c r="C3344" s="175" t="s">
        <v>48</v>
      </c>
      <c r="D3344" s="260">
        <v>0.02</v>
      </c>
      <c r="E3344" s="204" t="s">
        <v>30</v>
      </c>
      <c r="F3344" s="204" t="s">
        <v>201</v>
      </c>
      <c r="G3344" s="215" t="s">
        <v>5406</v>
      </c>
      <c r="H3344" s="175"/>
    </row>
    <row r="3345" ht="14.25" spans="1:8">
      <c r="A3345" s="232">
        <v>813</v>
      </c>
      <c r="B3345" s="183" t="s">
        <v>5269</v>
      </c>
      <c r="C3345" s="175" t="s">
        <v>48</v>
      </c>
      <c r="D3345" s="260">
        <v>0.03</v>
      </c>
      <c r="E3345" s="204" t="s">
        <v>30</v>
      </c>
      <c r="F3345" s="204" t="s">
        <v>201</v>
      </c>
      <c r="G3345" s="215" t="s">
        <v>5280</v>
      </c>
      <c r="H3345" s="175"/>
    </row>
    <row r="3346" ht="14.25" spans="1:8">
      <c r="A3346" s="232">
        <v>814</v>
      </c>
      <c r="B3346" s="183" t="s">
        <v>5407</v>
      </c>
      <c r="C3346" s="175" t="s">
        <v>48</v>
      </c>
      <c r="D3346" s="260">
        <v>0.05</v>
      </c>
      <c r="E3346" s="204" t="s">
        <v>30</v>
      </c>
      <c r="F3346" s="204" t="s">
        <v>201</v>
      </c>
      <c r="G3346" s="215" t="s">
        <v>5408</v>
      </c>
      <c r="H3346" s="175"/>
    </row>
    <row r="3347" ht="14.25" spans="1:8">
      <c r="A3347" s="232">
        <v>815</v>
      </c>
      <c r="B3347" s="183" t="s">
        <v>5409</v>
      </c>
      <c r="C3347" s="175" t="s">
        <v>48</v>
      </c>
      <c r="D3347" s="260">
        <v>0.06</v>
      </c>
      <c r="E3347" s="204" t="s">
        <v>30</v>
      </c>
      <c r="F3347" s="204" t="s">
        <v>201</v>
      </c>
      <c r="G3347" s="215" t="s">
        <v>5288</v>
      </c>
      <c r="H3347" s="175"/>
    </row>
    <row r="3348" ht="14.25" spans="1:8">
      <c r="A3348" s="232">
        <v>816</v>
      </c>
      <c r="B3348" s="183" t="s">
        <v>5409</v>
      </c>
      <c r="C3348" s="175" t="s">
        <v>48</v>
      </c>
      <c r="D3348" s="260">
        <v>0.04</v>
      </c>
      <c r="E3348" s="204" t="s">
        <v>30</v>
      </c>
      <c r="F3348" s="204" t="s">
        <v>201</v>
      </c>
      <c r="G3348" s="215" t="s">
        <v>5285</v>
      </c>
      <c r="H3348" s="175" t="s">
        <v>672</v>
      </c>
    </row>
    <row r="3349" ht="14.25" spans="1:8">
      <c r="A3349" s="232">
        <v>817</v>
      </c>
      <c r="B3349" s="183" t="s">
        <v>5371</v>
      </c>
      <c r="C3349" s="175" t="s">
        <v>48</v>
      </c>
      <c r="D3349" s="260">
        <v>0.01</v>
      </c>
      <c r="E3349" s="204" t="s">
        <v>30</v>
      </c>
      <c r="F3349" s="204" t="s">
        <v>201</v>
      </c>
      <c r="G3349" s="215" t="s">
        <v>5410</v>
      </c>
      <c r="H3349" s="175" t="s">
        <v>672</v>
      </c>
    </row>
    <row r="3350" ht="14.25" spans="1:8">
      <c r="A3350" s="232">
        <v>818</v>
      </c>
      <c r="B3350" s="183" t="s">
        <v>5371</v>
      </c>
      <c r="C3350" s="175" t="s">
        <v>48</v>
      </c>
      <c r="D3350" s="260">
        <v>0.02</v>
      </c>
      <c r="E3350" s="204" t="s">
        <v>30</v>
      </c>
      <c r="F3350" s="204" t="s">
        <v>201</v>
      </c>
      <c r="G3350" s="215" t="s">
        <v>5372</v>
      </c>
      <c r="H3350" s="175"/>
    </row>
    <row r="3351" ht="14.25" spans="1:8">
      <c r="A3351" s="232">
        <v>819</v>
      </c>
      <c r="B3351" s="183" t="s">
        <v>5371</v>
      </c>
      <c r="C3351" s="175" t="s">
        <v>48</v>
      </c>
      <c r="D3351" s="260">
        <v>0.02</v>
      </c>
      <c r="E3351" s="204" t="s">
        <v>30</v>
      </c>
      <c r="F3351" s="204" t="s">
        <v>201</v>
      </c>
      <c r="G3351" s="215" t="s">
        <v>5411</v>
      </c>
      <c r="H3351" s="175" t="s">
        <v>672</v>
      </c>
    </row>
    <row r="3352" ht="14.25" spans="1:8">
      <c r="A3352" s="232">
        <v>820</v>
      </c>
      <c r="B3352" s="183" t="s">
        <v>5412</v>
      </c>
      <c r="C3352" s="175" t="s">
        <v>48</v>
      </c>
      <c r="D3352" s="260">
        <v>0.1</v>
      </c>
      <c r="E3352" s="204" t="s">
        <v>30</v>
      </c>
      <c r="F3352" s="204" t="s">
        <v>201</v>
      </c>
      <c r="G3352" s="215" t="s">
        <v>5413</v>
      </c>
      <c r="H3352" s="175"/>
    </row>
    <row r="3353" ht="14.25" spans="1:8">
      <c r="A3353" s="232">
        <v>821</v>
      </c>
      <c r="B3353" s="183" t="s">
        <v>1202</v>
      </c>
      <c r="C3353" s="175" t="s">
        <v>48</v>
      </c>
      <c r="D3353" s="260">
        <v>0.03</v>
      </c>
      <c r="E3353" s="204" t="s">
        <v>30</v>
      </c>
      <c r="F3353" s="204" t="s">
        <v>201</v>
      </c>
      <c r="G3353" s="215" t="s">
        <v>4996</v>
      </c>
      <c r="H3353" s="175"/>
    </row>
    <row r="3354" ht="14.25" spans="1:8">
      <c r="A3354" s="232">
        <v>822</v>
      </c>
      <c r="B3354" s="183" t="s">
        <v>5414</v>
      </c>
      <c r="C3354" s="175" t="s">
        <v>48</v>
      </c>
      <c r="D3354" s="260">
        <v>0.01</v>
      </c>
      <c r="E3354" s="204" t="s">
        <v>30</v>
      </c>
      <c r="F3354" s="204" t="s">
        <v>201</v>
      </c>
      <c r="G3354" s="215" t="s">
        <v>5415</v>
      </c>
      <c r="H3354" s="175"/>
    </row>
    <row r="3355" ht="14.25" spans="1:8">
      <c r="A3355" s="232">
        <v>823</v>
      </c>
      <c r="B3355" s="183" t="s">
        <v>5414</v>
      </c>
      <c r="C3355" s="175" t="s">
        <v>48</v>
      </c>
      <c r="D3355" s="260">
        <v>0.01</v>
      </c>
      <c r="E3355" s="204" t="s">
        <v>30</v>
      </c>
      <c r="F3355" s="204" t="s">
        <v>201</v>
      </c>
      <c r="G3355" s="215" t="s">
        <v>5416</v>
      </c>
      <c r="H3355" s="175"/>
    </row>
    <row r="3356" ht="14.25" spans="1:8">
      <c r="A3356" s="232">
        <v>824</v>
      </c>
      <c r="B3356" s="183" t="s">
        <v>5417</v>
      </c>
      <c r="C3356" s="175" t="s">
        <v>48</v>
      </c>
      <c r="D3356" s="260">
        <v>0.03</v>
      </c>
      <c r="E3356" s="204" t="s">
        <v>30</v>
      </c>
      <c r="F3356" s="204" t="s">
        <v>201</v>
      </c>
      <c r="G3356" s="215" t="s">
        <v>5418</v>
      </c>
      <c r="H3356" s="175"/>
    </row>
    <row r="3357" ht="14.25" spans="1:8">
      <c r="A3357" s="232">
        <v>825</v>
      </c>
      <c r="B3357" s="183" t="s">
        <v>5419</v>
      </c>
      <c r="C3357" s="175" t="s">
        <v>48</v>
      </c>
      <c r="D3357" s="260">
        <v>0.03</v>
      </c>
      <c r="E3357" s="257" t="s">
        <v>30</v>
      </c>
      <c r="F3357" s="257" t="s">
        <v>201</v>
      </c>
      <c r="G3357" s="215" t="s">
        <v>5420</v>
      </c>
      <c r="H3357" s="175"/>
    </row>
    <row r="3358" ht="25.5" spans="1:8">
      <c r="A3358" s="232">
        <v>826</v>
      </c>
      <c r="B3358" s="183" t="s">
        <v>5421</v>
      </c>
      <c r="C3358" s="175" t="s">
        <v>48</v>
      </c>
      <c r="D3358" s="260">
        <v>0.03</v>
      </c>
      <c r="E3358" s="204" t="s">
        <v>30</v>
      </c>
      <c r="F3358" s="204" t="s">
        <v>201</v>
      </c>
      <c r="G3358" s="215" t="s">
        <v>5418</v>
      </c>
      <c r="H3358" s="175" t="s">
        <v>1883</v>
      </c>
    </row>
    <row r="3359" ht="14.25" spans="1:8">
      <c r="A3359" s="232">
        <v>827</v>
      </c>
      <c r="B3359" s="175" t="s">
        <v>5422</v>
      </c>
      <c r="C3359" s="175" t="s">
        <v>48</v>
      </c>
      <c r="D3359" s="260">
        <v>0.03</v>
      </c>
      <c r="E3359" s="204" t="s">
        <v>30</v>
      </c>
      <c r="F3359" s="204" t="s">
        <v>201</v>
      </c>
      <c r="G3359" s="215" t="s">
        <v>5423</v>
      </c>
      <c r="H3359" s="175"/>
    </row>
    <row r="3360" ht="25.5" spans="1:8">
      <c r="A3360" s="232">
        <v>828</v>
      </c>
      <c r="B3360" s="183" t="s">
        <v>5424</v>
      </c>
      <c r="C3360" s="175" t="s">
        <v>48</v>
      </c>
      <c r="D3360" s="260">
        <v>0.02</v>
      </c>
      <c r="E3360" s="204" t="s">
        <v>30</v>
      </c>
      <c r="F3360" s="204" t="s">
        <v>201</v>
      </c>
      <c r="G3360" s="215" t="s">
        <v>5425</v>
      </c>
      <c r="H3360" s="175" t="s">
        <v>5426</v>
      </c>
    </row>
    <row r="3361" ht="14.25" spans="1:8">
      <c r="A3361" s="232">
        <v>829</v>
      </c>
      <c r="B3361" s="183" t="s">
        <v>5412</v>
      </c>
      <c r="C3361" s="175" t="s">
        <v>48</v>
      </c>
      <c r="D3361" s="260">
        <v>0.03</v>
      </c>
      <c r="E3361" s="204" t="s">
        <v>30</v>
      </c>
      <c r="F3361" s="204" t="s">
        <v>201</v>
      </c>
      <c r="G3361" s="215" t="s">
        <v>5427</v>
      </c>
      <c r="H3361" s="175"/>
    </row>
    <row r="3362" ht="14.25" spans="1:8">
      <c r="A3362" s="232">
        <v>830</v>
      </c>
      <c r="B3362" s="184" t="s">
        <v>5312</v>
      </c>
      <c r="C3362" s="175" t="s">
        <v>48</v>
      </c>
      <c r="D3362" s="260">
        <v>0.03</v>
      </c>
      <c r="E3362" s="204" t="s">
        <v>30</v>
      </c>
      <c r="F3362" s="204" t="s">
        <v>201</v>
      </c>
      <c r="G3362" s="215" t="s">
        <v>5301</v>
      </c>
      <c r="H3362" s="175"/>
    </row>
    <row r="3363" ht="14.25" spans="1:8">
      <c r="A3363" s="232">
        <v>831</v>
      </c>
      <c r="B3363" s="183" t="s">
        <v>5314</v>
      </c>
      <c r="C3363" s="175" t="s">
        <v>48</v>
      </c>
      <c r="D3363" s="260">
        <v>0.02</v>
      </c>
      <c r="E3363" s="204" t="s">
        <v>30</v>
      </c>
      <c r="F3363" s="204" t="s">
        <v>201</v>
      </c>
      <c r="G3363" s="215" t="s">
        <v>5310</v>
      </c>
      <c r="H3363" s="175"/>
    </row>
    <row r="3364" ht="14.25" spans="1:8">
      <c r="A3364" s="232">
        <v>832</v>
      </c>
      <c r="B3364" s="183" t="s">
        <v>5428</v>
      </c>
      <c r="C3364" s="175" t="s">
        <v>48</v>
      </c>
      <c r="D3364" s="260">
        <v>0.02</v>
      </c>
      <c r="E3364" s="204" t="s">
        <v>30</v>
      </c>
      <c r="F3364" s="204" t="s">
        <v>201</v>
      </c>
      <c r="G3364" s="215" t="s">
        <v>5429</v>
      </c>
      <c r="H3364" s="175"/>
    </row>
    <row r="3365" ht="14.25" spans="1:8">
      <c r="A3365" s="232">
        <v>833</v>
      </c>
      <c r="B3365" s="183" t="s">
        <v>5430</v>
      </c>
      <c r="C3365" s="175" t="s">
        <v>48</v>
      </c>
      <c r="D3365" s="260">
        <v>0.02</v>
      </c>
      <c r="E3365" s="204" t="s">
        <v>30</v>
      </c>
      <c r="F3365" s="204" t="s">
        <v>201</v>
      </c>
      <c r="G3365" s="215" t="s">
        <v>5069</v>
      </c>
      <c r="H3365" s="175"/>
    </row>
    <row r="3366" ht="14.25" spans="1:8">
      <c r="A3366" s="232">
        <v>834</v>
      </c>
      <c r="B3366" s="183" t="s">
        <v>5431</v>
      </c>
      <c r="C3366" s="175" t="s">
        <v>48</v>
      </c>
      <c r="D3366" s="260">
        <v>0.03</v>
      </c>
      <c r="E3366" s="204" t="s">
        <v>30</v>
      </c>
      <c r="F3366" s="204" t="s">
        <v>201</v>
      </c>
      <c r="G3366" s="215" t="s">
        <v>5061</v>
      </c>
      <c r="H3366" s="175"/>
    </row>
    <row r="3367" ht="14.25" spans="1:8">
      <c r="A3367" s="232">
        <v>835</v>
      </c>
      <c r="B3367" s="183" t="s">
        <v>5432</v>
      </c>
      <c r="C3367" s="175" t="s">
        <v>48</v>
      </c>
      <c r="D3367" s="260">
        <v>0.06</v>
      </c>
      <c r="E3367" s="204" t="s">
        <v>2492</v>
      </c>
      <c r="F3367" s="204" t="s">
        <v>201</v>
      </c>
      <c r="G3367" s="215" t="s">
        <v>5433</v>
      </c>
      <c r="H3367" s="175"/>
    </row>
    <row r="3368" ht="14.25" spans="1:8">
      <c r="A3368" s="232">
        <v>836</v>
      </c>
      <c r="B3368" s="183" t="s">
        <v>5434</v>
      </c>
      <c r="C3368" s="175" t="s">
        <v>48</v>
      </c>
      <c r="D3368" s="260">
        <v>0.04</v>
      </c>
      <c r="E3368" s="204" t="s">
        <v>30</v>
      </c>
      <c r="F3368" s="204" t="s">
        <v>201</v>
      </c>
      <c r="G3368" s="215" t="s">
        <v>5435</v>
      </c>
      <c r="H3368" s="175"/>
    </row>
    <row r="3369" ht="14.25" spans="1:8">
      <c r="A3369" s="232">
        <v>837</v>
      </c>
      <c r="B3369" s="181" t="s">
        <v>4549</v>
      </c>
      <c r="C3369" s="175" t="s">
        <v>48</v>
      </c>
      <c r="D3369" s="260">
        <v>0.005</v>
      </c>
      <c r="E3369" s="204" t="s">
        <v>30</v>
      </c>
      <c r="F3369" s="204" t="s">
        <v>201</v>
      </c>
      <c r="G3369" s="215" t="s">
        <v>5436</v>
      </c>
      <c r="H3369" s="175"/>
    </row>
    <row r="3370" ht="14.25" spans="1:8">
      <c r="A3370" s="232">
        <v>838</v>
      </c>
      <c r="B3370" s="183" t="s">
        <v>869</v>
      </c>
      <c r="C3370" s="175" t="s">
        <v>48</v>
      </c>
      <c r="D3370" s="260">
        <v>0.03</v>
      </c>
      <c r="E3370" s="204" t="s">
        <v>30</v>
      </c>
      <c r="F3370" s="204" t="s">
        <v>201</v>
      </c>
      <c r="G3370" s="215" t="s">
        <v>5104</v>
      </c>
      <c r="H3370" s="175"/>
    </row>
    <row r="3371" ht="14.25" spans="1:8">
      <c r="A3371" s="232">
        <v>839</v>
      </c>
      <c r="B3371" s="184" t="s">
        <v>5437</v>
      </c>
      <c r="C3371" s="175" t="s">
        <v>48</v>
      </c>
      <c r="D3371" s="260">
        <v>0.03</v>
      </c>
      <c r="E3371" s="204" t="s">
        <v>30</v>
      </c>
      <c r="F3371" s="204" t="s">
        <v>201</v>
      </c>
      <c r="G3371" s="215" t="s">
        <v>5438</v>
      </c>
      <c r="H3371" s="175"/>
    </row>
    <row r="3372" ht="14.25" spans="1:8">
      <c r="A3372" s="232">
        <v>840</v>
      </c>
      <c r="B3372" s="183" t="s">
        <v>4994</v>
      </c>
      <c r="C3372" s="175" t="s">
        <v>48</v>
      </c>
      <c r="D3372" s="260">
        <v>0.02</v>
      </c>
      <c r="E3372" s="204" t="s">
        <v>30</v>
      </c>
      <c r="F3372" s="204" t="s">
        <v>201</v>
      </c>
      <c r="G3372" s="215" t="s">
        <v>5393</v>
      </c>
      <c r="H3372" s="175"/>
    </row>
    <row r="3373" ht="14.25" spans="1:8">
      <c r="A3373" s="232">
        <v>841</v>
      </c>
      <c r="B3373" s="183" t="s">
        <v>4551</v>
      </c>
      <c r="C3373" s="175" t="s">
        <v>48</v>
      </c>
      <c r="D3373" s="260">
        <v>0.08</v>
      </c>
      <c r="E3373" s="204" t="s">
        <v>2492</v>
      </c>
      <c r="F3373" s="204" t="s">
        <v>201</v>
      </c>
      <c r="G3373" s="215" t="s">
        <v>5439</v>
      </c>
      <c r="H3373" s="175"/>
    </row>
    <row r="3374" ht="14.25" spans="1:8">
      <c r="A3374" s="232">
        <v>842</v>
      </c>
      <c r="B3374" s="183" t="s">
        <v>5440</v>
      </c>
      <c r="C3374" s="175" t="s">
        <v>48</v>
      </c>
      <c r="D3374" s="260">
        <v>0.1</v>
      </c>
      <c r="E3374" s="204" t="s">
        <v>30</v>
      </c>
      <c r="F3374" s="204" t="s">
        <v>201</v>
      </c>
      <c r="G3374" s="215" t="s">
        <v>5441</v>
      </c>
      <c r="H3374" s="175"/>
    </row>
    <row r="3375" ht="14.25" spans="1:8">
      <c r="A3375" s="232">
        <v>843</v>
      </c>
      <c r="B3375" s="183" t="s">
        <v>2984</v>
      </c>
      <c r="C3375" s="175" t="s">
        <v>48</v>
      </c>
      <c r="D3375" s="260">
        <v>0.01</v>
      </c>
      <c r="E3375" s="204" t="s">
        <v>30</v>
      </c>
      <c r="F3375" s="204" t="s">
        <v>201</v>
      </c>
      <c r="G3375" s="215" t="s">
        <v>5442</v>
      </c>
      <c r="H3375" s="175"/>
    </row>
    <row r="3376" ht="14.25" spans="1:8">
      <c r="A3376" s="232">
        <v>844</v>
      </c>
      <c r="B3376" s="183" t="s">
        <v>5443</v>
      </c>
      <c r="C3376" s="175" t="s">
        <v>48</v>
      </c>
      <c r="D3376" s="260">
        <v>0.03</v>
      </c>
      <c r="E3376" s="204" t="s">
        <v>30</v>
      </c>
      <c r="F3376" s="204" t="s">
        <v>201</v>
      </c>
      <c r="G3376" s="215" t="s">
        <v>5444</v>
      </c>
      <c r="H3376" s="175"/>
    </row>
    <row r="3377" ht="14.25" spans="1:8">
      <c r="A3377" s="232">
        <v>845</v>
      </c>
      <c r="B3377" s="183" t="s">
        <v>3061</v>
      </c>
      <c r="C3377" s="175" t="s">
        <v>48</v>
      </c>
      <c r="D3377" s="260">
        <v>0.04</v>
      </c>
      <c r="E3377" s="204" t="s">
        <v>30</v>
      </c>
      <c r="F3377" s="204" t="s">
        <v>201</v>
      </c>
      <c r="G3377" s="215" t="s">
        <v>5132</v>
      </c>
      <c r="H3377" s="175"/>
    </row>
    <row r="3378" ht="14.25" spans="1:8">
      <c r="A3378" s="232">
        <v>846</v>
      </c>
      <c r="B3378" s="183" t="s">
        <v>5445</v>
      </c>
      <c r="C3378" s="175" t="s">
        <v>48</v>
      </c>
      <c r="D3378" s="260">
        <v>0.02</v>
      </c>
      <c r="E3378" s="204" t="s">
        <v>30</v>
      </c>
      <c r="F3378" s="204" t="s">
        <v>201</v>
      </c>
      <c r="G3378" s="215" t="s">
        <v>5446</v>
      </c>
      <c r="H3378" s="175"/>
    </row>
    <row r="3379" ht="14.25" spans="1:8">
      <c r="A3379" s="232">
        <v>847</v>
      </c>
      <c r="B3379" s="181" t="s">
        <v>4872</v>
      </c>
      <c r="C3379" s="175" t="s">
        <v>48</v>
      </c>
      <c r="D3379" s="260">
        <v>0.02</v>
      </c>
      <c r="E3379" s="204" t="s">
        <v>30</v>
      </c>
      <c r="F3379" s="204" t="s">
        <v>201</v>
      </c>
      <c r="G3379" s="215" t="s">
        <v>5447</v>
      </c>
      <c r="H3379" s="175"/>
    </row>
    <row r="3380" ht="14.25" spans="1:8">
      <c r="A3380" s="232">
        <v>848</v>
      </c>
      <c r="B3380" s="183" t="s">
        <v>5448</v>
      </c>
      <c r="C3380" s="175" t="s">
        <v>48</v>
      </c>
      <c r="D3380" s="260">
        <v>0.02</v>
      </c>
      <c r="E3380" s="204" t="s">
        <v>30</v>
      </c>
      <c r="F3380" s="204" t="s">
        <v>201</v>
      </c>
      <c r="G3380" s="215" t="s">
        <v>5449</v>
      </c>
      <c r="H3380" s="175"/>
    </row>
    <row r="3381" ht="14.25" spans="1:8">
      <c r="A3381" s="232">
        <v>849</v>
      </c>
      <c r="B3381" s="183" t="s">
        <v>4712</v>
      </c>
      <c r="C3381" s="175" t="s">
        <v>48</v>
      </c>
      <c r="D3381" s="260">
        <v>0.02</v>
      </c>
      <c r="E3381" s="204" t="s">
        <v>30</v>
      </c>
      <c r="F3381" s="204" t="s">
        <v>201</v>
      </c>
      <c r="G3381" s="215" t="s">
        <v>4713</v>
      </c>
      <c r="H3381" s="175"/>
    </row>
    <row r="3382" ht="25.5" spans="1:8">
      <c r="A3382" s="232">
        <v>850</v>
      </c>
      <c r="B3382" s="183" t="s">
        <v>5450</v>
      </c>
      <c r="C3382" s="175" t="s">
        <v>48</v>
      </c>
      <c r="D3382" s="260">
        <v>0.03</v>
      </c>
      <c r="E3382" s="204" t="s">
        <v>30</v>
      </c>
      <c r="F3382" s="204" t="s">
        <v>201</v>
      </c>
      <c r="G3382" s="215" t="s">
        <v>5451</v>
      </c>
      <c r="H3382" s="175" t="s">
        <v>1883</v>
      </c>
    </row>
    <row r="3383" ht="25.5" spans="1:8">
      <c r="A3383" s="232">
        <v>851</v>
      </c>
      <c r="B3383" s="183" t="s">
        <v>5450</v>
      </c>
      <c r="C3383" s="175" t="s">
        <v>48</v>
      </c>
      <c r="D3383" s="260">
        <v>0.03</v>
      </c>
      <c r="E3383" s="204" t="s">
        <v>30</v>
      </c>
      <c r="F3383" s="204" t="s">
        <v>201</v>
      </c>
      <c r="G3383" s="215" t="s">
        <v>5452</v>
      </c>
      <c r="H3383" s="175" t="s">
        <v>1883</v>
      </c>
    </row>
    <row r="3384" ht="14.25" spans="1:8">
      <c r="A3384" s="232">
        <v>852</v>
      </c>
      <c r="B3384" s="183" t="s">
        <v>5453</v>
      </c>
      <c r="C3384" s="175" t="s">
        <v>48</v>
      </c>
      <c r="D3384" s="260">
        <v>0.03</v>
      </c>
      <c r="E3384" s="204" t="s">
        <v>30</v>
      </c>
      <c r="F3384" s="204" t="s">
        <v>201</v>
      </c>
      <c r="G3384" s="215" t="s">
        <v>5454</v>
      </c>
      <c r="H3384" s="175"/>
    </row>
    <row r="3385" ht="14.25" spans="1:8">
      <c r="A3385" s="232">
        <v>853</v>
      </c>
      <c r="B3385" s="183" t="s">
        <v>5455</v>
      </c>
      <c r="C3385" s="175" t="s">
        <v>48</v>
      </c>
      <c r="D3385" s="260">
        <v>0.02</v>
      </c>
      <c r="E3385" s="204" t="s">
        <v>30</v>
      </c>
      <c r="F3385" s="204" t="s">
        <v>201</v>
      </c>
      <c r="G3385" s="215" t="s">
        <v>5456</v>
      </c>
      <c r="H3385" s="175"/>
    </row>
    <row r="3386" ht="14.25" spans="1:8">
      <c r="A3386" s="232">
        <v>854</v>
      </c>
      <c r="B3386" s="183" t="s">
        <v>5350</v>
      </c>
      <c r="C3386" s="175" t="s">
        <v>48</v>
      </c>
      <c r="D3386" s="260">
        <v>0.03</v>
      </c>
      <c r="E3386" s="204" t="s">
        <v>30</v>
      </c>
      <c r="F3386" s="204" t="s">
        <v>201</v>
      </c>
      <c r="G3386" s="215" t="s">
        <v>5351</v>
      </c>
      <c r="H3386" s="175"/>
    </row>
    <row r="3387" ht="14.25" spans="1:8">
      <c r="A3387" s="232">
        <v>855</v>
      </c>
      <c r="B3387" s="183" t="s">
        <v>5457</v>
      </c>
      <c r="C3387" s="175" t="s">
        <v>48</v>
      </c>
      <c r="D3387" s="260">
        <v>0.05</v>
      </c>
      <c r="E3387" s="204" t="s">
        <v>30</v>
      </c>
      <c r="F3387" s="204" t="s">
        <v>201</v>
      </c>
      <c r="G3387" s="215" t="s">
        <v>5458</v>
      </c>
      <c r="H3387" s="175"/>
    </row>
    <row r="3388" ht="14.25" spans="1:8">
      <c r="A3388" s="232">
        <v>856</v>
      </c>
      <c r="B3388" s="183" t="s">
        <v>5300</v>
      </c>
      <c r="C3388" s="175" t="s">
        <v>48</v>
      </c>
      <c r="D3388" s="260">
        <v>0.04</v>
      </c>
      <c r="E3388" s="204" t="s">
        <v>30</v>
      </c>
      <c r="F3388" s="204" t="s">
        <v>201</v>
      </c>
      <c r="G3388" s="215" t="s">
        <v>5337</v>
      </c>
      <c r="H3388" s="175"/>
    </row>
    <row r="3389" ht="14.25" spans="1:8">
      <c r="A3389" s="232">
        <v>857</v>
      </c>
      <c r="B3389" s="183" t="s">
        <v>512</v>
      </c>
      <c r="C3389" s="175" t="s">
        <v>48</v>
      </c>
      <c r="D3389" s="260">
        <v>0.02</v>
      </c>
      <c r="E3389" s="204" t="s">
        <v>30</v>
      </c>
      <c r="F3389" s="204" t="s">
        <v>201</v>
      </c>
      <c r="G3389" s="215" t="s">
        <v>5459</v>
      </c>
      <c r="H3389" s="175"/>
    </row>
    <row r="3390" ht="14.25" spans="1:8">
      <c r="A3390" s="232">
        <v>858</v>
      </c>
      <c r="B3390" s="183" t="s">
        <v>5460</v>
      </c>
      <c r="C3390" s="175" t="s">
        <v>48</v>
      </c>
      <c r="D3390" s="260">
        <v>0.02</v>
      </c>
      <c r="E3390" s="204" t="s">
        <v>30</v>
      </c>
      <c r="F3390" s="204" t="s">
        <v>201</v>
      </c>
      <c r="G3390" s="215" t="s">
        <v>5461</v>
      </c>
      <c r="H3390" s="175"/>
    </row>
    <row r="3391" ht="14.25" spans="1:8">
      <c r="A3391" s="232">
        <v>859</v>
      </c>
      <c r="B3391" s="183" t="s">
        <v>1252</v>
      </c>
      <c r="C3391" s="175" t="s">
        <v>48</v>
      </c>
      <c r="D3391" s="260">
        <v>0.02</v>
      </c>
      <c r="E3391" s="204" t="s">
        <v>30</v>
      </c>
      <c r="F3391" s="204" t="s">
        <v>201</v>
      </c>
      <c r="G3391" s="215" t="s">
        <v>5462</v>
      </c>
      <c r="H3391" s="175"/>
    </row>
    <row r="3392" ht="14.25" spans="1:8">
      <c r="A3392" s="232">
        <v>860</v>
      </c>
      <c r="B3392" s="183" t="s">
        <v>5407</v>
      </c>
      <c r="C3392" s="175" t="s">
        <v>48</v>
      </c>
      <c r="D3392" s="260">
        <v>0.05</v>
      </c>
      <c r="E3392" s="204" t="s">
        <v>30</v>
      </c>
      <c r="F3392" s="204" t="s">
        <v>201</v>
      </c>
      <c r="G3392" s="215" t="s">
        <v>5463</v>
      </c>
      <c r="H3392" s="175"/>
    </row>
    <row r="3393" ht="14.25" spans="1:8">
      <c r="A3393" s="232">
        <v>861</v>
      </c>
      <c r="B3393" s="183" t="s">
        <v>5464</v>
      </c>
      <c r="C3393" s="175" t="s">
        <v>48</v>
      </c>
      <c r="D3393" s="260">
        <v>0.03</v>
      </c>
      <c r="E3393" s="204" t="s">
        <v>30</v>
      </c>
      <c r="F3393" s="204" t="s">
        <v>201</v>
      </c>
      <c r="G3393" s="215" t="s">
        <v>5465</v>
      </c>
      <c r="H3393" s="175"/>
    </row>
    <row r="3394" ht="14.25" spans="1:8">
      <c r="A3394" s="232">
        <v>862</v>
      </c>
      <c r="B3394" s="183" t="s">
        <v>5466</v>
      </c>
      <c r="C3394" s="175" t="s">
        <v>48</v>
      </c>
      <c r="D3394" s="260">
        <v>0.03</v>
      </c>
      <c r="E3394" s="204" t="s">
        <v>30</v>
      </c>
      <c r="F3394" s="204" t="s">
        <v>201</v>
      </c>
      <c r="G3394" s="215" t="s">
        <v>5467</v>
      </c>
      <c r="H3394" s="175"/>
    </row>
    <row r="3395" ht="14.25" spans="1:8">
      <c r="A3395" s="232">
        <v>863</v>
      </c>
      <c r="B3395" s="175" t="s">
        <v>5189</v>
      </c>
      <c r="C3395" s="175" t="s">
        <v>48</v>
      </c>
      <c r="D3395" s="260">
        <v>0.02</v>
      </c>
      <c r="E3395" s="204" t="s">
        <v>30</v>
      </c>
      <c r="F3395" s="204" t="s">
        <v>201</v>
      </c>
      <c r="G3395" s="215" t="s">
        <v>5190</v>
      </c>
      <c r="H3395" s="175"/>
    </row>
    <row r="3396" ht="14.25" spans="1:8">
      <c r="A3396" s="232">
        <v>864</v>
      </c>
      <c r="B3396" s="183" t="s">
        <v>5468</v>
      </c>
      <c r="C3396" s="175" t="s">
        <v>48</v>
      </c>
      <c r="D3396" s="260">
        <v>0.05</v>
      </c>
      <c r="E3396" s="204" t="s">
        <v>30</v>
      </c>
      <c r="F3396" s="204" t="s">
        <v>30</v>
      </c>
      <c r="G3396" s="215" t="s">
        <v>5469</v>
      </c>
      <c r="H3396" s="175"/>
    </row>
    <row r="3397" ht="14.25" spans="1:8">
      <c r="A3397" s="232">
        <v>865</v>
      </c>
      <c r="B3397" s="183" t="s">
        <v>4730</v>
      </c>
      <c r="C3397" s="175" t="s">
        <v>48</v>
      </c>
      <c r="D3397" s="260">
        <v>0.03</v>
      </c>
      <c r="E3397" s="204" t="s">
        <v>30</v>
      </c>
      <c r="F3397" s="204" t="s">
        <v>201</v>
      </c>
      <c r="G3397" s="215" t="s">
        <v>5470</v>
      </c>
      <c r="H3397" s="175"/>
    </row>
    <row r="3398" ht="14.25" spans="1:8">
      <c r="A3398" s="232">
        <v>866</v>
      </c>
      <c r="B3398" s="183" t="s">
        <v>4730</v>
      </c>
      <c r="C3398" s="175" t="s">
        <v>48</v>
      </c>
      <c r="D3398" s="260">
        <v>0.03</v>
      </c>
      <c r="E3398" s="204" t="s">
        <v>30</v>
      </c>
      <c r="F3398" s="204" t="s">
        <v>201</v>
      </c>
      <c r="G3398" s="215" t="s">
        <v>5471</v>
      </c>
      <c r="H3398" s="175"/>
    </row>
    <row r="3399" ht="14.25" spans="1:8">
      <c r="A3399" s="232">
        <v>867</v>
      </c>
      <c r="B3399" s="183" t="s">
        <v>4730</v>
      </c>
      <c r="C3399" s="175" t="s">
        <v>48</v>
      </c>
      <c r="D3399" s="260">
        <v>0.03</v>
      </c>
      <c r="E3399" s="204" t="s">
        <v>30</v>
      </c>
      <c r="F3399" s="204" t="s">
        <v>201</v>
      </c>
      <c r="G3399" s="215" t="s">
        <v>5472</v>
      </c>
      <c r="H3399" s="175"/>
    </row>
    <row r="3400" ht="14.25" spans="1:8">
      <c r="A3400" s="232">
        <v>868</v>
      </c>
      <c r="B3400" s="183" t="s">
        <v>4778</v>
      </c>
      <c r="C3400" s="175" t="s">
        <v>48</v>
      </c>
      <c r="D3400" s="260">
        <v>0.04</v>
      </c>
      <c r="E3400" s="204" t="s">
        <v>30</v>
      </c>
      <c r="F3400" s="204" t="s">
        <v>201</v>
      </c>
      <c r="G3400" s="215" t="s">
        <v>4779</v>
      </c>
      <c r="H3400" s="175"/>
    </row>
    <row r="3401" ht="14.25" spans="1:8">
      <c r="A3401" s="232">
        <v>869</v>
      </c>
      <c r="B3401" s="183" t="s">
        <v>5473</v>
      </c>
      <c r="C3401" s="175" t="s">
        <v>48</v>
      </c>
      <c r="D3401" s="260">
        <v>0.03</v>
      </c>
      <c r="E3401" s="204" t="s">
        <v>30</v>
      </c>
      <c r="F3401" s="204" t="s">
        <v>201</v>
      </c>
      <c r="G3401" s="215" t="s">
        <v>5474</v>
      </c>
      <c r="H3401" s="175"/>
    </row>
    <row r="3402" ht="14.25" spans="1:8">
      <c r="A3402" s="232">
        <v>870</v>
      </c>
      <c r="B3402" s="183" t="s">
        <v>5455</v>
      </c>
      <c r="C3402" s="175" t="s">
        <v>48</v>
      </c>
      <c r="D3402" s="260">
        <v>0.02</v>
      </c>
      <c r="E3402" s="204" t="s">
        <v>30</v>
      </c>
      <c r="F3402" s="204" t="s">
        <v>201</v>
      </c>
      <c r="G3402" s="215" t="s">
        <v>5345</v>
      </c>
      <c r="H3402" s="175"/>
    </row>
    <row r="3403" ht="14.25" spans="1:8">
      <c r="A3403" s="232">
        <v>871</v>
      </c>
      <c r="B3403" s="183" t="s">
        <v>5475</v>
      </c>
      <c r="C3403" s="175" t="s">
        <v>48</v>
      </c>
      <c r="D3403" s="260">
        <v>0.01</v>
      </c>
      <c r="E3403" s="204" t="s">
        <v>30</v>
      </c>
      <c r="F3403" s="204" t="s">
        <v>201</v>
      </c>
      <c r="G3403" s="215" t="s">
        <v>5476</v>
      </c>
      <c r="H3403" s="175"/>
    </row>
    <row r="3404" ht="14.25" spans="1:8">
      <c r="A3404" s="232">
        <v>872</v>
      </c>
      <c r="B3404" s="183" t="s">
        <v>5475</v>
      </c>
      <c r="C3404" s="175" t="s">
        <v>48</v>
      </c>
      <c r="D3404" s="260">
        <v>0.01</v>
      </c>
      <c r="E3404" s="204" t="s">
        <v>30</v>
      </c>
      <c r="F3404" s="204" t="s">
        <v>201</v>
      </c>
      <c r="G3404" s="215" t="s">
        <v>5477</v>
      </c>
      <c r="H3404" s="175"/>
    </row>
    <row r="3405" ht="14.25" spans="1:8">
      <c r="A3405" s="232">
        <v>873</v>
      </c>
      <c r="B3405" s="183" t="s">
        <v>5475</v>
      </c>
      <c r="C3405" s="175" t="s">
        <v>48</v>
      </c>
      <c r="D3405" s="260">
        <v>0.01</v>
      </c>
      <c r="E3405" s="204" t="s">
        <v>30</v>
      </c>
      <c r="F3405" s="204" t="s">
        <v>201</v>
      </c>
      <c r="G3405" s="215" t="s">
        <v>5478</v>
      </c>
      <c r="H3405" s="175"/>
    </row>
    <row r="3406" ht="14.25" spans="1:8">
      <c r="A3406" s="232">
        <v>874</v>
      </c>
      <c r="B3406" s="183" t="s">
        <v>5475</v>
      </c>
      <c r="C3406" s="175" t="s">
        <v>48</v>
      </c>
      <c r="D3406" s="260">
        <v>0.01</v>
      </c>
      <c r="E3406" s="204" t="s">
        <v>30</v>
      </c>
      <c r="F3406" s="204" t="s">
        <v>201</v>
      </c>
      <c r="G3406" s="215" t="s">
        <v>5479</v>
      </c>
      <c r="H3406" s="175"/>
    </row>
    <row r="3407" ht="14.25" spans="1:8">
      <c r="A3407" s="232">
        <v>875</v>
      </c>
      <c r="B3407" s="183" t="s">
        <v>5480</v>
      </c>
      <c r="C3407" s="175" t="s">
        <v>48</v>
      </c>
      <c r="D3407" s="260">
        <v>0.03</v>
      </c>
      <c r="E3407" s="204" t="s">
        <v>30</v>
      </c>
      <c r="F3407" s="204" t="s">
        <v>201</v>
      </c>
      <c r="G3407" s="215" t="s">
        <v>5481</v>
      </c>
      <c r="H3407" s="175"/>
    </row>
    <row r="3408" ht="14.25" spans="1:8">
      <c r="A3408" s="232">
        <v>876</v>
      </c>
      <c r="B3408" s="183" t="s">
        <v>5482</v>
      </c>
      <c r="C3408" s="175" t="s">
        <v>48</v>
      </c>
      <c r="D3408" s="260">
        <v>0.02</v>
      </c>
      <c r="E3408" s="204" t="s">
        <v>30</v>
      </c>
      <c r="F3408" s="204" t="s">
        <v>201</v>
      </c>
      <c r="G3408" s="215" t="s">
        <v>5483</v>
      </c>
      <c r="H3408" s="175"/>
    </row>
    <row r="3409" ht="25.5" spans="1:8">
      <c r="A3409" s="232">
        <v>877</v>
      </c>
      <c r="B3409" s="183" t="s">
        <v>5484</v>
      </c>
      <c r="C3409" s="175" t="s">
        <v>48</v>
      </c>
      <c r="D3409" s="260">
        <v>0.03</v>
      </c>
      <c r="E3409" s="204" t="s">
        <v>30</v>
      </c>
      <c r="F3409" s="204" t="s">
        <v>201</v>
      </c>
      <c r="G3409" s="215" t="s">
        <v>5485</v>
      </c>
      <c r="H3409" s="175" t="s">
        <v>634</v>
      </c>
    </row>
    <row r="3410" ht="14.25" spans="1:8">
      <c r="A3410" s="232">
        <v>878</v>
      </c>
      <c r="B3410" s="183" t="s">
        <v>5486</v>
      </c>
      <c r="C3410" s="175" t="s">
        <v>48</v>
      </c>
      <c r="D3410" s="260">
        <v>0.01</v>
      </c>
      <c r="E3410" s="204" t="s">
        <v>30</v>
      </c>
      <c r="F3410" s="204" t="s">
        <v>201</v>
      </c>
      <c r="G3410" s="215" t="s">
        <v>5487</v>
      </c>
      <c r="H3410" s="175"/>
    </row>
    <row r="3411" ht="25.5" spans="1:8">
      <c r="A3411" s="232">
        <v>879</v>
      </c>
      <c r="B3411" s="183" t="s">
        <v>5488</v>
      </c>
      <c r="C3411" s="175" t="s">
        <v>48</v>
      </c>
      <c r="D3411" s="260">
        <v>0.01</v>
      </c>
      <c r="E3411" s="204" t="s">
        <v>30</v>
      </c>
      <c r="F3411" s="204" t="s">
        <v>201</v>
      </c>
      <c r="G3411" s="215" t="s">
        <v>5489</v>
      </c>
      <c r="H3411" s="175" t="s">
        <v>5490</v>
      </c>
    </row>
    <row r="3412" ht="14.25" spans="1:8">
      <c r="A3412" s="232">
        <v>880</v>
      </c>
      <c r="B3412" s="183" t="s">
        <v>5491</v>
      </c>
      <c r="C3412" s="175" t="s">
        <v>48</v>
      </c>
      <c r="D3412" s="260">
        <v>0.03</v>
      </c>
      <c r="E3412" s="204" t="s">
        <v>30</v>
      </c>
      <c r="F3412" s="204" t="s">
        <v>201</v>
      </c>
      <c r="G3412" s="215" t="s">
        <v>5002</v>
      </c>
      <c r="H3412" s="175"/>
    </row>
    <row r="3413" ht="14.25" spans="1:8">
      <c r="A3413" s="232">
        <v>881</v>
      </c>
      <c r="B3413" s="175" t="s">
        <v>5492</v>
      </c>
      <c r="C3413" s="175" t="s">
        <v>48</v>
      </c>
      <c r="D3413" s="260">
        <v>0.03</v>
      </c>
      <c r="E3413" s="204" t="s">
        <v>30</v>
      </c>
      <c r="F3413" s="204" t="s">
        <v>201</v>
      </c>
      <c r="G3413" s="215" t="s">
        <v>5493</v>
      </c>
      <c r="H3413" s="175"/>
    </row>
    <row r="3414" ht="14.25" spans="1:8">
      <c r="A3414" s="232">
        <v>882</v>
      </c>
      <c r="B3414" s="183" t="s">
        <v>4419</v>
      </c>
      <c r="C3414" s="175" t="s">
        <v>48</v>
      </c>
      <c r="D3414" s="260">
        <v>0.04</v>
      </c>
      <c r="E3414" s="204" t="s">
        <v>30</v>
      </c>
      <c r="F3414" s="204" t="s">
        <v>201</v>
      </c>
      <c r="G3414" s="215" t="s">
        <v>5494</v>
      </c>
      <c r="H3414" s="175"/>
    </row>
    <row r="3415" ht="14.25" spans="1:8">
      <c r="A3415" s="232">
        <v>883</v>
      </c>
      <c r="B3415" s="183" t="s">
        <v>5495</v>
      </c>
      <c r="C3415" s="175" t="s">
        <v>48</v>
      </c>
      <c r="D3415" s="260">
        <v>0.03</v>
      </c>
      <c r="E3415" s="204" t="s">
        <v>30</v>
      </c>
      <c r="F3415" s="204" t="s">
        <v>201</v>
      </c>
      <c r="G3415" s="215" t="s">
        <v>4399</v>
      </c>
      <c r="H3415" s="175"/>
    </row>
    <row r="3416" ht="14.25" spans="1:8">
      <c r="A3416" s="232">
        <v>884</v>
      </c>
      <c r="B3416" s="183" t="s">
        <v>5495</v>
      </c>
      <c r="C3416" s="175" t="s">
        <v>48</v>
      </c>
      <c r="D3416" s="260">
        <v>0.01</v>
      </c>
      <c r="E3416" s="204" t="s">
        <v>30</v>
      </c>
      <c r="F3416" s="204" t="s">
        <v>201</v>
      </c>
      <c r="G3416" s="215" t="s">
        <v>5496</v>
      </c>
      <c r="H3416" s="175"/>
    </row>
    <row r="3417" ht="14.25" spans="1:8">
      <c r="A3417" s="232">
        <v>885</v>
      </c>
      <c r="B3417" s="183" t="s">
        <v>5497</v>
      </c>
      <c r="C3417" s="175" t="s">
        <v>48</v>
      </c>
      <c r="D3417" s="260">
        <v>0.12</v>
      </c>
      <c r="E3417" s="204" t="s">
        <v>30</v>
      </c>
      <c r="F3417" s="204" t="s">
        <v>201</v>
      </c>
      <c r="G3417" s="215" t="s">
        <v>2967</v>
      </c>
      <c r="H3417" s="175"/>
    </row>
    <row r="3418" ht="14.25" spans="1:8">
      <c r="A3418" s="232">
        <v>886</v>
      </c>
      <c r="B3418" s="183" t="s">
        <v>2544</v>
      </c>
      <c r="C3418" s="175" t="s">
        <v>48</v>
      </c>
      <c r="D3418" s="260">
        <v>0.03</v>
      </c>
      <c r="E3418" s="204" t="s">
        <v>30</v>
      </c>
      <c r="F3418" s="204" t="s">
        <v>201</v>
      </c>
      <c r="G3418" s="215" t="s">
        <v>5498</v>
      </c>
      <c r="H3418" s="175"/>
    </row>
    <row r="3419" ht="14.25" spans="1:8">
      <c r="A3419" s="232">
        <v>887</v>
      </c>
      <c r="B3419" s="183" t="s">
        <v>5499</v>
      </c>
      <c r="C3419" s="175" t="s">
        <v>48</v>
      </c>
      <c r="D3419" s="260">
        <v>0.03</v>
      </c>
      <c r="E3419" s="204" t="s">
        <v>30</v>
      </c>
      <c r="F3419" s="204" t="s">
        <v>201</v>
      </c>
      <c r="G3419" s="215" t="s">
        <v>5500</v>
      </c>
      <c r="H3419" s="175"/>
    </row>
    <row r="3420" ht="14.25" spans="1:8">
      <c r="A3420" s="232">
        <v>888</v>
      </c>
      <c r="B3420" s="259" t="s">
        <v>5421</v>
      </c>
      <c r="C3420" s="175" t="s">
        <v>48</v>
      </c>
      <c r="D3420" s="260">
        <v>0.03</v>
      </c>
      <c r="E3420" s="204" t="s">
        <v>30</v>
      </c>
      <c r="F3420" s="204" t="s">
        <v>201</v>
      </c>
      <c r="G3420" s="215" t="s">
        <v>5418</v>
      </c>
      <c r="H3420" s="175"/>
    </row>
    <row r="3421" ht="14.25" spans="1:8">
      <c r="A3421" s="232">
        <v>889</v>
      </c>
      <c r="B3421" s="183" t="s">
        <v>4304</v>
      </c>
      <c r="C3421" s="175" t="s">
        <v>48</v>
      </c>
      <c r="D3421" s="260">
        <v>0.015</v>
      </c>
      <c r="E3421" s="204" t="s">
        <v>30</v>
      </c>
      <c r="F3421" s="204" t="s">
        <v>201</v>
      </c>
      <c r="G3421" s="215" t="s">
        <v>5501</v>
      </c>
      <c r="H3421" s="175"/>
    </row>
    <row r="3422" ht="14.25" spans="1:8">
      <c r="A3422" s="232">
        <v>890</v>
      </c>
      <c r="B3422" s="183" t="s">
        <v>5502</v>
      </c>
      <c r="C3422" s="175" t="s">
        <v>48</v>
      </c>
      <c r="D3422" s="260">
        <v>0.02</v>
      </c>
      <c r="E3422" s="204" t="s">
        <v>30</v>
      </c>
      <c r="F3422" s="204" t="s">
        <v>201</v>
      </c>
      <c r="G3422" s="215" t="s">
        <v>5503</v>
      </c>
      <c r="H3422" s="175"/>
    </row>
    <row r="3423" ht="14.25" spans="1:8">
      <c r="A3423" s="232">
        <v>891</v>
      </c>
      <c r="B3423" s="183" t="s">
        <v>5504</v>
      </c>
      <c r="C3423" s="175" t="s">
        <v>48</v>
      </c>
      <c r="D3423" s="260">
        <v>0.01</v>
      </c>
      <c r="E3423" s="204" t="s">
        <v>30</v>
      </c>
      <c r="F3423" s="204" t="s">
        <v>201</v>
      </c>
      <c r="G3423" s="215" t="s">
        <v>5505</v>
      </c>
      <c r="H3423" s="175"/>
    </row>
    <row r="3424" ht="14.25" spans="1:8">
      <c r="A3424" s="232">
        <v>892</v>
      </c>
      <c r="B3424" s="183" t="s">
        <v>5506</v>
      </c>
      <c r="C3424" s="175" t="s">
        <v>48</v>
      </c>
      <c r="D3424" s="260">
        <v>0.04</v>
      </c>
      <c r="E3424" s="204" t="s">
        <v>30</v>
      </c>
      <c r="F3424" s="204" t="s">
        <v>201</v>
      </c>
      <c r="G3424" s="215" t="s">
        <v>5507</v>
      </c>
      <c r="H3424" s="175"/>
    </row>
    <row r="3425" ht="14.25" spans="1:8">
      <c r="A3425" s="232">
        <v>893</v>
      </c>
      <c r="B3425" s="183" t="s">
        <v>5508</v>
      </c>
      <c r="C3425" s="175" t="s">
        <v>48</v>
      </c>
      <c r="D3425" s="260">
        <v>0.04</v>
      </c>
      <c r="E3425" s="204" t="s">
        <v>30</v>
      </c>
      <c r="F3425" s="204" t="s">
        <v>201</v>
      </c>
      <c r="G3425" s="215" t="s">
        <v>5509</v>
      </c>
      <c r="H3425" s="175"/>
    </row>
    <row r="3426" ht="14.25" spans="1:8">
      <c r="A3426" s="232">
        <v>894</v>
      </c>
      <c r="B3426" s="183" t="s">
        <v>5508</v>
      </c>
      <c r="C3426" s="175" t="s">
        <v>48</v>
      </c>
      <c r="D3426" s="260">
        <v>0.04</v>
      </c>
      <c r="E3426" s="204" t="s">
        <v>30</v>
      </c>
      <c r="F3426" s="204" t="s">
        <v>201</v>
      </c>
      <c r="G3426" s="215" t="s">
        <v>5510</v>
      </c>
      <c r="H3426" s="175"/>
    </row>
    <row r="3427" ht="25.5" spans="1:8">
      <c r="A3427" s="232">
        <v>895</v>
      </c>
      <c r="B3427" s="183" t="s">
        <v>5506</v>
      </c>
      <c r="C3427" s="175" t="s">
        <v>48</v>
      </c>
      <c r="D3427" s="260">
        <v>0.12</v>
      </c>
      <c r="E3427" s="204" t="s">
        <v>30</v>
      </c>
      <c r="F3427" s="204" t="s">
        <v>201</v>
      </c>
      <c r="G3427" s="215" t="s">
        <v>5511</v>
      </c>
      <c r="H3427" s="175" t="s">
        <v>5512</v>
      </c>
    </row>
    <row r="3428" ht="25.5" spans="1:8">
      <c r="A3428" s="232">
        <v>896</v>
      </c>
      <c r="B3428" s="183" t="s">
        <v>5513</v>
      </c>
      <c r="C3428" s="175" t="s">
        <v>48</v>
      </c>
      <c r="D3428" s="260">
        <v>0.02</v>
      </c>
      <c r="E3428" s="204" t="s">
        <v>30</v>
      </c>
      <c r="F3428" s="204" t="s">
        <v>201</v>
      </c>
      <c r="G3428" s="215" t="s">
        <v>5514</v>
      </c>
      <c r="H3428" s="175" t="s">
        <v>1883</v>
      </c>
    </row>
    <row r="3429" ht="14.25" spans="1:8">
      <c r="A3429" s="232">
        <v>897</v>
      </c>
      <c r="B3429" s="183" t="s">
        <v>5515</v>
      </c>
      <c r="C3429" s="175" t="s">
        <v>48</v>
      </c>
      <c r="D3429" s="260">
        <v>0.015</v>
      </c>
      <c r="E3429" s="204" t="s">
        <v>30</v>
      </c>
      <c r="F3429" s="204" t="s">
        <v>201</v>
      </c>
      <c r="G3429" s="215" t="s">
        <v>5072</v>
      </c>
      <c r="H3429" s="175"/>
    </row>
    <row r="3430" ht="14.25" spans="1:8">
      <c r="A3430" s="232">
        <v>898</v>
      </c>
      <c r="B3430" s="183" t="s">
        <v>3588</v>
      </c>
      <c r="C3430" s="175" t="s">
        <v>48</v>
      </c>
      <c r="D3430" s="260">
        <v>0.05</v>
      </c>
      <c r="E3430" s="204" t="s">
        <v>30</v>
      </c>
      <c r="F3430" s="204" t="s">
        <v>201</v>
      </c>
      <c r="G3430" s="215" t="s">
        <v>5516</v>
      </c>
      <c r="H3430" s="175"/>
    </row>
    <row r="3431" ht="14.25" spans="1:8">
      <c r="A3431" s="232">
        <v>899</v>
      </c>
      <c r="B3431" s="181" t="s">
        <v>5517</v>
      </c>
      <c r="C3431" s="175" t="s">
        <v>48</v>
      </c>
      <c r="D3431" s="260">
        <v>0.015</v>
      </c>
      <c r="E3431" s="204" t="s">
        <v>30</v>
      </c>
      <c r="F3431" s="204" t="s">
        <v>201</v>
      </c>
      <c r="G3431" s="215" t="s">
        <v>5518</v>
      </c>
      <c r="H3431" s="175"/>
    </row>
    <row r="3432" ht="14.25" spans="1:8">
      <c r="A3432" s="232">
        <v>900</v>
      </c>
      <c r="B3432" s="183" t="s">
        <v>5519</v>
      </c>
      <c r="C3432" s="175" t="s">
        <v>48</v>
      </c>
      <c r="D3432" s="260">
        <v>0.05</v>
      </c>
      <c r="E3432" s="204" t="s">
        <v>30</v>
      </c>
      <c r="F3432" s="204" t="s">
        <v>201</v>
      </c>
      <c r="G3432" s="215" t="s">
        <v>5520</v>
      </c>
      <c r="H3432" s="175"/>
    </row>
    <row r="3433" ht="14.25" spans="1:8">
      <c r="A3433" s="232">
        <v>901</v>
      </c>
      <c r="B3433" s="183" t="s">
        <v>5521</v>
      </c>
      <c r="C3433" s="175" t="s">
        <v>48</v>
      </c>
      <c r="D3433" s="260">
        <v>0.05</v>
      </c>
      <c r="E3433" s="204" t="s">
        <v>30</v>
      </c>
      <c r="F3433" s="204" t="s">
        <v>201</v>
      </c>
      <c r="G3433" s="215" t="s">
        <v>5522</v>
      </c>
      <c r="H3433" s="175"/>
    </row>
    <row r="3434" ht="14.25" spans="1:8">
      <c r="A3434" s="232">
        <v>902</v>
      </c>
      <c r="B3434" s="183" t="s">
        <v>5523</v>
      </c>
      <c r="C3434" s="175" t="s">
        <v>48</v>
      </c>
      <c r="D3434" s="260">
        <v>0.05</v>
      </c>
      <c r="E3434" s="204" t="s">
        <v>30</v>
      </c>
      <c r="F3434" s="204" t="s">
        <v>201</v>
      </c>
      <c r="G3434" s="215" t="s">
        <v>5524</v>
      </c>
      <c r="H3434" s="175"/>
    </row>
    <row r="3435" ht="14.25" spans="1:8">
      <c r="A3435" s="232">
        <v>903</v>
      </c>
      <c r="B3435" s="183" t="s">
        <v>712</v>
      </c>
      <c r="C3435" s="175" t="s">
        <v>48</v>
      </c>
      <c r="D3435" s="260">
        <v>0.05</v>
      </c>
      <c r="E3435" s="204" t="s">
        <v>30</v>
      </c>
      <c r="F3435" s="204" t="s">
        <v>201</v>
      </c>
      <c r="G3435" s="215" t="s">
        <v>5525</v>
      </c>
      <c r="H3435" s="175"/>
    </row>
    <row r="3436" ht="14.25" spans="1:8">
      <c r="A3436" s="232">
        <v>904</v>
      </c>
      <c r="B3436" s="183" t="s">
        <v>5526</v>
      </c>
      <c r="C3436" s="175" t="s">
        <v>48</v>
      </c>
      <c r="D3436" s="260">
        <v>0.05</v>
      </c>
      <c r="E3436" s="204" t="s">
        <v>30</v>
      </c>
      <c r="F3436" s="204" t="s">
        <v>201</v>
      </c>
      <c r="G3436" s="215" t="s">
        <v>5527</v>
      </c>
      <c r="H3436" s="175"/>
    </row>
    <row r="3437" ht="14.25" spans="1:8">
      <c r="A3437" s="232">
        <v>905</v>
      </c>
      <c r="B3437" s="183" t="s">
        <v>5528</v>
      </c>
      <c r="C3437" s="175" t="s">
        <v>48</v>
      </c>
      <c r="D3437" s="260">
        <v>0.05</v>
      </c>
      <c r="E3437" s="204" t="s">
        <v>30</v>
      </c>
      <c r="F3437" s="204" t="s">
        <v>201</v>
      </c>
      <c r="G3437" s="215" t="s">
        <v>5529</v>
      </c>
      <c r="H3437" s="175"/>
    </row>
    <row r="3438" ht="25.5" spans="1:8">
      <c r="A3438" s="232">
        <v>906</v>
      </c>
      <c r="B3438" s="183" t="s">
        <v>5338</v>
      </c>
      <c r="C3438" s="175" t="s">
        <v>48</v>
      </c>
      <c r="D3438" s="260">
        <v>0.02</v>
      </c>
      <c r="E3438" s="204" t="s">
        <v>30</v>
      </c>
      <c r="F3438" s="204" t="s">
        <v>201</v>
      </c>
      <c r="G3438" s="215" t="s">
        <v>5530</v>
      </c>
      <c r="H3438" s="175" t="s">
        <v>1883</v>
      </c>
    </row>
    <row r="3439" ht="25.5" spans="1:8">
      <c r="A3439" s="232">
        <v>907</v>
      </c>
      <c r="B3439" s="181" t="s">
        <v>5531</v>
      </c>
      <c r="C3439" s="175" t="s">
        <v>48</v>
      </c>
      <c r="D3439" s="260">
        <v>0.03</v>
      </c>
      <c r="E3439" s="204" t="s">
        <v>30</v>
      </c>
      <c r="F3439" s="204" t="s">
        <v>201</v>
      </c>
      <c r="G3439" s="215" t="s">
        <v>5532</v>
      </c>
      <c r="H3439" s="175" t="s">
        <v>1883</v>
      </c>
    </row>
    <row r="3440" ht="14.25" spans="1:8">
      <c r="A3440" s="232">
        <v>908</v>
      </c>
      <c r="B3440" s="183" t="s">
        <v>5533</v>
      </c>
      <c r="C3440" s="175" t="s">
        <v>48</v>
      </c>
      <c r="D3440" s="260">
        <v>0.03</v>
      </c>
      <c r="E3440" s="204" t="s">
        <v>30</v>
      </c>
      <c r="F3440" s="204" t="s">
        <v>201</v>
      </c>
      <c r="G3440" s="215" t="s">
        <v>5534</v>
      </c>
      <c r="H3440" s="175"/>
    </row>
    <row r="3441" ht="25.5" spans="1:8">
      <c r="A3441" s="232">
        <v>909</v>
      </c>
      <c r="B3441" s="183" t="s">
        <v>5535</v>
      </c>
      <c r="C3441" s="175" t="s">
        <v>48</v>
      </c>
      <c r="D3441" s="260">
        <v>0.03</v>
      </c>
      <c r="E3441" s="204" t="s">
        <v>30</v>
      </c>
      <c r="F3441" s="204" t="s">
        <v>201</v>
      </c>
      <c r="G3441" s="215" t="s">
        <v>5536</v>
      </c>
      <c r="H3441" s="175" t="s">
        <v>5537</v>
      </c>
    </row>
    <row r="3442" ht="14.25" spans="1:8">
      <c r="A3442" s="232">
        <v>910</v>
      </c>
      <c r="B3442" s="183" t="s">
        <v>5119</v>
      </c>
      <c r="C3442" s="175" t="s">
        <v>48</v>
      </c>
      <c r="D3442" s="260">
        <v>0.05</v>
      </c>
      <c r="E3442" s="204" t="s">
        <v>30</v>
      </c>
      <c r="F3442" s="204" t="s">
        <v>201</v>
      </c>
      <c r="G3442" s="215" t="s">
        <v>5538</v>
      </c>
      <c r="H3442" s="175"/>
    </row>
    <row r="3443" ht="14.25" spans="1:8">
      <c r="A3443" s="232">
        <v>911</v>
      </c>
      <c r="B3443" s="183" t="s">
        <v>5539</v>
      </c>
      <c r="C3443" s="175" t="s">
        <v>48</v>
      </c>
      <c r="D3443" s="260">
        <v>0.05</v>
      </c>
      <c r="E3443" s="204" t="s">
        <v>30</v>
      </c>
      <c r="F3443" s="204" t="s">
        <v>201</v>
      </c>
      <c r="G3443" s="215" t="s">
        <v>5540</v>
      </c>
      <c r="H3443" s="175"/>
    </row>
    <row r="3444" ht="14.25" spans="1:8">
      <c r="A3444" s="232">
        <v>912</v>
      </c>
      <c r="B3444" s="183" t="s">
        <v>5541</v>
      </c>
      <c r="C3444" s="175" t="s">
        <v>48</v>
      </c>
      <c r="D3444" s="260">
        <v>0.05</v>
      </c>
      <c r="E3444" s="204" t="s">
        <v>30</v>
      </c>
      <c r="F3444" s="204" t="s">
        <v>201</v>
      </c>
      <c r="G3444" s="215" t="s">
        <v>5542</v>
      </c>
      <c r="H3444" s="175"/>
    </row>
    <row r="3445" ht="14.25" spans="1:8">
      <c r="A3445" s="232">
        <v>913</v>
      </c>
      <c r="B3445" s="183" t="s">
        <v>5543</v>
      </c>
      <c r="C3445" s="175" t="s">
        <v>48</v>
      </c>
      <c r="D3445" s="260">
        <v>0.05</v>
      </c>
      <c r="E3445" s="204" t="s">
        <v>30</v>
      </c>
      <c r="F3445" s="204" t="s">
        <v>201</v>
      </c>
      <c r="G3445" s="215" t="s">
        <v>5544</v>
      </c>
      <c r="H3445" s="175"/>
    </row>
    <row r="3446" ht="14.25" spans="1:8">
      <c r="A3446" s="232">
        <v>914</v>
      </c>
      <c r="B3446" s="183" t="s">
        <v>5545</v>
      </c>
      <c r="C3446" s="175" t="s">
        <v>48</v>
      </c>
      <c r="D3446" s="260">
        <v>0.05</v>
      </c>
      <c r="E3446" s="204" t="s">
        <v>30</v>
      </c>
      <c r="F3446" s="204" t="s">
        <v>201</v>
      </c>
      <c r="G3446" s="215" t="s">
        <v>5546</v>
      </c>
      <c r="H3446" s="175"/>
    </row>
    <row r="3447" ht="14.25" spans="1:8">
      <c r="A3447" s="232">
        <v>915</v>
      </c>
      <c r="B3447" s="183" t="s">
        <v>4708</v>
      </c>
      <c r="C3447" s="175" t="s">
        <v>48</v>
      </c>
      <c r="D3447" s="260">
        <v>0.03</v>
      </c>
      <c r="E3447" s="204" t="s">
        <v>30</v>
      </c>
      <c r="F3447" s="204" t="s">
        <v>201</v>
      </c>
      <c r="G3447" s="215" t="s">
        <v>4709</v>
      </c>
      <c r="H3447" s="175"/>
    </row>
    <row r="3448" ht="14.25" spans="1:8">
      <c r="A3448" s="232">
        <v>916</v>
      </c>
      <c r="B3448" s="183" t="s">
        <v>5547</v>
      </c>
      <c r="C3448" s="175" t="s">
        <v>48</v>
      </c>
      <c r="D3448" s="260">
        <v>0.04</v>
      </c>
      <c r="E3448" s="204" t="s">
        <v>30</v>
      </c>
      <c r="F3448" s="204" t="s">
        <v>201</v>
      </c>
      <c r="G3448" s="215" t="s">
        <v>5548</v>
      </c>
      <c r="H3448" s="175"/>
    </row>
    <row r="3449" ht="14.25" spans="1:8">
      <c r="A3449" s="232">
        <v>917</v>
      </c>
      <c r="B3449" s="183" t="s">
        <v>5549</v>
      </c>
      <c r="C3449" s="175" t="s">
        <v>48</v>
      </c>
      <c r="D3449" s="260">
        <v>0.02</v>
      </c>
      <c r="E3449" s="257" t="s">
        <v>30</v>
      </c>
      <c r="F3449" s="257" t="s">
        <v>201</v>
      </c>
      <c r="G3449" s="215" t="s">
        <v>5180</v>
      </c>
      <c r="H3449" s="175"/>
    </row>
    <row r="3450" ht="14.25" spans="1:8">
      <c r="A3450" s="232">
        <v>918</v>
      </c>
      <c r="B3450" s="183" t="s">
        <v>5457</v>
      </c>
      <c r="C3450" s="175" t="s">
        <v>48</v>
      </c>
      <c r="D3450" s="260">
        <v>0.04</v>
      </c>
      <c r="E3450" s="204" t="s">
        <v>30</v>
      </c>
      <c r="F3450" s="204" t="s">
        <v>201</v>
      </c>
      <c r="G3450" s="215" t="s">
        <v>5458</v>
      </c>
      <c r="H3450" s="175"/>
    </row>
    <row r="3451" ht="25.5" spans="1:8">
      <c r="A3451" s="232">
        <v>919</v>
      </c>
      <c r="B3451" s="184" t="s">
        <v>512</v>
      </c>
      <c r="C3451" s="175" t="s">
        <v>48</v>
      </c>
      <c r="D3451" s="260">
        <v>0.01</v>
      </c>
      <c r="E3451" s="204" t="s">
        <v>30</v>
      </c>
      <c r="F3451" s="204" t="s">
        <v>201</v>
      </c>
      <c r="G3451" s="215" t="s">
        <v>5550</v>
      </c>
      <c r="H3451" s="175" t="s">
        <v>5551</v>
      </c>
    </row>
    <row r="3452" ht="14.25" spans="1:8">
      <c r="A3452" s="232">
        <v>920</v>
      </c>
      <c r="B3452" s="183" t="s">
        <v>512</v>
      </c>
      <c r="C3452" s="175" t="s">
        <v>48</v>
      </c>
      <c r="D3452" s="260">
        <v>0.01</v>
      </c>
      <c r="E3452" s="204" t="s">
        <v>30</v>
      </c>
      <c r="F3452" s="204" t="s">
        <v>201</v>
      </c>
      <c r="G3452" s="215" t="s">
        <v>5552</v>
      </c>
      <c r="H3452" s="175"/>
    </row>
    <row r="3453" ht="25.5" spans="1:8">
      <c r="A3453" s="232">
        <v>921</v>
      </c>
      <c r="B3453" s="183" t="s">
        <v>728</v>
      </c>
      <c r="C3453" s="175" t="s">
        <v>48</v>
      </c>
      <c r="D3453" s="260">
        <v>0.02</v>
      </c>
      <c r="E3453" s="204" t="s">
        <v>30</v>
      </c>
      <c r="F3453" s="204" t="s">
        <v>201</v>
      </c>
      <c r="G3453" s="215" t="s">
        <v>5553</v>
      </c>
      <c r="H3453" s="175" t="s">
        <v>5426</v>
      </c>
    </row>
    <row r="3454" ht="25.5" spans="1:8">
      <c r="A3454" s="232">
        <v>922</v>
      </c>
      <c r="B3454" s="183" t="s">
        <v>5554</v>
      </c>
      <c r="C3454" s="175" t="s">
        <v>48</v>
      </c>
      <c r="D3454" s="260">
        <v>0.02</v>
      </c>
      <c r="E3454" s="204" t="s">
        <v>30</v>
      </c>
      <c r="F3454" s="204" t="s">
        <v>201</v>
      </c>
      <c r="G3454" s="215" t="s">
        <v>5555</v>
      </c>
      <c r="H3454" s="175" t="s">
        <v>1883</v>
      </c>
    </row>
    <row r="3455" ht="14.25" spans="1:8">
      <c r="A3455" s="232">
        <v>923</v>
      </c>
      <c r="B3455" s="183" t="s">
        <v>4914</v>
      </c>
      <c r="C3455" s="175" t="s">
        <v>48</v>
      </c>
      <c r="D3455" s="260">
        <v>0.05</v>
      </c>
      <c r="E3455" s="204" t="s">
        <v>30</v>
      </c>
      <c r="F3455" s="204" t="s">
        <v>201</v>
      </c>
      <c r="G3455" s="215" t="s">
        <v>5556</v>
      </c>
      <c r="H3455" s="175"/>
    </row>
    <row r="3456" ht="14.25" spans="1:8">
      <c r="A3456" s="232">
        <v>924</v>
      </c>
      <c r="B3456" s="183" t="s">
        <v>5557</v>
      </c>
      <c r="C3456" s="175" t="s">
        <v>48</v>
      </c>
      <c r="D3456" s="260">
        <v>0.03</v>
      </c>
      <c r="E3456" s="204" t="s">
        <v>30</v>
      </c>
      <c r="F3456" s="204" t="s">
        <v>201</v>
      </c>
      <c r="G3456" s="215" t="s">
        <v>5558</v>
      </c>
      <c r="H3456" s="175"/>
    </row>
    <row r="3457" ht="14.25" spans="1:8">
      <c r="A3457" s="232">
        <v>925</v>
      </c>
      <c r="B3457" s="216" t="s">
        <v>5559</v>
      </c>
      <c r="C3457" s="175" t="s">
        <v>48</v>
      </c>
      <c r="D3457" s="190">
        <v>0.01</v>
      </c>
      <c r="E3457" s="204" t="s">
        <v>30</v>
      </c>
      <c r="F3457" s="204" t="s">
        <v>201</v>
      </c>
      <c r="G3457" s="191" t="s">
        <v>5560</v>
      </c>
      <c r="H3457" s="175"/>
    </row>
    <row r="3458" ht="14.25" spans="1:8">
      <c r="A3458" s="232">
        <v>926</v>
      </c>
      <c r="B3458" s="191" t="s">
        <v>5561</v>
      </c>
      <c r="C3458" s="175" t="s">
        <v>48</v>
      </c>
      <c r="D3458" s="190">
        <v>0.04</v>
      </c>
      <c r="E3458" s="204" t="s">
        <v>30</v>
      </c>
      <c r="F3458" s="204" t="s">
        <v>201</v>
      </c>
      <c r="G3458" s="191" t="s">
        <v>5562</v>
      </c>
      <c r="H3458" s="175"/>
    </row>
    <row r="3459" ht="14.25" spans="1:8">
      <c r="A3459" s="232">
        <v>927</v>
      </c>
      <c r="B3459" s="191" t="s">
        <v>4673</v>
      </c>
      <c r="C3459" s="175" t="s">
        <v>48</v>
      </c>
      <c r="D3459" s="190">
        <v>0.03</v>
      </c>
      <c r="E3459" s="204" t="s">
        <v>30</v>
      </c>
      <c r="F3459" s="204" t="s">
        <v>201</v>
      </c>
      <c r="G3459" s="191" t="s">
        <v>4674</v>
      </c>
      <c r="H3459" s="175"/>
    </row>
    <row r="3460" ht="14.25" spans="1:8">
      <c r="A3460" s="232">
        <v>928</v>
      </c>
      <c r="B3460" s="191" t="s">
        <v>5428</v>
      </c>
      <c r="C3460" s="175" t="s">
        <v>48</v>
      </c>
      <c r="D3460" s="190">
        <v>0.01</v>
      </c>
      <c r="E3460" s="204" t="s">
        <v>30</v>
      </c>
      <c r="F3460" s="204" t="s">
        <v>201</v>
      </c>
      <c r="G3460" s="191" t="s">
        <v>5429</v>
      </c>
      <c r="H3460" s="175" t="s">
        <v>672</v>
      </c>
    </row>
    <row r="3461" ht="14.25" spans="1:8">
      <c r="A3461" s="232">
        <v>929</v>
      </c>
      <c r="B3461" s="191" t="s">
        <v>5563</v>
      </c>
      <c r="C3461" s="175" t="s">
        <v>48</v>
      </c>
      <c r="D3461" s="190">
        <v>0.04</v>
      </c>
      <c r="E3461" s="204" t="s">
        <v>30</v>
      </c>
      <c r="F3461" s="204" t="s">
        <v>201</v>
      </c>
      <c r="G3461" s="191" t="s">
        <v>5564</v>
      </c>
      <c r="H3461" s="175"/>
    </row>
    <row r="3462" ht="14.25" spans="1:8">
      <c r="A3462" s="232">
        <v>930</v>
      </c>
      <c r="B3462" s="191" t="s">
        <v>5170</v>
      </c>
      <c r="C3462" s="175" t="s">
        <v>48</v>
      </c>
      <c r="D3462" s="190">
        <v>0.03</v>
      </c>
      <c r="E3462" s="204" t="s">
        <v>30</v>
      </c>
      <c r="F3462" s="204" t="s">
        <v>201</v>
      </c>
      <c r="G3462" s="191" t="s">
        <v>5565</v>
      </c>
      <c r="H3462" s="175"/>
    </row>
    <row r="3463" ht="14.25" spans="1:8">
      <c r="A3463" s="232">
        <v>931</v>
      </c>
      <c r="B3463" s="191" t="s">
        <v>5566</v>
      </c>
      <c r="C3463" s="175" t="s">
        <v>48</v>
      </c>
      <c r="D3463" s="190">
        <v>0.03</v>
      </c>
      <c r="E3463" s="204" t="s">
        <v>30</v>
      </c>
      <c r="F3463" s="204" t="s">
        <v>201</v>
      </c>
      <c r="G3463" s="191" t="s">
        <v>5567</v>
      </c>
      <c r="H3463" s="175"/>
    </row>
    <row r="3464" ht="14.25" spans="1:8">
      <c r="A3464" s="232">
        <v>932</v>
      </c>
      <c r="B3464" s="191" t="s">
        <v>4599</v>
      </c>
      <c r="C3464" s="175" t="s">
        <v>48</v>
      </c>
      <c r="D3464" s="190">
        <v>0.02</v>
      </c>
      <c r="E3464" s="204" t="s">
        <v>30</v>
      </c>
      <c r="F3464" s="204" t="s">
        <v>201</v>
      </c>
      <c r="G3464" s="191" t="s">
        <v>5568</v>
      </c>
      <c r="H3464" s="175"/>
    </row>
    <row r="3465" ht="14.25" spans="1:8">
      <c r="A3465" s="232">
        <v>933</v>
      </c>
      <c r="B3465" s="175" t="s">
        <v>5497</v>
      </c>
      <c r="C3465" s="175" t="s">
        <v>48</v>
      </c>
      <c r="D3465" s="190">
        <v>0.05</v>
      </c>
      <c r="E3465" s="204" t="s">
        <v>30</v>
      </c>
      <c r="F3465" s="204" t="s">
        <v>201</v>
      </c>
      <c r="G3465" s="189" t="s">
        <v>5569</v>
      </c>
      <c r="H3465" s="175"/>
    </row>
    <row r="3466" ht="14.25" spans="1:8">
      <c r="A3466" s="232">
        <v>934</v>
      </c>
      <c r="B3466" s="175" t="s">
        <v>5570</v>
      </c>
      <c r="C3466" s="175" t="s">
        <v>48</v>
      </c>
      <c r="D3466" s="190">
        <v>0.015</v>
      </c>
      <c r="E3466" s="204" t="s">
        <v>30</v>
      </c>
      <c r="F3466" s="204" t="s">
        <v>201</v>
      </c>
      <c r="G3466" s="189" t="s">
        <v>5571</v>
      </c>
      <c r="H3466" s="175"/>
    </row>
    <row r="3467" ht="14.25" spans="1:8">
      <c r="A3467" s="232">
        <v>935</v>
      </c>
      <c r="B3467" s="175" t="s">
        <v>5409</v>
      </c>
      <c r="C3467" s="175" t="s">
        <v>48</v>
      </c>
      <c r="D3467" s="190">
        <v>0.05</v>
      </c>
      <c r="E3467" s="204" t="s">
        <v>30</v>
      </c>
      <c r="F3467" s="204" t="s">
        <v>201</v>
      </c>
      <c r="G3467" s="189" t="s">
        <v>5288</v>
      </c>
      <c r="H3467" s="175"/>
    </row>
    <row r="3468" ht="14.25" spans="1:8">
      <c r="A3468" s="232">
        <v>936</v>
      </c>
      <c r="B3468" s="175" t="s">
        <v>5026</v>
      </c>
      <c r="C3468" s="175" t="s">
        <v>48</v>
      </c>
      <c r="D3468" s="190">
        <v>0.06</v>
      </c>
      <c r="E3468" s="204" t="s">
        <v>30</v>
      </c>
      <c r="F3468" s="204" t="s">
        <v>188</v>
      </c>
      <c r="G3468" s="189" t="s">
        <v>5027</v>
      </c>
      <c r="H3468" s="175"/>
    </row>
    <row r="3469" ht="14.25" spans="1:8">
      <c r="A3469" s="232">
        <v>937</v>
      </c>
      <c r="B3469" s="175" t="s">
        <v>4487</v>
      </c>
      <c r="C3469" s="175" t="s">
        <v>48</v>
      </c>
      <c r="D3469" s="190">
        <v>0.015</v>
      </c>
      <c r="E3469" s="204" t="s">
        <v>30</v>
      </c>
      <c r="F3469" s="204" t="s">
        <v>201</v>
      </c>
      <c r="G3469" s="189" t="s">
        <v>4198</v>
      </c>
      <c r="H3469" s="175"/>
    </row>
    <row r="3470" ht="25.5" spans="1:8">
      <c r="A3470" s="232">
        <v>938</v>
      </c>
      <c r="B3470" s="175" t="s">
        <v>5346</v>
      </c>
      <c r="C3470" s="175" t="s">
        <v>48</v>
      </c>
      <c r="D3470" s="190">
        <v>0.3</v>
      </c>
      <c r="E3470" s="204" t="s">
        <v>30</v>
      </c>
      <c r="F3470" s="204" t="s">
        <v>201</v>
      </c>
      <c r="G3470" s="189" t="s">
        <v>5572</v>
      </c>
      <c r="H3470" s="175" t="s">
        <v>5573</v>
      </c>
    </row>
    <row r="3471" ht="14.25" spans="1:8">
      <c r="A3471" s="232">
        <v>939</v>
      </c>
      <c r="B3471" s="175" t="s">
        <v>5574</v>
      </c>
      <c r="C3471" s="175" t="s">
        <v>48</v>
      </c>
      <c r="D3471" s="190">
        <v>0.01</v>
      </c>
      <c r="E3471" s="204" t="s">
        <v>30</v>
      </c>
      <c r="F3471" s="204" t="s">
        <v>201</v>
      </c>
      <c r="G3471" s="189" t="s">
        <v>5575</v>
      </c>
      <c r="H3471" s="175" t="s">
        <v>672</v>
      </c>
    </row>
    <row r="3472" ht="14.25" spans="1:8">
      <c r="A3472" s="232">
        <v>940</v>
      </c>
      <c r="B3472" s="175" t="s">
        <v>5574</v>
      </c>
      <c r="C3472" s="175" t="s">
        <v>48</v>
      </c>
      <c r="D3472" s="190">
        <v>0.01</v>
      </c>
      <c r="E3472" s="204" t="s">
        <v>30</v>
      </c>
      <c r="F3472" s="204" t="s">
        <v>201</v>
      </c>
      <c r="G3472" s="189" t="s">
        <v>5576</v>
      </c>
      <c r="H3472" s="175"/>
    </row>
    <row r="3473" ht="25.5" spans="1:8">
      <c r="A3473" s="232">
        <v>941</v>
      </c>
      <c r="B3473" s="175" t="s">
        <v>5574</v>
      </c>
      <c r="C3473" s="175" t="s">
        <v>48</v>
      </c>
      <c r="D3473" s="190">
        <v>0.01</v>
      </c>
      <c r="E3473" s="204" t="s">
        <v>30</v>
      </c>
      <c r="F3473" s="204" t="s">
        <v>201</v>
      </c>
      <c r="G3473" s="189" t="s">
        <v>5577</v>
      </c>
      <c r="H3473" s="175" t="s">
        <v>5551</v>
      </c>
    </row>
    <row r="3474" ht="25.5" spans="1:8">
      <c r="A3474" s="232">
        <v>942</v>
      </c>
      <c r="B3474" s="175" t="s">
        <v>5574</v>
      </c>
      <c r="C3474" s="175" t="s">
        <v>48</v>
      </c>
      <c r="D3474" s="190">
        <v>0.01</v>
      </c>
      <c r="E3474" s="204" t="s">
        <v>30</v>
      </c>
      <c r="F3474" s="204" t="s">
        <v>201</v>
      </c>
      <c r="G3474" s="189" t="s">
        <v>5578</v>
      </c>
      <c r="H3474" s="175" t="s">
        <v>5551</v>
      </c>
    </row>
    <row r="3475" ht="25.5" spans="1:8">
      <c r="A3475" s="232">
        <v>943</v>
      </c>
      <c r="B3475" s="175" t="s">
        <v>5574</v>
      </c>
      <c r="C3475" s="175" t="s">
        <v>48</v>
      </c>
      <c r="D3475" s="190">
        <v>0.01</v>
      </c>
      <c r="E3475" s="204" t="s">
        <v>30</v>
      </c>
      <c r="F3475" s="204" t="s">
        <v>201</v>
      </c>
      <c r="G3475" s="189" t="s">
        <v>5579</v>
      </c>
      <c r="H3475" s="175" t="s">
        <v>5551</v>
      </c>
    </row>
    <row r="3476" ht="25.5" spans="1:8">
      <c r="A3476" s="232">
        <v>944</v>
      </c>
      <c r="B3476" s="175" t="s">
        <v>5574</v>
      </c>
      <c r="C3476" s="175" t="s">
        <v>48</v>
      </c>
      <c r="D3476" s="190">
        <v>0.01</v>
      </c>
      <c r="E3476" s="204" t="s">
        <v>30</v>
      </c>
      <c r="F3476" s="204" t="s">
        <v>201</v>
      </c>
      <c r="G3476" s="189" t="s">
        <v>5580</v>
      </c>
      <c r="H3476" s="175" t="s">
        <v>5551</v>
      </c>
    </row>
    <row r="3477" ht="14.25" spans="1:8">
      <c r="A3477" s="232">
        <v>945</v>
      </c>
      <c r="B3477" s="175" t="s">
        <v>5581</v>
      </c>
      <c r="C3477" s="175" t="s">
        <v>48</v>
      </c>
      <c r="D3477" s="190">
        <v>0.05</v>
      </c>
      <c r="E3477" s="204" t="s">
        <v>30</v>
      </c>
      <c r="F3477" s="204" t="s">
        <v>201</v>
      </c>
      <c r="G3477" s="189" t="s">
        <v>5582</v>
      </c>
      <c r="H3477" s="175"/>
    </row>
    <row r="3478" ht="25.5" spans="1:8">
      <c r="A3478" s="232">
        <v>946</v>
      </c>
      <c r="B3478" s="175" t="s">
        <v>4760</v>
      </c>
      <c r="C3478" s="175" t="s">
        <v>48</v>
      </c>
      <c r="D3478" s="190">
        <v>0.04</v>
      </c>
      <c r="E3478" s="204" t="s">
        <v>30</v>
      </c>
      <c r="F3478" s="204" t="s">
        <v>201</v>
      </c>
      <c r="G3478" s="189" t="s">
        <v>5583</v>
      </c>
      <c r="H3478" s="175" t="s">
        <v>5537</v>
      </c>
    </row>
    <row r="3479" ht="14.25" spans="1:8">
      <c r="A3479" s="232">
        <v>947</v>
      </c>
      <c r="B3479" s="175" t="s">
        <v>5584</v>
      </c>
      <c r="C3479" s="175" t="s">
        <v>48</v>
      </c>
      <c r="D3479" s="190">
        <v>0.02</v>
      </c>
      <c r="E3479" s="204" t="s">
        <v>30</v>
      </c>
      <c r="F3479" s="204" t="s">
        <v>201</v>
      </c>
      <c r="G3479" s="189" t="s">
        <v>5585</v>
      </c>
      <c r="H3479" s="175"/>
    </row>
    <row r="3480" ht="14.25" spans="1:8">
      <c r="A3480" s="232">
        <v>948</v>
      </c>
      <c r="B3480" s="175" t="s">
        <v>5584</v>
      </c>
      <c r="C3480" s="175" t="s">
        <v>48</v>
      </c>
      <c r="D3480" s="190">
        <v>0.02</v>
      </c>
      <c r="E3480" s="204" t="s">
        <v>30</v>
      </c>
      <c r="F3480" s="204" t="s">
        <v>201</v>
      </c>
      <c r="G3480" s="189" t="s">
        <v>5586</v>
      </c>
      <c r="H3480" s="175"/>
    </row>
    <row r="3481" ht="14.25" spans="1:8">
      <c r="A3481" s="232">
        <v>949</v>
      </c>
      <c r="B3481" s="175" t="s">
        <v>5497</v>
      </c>
      <c r="C3481" s="175" t="s">
        <v>48</v>
      </c>
      <c r="D3481" s="190">
        <v>0.32</v>
      </c>
      <c r="E3481" s="204" t="s">
        <v>30</v>
      </c>
      <c r="F3481" s="204" t="s">
        <v>201</v>
      </c>
      <c r="G3481" s="189" t="s">
        <v>5569</v>
      </c>
      <c r="H3481" s="175"/>
    </row>
    <row r="3482" ht="14.25" spans="1:8">
      <c r="A3482" s="232">
        <v>950</v>
      </c>
      <c r="B3482" s="175" t="s">
        <v>5587</v>
      </c>
      <c r="C3482" s="175" t="s">
        <v>48</v>
      </c>
      <c r="D3482" s="190">
        <v>0.04</v>
      </c>
      <c r="E3482" s="204" t="s">
        <v>30</v>
      </c>
      <c r="F3482" s="204" t="s">
        <v>201</v>
      </c>
      <c r="G3482" s="189" t="s">
        <v>5588</v>
      </c>
      <c r="H3482" s="175"/>
    </row>
    <row r="3483" ht="14.25" spans="1:8">
      <c r="A3483" s="232">
        <v>951</v>
      </c>
      <c r="B3483" s="175" t="s">
        <v>5589</v>
      </c>
      <c r="C3483" s="175" t="s">
        <v>48</v>
      </c>
      <c r="D3483" s="190">
        <v>0.1</v>
      </c>
      <c r="E3483" s="204" t="s">
        <v>30</v>
      </c>
      <c r="F3483" s="204" t="s">
        <v>201</v>
      </c>
      <c r="G3483" s="189" t="s">
        <v>5590</v>
      </c>
      <c r="H3483" s="175"/>
    </row>
    <row r="3484" ht="14.25" spans="1:8">
      <c r="A3484" s="232">
        <v>952</v>
      </c>
      <c r="B3484" s="175" t="s">
        <v>5589</v>
      </c>
      <c r="C3484" s="175" t="s">
        <v>48</v>
      </c>
      <c r="D3484" s="190">
        <v>0.04</v>
      </c>
      <c r="E3484" s="204" t="s">
        <v>30</v>
      </c>
      <c r="F3484" s="204" t="s">
        <v>201</v>
      </c>
      <c r="G3484" s="189" t="s">
        <v>5591</v>
      </c>
      <c r="H3484" s="175"/>
    </row>
    <row r="3485" ht="14.25" spans="1:8">
      <c r="A3485" s="232">
        <v>953</v>
      </c>
      <c r="B3485" s="175" t="s">
        <v>5592</v>
      </c>
      <c r="C3485" s="175" t="s">
        <v>48</v>
      </c>
      <c r="D3485" s="190">
        <v>0.06</v>
      </c>
      <c r="E3485" s="204" t="s">
        <v>30</v>
      </c>
      <c r="F3485" s="204" t="s">
        <v>201</v>
      </c>
      <c r="G3485" s="189" t="s">
        <v>5420</v>
      </c>
      <c r="H3485" s="175"/>
    </row>
    <row r="3486" ht="14.25" spans="1:8">
      <c r="A3486" s="232">
        <v>954</v>
      </c>
      <c r="B3486" s="183" t="s">
        <v>5593</v>
      </c>
      <c r="C3486" s="175" t="s">
        <v>48</v>
      </c>
      <c r="D3486" s="190">
        <v>0.04</v>
      </c>
      <c r="E3486" s="204" t="s">
        <v>30</v>
      </c>
      <c r="F3486" s="204" t="s">
        <v>201</v>
      </c>
      <c r="G3486" s="189" t="s">
        <v>5594</v>
      </c>
      <c r="H3486" s="175"/>
    </row>
    <row r="3487" ht="14.25" spans="1:8">
      <c r="A3487" s="232">
        <v>955</v>
      </c>
      <c r="B3487" s="181" t="s">
        <v>5595</v>
      </c>
      <c r="C3487" s="175" t="s">
        <v>48</v>
      </c>
      <c r="D3487" s="190">
        <v>0.04</v>
      </c>
      <c r="E3487" s="204" t="s">
        <v>30</v>
      </c>
      <c r="F3487" s="204" t="s">
        <v>201</v>
      </c>
      <c r="G3487" s="189" t="s">
        <v>2821</v>
      </c>
      <c r="H3487" s="175"/>
    </row>
    <row r="3488" ht="14.25" spans="1:8">
      <c r="A3488" s="232">
        <v>956</v>
      </c>
      <c r="B3488" s="183" t="s">
        <v>5596</v>
      </c>
      <c r="C3488" s="175" t="s">
        <v>48</v>
      </c>
      <c r="D3488" s="190">
        <v>0.02</v>
      </c>
      <c r="E3488" s="204" t="s">
        <v>30</v>
      </c>
      <c r="F3488" s="204" t="s">
        <v>201</v>
      </c>
      <c r="G3488" s="189" t="s">
        <v>4276</v>
      </c>
      <c r="H3488" s="175"/>
    </row>
    <row r="3489" ht="14.25" spans="1:8">
      <c r="A3489" s="232">
        <v>957</v>
      </c>
      <c r="B3489" s="183" t="s">
        <v>5597</v>
      </c>
      <c r="C3489" s="175" t="s">
        <v>48</v>
      </c>
      <c r="D3489" s="190">
        <v>0.1</v>
      </c>
      <c r="E3489" s="204" t="s">
        <v>30</v>
      </c>
      <c r="F3489" s="204" t="s">
        <v>201</v>
      </c>
      <c r="G3489" s="189" t="s">
        <v>5598</v>
      </c>
      <c r="H3489" s="175"/>
    </row>
    <row r="3490" ht="25.5" spans="1:8">
      <c r="A3490" s="232">
        <v>958</v>
      </c>
      <c r="B3490" s="183" t="s">
        <v>4319</v>
      </c>
      <c r="C3490" s="175" t="s">
        <v>48</v>
      </c>
      <c r="D3490" s="190">
        <v>0.06</v>
      </c>
      <c r="E3490" s="204" t="s">
        <v>30</v>
      </c>
      <c r="F3490" s="204" t="s">
        <v>201</v>
      </c>
      <c r="G3490" s="189" t="s">
        <v>5599</v>
      </c>
      <c r="H3490" s="175" t="s">
        <v>5600</v>
      </c>
    </row>
    <row r="3491" ht="14.25" spans="1:8">
      <c r="A3491" s="232">
        <v>959</v>
      </c>
      <c r="B3491" s="183" t="s">
        <v>5601</v>
      </c>
      <c r="C3491" s="175" t="s">
        <v>48</v>
      </c>
      <c r="D3491" s="190">
        <v>0.12</v>
      </c>
      <c r="E3491" s="204" t="s">
        <v>30</v>
      </c>
      <c r="F3491" s="204" t="s">
        <v>201</v>
      </c>
      <c r="G3491" s="189" t="s">
        <v>5602</v>
      </c>
      <c r="H3491" s="175"/>
    </row>
    <row r="3492" ht="14.25" spans="1:8">
      <c r="A3492" s="232">
        <v>960</v>
      </c>
      <c r="B3492" s="183" t="s">
        <v>5601</v>
      </c>
      <c r="C3492" s="175" t="s">
        <v>48</v>
      </c>
      <c r="D3492" s="190">
        <v>0.82</v>
      </c>
      <c r="E3492" s="204" t="s">
        <v>5603</v>
      </c>
      <c r="F3492" s="204" t="s">
        <v>30</v>
      </c>
      <c r="G3492" s="189" t="s">
        <v>5604</v>
      </c>
      <c r="H3492" s="175"/>
    </row>
    <row r="3493" ht="14.25" spans="1:8">
      <c r="A3493" s="232">
        <v>961</v>
      </c>
      <c r="B3493" s="183" t="s">
        <v>5605</v>
      </c>
      <c r="C3493" s="175" t="s">
        <v>48</v>
      </c>
      <c r="D3493" s="190">
        <v>0.01</v>
      </c>
      <c r="E3493" s="204" t="s">
        <v>30</v>
      </c>
      <c r="F3493" s="204" t="s">
        <v>201</v>
      </c>
      <c r="G3493" s="189" t="s">
        <v>5606</v>
      </c>
      <c r="H3493" s="175"/>
    </row>
    <row r="3494" ht="14.25" spans="1:8">
      <c r="A3494" s="232">
        <v>962</v>
      </c>
      <c r="B3494" s="183" t="s">
        <v>4382</v>
      </c>
      <c r="C3494" s="175" t="s">
        <v>48</v>
      </c>
      <c r="D3494" s="190">
        <v>0.01</v>
      </c>
      <c r="E3494" s="204" t="s">
        <v>30</v>
      </c>
      <c r="F3494" s="204" t="s">
        <v>201</v>
      </c>
      <c r="G3494" s="189" t="s">
        <v>5607</v>
      </c>
      <c r="H3494" s="175" t="s">
        <v>672</v>
      </c>
    </row>
    <row r="3495" ht="14.25" spans="1:8">
      <c r="A3495" s="232">
        <v>963</v>
      </c>
      <c r="B3495" s="183" t="s">
        <v>4382</v>
      </c>
      <c r="C3495" s="175" t="s">
        <v>48</v>
      </c>
      <c r="D3495" s="190">
        <v>0.01</v>
      </c>
      <c r="E3495" s="204" t="s">
        <v>30</v>
      </c>
      <c r="F3495" s="204" t="s">
        <v>201</v>
      </c>
      <c r="G3495" s="189" t="s">
        <v>5608</v>
      </c>
      <c r="H3495" s="175"/>
    </row>
    <row r="3496" ht="14.25" spans="1:8">
      <c r="A3496" s="232">
        <v>964</v>
      </c>
      <c r="B3496" s="183" t="s">
        <v>4382</v>
      </c>
      <c r="C3496" s="175" t="s">
        <v>48</v>
      </c>
      <c r="D3496" s="190">
        <v>0.01</v>
      </c>
      <c r="E3496" s="204" t="s">
        <v>30</v>
      </c>
      <c r="F3496" s="204" t="s">
        <v>201</v>
      </c>
      <c r="G3496" s="189" t="s">
        <v>5609</v>
      </c>
      <c r="H3496" s="175" t="s">
        <v>672</v>
      </c>
    </row>
    <row r="3497" ht="14.25" spans="1:8">
      <c r="A3497" s="232">
        <v>965</v>
      </c>
      <c r="B3497" s="183" t="s">
        <v>5610</v>
      </c>
      <c r="C3497" s="175" t="s">
        <v>48</v>
      </c>
      <c r="D3497" s="190">
        <v>0.03</v>
      </c>
      <c r="E3497" s="204" t="s">
        <v>30</v>
      </c>
      <c r="F3497" s="204" t="s">
        <v>201</v>
      </c>
      <c r="G3497" s="189" t="s">
        <v>5611</v>
      </c>
      <c r="H3497" s="175"/>
    </row>
    <row r="3498" ht="14.25" spans="1:8">
      <c r="A3498" s="232">
        <v>966</v>
      </c>
      <c r="B3498" s="183" t="s">
        <v>5612</v>
      </c>
      <c r="C3498" s="175" t="s">
        <v>48</v>
      </c>
      <c r="D3498" s="190">
        <v>0.04</v>
      </c>
      <c r="E3498" s="204" t="s">
        <v>30</v>
      </c>
      <c r="F3498" s="204" t="s">
        <v>201</v>
      </c>
      <c r="G3498" s="189" t="s">
        <v>5613</v>
      </c>
      <c r="H3498" s="175"/>
    </row>
    <row r="3499" ht="14.25" spans="1:8">
      <c r="A3499" s="232">
        <v>967</v>
      </c>
      <c r="B3499" s="183" t="s">
        <v>5506</v>
      </c>
      <c r="C3499" s="175" t="s">
        <v>48</v>
      </c>
      <c r="D3499" s="190">
        <v>0.04</v>
      </c>
      <c r="E3499" s="204" t="s">
        <v>30</v>
      </c>
      <c r="F3499" s="204" t="s">
        <v>201</v>
      </c>
      <c r="G3499" s="189" t="s">
        <v>5507</v>
      </c>
      <c r="H3499" s="175"/>
    </row>
    <row r="3500" ht="14.25" spans="1:8">
      <c r="A3500" s="232">
        <v>968</v>
      </c>
      <c r="B3500" s="183" t="s">
        <v>5508</v>
      </c>
      <c r="C3500" s="175" t="s">
        <v>48</v>
      </c>
      <c r="D3500" s="190">
        <v>0.03</v>
      </c>
      <c r="E3500" s="204" t="s">
        <v>30</v>
      </c>
      <c r="F3500" s="204" t="s">
        <v>201</v>
      </c>
      <c r="G3500" s="189" t="s">
        <v>5510</v>
      </c>
      <c r="H3500" s="175"/>
    </row>
    <row r="3501" ht="25.5" spans="1:8">
      <c r="A3501" s="232">
        <v>969</v>
      </c>
      <c r="B3501" s="183" t="s">
        <v>5614</v>
      </c>
      <c r="C3501" s="175" t="s">
        <v>48</v>
      </c>
      <c r="D3501" s="190">
        <v>0.015</v>
      </c>
      <c r="E3501" s="204" t="s">
        <v>30</v>
      </c>
      <c r="F3501" s="204" t="s">
        <v>201</v>
      </c>
      <c r="G3501" s="189" t="s">
        <v>5615</v>
      </c>
      <c r="H3501" s="175" t="s">
        <v>1883</v>
      </c>
    </row>
    <row r="3502" ht="25.5" spans="1:8">
      <c r="A3502" s="232">
        <v>970</v>
      </c>
      <c r="B3502" s="183" t="s">
        <v>5614</v>
      </c>
      <c r="C3502" s="175" t="s">
        <v>48</v>
      </c>
      <c r="D3502" s="190">
        <v>0.015</v>
      </c>
      <c r="E3502" s="204" t="s">
        <v>30</v>
      </c>
      <c r="F3502" s="204" t="s">
        <v>201</v>
      </c>
      <c r="G3502" s="189" t="s">
        <v>5616</v>
      </c>
      <c r="H3502" s="175" t="s">
        <v>5617</v>
      </c>
    </row>
    <row r="3503" ht="14.25" spans="1:8">
      <c r="A3503" s="232">
        <v>971</v>
      </c>
      <c r="B3503" s="183" t="s">
        <v>5434</v>
      </c>
      <c r="C3503" s="175" t="s">
        <v>48</v>
      </c>
      <c r="D3503" s="190">
        <v>0.0151</v>
      </c>
      <c r="E3503" s="204" t="s">
        <v>30</v>
      </c>
      <c r="F3503" s="204" t="s">
        <v>201</v>
      </c>
      <c r="G3503" s="189" t="s">
        <v>5435</v>
      </c>
      <c r="H3503" s="175"/>
    </row>
    <row r="3504" ht="14.25" spans="1:8">
      <c r="A3504" s="232">
        <v>972</v>
      </c>
      <c r="B3504" s="183" t="s">
        <v>869</v>
      </c>
      <c r="C3504" s="175" t="s">
        <v>48</v>
      </c>
      <c r="D3504" s="190">
        <v>0.03</v>
      </c>
      <c r="E3504" s="204" t="s">
        <v>30</v>
      </c>
      <c r="F3504" s="204" t="s">
        <v>201</v>
      </c>
      <c r="G3504" s="189" t="s">
        <v>5618</v>
      </c>
      <c r="H3504" s="175"/>
    </row>
    <row r="3505" ht="14.25" spans="1:8">
      <c r="A3505" s="232">
        <v>973</v>
      </c>
      <c r="B3505" s="183" t="s">
        <v>5440</v>
      </c>
      <c r="C3505" s="175" t="s">
        <v>48</v>
      </c>
      <c r="D3505" s="190">
        <v>0.1</v>
      </c>
      <c r="E3505" s="204" t="s">
        <v>30</v>
      </c>
      <c r="F3505" s="204" t="s">
        <v>201</v>
      </c>
      <c r="G3505" s="189" t="s">
        <v>5441</v>
      </c>
      <c r="H3505" s="175"/>
    </row>
    <row r="3506" ht="14.25" spans="1:8">
      <c r="A3506" s="232">
        <v>974</v>
      </c>
      <c r="B3506" s="183" t="s">
        <v>5440</v>
      </c>
      <c r="C3506" s="175" t="s">
        <v>48</v>
      </c>
      <c r="D3506" s="190">
        <v>0.02</v>
      </c>
      <c r="E3506" s="204" t="s">
        <v>30</v>
      </c>
      <c r="F3506" s="204" t="s">
        <v>201</v>
      </c>
      <c r="G3506" s="189" t="s">
        <v>5118</v>
      </c>
      <c r="H3506" s="175"/>
    </row>
    <row r="3507" ht="14.25" spans="1:8">
      <c r="A3507" s="232">
        <v>975</v>
      </c>
      <c r="B3507" s="175" t="s">
        <v>4226</v>
      </c>
      <c r="C3507" s="175" t="s">
        <v>48</v>
      </c>
      <c r="D3507" s="190">
        <v>0.01</v>
      </c>
      <c r="E3507" s="204" t="s">
        <v>30</v>
      </c>
      <c r="F3507" s="204" t="s">
        <v>201</v>
      </c>
      <c r="G3507" s="189" t="s">
        <v>5619</v>
      </c>
      <c r="H3507" s="175"/>
    </row>
    <row r="3508" ht="14.25" spans="1:8">
      <c r="A3508" s="232">
        <v>976</v>
      </c>
      <c r="B3508" s="183" t="s">
        <v>5620</v>
      </c>
      <c r="C3508" s="175" t="s">
        <v>48</v>
      </c>
      <c r="D3508" s="190">
        <v>0.02</v>
      </c>
      <c r="E3508" s="204" t="s">
        <v>30</v>
      </c>
      <c r="F3508" s="204" t="s">
        <v>201</v>
      </c>
      <c r="G3508" s="189" t="s">
        <v>5621</v>
      </c>
      <c r="H3508" s="175"/>
    </row>
    <row r="3509" ht="14.25" spans="1:8">
      <c r="A3509" s="232">
        <v>977</v>
      </c>
      <c r="B3509" s="183" t="s">
        <v>5622</v>
      </c>
      <c r="C3509" s="175" t="s">
        <v>48</v>
      </c>
      <c r="D3509" s="190">
        <v>0.01</v>
      </c>
      <c r="E3509" s="204" t="s">
        <v>30</v>
      </c>
      <c r="F3509" s="204" t="s">
        <v>201</v>
      </c>
      <c r="G3509" s="189" t="s">
        <v>5623</v>
      </c>
      <c r="H3509" s="175"/>
    </row>
    <row r="3510" ht="25.5" spans="1:8">
      <c r="A3510" s="232">
        <v>978</v>
      </c>
      <c r="B3510" s="183" t="s">
        <v>5624</v>
      </c>
      <c r="C3510" s="175" t="s">
        <v>48</v>
      </c>
      <c r="D3510" s="190">
        <v>0.02</v>
      </c>
      <c r="E3510" s="204" t="s">
        <v>30</v>
      </c>
      <c r="F3510" s="204" t="s">
        <v>201</v>
      </c>
      <c r="G3510" s="189" t="s">
        <v>5625</v>
      </c>
      <c r="H3510" s="175" t="s">
        <v>1883</v>
      </c>
    </row>
    <row r="3511" ht="14.25" spans="1:8">
      <c r="A3511" s="232">
        <v>979</v>
      </c>
      <c r="B3511" s="183" t="s">
        <v>5626</v>
      </c>
      <c r="C3511" s="175" t="s">
        <v>48</v>
      </c>
      <c r="D3511" s="190">
        <v>0.01</v>
      </c>
      <c r="E3511" s="204" t="s">
        <v>30</v>
      </c>
      <c r="F3511" s="204" t="s">
        <v>201</v>
      </c>
      <c r="G3511" s="189" t="s">
        <v>5627</v>
      </c>
      <c r="H3511" s="175"/>
    </row>
    <row r="3512" ht="14.25" spans="1:8">
      <c r="A3512" s="232">
        <v>980</v>
      </c>
      <c r="B3512" s="183" t="s">
        <v>3243</v>
      </c>
      <c r="C3512" s="175" t="s">
        <v>48</v>
      </c>
      <c r="D3512" s="190">
        <v>0.01</v>
      </c>
      <c r="E3512" s="204" t="s">
        <v>30</v>
      </c>
      <c r="F3512" s="204" t="s">
        <v>201</v>
      </c>
      <c r="G3512" s="189" t="s">
        <v>5628</v>
      </c>
      <c r="H3512" s="175"/>
    </row>
    <row r="3513" ht="14.25" spans="1:8">
      <c r="A3513" s="232">
        <v>981</v>
      </c>
      <c r="B3513" s="183" t="s">
        <v>4239</v>
      </c>
      <c r="C3513" s="175" t="s">
        <v>48</v>
      </c>
      <c r="D3513" s="190">
        <v>0.01</v>
      </c>
      <c r="E3513" s="204" t="s">
        <v>30</v>
      </c>
      <c r="F3513" s="204" t="s">
        <v>201</v>
      </c>
      <c r="G3513" s="189" t="s">
        <v>5629</v>
      </c>
      <c r="H3513" s="175"/>
    </row>
    <row r="3514" ht="14.25" spans="1:8">
      <c r="A3514" s="232">
        <v>982</v>
      </c>
      <c r="B3514" s="183" t="s">
        <v>5630</v>
      </c>
      <c r="C3514" s="175" t="s">
        <v>48</v>
      </c>
      <c r="D3514" s="190">
        <v>0.02</v>
      </c>
      <c r="E3514" s="204" t="s">
        <v>30</v>
      </c>
      <c r="F3514" s="204" t="s">
        <v>201</v>
      </c>
      <c r="G3514" s="189" t="s">
        <v>5631</v>
      </c>
      <c r="H3514" s="175" t="s">
        <v>672</v>
      </c>
    </row>
    <row r="3515" ht="14.25" spans="1:8">
      <c r="A3515" s="232">
        <v>983</v>
      </c>
      <c r="B3515" s="183" t="s">
        <v>5626</v>
      </c>
      <c r="C3515" s="175" t="s">
        <v>48</v>
      </c>
      <c r="D3515" s="190">
        <v>0.03</v>
      </c>
      <c r="E3515" s="204" t="s">
        <v>30</v>
      </c>
      <c r="F3515" s="204" t="s">
        <v>201</v>
      </c>
      <c r="G3515" s="189" t="s">
        <v>5454</v>
      </c>
      <c r="H3515" s="175" t="s">
        <v>672</v>
      </c>
    </row>
    <row r="3516" ht="14.25" spans="1:8">
      <c r="A3516" s="232">
        <v>984</v>
      </c>
      <c r="B3516" s="183" t="s">
        <v>5632</v>
      </c>
      <c r="C3516" s="175" t="s">
        <v>48</v>
      </c>
      <c r="D3516" s="190">
        <v>0.03</v>
      </c>
      <c r="E3516" s="204" t="s">
        <v>30</v>
      </c>
      <c r="F3516" s="204" t="s">
        <v>201</v>
      </c>
      <c r="G3516" s="189" t="s">
        <v>5633</v>
      </c>
      <c r="H3516" s="175"/>
    </row>
    <row r="3517" ht="14.25" spans="1:8">
      <c r="A3517" s="232">
        <v>985</v>
      </c>
      <c r="B3517" s="183" t="s">
        <v>5634</v>
      </c>
      <c r="C3517" s="175" t="s">
        <v>48</v>
      </c>
      <c r="D3517" s="190">
        <v>0.05</v>
      </c>
      <c r="E3517" s="204" t="s">
        <v>30</v>
      </c>
      <c r="F3517" s="204" t="s">
        <v>201</v>
      </c>
      <c r="G3517" s="189" t="s">
        <v>5635</v>
      </c>
      <c r="H3517" s="175"/>
    </row>
    <row r="3518" ht="14.25" spans="1:8">
      <c r="A3518" s="232">
        <v>986</v>
      </c>
      <c r="B3518" s="183" t="s">
        <v>5636</v>
      </c>
      <c r="C3518" s="175" t="s">
        <v>48</v>
      </c>
      <c r="D3518" s="190">
        <v>0.03</v>
      </c>
      <c r="E3518" s="204" t="s">
        <v>30</v>
      </c>
      <c r="F3518" s="204" t="s">
        <v>201</v>
      </c>
      <c r="G3518" s="189" t="s">
        <v>5637</v>
      </c>
      <c r="H3518" s="175"/>
    </row>
    <row r="3519" ht="14.25" spans="1:8">
      <c r="A3519" s="232">
        <v>987</v>
      </c>
      <c r="B3519" s="183" t="s">
        <v>5638</v>
      </c>
      <c r="C3519" s="175" t="s">
        <v>48</v>
      </c>
      <c r="D3519" s="190">
        <v>0.03</v>
      </c>
      <c r="E3519" s="204" t="s">
        <v>30</v>
      </c>
      <c r="F3519" s="204" t="s">
        <v>201</v>
      </c>
      <c r="G3519" s="189" t="s">
        <v>5639</v>
      </c>
      <c r="H3519" s="175"/>
    </row>
    <row r="3520" ht="25.5" spans="1:8">
      <c r="A3520" s="232">
        <v>988</v>
      </c>
      <c r="B3520" s="183" t="s">
        <v>5468</v>
      </c>
      <c r="C3520" s="175" t="s">
        <v>48</v>
      </c>
      <c r="D3520" s="190">
        <v>0.03</v>
      </c>
      <c r="E3520" s="204" t="s">
        <v>30</v>
      </c>
      <c r="F3520" s="204" t="s">
        <v>201</v>
      </c>
      <c r="G3520" s="189" t="s">
        <v>5469</v>
      </c>
      <c r="H3520" s="175" t="s">
        <v>634</v>
      </c>
    </row>
    <row r="3521" ht="25.5" spans="1:8">
      <c r="A3521" s="232">
        <v>989</v>
      </c>
      <c r="B3521" s="183" t="s">
        <v>5468</v>
      </c>
      <c r="C3521" s="175" t="s">
        <v>48</v>
      </c>
      <c r="D3521" s="190">
        <v>0.03</v>
      </c>
      <c r="E3521" s="204" t="s">
        <v>30</v>
      </c>
      <c r="F3521" s="204" t="s">
        <v>201</v>
      </c>
      <c r="G3521" s="189" t="s">
        <v>5556</v>
      </c>
      <c r="H3521" s="175" t="s">
        <v>5640</v>
      </c>
    </row>
    <row r="3522" ht="14.25" spans="1:8">
      <c r="A3522" s="232">
        <v>990</v>
      </c>
      <c r="B3522" s="183" t="s">
        <v>5641</v>
      </c>
      <c r="C3522" s="175" t="s">
        <v>48</v>
      </c>
      <c r="D3522" s="190">
        <v>0.03</v>
      </c>
      <c r="E3522" s="204" t="s">
        <v>30</v>
      </c>
      <c r="F3522" s="204" t="s">
        <v>201</v>
      </c>
      <c r="G3522" s="189" t="s">
        <v>5642</v>
      </c>
      <c r="H3522" s="175"/>
    </row>
    <row r="3523" ht="14.25" spans="1:8">
      <c r="A3523" s="232">
        <v>991</v>
      </c>
      <c r="B3523" s="183" t="s">
        <v>5224</v>
      </c>
      <c r="C3523" s="175" t="s">
        <v>48</v>
      </c>
      <c r="D3523" s="190">
        <v>0.02</v>
      </c>
      <c r="E3523" s="204" t="s">
        <v>30</v>
      </c>
      <c r="F3523" s="204" t="s">
        <v>201</v>
      </c>
      <c r="G3523" s="189" t="s">
        <v>5225</v>
      </c>
      <c r="H3523" s="175"/>
    </row>
    <row r="3524" ht="25.5" spans="1:8">
      <c r="A3524" s="232">
        <v>992</v>
      </c>
      <c r="B3524" s="183" t="s">
        <v>5643</v>
      </c>
      <c r="C3524" s="175" t="s">
        <v>48</v>
      </c>
      <c r="D3524" s="190">
        <v>0.07</v>
      </c>
      <c r="E3524" s="204" t="s">
        <v>30</v>
      </c>
      <c r="F3524" s="204" t="s">
        <v>201</v>
      </c>
      <c r="G3524" s="189" t="s">
        <v>5644</v>
      </c>
      <c r="H3524" s="175" t="s">
        <v>634</v>
      </c>
    </row>
    <row r="3525" ht="14.25" spans="1:8">
      <c r="A3525" s="232">
        <v>993</v>
      </c>
      <c r="B3525" s="183" t="s">
        <v>4875</v>
      </c>
      <c r="C3525" s="175" t="s">
        <v>48</v>
      </c>
      <c r="D3525" s="190">
        <v>0.03</v>
      </c>
      <c r="E3525" s="204" t="s">
        <v>30</v>
      </c>
      <c r="F3525" s="204" t="s">
        <v>201</v>
      </c>
      <c r="G3525" s="189" t="s">
        <v>4877</v>
      </c>
      <c r="H3525" s="175"/>
    </row>
    <row r="3526" ht="14.25" spans="1:8">
      <c r="A3526" s="232">
        <v>994</v>
      </c>
      <c r="B3526" s="183" t="s">
        <v>4875</v>
      </c>
      <c r="C3526" s="175" t="s">
        <v>48</v>
      </c>
      <c r="D3526" s="190">
        <v>0.09</v>
      </c>
      <c r="E3526" s="204" t="s">
        <v>30</v>
      </c>
      <c r="F3526" s="204" t="s">
        <v>201</v>
      </c>
      <c r="G3526" s="189" t="s">
        <v>5645</v>
      </c>
      <c r="H3526" s="175"/>
    </row>
    <row r="3527" ht="14.25" spans="1:8">
      <c r="A3527" s="232">
        <v>995</v>
      </c>
      <c r="B3527" s="183" t="s">
        <v>5646</v>
      </c>
      <c r="C3527" s="175" t="s">
        <v>48</v>
      </c>
      <c r="D3527" s="190">
        <v>0.02</v>
      </c>
      <c r="E3527" s="204" t="s">
        <v>30</v>
      </c>
      <c r="F3527" s="204" t="s">
        <v>201</v>
      </c>
      <c r="G3527" s="189" t="s">
        <v>5647</v>
      </c>
      <c r="H3527" s="175"/>
    </row>
    <row r="3528" ht="14.25" spans="1:8">
      <c r="A3528" s="232">
        <v>996</v>
      </c>
      <c r="B3528" s="183" t="s">
        <v>5646</v>
      </c>
      <c r="C3528" s="175" t="s">
        <v>48</v>
      </c>
      <c r="D3528" s="190">
        <v>0.02</v>
      </c>
      <c r="E3528" s="204" t="s">
        <v>30</v>
      </c>
      <c r="F3528" s="204" t="s">
        <v>201</v>
      </c>
      <c r="G3528" s="189" t="s">
        <v>4668</v>
      </c>
      <c r="H3528" s="175"/>
    </row>
    <row r="3529" ht="14.25" spans="1:8">
      <c r="A3529" s="232">
        <v>997</v>
      </c>
      <c r="B3529" s="183" t="s">
        <v>5648</v>
      </c>
      <c r="C3529" s="175" t="s">
        <v>48</v>
      </c>
      <c r="D3529" s="190">
        <v>0.01</v>
      </c>
      <c r="E3529" s="204" t="s">
        <v>30</v>
      </c>
      <c r="F3529" s="204" t="s">
        <v>201</v>
      </c>
      <c r="G3529" s="189" t="s">
        <v>5649</v>
      </c>
      <c r="H3529" s="175"/>
    </row>
    <row r="3530" ht="14.25" spans="1:8">
      <c r="A3530" s="232">
        <v>998</v>
      </c>
      <c r="B3530" s="183" t="s">
        <v>5650</v>
      </c>
      <c r="C3530" s="175" t="s">
        <v>48</v>
      </c>
      <c r="D3530" s="190">
        <v>0.01</v>
      </c>
      <c r="E3530" s="204" t="s">
        <v>30</v>
      </c>
      <c r="F3530" s="204" t="s">
        <v>201</v>
      </c>
      <c r="G3530" s="189" t="s">
        <v>4876</v>
      </c>
      <c r="H3530" s="175" t="s">
        <v>672</v>
      </c>
    </row>
    <row r="3531" ht="14.25" spans="1:8">
      <c r="A3531" s="232">
        <v>999</v>
      </c>
      <c r="B3531" s="183" t="s">
        <v>5651</v>
      </c>
      <c r="C3531" s="175" t="s">
        <v>48</v>
      </c>
      <c r="D3531" s="190">
        <v>0.02</v>
      </c>
      <c r="E3531" s="204" t="s">
        <v>30</v>
      </c>
      <c r="F3531" s="204" t="s">
        <v>201</v>
      </c>
      <c r="G3531" s="189" t="s">
        <v>5652</v>
      </c>
      <c r="H3531" s="175"/>
    </row>
    <row r="3532" ht="14.25" spans="1:8">
      <c r="A3532" s="232">
        <v>1000</v>
      </c>
      <c r="B3532" s="183" t="s">
        <v>1654</v>
      </c>
      <c r="C3532" s="175" t="s">
        <v>48</v>
      </c>
      <c r="D3532" s="190">
        <v>0.1</v>
      </c>
      <c r="E3532" s="204" t="s">
        <v>30</v>
      </c>
      <c r="F3532" s="204" t="s">
        <v>201</v>
      </c>
      <c r="G3532" s="189" t="s">
        <v>5653</v>
      </c>
      <c r="H3532" s="175"/>
    </row>
    <row r="3533" ht="25.5" spans="1:8">
      <c r="A3533" s="232">
        <v>1001</v>
      </c>
      <c r="B3533" s="183" t="s">
        <v>5654</v>
      </c>
      <c r="C3533" s="175" t="s">
        <v>48</v>
      </c>
      <c r="D3533" s="190">
        <v>0.01</v>
      </c>
      <c r="E3533" s="204" t="s">
        <v>30</v>
      </c>
      <c r="F3533" s="204" t="s">
        <v>201</v>
      </c>
      <c r="G3533" s="189" t="s">
        <v>5655</v>
      </c>
      <c r="H3533" s="175" t="s">
        <v>5551</v>
      </c>
    </row>
    <row r="3534" ht="14.25" spans="1:8">
      <c r="A3534" s="232">
        <v>1002</v>
      </c>
      <c r="B3534" s="183" t="s">
        <v>5656</v>
      </c>
      <c r="C3534" s="175" t="s">
        <v>48</v>
      </c>
      <c r="D3534" s="190">
        <v>0.015</v>
      </c>
      <c r="E3534" s="204" t="s">
        <v>30</v>
      </c>
      <c r="F3534" s="204" t="s">
        <v>201</v>
      </c>
      <c r="G3534" s="189" t="s">
        <v>5657</v>
      </c>
      <c r="H3534" s="175"/>
    </row>
    <row r="3535" ht="14.25" spans="1:8">
      <c r="A3535" s="232">
        <v>1003</v>
      </c>
      <c r="B3535" s="183" t="s">
        <v>4450</v>
      </c>
      <c r="C3535" s="175" t="s">
        <v>48</v>
      </c>
      <c r="D3535" s="190">
        <v>0.05</v>
      </c>
      <c r="E3535" s="204" t="s">
        <v>30</v>
      </c>
      <c r="F3535" s="204" t="s">
        <v>201</v>
      </c>
      <c r="G3535" s="189" t="s">
        <v>5658</v>
      </c>
      <c r="H3535" s="175"/>
    </row>
    <row r="3536" ht="14.25" spans="1:8">
      <c r="A3536" s="232">
        <v>1004</v>
      </c>
      <c r="B3536" s="183" t="s">
        <v>5659</v>
      </c>
      <c r="C3536" s="175" t="s">
        <v>48</v>
      </c>
      <c r="D3536" s="190">
        <v>0.03</v>
      </c>
      <c r="E3536" s="204" t="s">
        <v>30</v>
      </c>
      <c r="F3536" s="204" t="s">
        <v>201</v>
      </c>
      <c r="G3536" s="189" t="s">
        <v>5660</v>
      </c>
      <c r="H3536" s="175"/>
    </row>
    <row r="3537" ht="14.25" spans="1:8">
      <c r="A3537" s="232">
        <v>1005</v>
      </c>
      <c r="B3537" s="183" t="s">
        <v>5661</v>
      </c>
      <c r="C3537" s="175" t="s">
        <v>48</v>
      </c>
      <c r="D3537" s="190">
        <v>0.015</v>
      </c>
      <c r="E3537" s="204" t="s">
        <v>30</v>
      </c>
      <c r="F3537" s="204" t="s">
        <v>201</v>
      </c>
      <c r="G3537" s="189" t="s">
        <v>5662</v>
      </c>
      <c r="H3537" s="175"/>
    </row>
    <row r="3538" ht="14.25" spans="1:8">
      <c r="A3538" s="232">
        <v>1006</v>
      </c>
      <c r="B3538" s="183" t="s">
        <v>1593</v>
      </c>
      <c r="C3538" s="175" t="s">
        <v>48</v>
      </c>
      <c r="D3538" s="190">
        <v>0.015</v>
      </c>
      <c r="E3538" s="204" t="s">
        <v>30</v>
      </c>
      <c r="F3538" s="204" t="s">
        <v>201</v>
      </c>
      <c r="G3538" s="189" t="s">
        <v>5663</v>
      </c>
      <c r="H3538" s="175"/>
    </row>
    <row r="3539" ht="14.25" spans="1:8">
      <c r="A3539" s="232">
        <v>1007</v>
      </c>
      <c r="B3539" s="183" t="s">
        <v>5664</v>
      </c>
      <c r="C3539" s="175" t="s">
        <v>48</v>
      </c>
      <c r="D3539" s="190">
        <v>0.02</v>
      </c>
      <c r="E3539" s="204" t="s">
        <v>30</v>
      </c>
      <c r="F3539" s="204" t="s">
        <v>201</v>
      </c>
      <c r="G3539" s="189" t="s">
        <v>5665</v>
      </c>
      <c r="H3539" s="175" t="s">
        <v>672</v>
      </c>
    </row>
    <row r="3540" ht="14.25" spans="1:8">
      <c r="A3540" s="232">
        <v>1008</v>
      </c>
      <c r="B3540" s="183" t="s">
        <v>4479</v>
      </c>
      <c r="C3540" s="175" t="s">
        <v>48</v>
      </c>
      <c r="D3540" s="190">
        <v>0.03</v>
      </c>
      <c r="E3540" s="204" t="s">
        <v>30</v>
      </c>
      <c r="F3540" s="204" t="s">
        <v>201</v>
      </c>
      <c r="G3540" s="189" t="s">
        <v>4480</v>
      </c>
      <c r="H3540" s="175"/>
    </row>
    <row r="3541" ht="14.25" spans="1:8">
      <c r="A3541" s="232">
        <v>1009</v>
      </c>
      <c r="B3541" s="183" t="s">
        <v>5666</v>
      </c>
      <c r="C3541" s="175" t="s">
        <v>48</v>
      </c>
      <c r="D3541" s="190">
        <v>0.01</v>
      </c>
      <c r="E3541" s="204" t="s">
        <v>30</v>
      </c>
      <c r="F3541" s="204" t="s">
        <v>201</v>
      </c>
      <c r="G3541" s="189" t="s">
        <v>5667</v>
      </c>
      <c r="H3541" s="175"/>
    </row>
    <row r="3542" ht="14.25" spans="1:8">
      <c r="A3542" s="232">
        <v>1010</v>
      </c>
      <c r="B3542" s="183" t="s">
        <v>5668</v>
      </c>
      <c r="C3542" s="175" t="s">
        <v>48</v>
      </c>
      <c r="D3542" s="190">
        <v>0.0086</v>
      </c>
      <c r="E3542" s="204" t="s">
        <v>30</v>
      </c>
      <c r="F3542" s="204" t="s">
        <v>201</v>
      </c>
      <c r="G3542" s="189" t="s">
        <v>5669</v>
      </c>
      <c r="H3542" s="175"/>
    </row>
    <row r="3543" ht="14.25" spans="1:8">
      <c r="A3543" s="232">
        <v>1011</v>
      </c>
      <c r="B3543" s="183" t="s">
        <v>5666</v>
      </c>
      <c r="C3543" s="175" t="s">
        <v>48</v>
      </c>
      <c r="D3543" s="190">
        <v>0.1</v>
      </c>
      <c r="E3543" s="204" t="s">
        <v>30</v>
      </c>
      <c r="F3543" s="204" t="s">
        <v>201</v>
      </c>
      <c r="G3543" s="189" t="s">
        <v>5670</v>
      </c>
      <c r="H3543" s="175"/>
    </row>
    <row r="3544" ht="14.25" spans="1:8">
      <c r="A3544" s="232">
        <v>1012</v>
      </c>
      <c r="B3544" s="183" t="s">
        <v>5671</v>
      </c>
      <c r="C3544" s="175" t="s">
        <v>48</v>
      </c>
      <c r="D3544" s="190">
        <v>0.01</v>
      </c>
      <c r="E3544" s="204" t="s">
        <v>30</v>
      </c>
      <c r="F3544" s="204" t="s">
        <v>201</v>
      </c>
      <c r="G3544" s="189" t="s">
        <v>5672</v>
      </c>
      <c r="H3544" s="175"/>
    </row>
    <row r="3545" ht="14.25" spans="1:8">
      <c r="A3545" s="232">
        <v>1013</v>
      </c>
      <c r="B3545" s="183" t="s">
        <v>5673</v>
      </c>
      <c r="C3545" s="175" t="s">
        <v>48</v>
      </c>
      <c r="D3545" s="190">
        <v>0.02</v>
      </c>
      <c r="E3545" s="204" t="s">
        <v>30</v>
      </c>
      <c r="F3545" s="204" t="s">
        <v>201</v>
      </c>
      <c r="G3545" s="189" t="s">
        <v>5674</v>
      </c>
      <c r="H3545" s="175"/>
    </row>
    <row r="3546" ht="14.25" spans="1:8">
      <c r="A3546" s="232">
        <v>1014</v>
      </c>
      <c r="B3546" s="183" t="s">
        <v>5673</v>
      </c>
      <c r="C3546" s="175" t="s">
        <v>48</v>
      </c>
      <c r="D3546" s="190">
        <v>0.02</v>
      </c>
      <c r="E3546" s="204" t="s">
        <v>30</v>
      </c>
      <c r="F3546" s="204" t="s">
        <v>201</v>
      </c>
      <c r="G3546" s="189" t="s">
        <v>5675</v>
      </c>
      <c r="H3546" s="175"/>
    </row>
    <row r="3547" ht="14.25" spans="1:8">
      <c r="A3547" s="232">
        <v>1015</v>
      </c>
      <c r="B3547" s="183" t="s">
        <v>5091</v>
      </c>
      <c r="C3547" s="175" t="s">
        <v>48</v>
      </c>
      <c r="D3547" s="190">
        <v>0.01</v>
      </c>
      <c r="E3547" s="204" t="s">
        <v>30</v>
      </c>
      <c r="F3547" s="204" t="s">
        <v>201</v>
      </c>
      <c r="G3547" s="189" t="s">
        <v>5092</v>
      </c>
      <c r="H3547" s="175"/>
    </row>
    <row r="3548" ht="14.25" spans="1:8">
      <c r="A3548" s="232">
        <v>1016</v>
      </c>
      <c r="B3548" s="183" t="s">
        <v>5676</v>
      </c>
      <c r="C3548" s="175" t="s">
        <v>48</v>
      </c>
      <c r="D3548" s="190">
        <v>0.03</v>
      </c>
      <c r="E3548" s="204" t="s">
        <v>30</v>
      </c>
      <c r="F3548" s="204" t="s">
        <v>201</v>
      </c>
      <c r="G3548" s="189" t="s">
        <v>5677</v>
      </c>
      <c r="H3548" s="175"/>
    </row>
    <row r="3549" ht="14.25" spans="1:8">
      <c r="A3549" s="232">
        <v>1017</v>
      </c>
      <c r="B3549" s="183" t="s">
        <v>5531</v>
      </c>
      <c r="C3549" s="175" t="s">
        <v>48</v>
      </c>
      <c r="D3549" s="190">
        <v>0.02</v>
      </c>
      <c r="E3549" s="204" t="s">
        <v>30</v>
      </c>
      <c r="F3549" s="204" t="s">
        <v>201</v>
      </c>
      <c r="G3549" s="189" t="s">
        <v>5532</v>
      </c>
      <c r="H3549" s="175"/>
    </row>
    <row r="3550" ht="14.25" spans="1:8">
      <c r="A3550" s="232">
        <v>1018</v>
      </c>
      <c r="B3550" s="183" t="s">
        <v>5678</v>
      </c>
      <c r="C3550" s="175" t="s">
        <v>48</v>
      </c>
      <c r="D3550" s="190">
        <v>0.01</v>
      </c>
      <c r="E3550" s="204" t="s">
        <v>30</v>
      </c>
      <c r="F3550" s="204" t="s">
        <v>201</v>
      </c>
      <c r="G3550" s="189" t="s">
        <v>5679</v>
      </c>
      <c r="H3550" s="175"/>
    </row>
    <row r="3551" ht="14.25" spans="1:8">
      <c r="A3551" s="232">
        <v>1019</v>
      </c>
      <c r="B3551" s="183" t="s">
        <v>5680</v>
      </c>
      <c r="C3551" s="175" t="s">
        <v>48</v>
      </c>
      <c r="D3551" s="190">
        <v>0.02</v>
      </c>
      <c r="E3551" s="204" t="s">
        <v>30</v>
      </c>
      <c r="F3551" s="204" t="s">
        <v>201</v>
      </c>
      <c r="G3551" s="189" t="s">
        <v>5681</v>
      </c>
      <c r="H3551" s="175"/>
    </row>
    <row r="3552" ht="14.25" spans="1:8">
      <c r="A3552" s="232">
        <v>1020</v>
      </c>
      <c r="B3552" s="183" t="s">
        <v>5682</v>
      </c>
      <c r="C3552" s="175" t="s">
        <v>48</v>
      </c>
      <c r="D3552" s="190">
        <v>0.07</v>
      </c>
      <c r="E3552" s="204" t="s">
        <v>30</v>
      </c>
      <c r="F3552" s="204" t="s">
        <v>201</v>
      </c>
      <c r="G3552" s="189" t="s">
        <v>5683</v>
      </c>
      <c r="H3552" s="175"/>
    </row>
    <row r="3553" ht="14.25" spans="1:8">
      <c r="A3553" s="232">
        <v>1021</v>
      </c>
      <c r="B3553" s="183" t="s">
        <v>4784</v>
      </c>
      <c r="C3553" s="175" t="s">
        <v>48</v>
      </c>
      <c r="D3553" s="190">
        <v>0.03</v>
      </c>
      <c r="E3553" s="204" t="s">
        <v>30</v>
      </c>
      <c r="F3553" s="204" t="s">
        <v>201</v>
      </c>
      <c r="G3553" s="189" t="s">
        <v>5684</v>
      </c>
      <c r="H3553" s="175"/>
    </row>
    <row r="3554" ht="14.25" spans="1:8">
      <c r="A3554" s="232">
        <v>1022</v>
      </c>
      <c r="B3554" s="181" t="s">
        <v>5685</v>
      </c>
      <c r="C3554" s="175" t="s">
        <v>48</v>
      </c>
      <c r="D3554" s="190">
        <v>0.03</v>
      </c>
      <c r="E3554" s="204" t="s">
        <v>30</v>
      </c>
      <c r="F3554" s="204" t="s">
        <v>201</v>
      </c>
      <c r="G3554" s="189" t="s">
        <v>5686</v>
      </c>
      <c r="H3554" s="175"/>
    </row>
    <row r="3555" ht="14.25" spans="1:8">
      <c r="A3555" s="232">
        <v>1023</v>
      </c>
      <c r="B3555" s="183" t="s">
        <v>5687</v>
      </c>
      <c r="C3555" s="175" t="s">
        <v>48</v>
      </c>
      <c r="D3555" s="190">
        <v>0.01</v>
      </c>
      <c r="E3555" s="204" t="s">
        <v>30</v>
      </c>
      <c r="F3555" s="204" t="s">
        <v>201</v>
      </c>
      <c r="G3555" s="189" t="s">
        <v>5688</v>
      </c>
      <c r="H3555" s="175"/>
    </row>
    <row r="3556" ht="14.25" spans="1:8">
      <c r="A3556" s="232">
        <v>1024</v>
      </c>
      <c r="B3556" s="183" t="s">
        <v>5689</v>
      </c>
      <c r="C3556" s="175" t="s">
        <v>48</v>
      </c>
      <c r="D3556" s="190">
        <v>0.02</v>
      </c>
      <c r="E3556" s="204" t="s">
        <v>30</v>
      </c>
      <c r="F3556" s="204" t="s">
        <v>201</v>
      </c>
      <c r="G3556" s="189" t="s">
        <v>5690</v>
      </c>
      <c r="H3556" s="175"/>
    </row>
    <row r="3557" ht="14.25" spans="1:8">
      <c r="A3557" s="232">
        <v>1025</v>
      </c>
      <c r="B3557" s="183" t="s">
        <v>5691</v>
      </c>
      <c r="C3557" s="175" t="s">
        <v>48</v>
      </c>
      <c r="D3557" s="190">
        <v>0.01</v>
      </c>
      <c r="E3557" s="204" t="s">
        <v>30</v>
      </c>
      <c r="F3557" s="204" t="s">
        <v>201</v>
      </c>
      <c r="G3557" s="189" t="s">
        <v>5692</v>
      </c>
      <c r="H3557" s="175"/>
    </row>
    <row r="3558" ht="14.25" spans="1:8">
      <c r="A3558" s="232">
        <v>1026</v>
      </c>
      <c r="B3558" s="175" t="s">
        <v>5693</v>
      </c>
      <c r="C3558" s="175" t="s">
        <v>48</v>
      </c>
      <c r="D3558" s="190">
        <v>0.02</v>
      </c>
      <c r="E3558" s="204" t="s">
        <v>30</v>
      </c>
      <c r="F3558" s="204" t="s">
        <v>201</v>
      </c>
      <c r="G3558" s="189" t="s">
        <v>5694</v>
      </c>
      <c r="H3558" s="175"/>
    </row>
    <row r="3559" ht="14.25" spans="1:8">
      <c r="A3559" s="232">
        <v>1027</v>
      </c>
      <c r="B3559" s="183" t="s">
        <v>5695</v>
      </c>
      <c r="C3559" s="175" t="s">
        <v>48</v>
      </c>
      <c r="D3559" s="190">
        <v>0.05</v>
      </c>
      <c r="E3559" s="204" t="s">
        <v>30</v>
      </c>
      <c r="F3559" s="204" t="s">
        <v>201</v>
      </c>
      <c r="G3559" s="189" t="s">
        <v>5696</v>
      </c>
      <c r="H3559" s="175"/>
    </row>
    <row r="3560" ht="14.25" spans="1:8">
      <c r="A3560" s="232">
        <v>1028</v>
      </c>
      <c r="B3560" s="183" t="s">
        <v>5206</v>
      </c>
      <c r="C3560" s="175" t="s">
        <v>48</v>
      </c>
      <c r="D3560" s="190">
        <v>0.015</v>
      </c>
      <c r="E3560" s="204" t="s">
        <v>30</v>
      </c>
      <c r="F3560" s="204" t="s">
        <v>201</v>
      </c>
      <c r="G3560" s="189" t="s">
        <v>5697</v>
      </c>
      <c r="H3560" s="175"/>
    </row>
    <row r="3561" ht="14.25" spans="1:8">
      <c r="A3561" s="232">
        <v>1029</v>
      </c>
      <c r="B3561" s="183" t="s">
        <v>1385</v>
      </c>
      <c r="C3561" s="175" t="s">
        <v>48</v>
      </c>
      <c r="D3561" s="190">
        <v>0.015</v>
      </c>
      <c r="E3561" s="204" t="s">
        <v>30</v>
      </c>
      <c r="F3561" s="204" t="s">
        <v>201</v>
      </c>
      <c r="G3561" s="189" t="s">
        <v>5207</v>
      </c>
      <c r="H3561" s="175"/>
    </row>
    <row r="3562" ht="14.25" spans="1:8">
      <c r="A3562" s="232">
        <v>1030</v>
      </c>
      <c r="B3562" s="183" t="s">
        <v>4930</v>
      </c>
      <c r="C3562" s="175" t="s">
        <v>48</v>
      </c>
      <c r="D3562" s="190">
        <v>0.3</v>
      </c>
      <c r="E3562" s="204" t="s">
        <v>30</v>
      </c>
      <c r="F3562" s="204" t="s">
        <v>265</v>
      </c>
      <c r="G3562" s="189" t="s">
        <v>4931</v>
      </c>
      <c r="H3562" s="175"/>
    </row>
    <row r="3563" ht="14.25" spans="1:8">
      <c r="A3563" s="232">
        <v>1031</v>
      </c>
      <c r="B3563" s="183" t="s">
        <v>5698</v>
      </c>
      <c r="C3563" s="175" t="s">
        <v>48</v>
      </c>
      <c r="D3563" s="190">
        <v>0.04</v>
      </c>
      <c r="E3563" s="204" t="s">
        <v>30</v>
      </c>
      <c r="F3563" s="204" t="s">
        <v>201</v>
      </c>
      <c r="G3563" s="189" t="s">
        <v>4584</v>
      </c>
      <c r="H3563" s="175"/>
    </row>
    <row r="3564" ht="14.25" spans="1:8">
      <c r="A3564" s="232">
        <v>1032</v>
      </c>
      <c r="B3564" s="183" t="s">
        <v>4867</v>
      </c>
      <c r="C3564" s="175" t="s">
        <v>48</v>
      </c>
      <c r="D3564" s="190">
        <v>0.04</v>
      </c>
      <c r="E3564" s="204" t="s">
        <v>30</v>
      </c>
      <c r="F3564" s="204" t="s">
        <v>201</v>
      </c>
      <c r="G3564" s="189" t="s">
        <v>5699</v>
      </c>
      <c r="H3564" s="175"/>
    </row>
    <row r="3565" ht="14.25" spans="1:8">
      <c r="A3565" s="232">
        <v>1033</v>
      </c>
      <c r="B3565" s="189" t="s">
        <v>5650</v>
      </c>
      <c r="C3565" s="175" t="s">
        <v>48</v>
      </c>
      <c r="D3565" s="190">
        <v>0.015</v>
      </c>
      <c r="E3565" s="204" t="s">
        <v>30</v>
      </c>
      <c r="F3565" s="204" t="s">
        <v>201</v>
      </c>
      <c r="G3565" s="189" t="s">
        <v>5700</v>
      </c>
      <c r="H3565" s="175"/>
    </row>
    <row r="3566" ht="14.25" spans="1:8">
      <c r="A3566" s="232">
        <v>1034</v>
      </c>
      <c r="B3566" s="189" t="s">
        <v>5701</v>
      </c>
      <c r="C3566" s="175" t="s">
        <v>48</v>
      </c>
      <c r="D3566" s="190">
        <v>0.01</v>
      </c>
      <c r="E3566" s="204" t="s">
        <v>30</v>
      </c>
      <c r="F3566" s="204" t="s">
        <v>201</v>
      </c>
      <c r="G3566" s="189" t="s">
        <v>5702</v>
      </c>
      <c r="H3566" s="175"/>
    </row>
    <row r="3567" ht="14.25" spans="1:8">
      <c r="A3567" s="232">
        <v>1035</v>
      </c>
      <c r="B3567" s="189" t="s">
        <v>5703</v>
      </c>
      <c r="C3567" s="175" t="s">
        <v>48</v>
      </c>
      <c r="D3567" s="190">
        <v>0.08</v>
      </c>
      <c r="E3567" s="204" t="s">
        <v>30</v>
      </c>
      <c r="F3567" s="204" t="s">
        <v>201</v>
      </c>
      <c r="G3567" s="189" t="s">
        <v>5704</v>
      </c>
      <c r="H3567" s="175"/>
    </row>
    <row r="3568" ht="14.25" spans="1:8">
      <c r="A3568" s="232">
        <v>1036</v>
      </c>
      <c r="B3568" s="189" t="s">
        <v>2079</v>
      </c>
      <c r="C3568" s="175" t="s">
        <v>48</v>
      </c>
      <c r="D3568" s="190">
        <v>0.015</v>
      </c>
      <c r="E3568" s="204" t="s">
        <v>30</v>
      </c>
      <c r="F3568" s="204" t="s">
        <v>201</v>
      </c>
      <c r="G3568" s="189" t="s">
        <v>5705</v>
      </c>
      <c r="H3568" s="175"/>
    </row>
    <row r="3569" ht="14.25" spans="1:8">
      <c r="A3569" s="232">
        <v>1037</v>
      </c>
      <c r="B3569" s="182" t="s">
        <v>971</v>
      </c>
      <c r="C3569" s="175" t="s">
        <v>48</v>
      </c>
      <c r="D3569" s="190">
        <v>0.05</v>
      </c>
      <c r="E3569" s="204" t="s">
        <v>30</v>
      </c>
      <c r="F3569" s="204" t="s">
        <v>201</v>
      </c>
      <c r="G3569" s="189" t="s">
        <v>5706</v>
      </c>
      <c r="H3569" s="175"/>
    </row>
    <row r="3570" ht="14.25" spans="1:8">
      <c r="A3570" s="232">
        <v>1038</v>
      </c>
      <c r="B3570" s="182" t="s">
        <v>4511</v>
      </c>
      <c r="C3570" s="175" t="s">
        <v>48</v>
      </c>
      <c r="D3570" s="190">
        <v>0.02</v>
      </c>
      <c r="E3570" s="204" t="s">
        <v>30</v>
      </c>
      <c r="F3570" s="204" t="s">
        <v>201</v>
      </c>
      <c r="G3570" s="189" t="s">
        <v>4512</v>
      </c>
      <c r="H3570" s="175"/>
    </row>
    <row r="3571" ht="14.25" spans="1:8">
      <c r="A3571" s="232">
        <v>1039</v>
      </c>
      <c r="B3571" s="182" t="s">
        <v>5707</v>
      </c>
      <c r="C3571" s="175" t="s">
        <v>48</v>
      </c>
      <c r="D3571" s="190">
        <v>0.12</v>
      </c>
      <c r="E3571" s="204" t="s">
        <v>30</v>
      </c>
      <c r="F3571" s="204" t="s">
        <v>201</v>
      </c>
      <c r="G3571" s="189" t="s">
        <v>5708</v>
      </c>
      <c r="H3571" s="175"/>
    </row>
    <row r="3572" ht="14.25" spans="1:8">
      <c r="A3572" s="232">
        <v>1040</v>
      </c>
      <c r="B3572" s="182" t="s">
        <v>3488</v>
      </c>
      <c r="C3572" s="175" t="s">
        <v>48</v>
      </c>
      <c r="D3572" s="190">
        <v>0.03</v>
      </c>
      <c r="E3572" s="204" t="s">
        <v>30</v>
      </c>
      <c r="F3572" s="204" t="s">
        <v>201</v>
      </c>
      <c r="G3572" s="189" t="s">
        <v>5009</v>
      </c>
      <c r="H3572" s="175"/>
    </row>
    <row r="3573" ht="14.25" spans="1:8">
      <c r="A3573" s="232">
        <v>1041</v>
      </c>
      <c r="B3573" s="182" t="s">
        <v>5709</v>
      </c>
      <c r="C3573" s="175" t="s">
        <v>48</v>
      </c>
      <c r="D3573" s="190">
        <v>0.03</v>
      </c>
      <c r="E3573" s="204" t="s">
        <v>30</v>
      </c>
      <c r="F3573" s="204" t="s">
        <v>201</v>
      </c>
      <c r="G3573" s="189" t="s">
        <v>5710</v>
      </c>
      <c r="H3573" s="175"/>
    </row>
    <row r="3574" ht="14.25" spans="1:8">
      <c r="A3574" s="232">
        <v>1042</v>
      </c>
      <c r="B3574" s="189" t="s">
        <v>5244</v>
      </c>
      <c r="C3574" s="175" t="s">
        <v>48</v>
      </c>
      <c r="D3574" s="190">
        <v>0.03</v>
      </c>
      <c r="E3574" s="170" t="s">
        <v>30</v>
      </c>
      <c r="F3574" s="170" t="s">
        <v>201</v>
      </c>
      <c r="G3574" s="189" t="s">
        <v>5711</v>
      </c>
      <c r="H3574" s="175"/>
    </row>
    <row r="3575" ht="14.25" spans="1:8">
      <c r="A3575" s="232">
        <v>1043</v>
      </c>
      <c r="B3575" s="189" t="s">
        <v>4337</v>
      </c>
      <c r="C3575" s="175" t="s">
        <v>48</v>
      </c>
      <c r="D3575" s="190">
        <v>0.05</v>
      </c>
      <c r="E3575" s="170" t="s">
        <v>30</v>
      </c>
      <c r="F3575" s="170" t="s">
        <v>201</v>
      </c>
      <c r="G3575" s="189" t="s">
        <v>4338</v>
      </c>
      <c r="H3575" s="175"/>
    </row>
    <row r="3576" ht="14.25" spans="1:8">
      <c r="A3576" s="232">
        <v>1044</v>
      </c>
      <c r="B3576" s="189" t="s">
        <v>5712</v>
      </c>
      <c r="C3576" s="175" t="s">
        <v>48</v>
      </c>
      <c r="D3576" s="190">
        <v>0.01</v>
      </c>
      <c r="E3576" s="170" t="s">
        <v>30</v>
      </c>
      <c r="F3576" s="170" t="s">
        <v>201</v>
      </c>
      <c r="G3576" s="189" t="s">
        <v>5713</v>
      </c>
      <c r="H3576" s="175"/>
    </row>
    <row r="3577" ht="14.25" spans="1:8">
      <c r="A3577" s="232">
        <v>1045</v>
      </c>
      <c r="B3577" s="189" t="s">
        <v>5714</v>
      </c>
      <c r="C3577" s="175" t="s">
        <v>48</v>
      </c>
      <c r="D3577" s="190">
        <v>0.05</v>
      </c>
      <c r="E3577" s="170" t="s">
        <v>30</v>
      </c>
      <c r="F3577" s="170" t="s">
        <v>201</v>
      </c>
      <c r="G3577" s="189" t="s">
        <v>5715</v>
      </c>
      <c r="H3577" s="175"/>
    </row>
    <row r="3578" ht="25.5" spans="1:8">
      <c r="A3578" s="232">
        <v>1046</v>
      </c>
      <c r="B3578" s="189" t="s">
        <v>5716</v>
      </c>
      <c r="C3578" s="175" t="s">
        <v>48</v>
      </c>
      <c r="D3578" s="190">
        <v>0.03</v>
      </c>
      <c r="E3578" s="170" t="s">
        <v>30</v>
      </c>
      <c r="F3578" s="170" t="s">
        <v>201</v>
      </c>
      <c r="G3578" s="189" t="s">
        <v>5663</v>
      </c>
      <c r="H3578" s="175" t="s">
        <v>5426</v>
      </c>
    </row>
    <row r="3579" ht="14.25" spans="1:8">
      <c r="A3579" s="232">
        <v>1047</v>
      </c>
      <c r="B3579" s="183" t="s">
        <v>4898</v>
      </c>
      <c r="C3579" s="175" t="s">
        <v>48</v>
      </c>
      <c r="D3579" s="190">
        <v>0.01</v>
      </c>
      <c r="E3579" s="204" t="s">
        <v>30</v>
      </c>
      <c r="F3579" s="204" t="s">
        <v>201</v>
      </c>
      <c r="G3579" s="189" t="s">
        <v>2322</v>
      </c>
      <c r="H3579" s="175"/>
    </row>
    <row r="3580" ht="14.25" spans="1:8">
      <c r="A3580" s="232">
        <v>1048</v>
      </c>
      <c r="B3580" s="183" t="s">
        <v>4898</v>
      </c>
      <c r="C3580" s="175" t="s">
        <v>48</v>
      </c>
      <c r="D3580" s="190">
        <v>0.01</v>
      </c>
      <c r="E3580" s="204" t="s">
        <v>30</v>
      </c>
      <c r="F3580" s="204" t="s">
        <v>201</v>
      </c>
      <c r="G3580" s="189" t="s">
        <v>5717</v>
      </c>
      <c r="H3580" s="175"/>
    </row>
    <row r="3581" ht="14.25" spans="1:8">
      <c r="A3581" s="232">
        <v>1049</v>
      </c>
      <c r="B3581" s="183" t="s">
        <v>4898</v>
      </c>
      <c r="C3581" s="175" t="s">
        <v>48</v>
      </c>
      <c r="D3581" s="190">
        <v>0.01</v>
      </c>
      <c r="E3581" s="204" t="s">
        <v>30</v>
      </c>
      <c r="F3581" s="204" t="s">
        <v>201</v>
      </c>
      <c r="G3581" s="189" t="s">
        <v>5718</v>
      </c>
      <c r="H3581" s="175"/>
    </row>
    <row r="3582" ht="14.25" spans="1:8">
      <c r="A3582" s="232">
        <v>1050</v>
      </c>
      <c r="B3582" s="183" t="s">
        <v>4898</v>
      </c>
      <c r="C3582" s="175" t="s">
        <v>48</v>
      </c>
      <c r="D3582" s="190">
        <v>0.01</v>
      </c>
      <c r="E3582" s="204" t="s">
        <v>30</v>
      </c>
      <c r="F3582" s="204" t="s">
        <v>201</v>
      </c>
      <c r="G3582" s="189" t="s">
        <v>2402</v>
      </c>
      <c r="H3582" s="175"/>
    </row>
    <row r="3583" ht="14.25" spans="1:8">
      <c r="A3583" s="232">
        <v>1051</v>
      </c>
      <c r="B3583" s="183" t="s">
        <v>4898</v>
      </c>
      <c r="C3583" s="175" t="s">
        <v>48</v>
      </c>
      <c r="D3583" s="190">
        <v>0.01</v>
      </c>
      <c r="E3583" s="204" t="s">
        <v>30</v>
      </c>
      <c r="F3583" s="204" t="s">
        <v>201</v>
      </c>
      <c r="G3583" s="189" t="s">
        <v>5719</v>
      </c>
      <c r="H3583" s="175"/>
    </row>
    <row r="3584" ht="14.25" spans="1:8">
      <c r="A3584" s="232">
        <v>1052</v>
      </c>
      <c r="B3584" s="183" t="s">
        <v>4898</v>
      </c>
      <c r="C3584" s="175" t="s">
        <v>48</v>
      </c>
      <c r="D3584" s="190">
        <v>0.01</v>
      </c>
      <c r="E3584" s="204" t="s">
        <v>30</v>
      </c>
      <c r="F3584" s="204" t="s">
        <v>201</v>
      </c>
      <c r="G3584" s="189" t="s">
        <v>5720</v>
      </c>
      <c r="H3584" s="175"/>
    </row>
    <row r="3585" ht="14.25" spans="1:8">
      <c r="A3585" s="232">
        <v>1053</v>
      </c>
      <c r="B3585" s="189" t="s">
        <v>4292</v>
      </c>
      <c r="C3585" s="175" t="s">
        <v>48</v>
      </c>
      <c r="D3585" s="190">
        <v>0.03</v>
      </c>
      <c r="E3585" s="170" t="s">
        <v>30</v>
      </c>
      <c r="F3585" s="170" t="s">
        <v>201</v>
      </c>
      <c r="G3585" s="189" t="s">
        <v>5721</v>
      </c>
      <c r="H3585" s="175"/>
    </row>
    <row r="3586" ht="14.25" spans="1:8">
      <c r="A3586" s="232">
        <v>1054</v>
      </c>
      <c r="B3586" s="189" t="s">
        <v>5424</v>
      </c>
      <c r="C3586" s="175" t="s">
        <v>48</v>
      </c>
      <c r="D3586" s="190">
        <v>0.03</v>
      </c>
      <c r="E3586" s="170" t="s">
        <v>30</v>
      </c>
      <c r="F3586" s="170" t="s">
        <v>201</v>
      </c>
      <c r="G3586" s="189" t="s">
        <v>5722</v>
      </c>
      <c r="H3586" s="175"/>
    </row>
    <row r="3587" ht="14.25" spans="1:8">
      <c r="A3587" s="232">
        <v>1055</v>
      </c>
      <c r="B3587" s="189" t="s">
        <v>2812</v>
      </c>
      <c r="C3587" s="175" t="s">
        <v>48</v>
      </c>
      <c r="D3587" s="190">
        <v>0.01</v>
      </c>
      <c r="E3587" s="170" t="s">
        <v>30</v>
      </c>
      <c r="F3587" s="170" t="s">
        <v>201</v>
      </c>
      <c r="G3587" s="189" t="s">
        <v>5721</v>
      </c>
      <c r="H3587" s="175"/>
    </row>
    <row r="3588" ht="14.25" spans="1:8">
      <c r="A3588" s="232">
        <v>1056</v>
      </c>
      <c r="B3588" s="189" t="s">
        <v>5723</v>
      </c>
      <c r="C3588" s="175" t="s">
        <v>48</v>
      </c>
      <c r="D3588" s="190">
        <v>0.03</v>
      </c>
      <c r="E3588" s="170" t="s">
        <v>30</v>
      </c>
      <c r="F3588" s="170" t="s">
        <v>201</v>
      </c>
      <c r="G3588" s="189" t="s">
        <v>5724</v>
      </c>
      <c r="H3588" s="175"/>
    </row>
    <row r="3589" ht="14.25" spans="1:8">
      <c r="A3589" s="232">
        <v>1057</v>
      </c>
      <c r="B3589" s="189" t="s">
        <v>5725</v>
      </c>
      <c r="C3589" s="175" t="s">
        <v>48</v>
      </c>
      <c r="D3589" s="190">
        <v>0.03</v>
      </c>
      <c r="E3589" s="170" t="s">
        <v>30</v>
      </c>
      <c r="F3589" s="170" t="s">
        <v>201</v>
      </c>
      <c r="G3589" s="189" t="s">
        <v>5726</v>
      </c>
      <c r="H3589" s="175"/>
    </row>
    <row r="3590" ht="14.25" spans="1:8">
      <c r="A3590" s="232">
        <v>1058</v>
      </c>
      <c r="B3590" s="189" t="s">
        <v>5727</v>
      </c>
      <c r="C3590" s="175" t="s">
        <v>48</v>
      </c>
      <c r="D3590" s="190">
        <v>0.1</v>
      </c>
      <c r="E3590" s="170" t="s">
        <v>30</v>
      </c>
      <c r="F3590" s="170" t="s">
        <v>201</v>
      </c>
      <c r="G3590" s="189" t="s">
        <v>5728</v>
      </c>
      <c r="H3590" s="175"/>
    </row>
    <row r="3591" ht="14.25" spans="1:8">
      <c r="A3591" s="232">
        <v>1059</v>
      </c>
      <c r="B3591" s="189" t="s">
        <v>5727</v>
      </c>
      <c r="C3591" s="175" t="s">
        <v>48</v>
      </c>
      <c r="D3591" s="190">
        <v>0.05</v>
      </c>
      <c r="E3591" s="170" t="s">
        <v>30</v>
      </c>
      <c r="F3591" s="170" t="s">
        <v>201</v>
      </c>
      <c r="G3591" s="189" t="s">
        <v>4913</v>
      </c>
      <c r="H3591" s="175"/>
    </row>
    <row r="3592" ht="14.25" spans="1:8">
      <c r="A3592" s="232">
        <v>1060</v>
      </c>
      <c r="B3592" s="183" t="s">
        <v>5729</v>
      </c>
      <c r="C3592" s="175" t="s">
        <v>48</v>
      </c>
      <c r="D3592" s="190">
        <v>0.03</v>
      </c>
      <c r="E3592" s="170" t="s">
        <v>30</v>
      </c>
      <c r="F3592" s="170" t="s">
        <v>201</v>
      </c>
      <c r="G3592" s="189" t="s">
        <v>5730</v>
      </c>
      <c r="H3592" s="175"/>
    </row>
    <row r="3593" ht="14.25" spans="1:8">
      <c r="A3593" s="232">
        <v>1061</v>
      </c>
      <c r="B3593" s="183" t="s">
        <v>5731</v>
      </c>
      <c r="C3593" s="175" t="s">
        <v>48</v>
      </c>
      <c r="D3593" s="190">
        <v>0.01</v>
      </c>
      <c r="E3593" s="170" t="s">
        <v>30</v>
      </c>
      <c r="F3593" s="170" t="s">
        <v>201</v>
      </c>
      <c r="G3593" s="189" t="s">
        <v>5732</v>
      </c>
      <c r="H3593" s="175"/>
    </row>
    <row r="3594" ht="14.25" spans="1:8">
      <c r="A3594" s="232">
        <v>1062</v>
      </c>
      <c r="B3594" s="183" t="s">
        <v>5731</v>
      </c>
      <c r="C3594" s="175" t="s">
        <v>48</v>
      </c>
      <c r="D3594" s="190">
        <v>0.01</v>
      </c>
      <c r="E3594" s="170" t="s">
        <v>30</v>
      </c>
      <c r="F3594" s="170" t="s">
        <v>201</v>
      </c>
      <c r="G3594" s="189" t="s">
        <v>5733</v>
      </c>
      <c r="H3594" s="175"/>
    </row>
    <row r="3595" ht="14.25" spans="1:8">
      <c r="A3595" s="232">
        <v>1063</v>
      </c>
      <c r="B3595" s="189" t="s">
        <v>5091</v>
      </c>
      <c r="C3595" s="175" t="s">
        <v>48</v>
      </c>
      <c r="D3595" s="190">
        <v>0.03</v>
      </c>
      <c r="E3595" s="170" t="s">
        <v>30</v>
      </c>
      <c r="F3595" s="170" t="s">
        <v>201</v>
      </c>
      <c r="G3595" s="189" t="s">
        <v>5734</v>
      </c>
      <c r="H3595" s="175"/>
    </row>
    <row r="3596" ht="14.25" spans="1:8">
      <c r="A3596" s="232">
        <v>1064</v>
      </c>
      <c r="B3596" s="183" t="s">
        <v>5735</v>
      </c>
      <c r="C3596" s="175" t="s">
        <v>48</v>
      </c>
      <c r="D3596" s="190">
        <v>0.03</v>
      </c>
      <c r="E3596" s="204" t="s">
        <v>30</v>
      </c>
      <c r="F3596" s="204" t="s">
        <v>201</v>
      </c>
      <c r="G3596" s="189" t="s">
        <v>5736</v>
      </c>
      <c r="H3596" s="175"/>
    </row>
    <row r="3597" ht="14.25" spans="1:8">
      <c r="A3597" s="232">
        <v>1065</v>
      </c>
      <c r="B3597" s="183" t="s">
        <v>5248</v>
      </c>
      <c r="C3597" s="175" t="s">
        <v>48</v>
      </c>
      <c r="D3597" s="190">
        <v>0.01</v>
      </c>
      <c r="E3597" s="204" t="s">
        <v>30</v>
      </c>
      <c r="F3597" s="204" t="s">
        <v>201</v>
      </c>
      <c r="G3597" s="189" t="s">
        <v>5737</v>
      </c>
      <c r="H3597" s="175"/>
    </row>
    <row r="3598" ht="14.25" spans="1:8">
      <c r="A3598" s="232">
        <v>1066</v>
      </c>
      <c r="B3598" s="183" t="s">
        <v>5248</v>
      </c>
      <c r="C3598" s="175" t="s">
        <v>48</v>
      </c>
      <c r="D3598" s="190">
        <v>0.01</v>
      </c>
      <c r="E3598" s="204" t="s">
        <v>30</v>
      </c>
      <c r="F3598" s="204" t="s">
        <v>201</v>
      </c>
      <c r="G3598" s="189" t="s">
        <v>5738</v>
      </c>
      <c r="H3598" s="175"/>
    </row>
    <row r="3599" ht="14.25" spans="1:8">
      <c r="A3599" s="232">
        <v>1067</v>
      </c>
      <c r="B3599" s="183" t="s">
        <v>5468</v>
      </c>
      <c r="C3599" s="175" t="s">
        <v>48</v>
      </c>
      <c r="D3599" s="190">
        <v>0.03</v>
      </c>
      <c r="E3599" s="204" t="s">
        <v>30</v>
      </c>
      <c r="F3599" s="204" t="s">
        <v>201</v>
      </c>
      <c r="G3599" s="189" t="s">
        <v>5469</v>
      </c>
      <c r="H3599" s="175"/>
    </row>
    <row r="3600" ht="14.25" spans="1:8">
      <c r="A3600" s="232">
        <v>1068</v>
      </c>
      <c r="B3600" s="183" t="s">
        <v>5468</v>
      </c>
      <c r="C3600" s="175" t="s">
        <v>48</v>
      </c>
      <c r="D3600" s="190">
        <v>0.03</v>
      </c>
      <c r="E3600" s="204" t="s">
        <v>30</v>
      </c>
      <c r="F3600" s="204" t="s">
        <v>201</v>
      </c>
      <c r="G3600" s="189" t="s">
        <v>5556</v>
      </c>
      <c r="H3600" s="175"/>
    </row>
    <row r="3601" ht="14.25" spans="1:8">
      <c r="A3601" s="232">
        <v>1069</v>
      </c>
      <c r="B3601" s="183" t="s">
        <v>5641</v>
      </c>
      <c r="C3601" s="175" t="s">
        <v>48</v>
      </c>
      <c r="D3601" s="190">
        <v>0.03</v>
      </c>
      <c r="E3601" s="204" t="s">
        <v>30</v>
      </c>
      <c r="F3601" s="204" t="s">
        <v>201</v>
      </c>
      <c r="G3601" s="189" t="s">
        <v>5642</v>
      </c>
      <c r="H3601" s="175"/>
    </row>
    <row r="3602" ht="14.25" spans="1:8">
      <c r="A3602" s="232">
        <v>1070</v>
      </c>
      <c r="B3602" s="183" t="s">
        <v>5224</v>
      </c>
      <c r="C3602" s="175" t="s">
        <v>48</v>
      </c>
      <c r="D3602" s="190">
        <v>0.02</v>
      </c>
      <c r="E3602" s="204" t="s">
        <v>30</v>
      </c>
      <c r="F3602" s="204" t="s">
        <v>201</v>
      </c>
      <c r="G3602" s="189" t="s">
        <v>5225</v>
      </c>
      <c r="H3602" s="175"/>
    </row>
    <row r="3603" ht="14.25" spans="1:8">
      <c r="A3603" s="232">
        <v>1071</v>
      </c>
      <c r="B3603" s="183" t="s">
        <v>5739</v>
      </c>
      <c r="C3603" s="175" t="s">
        <v>48</v>
      </c>
      <c r="D3603" s="190">
        <v>0.01</v>
      </c>
      <c r="E3603" s="204" t="s">
        <v>30</v>
      </c>
      <c r="F3603" s="204" t="s">
        <v>201</v>
      </c>
      <c r="G3603" s="189" t="s">
        <v>5740</v>
      </c>
      <c r="H3603" s="175"/>
    </row>
    <row r="3604" ht="14.25" spans="1:8">
      <c r="A3604" s="232">
        <v>1072</v>
      </c>
      <c r="B3604" s="183" t="s">
        <v>5741</v>
      </c>
      <c r="C3604" s="175" t="s">
        <v>48</v>
      </c>
      <c r="D3604" s="190">
        <v>0.01</v>
      </c>
      <c r="E3604" s="204" t="s">
        <v>30</v>
      </c>
      <c r="F3604" s="204" t="s">
        <v>201</v>
      </c>
      <c r="G3604" s="189" t="s">
        <v>5742</v>
      </c>
      <c r="H3604" s="175"/>
    </row>
    <row r="3605" ht="14.25" spans="1:8">
      <c r="A3605" s="232">
        <v>1073</v>
      </c>
      <c r="B3605" s="183" t="s">
        <v>5743</v>
      </c>
      <c r="C3605" s="175" t="s">
        <v>48</v>
      </c>
      <c r="D3605" s="190">
        <v>0.04</v>
      </c>
      <c r="E3605" s="204" t="s">
        <v>30</v>
      </c>
      <c r="F3605" s="204" t="s">
        <v>201</v>
      </c>
      <c r="G3605" s="189" t="s">
        <v>5744</v>
      </c>
      <c r="H3605" s="175"/>
    </row>
    <row r="3606" ht="14.25" spans="1:8">
      <c r="A3606" s="232">
        <v>1074</v>
      </c>
      <c r="B3606" s="183" t="s">
        <v>4431</v>
      </c>
      <c r="C3606" s="175" t="s">
        <v>48</v>
      </c>
      <c r="D3606" s="190">
        <v>0.04</v>
      </c>
      <c r="E3606" s="204" t="s">
        <v>30</v>
      </c>
      <c r="F3606" s="204" t="s">
        <v>201</v>
      </c>
      <c r="G3606" s="189" t="s">
        <v>5745</v>
      </c>
      <c r="H3606" s="175"/>
    </row>
    <row r="3607" ht="14.25" spans="1:8">
      <c r="A3607" s="232">
        <v>1075</v>
      </c>
      <c r="B3607" s="183" t="s">
        <v>5746</v>
      </c>
      <c r="C3607" s="175" t="s">
        <v>48</v>
      </c>
      <c r="D3607" s="190">
        <v>0.03</v>
      </c>
      <c r="E3607" s="204" t="s">
        <v>30</v>
      </c>
      <c r="F3607" s="204" t="s">
        <v>201</v>
      </c>
      <c r="G3607" s="189" t="s">
        <v>5747</v>
      </c>
      <c r="H3607" s="175"/>
    </row>
    <row r="3608" ht="14.25" spans="1:8">
      <c r="A3608" s="232">
        <v>1076</v>
      </c>
      <c r="B3608" s="183" t="s">
        <v>3422</v>
      </c>
      <c r="C3608" s="175" t="s">
        <v>48</v>
      </c>
      <c r="D3608" s="190">
        <v>0.015</v>
      </c>
      <c r="E3608" s="204" t="s">
        <v>30</v>
      </c>
      <c r="F3608" s="204" t="s">
        <v>201</v>
      </c>
      <c r="G3608" s="189" t="s">
        <v>5748</v>
      </c>
      <c r="H3608" s="175"/>
    </row>
    <row r="3609" ht="14.25" spans="1:8">
      <c r="A3609" s="232">
        <v>1077</v>
      </c>
      <c r="B3609" s="183" t="s">
        <v>2094</v>
      </c>
      <c r="C3609" s="175" t="s">
        <v>48</v>
      </c>
      <c r="D3609" s="190">
        <v>0.005</v>
      </c>
      <c r="E3609" s="204" t="s">
        <v>30</v>
      </c>
      <c r="F3609" s="204" t="s">
        <v>201</v>
      </c>
      <c r="G3609" s="189" t="s">
        <v>5749</v>
      </c>
      <c r="H3609" s="175"/>
    </row>
    <row r="3610" ht="14.25" spans="1:8">
      <c r="A3610" s="232">
        <v>1078</v>
      </c>
      <c r="B3610" s="183" t="s">
        <v>2094</v>
      </c>
      <c r="C3610" s="175" t="s">
        <v>48</v>
      </c>
      <c r="D3610" s="190">
        <v>0.005</v>
      </c>
      <c r="E3610" s="204" t="s">
        <v>30</v>
      </c>
      <c r="F3610" s="204" t="s">
        <v>201</v>
      </c>
      <c r="G3610" s="189" t="s">
        <v>5750</v>
      </c>
      <c r="H3610" s="175"/>
    </row>
    <row r="3611" ht="14.25" spans="1:8">
      <c r="A3611" s="232">
        <v>1079</v>
      </c>
      <c r="B3611" s="183" t="s">
        <v>5751</v>
      </c>
      <c r="C3611" s="175" t="s">
        <v>48</v>
      </c>
      <c r="D3611" s="190">
        <v>0.07</v>
      </c>
      <c r="E3611" s="204" t="s">
        <v>30</v>
      </c>
      <c r="F3611" s="204" t="s">
        <v>188</v>
      </c>
      <c r="G3611" s="189" t="s">
        <v>5752</v>
      </c>
      <c r="H3611" s="175"/>
    </row>
    <row r="3612" ht="14.25" spans="1:8">
      <c r="A3612" s="232">
        <v>1080</v>
      </c>
      <c r="B3612" s="183" t="s">
        <v>5753</v>
      </c>
      <c r="C3612" s="175" t="s">
        <v>48</v>
      </c>
      <c r="D3612" s="190">
        <v>0.08</v>
      </c>
      <c r="E3612" s="204" t="s">
        <v>30</v>
      </c>
      <c r="F3612" s="204" t="s">
        <v>188</v>
      </c>
      <c r="G3612" s="189" t="s">
        <v>5754</v>
      </c>
      <c r="H3612" s="175"/>
    </row>
    <row r="3613" ht="14.25" spans="1:8">
      <c r="A3613" s="232">
        <v>1081</v>
      </c>
      <c r="B3613" s="183" t="s">
        <v>5755</v>
      </c>
      <c r="C3613" s="175" t="s">
        <v>48</v>
      </c>
      <c r="D3613" s="190">
        <v>0.3</v>
      </c>
      <c r="E3613" s="204" t="s">
        <v>30</v>
      </c>
      <c r="F3613" s="204" t="s">
        <v>204</v>
      </c>
      <c r="G3613" s="189" t="s">
        <v>5756</v>
      </c>
      <c r="H3613" s="175"/>
    </row>
    <row r="3614" ht="14.25" spans="1:8">
      <c r="A3614" s="232">
        <v>1082</v>
      </c>
      <c r="B3614" s="183" t="s">
        <v>5757</v>
      </c>
      <c r="C3614" s="175" t="s">
        <v>48</v>
      </c>
      <c r="D3614" s="190">
        <v>0.04</v>
      </c>
      <c r="E3614" s="204" t="s">
        <v>30</v>
      </c>
      <c r="F3614" s="204" t="s">
        <v>201</v>
      </c>
      <c r="G3614" s="189" t="s">
        <v>5758</v>
      </c>
      <c r="H3614" s="175"/>
    </row>
    <row r="3615" ht="14.25" spans="1:8">
      <c r="A3615" s="232">
        <v>1083</v>
      </c>
      <c r="B3615" s="183" t="s">
        <v>5759</v>
      </c>
      <c r="C3615" s="175" t="s">
        <v>48</v>
      </c>
      <c r="D3615" s="190">
        <v>0.02</v>
      </c>
      <c r="E3615" s="204" t="s">
        <v>30</v>
      </c>
      <c r="F3615" s="204" t="s">
        <v>201</v>
      </c>
      <c r="G3615" s="189" t="s">
        <v>5684</v>
      </c>
      <c r="H3615" s="175"/>
    </row>
    <row r="3616" ht="14.25" spans="1:8">
      <c r="A3616" s="232">
        <v>1084</v>
      </c>
      <c r="B3616" s="189" t="s">
        <v>5760</v>
      </c>
      <c r="C3616" s="175" t="s">
        <v>48</v>
      </c>
      <c r="D3616" s="190">
        <v>0.1</v>
      </c>
      <c r="E3616" s="204" t="s">
        <v>30</v>
      </c>
      <c r="F3616" s="204" t="s">
        <v>201</v>
      </c>
      <c r="G3616" s="189" t="s">
        <v>5658</v>
      </c>
      <c r="H3616" s="175"/>
    </row>
    <row r="3617" ht="14.25" spans="1:8">
      <c r="A3617" s="232">
        <v>1085</v>
      </c>
      <c r="B3617" s="189" t="s">
        <v>5761</v>
      </c>
      <c r="C3617" s="175" t="s">
        <v>48</v>
      </c>
      <c r="D3617" s="190">
        <v>0.03</v>
      </c>
      <c r="E3617" s="204" t="s">
        <v>30</v>
      </c>
      <c r="F3617" s="204" t="s">
        <v>201</v>
      </c>
      <c r="G3617" s="189" t="s">
        <v>5762</v>
      </c>
      <c r="H3617" s="175"/>
    </row>
    <row r="3618" ht="14.25" spans="1:8">
      <c r="A3618" s="232">
        <v>1086</v>
      </c>
      <c r="B3618" s="189" t="s">
        <v>5763</v>
      </c>
      <c r="C3618" s="175" t="s">
        <v>48</v>
      </c>
      <c r="D3618" s="190">
        <v>0.1</v>
      </c>
      <c r="E3618" s="204" t="s">
        <v>30</v>
      </c>
      <c r="F3618" s="204" t="s">
        <v>201</v>
      </c>
      <c r="G3618" s="189" t="s">
        <v>2295</v>
      </c>
      <c r="H3618" s="175"/>
    </row>
    <row r="3619" ht="14.25" spans="1:8">
      <c r="A3619" s="232">
        <v>1087</v>
      </c>
      <c r="B3619" s="183" t="s">
        <v>5764</v>
      </c>
      <c r="C3619" s="175" t="s">
        <v>48</v>
      </c>
      <c r="D3619" s="190">
        <v>0.01</v>
      </c>
      <c r="E3619" s="204" t="s">
        <v>30</v>
      </c>
      <c r="F3619" s="204" t="s">
        <v>201</v>
      </c>
      <c r="G3619" s="189" t="s">
        <v>5765</v>
      </c>
      <c r="H3619" s="175"/>
    </row>
    <row r="3620" ht="14.25" spans="1:8">
      <c r="A3620" s="232">
        <v>1088</v>
      </c>
      <c r="B3620" s="183" t="s">
        <v>5766</v>
      </c>
      <c r="C3620" s="175" t="s">
        <v>48</v>
      </c>
      <c r="D3620" s="190">
        <v>0.01</v>
      </c>
      <c r="E3620" s="204" t="s">
        <v>30</v>
      </c>
      <c r="F3620" s="204" t="s">
        <v>201</v>
      </c>
      <c r="G3620" s="189" t="s">
        <v>5767</v>
      </c>
      <c r="H3620" s="175"/>
    </row>
    <row r="3621" ht="14.25" spans="1:8">
      <c r="A3621" s="232">
        <v>1089</v>
      </c>
      <c r="B3621" s="183" t="s">
        <v>5768</v>
      </c>
      <c r="C3621" s="175" t="s">
        <v>48</v>
      </c>
      <c r="D3621" s="190">
        <v>0.04</v>
      </c>
      <c r="E3621" s="204" t="s">
        <v>30</v>
      </c>
      <c r="F3621" s="204" t="s">
        <v>201</v>
      </c>
      <c r="G3621" s="189" t="s">
        <v>5481</v>
      </c>
      <c r="H3621" s="175"/>
    </row>
    <row r="3622" ht="14.25" spans="1:8">
      <c r="A3622" s="232">
        <v>1090</v>
      </c>
      <c r="B3622" s="183" t="s">
        <v>4766</v>
      </c>
      <c r="C3622" s="175" t="s">
        <v>48</v>
      </c>
      <c r="D3622" s="190">
        <v>0.1</v>
      </c>
      <c r="E3622" s="204" t="s">
        <v>30</v>
      </c>
      <c r="F3622" s="204" t="s">
        <v>265</v>
      </c>
      <c r="G3622" s="189" t="s">
        <v>5769</v>
      </c>
      <c r="H3622" s="175"/>
    </row>
    <row r="3623" ht="14.25" spans="1:8">
      <c r="A3623" s="232">
        <v>1091</v>
      </c>
      <c r="B3623" s="183" t="s">
        <v>4769</v>
      </c>
      <c r="C3623" s="175" t="s">
        <v>48</v>
      </c>
      <c r="D3623" s="190">
        <v>0.1</v>
      </c>
      <c r="E3623" s="204" t="s">
        <v>30</v>
      </c>
      <c r="F3623" s="204" t="s">
        <v>265</v>
      </c>
      <c r="G3623" s="189" t="s">
        <v>5770</v>
      </c>
      <c r="H3623" s="175"/>
    </row>
    <row r="3624" ht="14.25" spans="1:8">
      <c r="A3624" s="232">
        <v>1092</v>
      </c>
      <c r="B3624" s="183" t="s">
        <v>4833</v>
      </c>
      <c r="C3624" s="175" t="s">
        <v>48</v>
      </c>
      <c r="D3624" s="173">
        <v>0.03</v>
      </c>
      <c r="E3624" s="204" t="s">
        <v>30</v>
      </c>
      <c r="F3624" s="204" t="s">
        <v>201</v>
      </c>
      <c r="G3624" s="189" t="s">
        <v>5771</v>
      </c>
      <c r="H3624" s="175"/>
    </row>
    <row r="3625" ht="14.25" spans="1:8">
      <c r="A3625" s="232">
        <v>1093</v>
      </c>
      <c r="B3625" s="183" t="s">
        <v>5772</v>
      </c>
      <c r="C3625" s="175" t="s">
        <v>48</v>
      </c>
      <c r="D3625" s="173">
        <v>0.1</v>
      </c>
      <c r="E3625" s="204" t="s">
        <v>30</v>
      </c>
      <c r="F3625" s="204" t="s">
        <v>201</v>
      </c>
      <c r="G3625" s="189" t="s">
        <v>5773</v>
      </c>
      <c r="H3625" s="175"/>
    </row>
    <row r="3626" ht="14.25" spans="1:8">
      <c r="A3626" s="232">
        <v>1094</v>
      </c>
      <c r="B3626" s="175" t="s">
        <v>5774</v>
      </c>
      <c r="C3626" s="175" t="s">
        <v>48</v>
      </c>
      <c r="D3626" s="173">
        <v>0.04</v>
      </c>
      <c r="E3626" s="204" t="s">
        <v>30</v>
      </c>
      <c r="F3626" s="204" t="s">
        <v>201</v>
      </c>
      <c r="G3626" s="189" t="s">
        <v>5775</v>
      </c>
      <c r="H3626" s="175"/>
    </row>
    <row r="3627" ht="14.25" spans="1:8">
      <c r="A3627" s="232">
        <v>1095</v>
      </c>
      <c r="B3627" s="183" t="s">
        <v>5508</v>
      </c>
      <c r="C3627" s="175" t="s">
        <v>48</v>
      </c>
      <c r="D3627" s="173">
        <v>0.01</v>
      </c>
      <c r="E3627" s="204" t="s">
        <v>30</v>
      </c>
      <c r="F3627" s="204" t="s">
        <v>201</v>
      </c>
      <c r="G3627" s="189" t="s">
        <v>5776</v>
      </c>
      <c r="H3627" s="175"/>
    </row>
    <row r="3628" ht="14.25" spans="1:8">
      <c r="A3628" s="232">
        <v>1096</v>
      </c>
      <c r="B3628" s="183" t="s">
        <v>2477</v>
      </c>
      <c r="C3628" s="175" t="s">
        <v>48</v>
      </c>
      <c r="D3628" s="173">
        <v>0.053</v>
      </c>
      <c r="E3628" s="204" t="s">
        <v>30</v>
      </c>
      <c r="F3628" s="204" t="s">
        <v>204</v>
      </c>
      <c r="G3628" s="189" t="s">
        <v>5777</v>
      </c>
      <c r="H3628" s="175"/>
    </row>
    <row r="3629" ht="14.25" spans="1:8">
      <c r="A3629" s="232">
        <v>1097</v>
      </c>
      <c r="B3629" s="183" t="s">
        <v>5778</v>
      </c>
      <c r="C3629" s="175" t="s">
        <v>48</v>
      </c>
      <c r="D3629" s="173">
        <v>0.04</v>
      </c>
      <c r="E3629" s="204" t="s">
        <v>30</v>
      </c>
      <c r="F3629" s="204" t="s">
        <v>201</v>
      </c>
      <c r="G3629" s="189" t="s">
        <v>4168</v>
      </c>
      <c r="H3629" s="175"/>
    </row>
    <row r="3630" ht="14.25" spans="1:8">
      <c r="A3630" s="232">
        <v>1098</v>
      </c>
      <c r="B3630" s="183" t="s">
        <v>5779</v>
      </c>
      <c r="C3630" s="175" t="s">
        <v>48</v>
      </c>
      <c r="D3630" s="173">
        <v>0.01</v>
      </c>
      <c r="E3630" s="204" t="s">
        <v>30</v>
      </c>
      <c r="F3630" s="204" t="s">
        <v>201</v>
      </c>
      <c r="G3630" s="189" t="s">
        <v>5780</v>
      </c>
      <c r="H3630" s="175"/>
    </row>
    <row r="3631" ht="14.25" spans="1:8">
      <c r="A3631" s="232">
        <v>1099</v>
      </c>
      <c r="B3631" s="175" t="s">
        <v>5714</v>
      </c>
      <c r="C3631" s="175" t="s">
        <v>48</v>
      </c>
      <c r="D3631" s="173">
        <v>0.05</v>
      </c>
      <c r="E3631" s="204" t="s">
        <v>30</v>
      </c>
      <c r="F3631" s="204" t="s">
        <v>201</v>
      </c>
      <c r="G3631" s="189" t="s">
        <v>5715</v>
      </c>
      <c r="H3631" s="175"/>
    </row>
    <row r="3632" ht="14.25" spans="1:8">
      <c r="A3632" s="232">
        <v>1100</v>
      </c>
      <c r="B3632" s="183" t="s">
        <v>5781</v>
      </c>
      <c r="C3632" s="175" t="s">
        <v>48</v>
      </c>
      <c r="D3632" s="173">
        <v>0.1</v>
      </c>
      <c r="E3632" s="204" t="s">
        <v>30</v>
      </c>
      <c r="F3632" s="204" t="s">
        <v>201</v>
      </c>
      <c r="G3632" s="189" t="s">
        <v>2295</v>
      </c>
      <c r="H3632" s="175"/>
    </row>
    <row r="3633" ht="14.25" spans="1:8">
      <c r="A3633" s="232">
        <v>1101</v>
      </c>
      <c r="B3633" s="175" t="s">
        <v>4500</v>
      </c>
      <c r="C3633" s="175" t="s">
        <v>48</v>
      </c>
      <c r="D3633" s="173">
        <v>0.01</v>
      </c>
      <c r="E3633" s="204" t="s">
        <v>30</v>
      </c>
      <c r="F3633" s="204" t="s">
        <v>201</v>
      </c>
      <c r="G3633" s="189" t="s">
        <v>5782</v>
      </c>
      <c r="H3633" s="175"/>
    </row>
    <row r="3634" ht="14.25" spans="1:8">
      <c r="A3634" s="232">
        <v>1102</v>
      </c>
      <c r="B3634" s="183" t="s">
        <v>5783</v>
      </c>
      <c r="C3634" s="175" t="s">
        <v>48</v>
      </c>
      <c r="D3634" s="173">
        <v>0.03</v>
      </c>
      <c r="E3634" s="204" t="s">
        <v>30</v>
      </c>
      <c r="F3634" s="204" t="s">
        <v>201</v>
      </c>
      <c r="G3634" s="189" t="s">
        <v>5784</v>
      </c>
      <c r="H3634" s="175"/>
    </row>
    <row r="3635" ht="14.25" spans="1:8">
      <c r="A3635" s="232">
        <v>1103</v>
      </c>
      <c r="B3635" s="183" t="s">
        <v>5785</v>
      </c>
      <c r="C3635" s="175" t="s">
        <v>48</v>
      </c>
      <c r="D3635" s="173">
        <v>0.1</v>
      </c>
      <c r="E3635" s="204" t="s">
        <v>30</v>
      </c>
      <c r="F3635" s="204" t="s">
        <v>201</v>
      </c>
      <c r="G3635" s="189" t="s">
        <v>5786</v>
      </c>
      <c r="H3635" s="175"/>
    </row>
    <row r="3636" ht="14.25" spans="1:8">
      <c r="A3636" s="232">
        <v>1104</v>
      </c>
      <c r="B3636" s="183" t="s">
        <v>5778</v>
      </c>
      <c r="C3636" s="175" t="s">
        <v>48</v>
      </c>
      <c r="D3636" s="173">
        <v>0.03</v>
      </c>
      <c r="E3636" s="204" t="s">
        <v>30</v>
      </c>
      <c r="F3636" s="204" t="s">
        <v>201</v>
      </c>
      <c r="G3636" s="189" t="s">
        <v>5787</v>
      </c>
      <c r="H3636" s="175"/>
    </row>
    <row r="3637" ht="14.25" spans="1:8">
      <c r="A3637" s="232">
        <v>1105</v>
      </c>
      <c r="B3637" s="183" t="s">
        <v>4452</v>
      </c>
      <c r="C3637" s="175" t="s">
        <v>48</v>
      </c>
      <c r="D3637" s="173">
        <v>0.049</v>
      </c>
      <c r="E3637" s="204" t="s">
        <v>30</v>
      </c>
      <c r="F3637" s="204" t="s">
        <v>201</v>
      </c>
      <c r="G3637" s="189" t="s">
        <v>4453</v>
      </c>
      <c r="H3637" s="175"/>
    </row>
    <row r="3638" ht="14.25" spans="1:8">
      <c r="A3638" s="232">
        <v>1106</v>
      </c>
      <c r="B3638" s="183" t="s">
        <v>5788</v>
      </c>
      <c r="C3638" s="175" t="s">
        <v>48</v>
      </c>
      <c r="D3638" s="173">
        <v>0.01</v>
      </c>
      <c r="E3638" s="204" t="s">
        <v>30</v>
      </c>
      <c r="F3638" s="204" t="s">
        <v>201</v>
      </c>
      <c r="G3638" s="189" t="s">
        <v>5724</v>
      </c>
      <c r="H3638" s="175"/>
    </row>
    <row r="3639" ht="14.25" spans="1:8">
      <c r="A3639" s="232">
        <v>1107</v>
      </c>
      <c r="B3639" s="183" t="s">
        <v>5789</v>
      </c>
      <c r="C3639" s="175" t="s">
        <v>48</v>
      </c>
      <c r="D3639" s="173">
        <v>0.005</v>
      </c>
      <c r="E3639" s="204" t="s">
        <v>30</v>
      </c>
      <c r="F3639" s="204" t="s">
        <v>201</v>
      </c>
      <c r="G3639" s="189" t="s">
        <v>5790</v>
      </c>
      <c r="H3639" s="175"/>
    </row>
    <row r="3640" ht="14.25" spans="1:8">
      <c r="A3640" s="232">
        <v>1108</v>
      </c>
      <c r="B3640" s="175" t="s">
        <v>4500</v>
      </c>
      <c r="C3640" s="175" t="s">
        <v>48</v>
      </c>
      <c r="D3640" s="173">
        <v>0.04</v>
      </c>
      <c r="E3640" s="204" t="s">
        <v>30</v>
      </c>
      <c r="F3640" s="204" t="s">
        <v>201</v>
      </c>
      <c r="G3640" s="189" t="s">
        <v>5791</v>
      </c>
      <c r="H3640" s="175"/>
    </row>
    <row r="3641" ht="14.25" spans="1:8">
      <c r="A3641" s="232">
        <v>1109</v>
      </c>
      <c r="B3641" s="175" t="s">
        <v>4500</v>
      </c>
      <c r="C3641" s="175" t="s">
        <v>48</v>
      </c>
      <c r="D3641" s="173">
        <v>0.05</v>
      </c>
      <c r="E3641" s="204" t="s">
        <v>30</v>
      </c>
      <c r="F3641" s="204" t="s">
        <v>201</v>
      </c>
      <c r="G3641" s="189" t="s">
        <v>5792</v>
      </c>
      <c r="H3641" s="175"/>
    </row>
    <row r="3642" ht="14.25" spans="1:8">
      <c r="A3642" s="232">
        <v>1110</v>
      </c>
      <c r="B3642" s="175" t="s">
        <v>5793</v>
      </c>
      <c r="C3642" s="175" t="s">
        <v>48</v>
      </c>
      <c r="D3642" s="173">
        <v>0.04</v>
      </c>
      <c r="E3642" s="204" t="s">
        <v>30</v>
      </c>
      <c r="F3642" s="204" t="s">
        <v>201</v>
      </c>
      <c r="G3642" s="189" t="s">
        <v>4512</v>
      </c>
      <c r="H3642" s="175"/>
    </row>
    <row r="3643" ht="14.25" spans="1:8">
      <c r="A3643" s="232">
        <v>1111</v>
      </c>
      <c r="B3643" s="183" t="s">
        <v>5794</v>
      </c>
      <c r="C3643" s="175" t="s">
        <v>48</v>
      </c>
      <c r="D3643" s="173">
        <v>0.05</v>
      </c>
      <c r="E3643" s="204" t="s">
        <v>30</v>
      </c>
      <c r="F3643" s="204" t="s">
        <v>201</v>
      </c>
      <c r="G3643" s="189" t="s">
        <v>5795</v>
      </c>
      <c r="H3643" s="175"/>
    </row>
    <row r="3644" ht="14.25" spans="1:8">
      <c r="A3644" s="232">
        <v>1112</v>
      </c>
      <c r="B3644" s="183" t="s">
        <v>4594</v>
      </c>
      <c r="C3644" s="175" t="s">
        <v>48</v>
      </c>
      <c r="D3644" s="173">
        <v>0.1</v>
      </c>
      <c r="E3644" s="204" t="s">
        <v>30</v>
      </c>
      <c r="F3644" s="204" t="s">
        <v>201</v>
      </c>
      <c r="G3644" s="189" t="s">
        <v>5796</v>
      </c>
      <c r="H3644" s="175"/>
    </row>
    <row r="3645" ht="14.25" spans="1:8">
      <c r="A3645" s="232">
        <v>1113</v>
      </c>
      <c r="B3645" s="175" t="s">
        <v>5797</v>
      </c>
      <c r="C3645" s="175" t="s">
        <v>48</v>
      </c>
      <c r="D3645" s="173">
        <v>0.07</v>
      </c>
      <c r="E3645" s="204" t="s">
        <v>30</v>
      </c>
      <c r="F3645" s="204" t="s">
        <v>201</v>
      </c>
      <c r="G3645" s="189" t="s">
        <v>5798</v>
      </c>
      <c r="H3645" s="175"/>
    </row>
    <row r="3646" ht="14.25" spans="1:8">
      <c r="A3646" s="232">
        <v>1114</v>
      </c>
      <c r="B3646" s="175" t="s">
        <v>5797</v>
      </c>
      <c r="C3646" s="175" t="s">
        <v>48</v>
      </c>
      <c r="D3646" s="173">
        <v>0.1</v>
      </c>
      <c r="E3646" s="204" t="s">
        <v>30</v>
      </c>
      <c r="F3646" s="204" t="s">
        <v>204</v>
      </c>
      <c r="G3646" s="189" t="s">
        <v>5798</v>
      </c>
      <c r="H3646" s="175"/>
    </row>
    <row r="3647" ht="14.25" spans="1:8">
      <c r="A3647" s="232">
        <v>1115</v>
      </c>
      <c r="B3647" s="175" t="s">
        <v>5797</v>
      </c>
      <c r="C3647" s="175" t="s">
        <v>48</v>
      </c>
      <c r="D3647" s="173">
        <v>0.06</v>
      </c>
      <c r="E3647" s="204" t="s">
        <v>30</v>
      </c>
      <c r="F3647" s="204" t="s">
        <v>201</v>
      </c>
      <c r="G3647" s="189" t="s">
        <v>5799</v>
      </c>
      <c r="H3647" s="175"/>
    </row>
    <row r="3648" ht="14.25" spans="1:8">
      <c r="A3648" s="232">
        <v>1116</v>
      </c>
      <c r="B3648" s="175" t="s">
        <v>5797</v>
      </c>
      <c r="C3648" s="175" t="s">
        <v>48</v>
      </c>
      <c r="D3648" s="173">
        <v>0.5</v>
      </c>
      <c r="E3648" s="204" t="s">
        <v>30</v>
      </c>
      <c r="F3648" s="204" t="s">
        <v>204</v>
      </c>
      <c r="G3648" s="189" t="s">
        <v>5799</v>
      </c>
      <c r="H3648" s="175"/>
    </row>
    <row r="3649" ht="14.25" spans="1:8">
      <c r="A3649" s="232">
        <v>1117</v>
      </c>
      <c r="B3649" s="183" t="s">
        <v>5800</v>
      </c>
      <c r="C3649" s="175" t="s">
        <v>48</v>
      </c>
      <c r="D3649" s="173">
        <v>0.03</v>
      </c>
      <c r="E3649" s="204" t="s">
        <v>30</v>
      </c>
      <c r="F3649" s="204" t="s">
        <v>201</v>
      </c>
      <c r="G3649" s="189" t="s">
        <v>5801</v>
      </c>
      <c r="H3649" s="175"/>
    </row>
    <row r="3650" ht="14.25" spans="1:8">
      <c r="A3650" s="232">
        <v>1118</v>
      </c>
      <c r="B3650" s="183" t="s">
        <v>5802</v>
      </c>
      <c r="C3650" s="175" t="s">
        <v>48</v>
      </c>
      <c r="D3650" s="173">
        <v>0.005</v>
      </c>
      <c r="E3650" s="204" t="s">
        <v>30</v>
      </c>
      <c r="F3650" s="204" t="s">
        <v>201</v>
      </c>
      <c r="G3650" s="189" t="s">
        <v>5803</v>
      </c>
      <c r="H3650" s="175"/>
    </row>
    <row r="3651" ht="14.25" spans="1:8">
      <c r="A3651" s="232">
        <v>1119</v>
      </c>
      <c r="B3651" s="175" t="s">
        <v>5804</v>
      </c>
      <c r="C3651" s="175" t="s">
        <v>48</v>
      </c>
      <c r="D3651" s="173">
        <v>0.03</v>
      </c>
      <c r="E3651" s="204" t="s">
        <v>30</v>
      </c>
      <c r="F3651" s="204" t="s">
        <v>201</v>
      </c>
      <c r="G3651" s="189" t="s">
        <v>5805</v>
      </c>
      <c r="H3651" s="175"/>
    </row>
    <row r="3652" ht="14.25" spans="1:8">
      <c r="A3652" s="232">
        <v>1120</v>
      </c>
      <c r="B3652" s="175" t="s">
        <v>5804</v>
      </c>
      <c r="C3652" s="175" t="s">
        <v>48</v>
      </c>
      <c r="D3652" s="173">
        <v>0.03</v>
      </c>
      <c r="E3652" s="204" t="s">
        <v>30</v>
      </c>
      <c r="F3652" s="204" t="s">
        <v>201</v>
      </c>
      <c r="G3652" s="189" t="s">
        <v>5806</v>
      </c>
      <c r="H3652" s="175"/>
    </row>
    <row r="3653" ht="14.25" spans="1:8">
      <c r="A3653" s="232">
        <v>1121</v>
      </c>
      <c r="B3653" s="183" t="s">
        <v>5807</v>
      </c>
      <c r="C3653" s="175" t="s">
        <v>48</v>
      </c>
      <c r="D3653" s="173">
        <v>0.05</v>
      </c>
      <c r="E3653" s="204" t="s">
        <v>30</v>
      </c>
      <c r="F3653" s="204" t="s">
        <v>201</v>
      </c>
      <c r="G3653" s="189" t="s">
        <v>5808</v>
      </c>
      <c r="H3653" s="175"/>
    </row>
    <row r="3654" ht="14.25" spans="1:8">
      <c r="A3654" s="232">
        <v>1122</v>
      </c>
      <c r="B3654" s="183" t="s">
        <v>5809</v>
      </c>
      <c r="C3654" s="175" t="s">
        <v>48</v>
      </c>
      <c r="D3654" s="173">
        <v>0.01</v>
      </c>
      <c r="E3654" s="204" t="s">
        <v>30</v>
      </c>
      <c r="F3654" s="204" t="s">
        <v>201</v>
      </c>
      <c r="G3654" s="189" t="s">
        <v>5767</v>
      </c>
      <c r="H3654" s="175"/>
    </row>
    <row r="3655" ht="14.25" spans="1:8">
      <c r="A3655" s="232">
        <v>1123</v>
      </c>
      <c r="B3655" s="183" t="s">
        <v>4712</v>
      </c>
      <c r="C3655" s="175" t="s">
        <v>48</v>
      </c>
      <c r="D3655" s="173">
        <v>0.04</v>
      </c>
      <c r="E3655" s="204" t="s">
        <v>30</v>
      </c>
      <c r="F3655" s="204" t="s">
        <v>201</v>
      </c>
      <c r="G3655" s="189" t="s">
        <v>4713</v>
      </c>
      <c r="H3655" s="175"/>
    </row>
    <row r="3656" ht="14.25" spans="1:8">
      <c r="A3656" s="232">
        <v>1124</v>
      </c>
      <c r="B3656" s="175" t="s">
        <v>5810</v>
      </c>
      <c r="C3656" s="175" t="s">
        <v>48</v>
      </c>
      <c r="D3656" s="173">
        <v>0.04</v>
      </c>
      <c r="E3656" s="204" t="s">
        <v>30</v>
      </c>
      <c r="F3656" s="204" t="s">
        <v>201</v>
      </c>
      <c r="G3656" s="189" t="s">
        <v>5811</v>
      </c>
      <c r="H3656" s="175"/>
    </row>
    <row r="3657" ht="14.25" spans="1:8">
      <c r="A3657" s="232">
        <v>1125</v>
      </c>
      <c r="B3657" s="183" t="s">
        <v>5174</v>
      </c>
      <c r="C3657" s="175" t="s">
        <v>48</v>
      </c>
      <c r="D3657" s="173">
        <v>0.03</v>
      </c>
      <c r="E3657" s="204" t="s">
        <v>30</v>
      </c>
      <c r="F3657" s="204" t="s">
        <v>201</v>
      </c>
      <c r="G3657" s="189" t="s">
        <v>5812</v>
      </c>
      <c r="H3657" s="175"/>
    </row>
    <row r="3658" ht="14.25" spans="1:8">
      <c r="A3658" s="232">
        <v>1126</v>
      </c>
      <c r="B3658" s="183" t="s">
        <v>5174</v>
      </c>
      <c r="C3658" s="175" t="s">
        <v>48</v>
      </c>
      <c r="D3658" s="173">
        <v>0.03</v>
      </c>
      <c r="E3658" s="204" t="s">
        <v>30</v>
      </c>
      <c r="F3658" s="204" t="s">
        <v>201</v>
      </c>
      <c r="G3658" s="189" t="s">
        <v>5813</v>
      </c>
      <c r="H3658" s="175"/>
    </row>
    <row r="3659" ht="14.25" spans="1:8">
      <c r="A3659" s="232">
        <v>1127</v>
      </c>
      <c r="B3659" s="183" t="s">
        <v>5814</v>
      </c>
      <c r="C3659" s="175" t="s">
        <v>48</v>
      </c>
      <c r="D3659" s="173">
        <v>0.03</v>
      </c>
      <c r="E3659" s="204" t="s">
        <v>30</v>
      </c>
      <c r="F3659" s="204" t="s">
        <v>201</v>
      </c>
      <c r="G3659" s="189" t="s">
        <v>5815</v>
      </c>
      <c r="H3659" s="175"/>
    </row>
    <row r="3660" ht="14.25" spans="1:8">
      <c r="A3660" s="232">
        <v>1128</v>
      </c>
      <c r="B3660" s="183" t="s">
        <v>5816</v>
      </c>
      <c r="C3660" s="175" t="s">
        <v>48</v>
      </c>
      <c r="D3660" s="173">
        <v>0.01</v>
      </c>
      <c r="E3660" s="204" t="s">
        <v>30</v>
      </c>
      <c r="F3660" s="204" t="s">
        <v>201</v>
      </c>
      <c r="G3660" s="189" t="s">
        <v>5817</v>
      </c>
      <c r="H3660" s="175"/>
    </row>
    <row r="3661" ht="14.25" spans="1:8">
      <c r="A3661" s="232">
        <v>1129</v>
      </c>
      <c r="B3661" s="181" t="s">
        <v>5818</v>
      </c>
      <c r="C3661" s="175" t="s">
        <v>48</v>
      </c>
      <c r="D3661" s="173">
        <v>0.02</v>
      </c>
      <c r="E3661" s="204" t="s">
        <v>30</v>
      </c>
      <c r="F3661" s="204" t="s">
        <v>201</v>
      </c>
      <c r="G3661" s="189" t="s">
        <v>5819</v>
      </c>
      <c r="H3661" s="175"/>
    </row>
    <row r="3662" ht="14.25" spans="1:8">
      <c r="A3662" s="232">
        <v>1130</v>
      </c>
      <c r="B3662" s="181" t="s">
        <v>5820</v>
      </c>
      <c r="C3662" s="175" t="s">
        <v>48</v>
      </c>
      <c r="D3662" s="173">
        <v>0.04</v>
      </c>
      <c r="E3662" s="204" t="s">
        <v>30</v>
      </c>
      <c r="F3662" s="204" t="s">
        <v>201</v>
      </c>
      <c r="G3662" s="189" t="s">
        <v>5821</v>
      </c>
      <c r="H3662" s="175"/>
    </row>
    <row r="3663" ht="14.25" spans="1:8">
      <c r="A3663" s="232">
        <v>1131</v>
      </c>
      <c r="B3663" s="183" t="s">
        <v>5822</v>
      </c>
      <c r="C3663" s="175" t="s">
        <v>48</v>
      </c>
      <c r="D3663" s="173">
        <v>0.005</v>
      </c>
      <c r="E3663" s="204" t="s">
        <v>30</v>
      </c>
      <c r="F3663" s="204" t="s">
        <v>201</v>
      </c>
      <c r="G3663" s="189" t="s">
        <v>5823</v>
      </c>
      <c r="H3663" s="175"/>
    </row>
    <row r="3664" ht="14.25" spans="1:8">
      <c r="A3664" s="232">
        <v>1132</v>
      </c>
      <c r="B3664" s="183" t="s">
        <v>5822</v>
      </c>
      <c r="C3664" s="175" t="s">
        <v>48</v>
      </c>
      <c r="D3664" s="173">
        <v>0.005</v>
      </c>
      <c r="E3664" s="204" t="s">
        <v>30</v>
      </c>
      <c r="F3664" s="204" t="s">
        <v>201</v>
      </c>
      <c r="G3664" s="189" t="s">
        <v>5824</v>
      </c>
      <c r="H3664" s="175"/>
    </row>
    <row r="3665" ht="14.25" spans="1:8">
      <c r="A3665" s="232">
        <v>1133</v>
      </c>
      <c r="B3665" s="175" t="s">
        <v>5825</v>
      </c>
      <c r="C3665" s="175" t="s">
        <v>48</v>
      </c>
      <c r="D3665" s="173">
        <v>0.04</v>
      </c>
      <c r="E3665" s="204" t="s">
        <v>30</v>
      </c>
      <c r="F3665" s="204" t="s">
        <v>201</v>
      </c>
      <c r="G3665" s="189" t="s">
        <v>5826</v>
      </c>
      <c r="H3665" s="175"/>
    </row>
    <row r="3666" ht="14.25" spans="1:8">
      <c r="A3666" s="232">
        <v>1134</v>
      </c>
      <c r="B3666" s="183" t="s">
        <v>5827</v>
      </c>
      <c r="C3666" s="175" t="s">
        <v>48</v>
      </c>
      <c r="D3666" s="173">
        <v>0.03</v>
      </c>
      <c r="E3666" s="204" t="s">
        <v>30</v>
      </c>
      <c r="F3666" s="204" t="s">
        <v>201</v>
      </c>
      <c r="G3666" s="189" t="s">
        <v>5828</v>
      </c>
      <c r="H3666" s="175"/>
    </row>
    <row r="3667" ht="14.25" spans="1:8">
      <c r="A3667" s="232">
        <v>1135</v>
      </c>
      <c r="B3667" s="183" t="s">
        <v>5829</v>
      </c>
      <c r="C3667" s="175" t="s">
        <v>48</v>
      </c>
      <c r="D3667" s="173">
        <v>0.02</v>
      </c>
      <c r="E3667" s="204" t="s">
        <v>30</v>
      </c>
      <c r="F3667" s="204" t="s">
        <v>201</v>
      </c>
      <c r="G3667" s="189" t="s">
        <v>5830</v>
      </c>
      <c r="H3667" s="175"/>
    </row>
    <row r="3668" ht="14.25" spans="1:8">
      <c r="A3668" s="232">
        <v>1136</v>
      </c>
      <c r="B3668" s="175" t="s">
        <v>5831</v>
      </c>
      <c r="C3668" s="175" t="s">
        <v>48</v>
      </c>
      <c r="D3668" s="173">
        <v>0.06</v>
      </c>
      <c r="E3668" s="204" t="s">
        <v>30</v>
      </c>
      <c r="F3668" s="204" t="s">
        <v>201</v>
      </c>
      <c r="G3668" s="189" t="s">
        <v>5832</v>
      </c>
      <c r="H3668" s="175"/>
    </row>
    <row r="3669" ht="14.25" spans="1:8">
      <c r="A3669" s="232">
        <v>1137</v>
      </c>
      <c r="B3669" s="175" t="s">
        <v>5833</v>
      </c>
      <c r="C3669" s="175" t="s">
        <v>48</v>
      </c>
      <c r="D3669" s="173">
        <v>0.02</v>
      </c>
      <c r="E3669" s="204" t="s">
        <v>30</v>
      </c>
      <c r="F3669" s="204" t="s">
        <v>201</v>
      </c>
      <c r="G3669" s="189" t="s">
        <v>5834</v>
      </c>
      <c r="H3669" s="175"/>
    </row>
    <row r="3670" ht="14.25" spans="1:8">
      <c r="A3670" s="232">
        <v>1138</v>
      </c>
      <c r="B3670" s="175" t="s">
        <v>5396</v>
      </c>
      <c r="C3670" s="175" t="s">
        <v>48</v>
      </c>
      <c r="D3670" s="173">
        <v>0.02</v>
      </c>
      <c r="E3670" s="204" t="s">
        <v>30</v>
      </c>
      <c r="F3670" s="204" t="s">
        <v>188</v>
      </c>
      <c r="G3670" s="189" t="s">
        <v>5397</v>
      </c>
      <c r="H3670" s="175"/>
    </row>
    <row r="3671" ht="14.25" spans="1:8">
      <c r="A3671" s="232">
        <v>1139</v>
      </c>
      <c r="B3671" s="189" t="s">
        <v>5835</v>
      </c>
      <c r="C3671" s="175" t="s">
        <v>48</v>
      </c>
      <c r="D3671" s="190">
        <v>0.08</v>
      </c>
      <c r="E3671" s="204" t="s">
        <v>30</v>
      </c>
      <c r="F3671" s="204" t="s">
        <v>201</v>
      </c>
      <c r="G3671" s="189" t="s">
        <v>5836</v>
      </c>
      <c r="H3671" s="175"/>
    </row>
    <row r="3672" ht="14.25" spans="1:8">
      <c r="A3672" s="232">
        <v>1140</v>
      </c>
      <c r="B3672" s="189" t="s">
        <v>5835</v>
      </c>
      <c r="C3672" s="175" t="s">
        <v>48</v>
      </c>
      <c r="D3672" s="190">
        <v>0.08</v>
      </c>
      <c r="E3672" s="204" t="s">
        <v>30</v>
      </c>
      <c r="F3672" s="204" t="s">
        <v>201</v>
      </c>
      <c r="G3672" s="189" t="s">
        <v>5837</v>
      </c>
      <c r="H3672" s="175"/>
    </row>
    <row r="3673" ht="14.25" spans="1:8">
      <c r="A3673" s="232">
        <v>1141</v>
      </c>
      <c r="B3673" s="189" t="s">
        <v>5835</v>
      </c>
      <c r="C3673" s="175" t="s">
        <v>48</v>
      </c>
      <c r="D3673" s="190">
        <v>0.08</v>
      </c>
      <c r="E3673" s="204" t="s">
        <v>30</v>
      </c>
      <c r="F3673" s="204" t="s">
        <v>201</v>
      </c>
      <c r="G3673" s="189" t="s">
        <v>5838</v>
      </c>
      <c r="H3673" s="175"/>
    </row>
    <row r="3674" ht="14.25" spans="1:8">
      <c r="A3674" s="232">
        <v>1142</v>
      </c>
      <c r="B3674" s="194" t="s">
        <v>5839</v>
      </c>
      <c r="C3674" s="175" t="s">
        <v>48</v>
      </c>
      <c r="D3674" s="190">
        <v>0.1</v>
      </c>
      <c r="E3674" s="204" t="s">
        <v>30</v>
      </c>
      <c r="F3674" s="204" t="s">
        <v>201</v>
      </c>
      <c r="G3674" s="189" t="s">
        <v>5840</v>
      </c>
      <c r="H3674" s="175"/>
    </row>
    <row r="3675" ht="14.25" spans="1:8">
      <c r="A3675" s="232">
        <v>1143</v>
      </c>
      <c r="B3675" s="194" t="s">
        <v>5772</v>
      </c>
      <c r="C3675" s="175" t="s">
        <v>48</v>
      </c>
      <c r="D3675" s="190">
        <v>0.05</v>
      </c>
      <c r="E3675" s="204" t="s">
        <v>30</v>
      </c>
      <c r="F3675" s="204" t="s">
        <v>201</v>
      </c>
      <c r="G3675" s="189" t="s">
        <v>5841</v>
      </c>
      <c r="H3675" s="175"/>
    </row>
    <row r="3676" ht="14.25" spans="1:8">
      <c r="A3676" s="232">
        <v>1144</v>
      </c>
      <c r="B3676" s="194" t="s">
        <v>5842</v>
      </c>
      <c r="C3676" s="175" t="s">
        <v>48</v>
      </c>
      <c r="D3676" s="190">
        <v>0.01</v>
      </c>
      <c r="E3676" s="204" t="s">
        <v>30</v>
      </c>
      <c r="F3676" s="204" t="s">
        <v>201</v>
      </c>
      <c r="G3676" s="189" t="s">
        <v>5843</v>
      </c>
      <c r="H3676" s="175"/>
    </row>
    <row r="3677" ht="14.25" spans="1:8">
      <c r="A3677" s="232">
        <v>1145</v>
      </c>
      <c r="B3677" s="194" t="s">
        <v>5844</v>
      </c>
      <c r="C3677" s="175" t="s">
        <v>48</v>
      </c>
      <c r="D3677" s="190">
        <v>0.1</v>
      </c>
      <c r="E3677" s="204" t="s">
        <v>30</v>
      </c>
      <c r="F3677" s="204" t="s">
        <v>201</v>
      </c>
      <c r="G3677" s="189" t="s">
        <v>5845</v>
      </c>
      <c r="H3677" s="175"/>
    </row>
    <row r="3678" ht="14.25" spans="1:8">
      <c r="A3678" s="232">
        <v>1146</v>
      </c>
      <c r="B3678" s="194" t="s">
        <v>5844</v>
      </c>
      <c r="C3678" s="175" t="s">
        <v>48</v>
      </c>
      <c r="D3678" s="190">
        <v>0.1</v>
      </c>
      <c r="E3678" s="204" t="s">
        <v>30</v>
      </c>
      <c r="F3678" s="204" t="s">
        <v>201</v>
      </c>
      <c r="G3678" s="189" t="s">
        <v>5846</v>
      </c>
      <c r="H3678" s="175"/>
    </row>
    <row r="3679" ht="14.25" spans="1:8">
      <c r="A3679" s="232">
        <v>1147</v>
      </c>
      <c r="B3679" s="194" t="s">
        <v>5844</v>
      </c>
      <c r="C3679" s="175" t="s">
        <v>48</v>
      </c>
      <c r="D3679" s="190">
        <v>0.1</v>
      </c>
      <c r="E3679" s="204" t="s">
        <v>30</v>
      </c>
      <c r="F3679" s="204" t="s">
        <v>201</v>
      </c>
      <c r="G3679" s="189" t="s">
        <v>5847</v>
      </c>
      <c r="H3679" s="175"/>
    </row>
    <row r="3680" ht="14.25" spans="1:8">
      <c r="A3680" s="232">
        <v>1148</v>
      </c>
      <c r="B3680" s="194" t="s">
        <v>5592</v>
      </c>
      <c r="C3680" s="175" t="s">
        <v>48</v>
      </c>
      <c r="D3680" s="190">
        <v>0.05</v>
      </c>
      <c r="E3680" s="204" t="s">
        <v>30</v>
      </c>
      <c r="F3680" s="204" t="s">
        <v>201</v>
      </c>
      <c r="G3680" s="189" t="s">
        <v>5848</v>
      </c>
      <c r="H3680" s="175"/>
    </row>
    <row r="3681" ht="14.25" spans="1:8">
      <c r="A3681" s="232">
        <v>1149</v>
      </c>
      <c r="B3681" s="262" t="s">
        <v>5849</v>
      </c>
      <c r="C3681" s="175" t="s">
        <v>48</v>
      </c>
      <c r="D3681" s="190">
        <v>0.05</v>
      </c>
      <c r="E3681" s="204" t="s">
        <v>30</v>
      </c>
      <c r="F3681" s="204" t="s">
        <v>201</v>
      </c>
      <c r="G3681" s="196" t="s">
        <v>5850</v>
      </c>
      <c r="H3681" s="175"/>
    </row>
    <row r="3682" ht="14.25" spans="1:8">
      <c r="A3682" s="232">
        <v>1150</v>
      </c>
      <c r="B3682" s="262" t="s">
        <v>5358</v>
      </c>
      <c r="C3682" s="175" t="s">
        <v>48</v>
      </c>
      <c r="D3682" s="190">
        <v>0.005</v>
      </c>
      <c r="E3682" s="204" t="s">
        <v>30</v>
      </c>
      <c r="F3682" s="204" t="s">
        <v>201</v>
      </c>
      <c r="G3682" s="196" t="s">
        <v>5851</v>
      </c>
      <c r="H3682" s="175"/>
    </row>
    <row r="3683" ht="14.25" spans="1:8">
      <c r="A3683" s="232">
        <v>1151</v>
      </c>
      <c r="B3683" s="262" t="s">
        <v>5852</v>
      </c>
      <c r="C3683" s="175" t="s">
        <v>48</v>
      </c>
      <c r="D3683" s="190">
        <v>0.02</v>
      </c>
      <c r="E3683" s="204" t="s">
        <v>30</v>
      </c>
      <c r="F3683" s="204" t="s">
        <v>201</v>
      </c>
      <c r="G3683" s="196" t="s">
        <v>5853</v>
      </c>
      <c r="H3683" s="175"/>
    </row>
    <row r="3684" ht="14.25" spans="1:8">
      <c r="A3684" s="232">
        <v>1152</v>
      </c>
      <c r="B3684" s="262" t="s">
        <v>4847</v>
      </c>
      <c r="C3684" s="175" t="s">
        <v>48</v>
      </c>
      <c r="D3684" s="190">
        <v>0.01</v>
      </c>
      <c r="E3684" s="204" t="s">
        <v>30</v>
      </c>
      <c r="F3684" s="204" t="s">
        <v>201</v>
      </c>
      <c r="G3684" s="196" t="s">
        <v>5854</v>
      </c>
      <c r="H3684" s="175"/>
    </row>
    <row r="3685" ht="14.25" spans="1:8">
      <c r="A3685" s="232">
        <v>1153</v>
      </c>
      <c r="B3685" s="262" t="s">
        <v>4847</v>
      </c>
      <c r="C3685" s="175" t="s">
        <v>48</v>
      </c>
      <c r="D3685" s="190">
        <v>0.04</v>
      </c>
      <c r="E3685" s="204" t="s">
        <v>30</v>
      </c>
      <c r="F3685" s="204" t="s">
        <v>201</v>
      </c>
      <c r="G3685" s="196" t="s">
        <v>5855</v>
      </c>
      <c r="H3685" s="175"/>
    </row>
    <row r="3686" ht="14.25" spans="1:8">
      <c r="A3686" s="232">
        <v>1154</v>
      </c>
      <c r="B3686" s="262" t="s">
        <v>4156</v>
      </c>
      <c r="C3686" s="175" t="s">
        <v>48</v>
      </c>
      <c r="D3686" s="190">
        <v>0.05</v>
      </c>
      <c r="E3686" s="204" t="s">
        <v>30</v>
      </c>
      <c r="F3686" s="204" t="s">
        <v>201</v>
      </c>
      <c r="G3686" s="196" t="s">
        <v>5856</v>
      </c>
      <c r="H3686" s="175"/>
    </row>
    <row r="3687" ht="14.25" spans="1:8">
      <c r="A3687" s="232">
        <v>1155</v>
      </c>
      <c r="B3687" s="262" t="s">
        <v>4156</v>
      </c>
      <c r="C3687" s="175" t="s">
        <v>48</v>
      </c>
      <c r="D3687" s="190">
        <v>0.03</v>
      </c>
      <c r="E3687" s="204" t="s">
        <v>30</v>
      </c>
      <c r="F3687" s="204" t="s">
        <v>201</v>
      </c>
      <c r="G3687" s="196" t="s">
        <v>4157</v>
      </c>
      <c r="H3687" s="175"/>
    </row>
    <row r="3688" ht="14.25" spans="1:8">
      <c r="A3688" s="232">
        <v>1156</v>
      </c>
      <c r="B3688" s="262" t="s">
        <v>5358</v>
      </c>
      <c r="C3688" s="175" t="s">
        <v>48</v>
      </c>
      <c r="D3688" s="190">
        <v>0.03</v>
      </c>
      <c r="E3688" s="204" t="s">
        <v>30</v>
      </c>
      <c r="F3688" s="204" t="s">
        <v>201</v>
      </c>
      <c r="G3688" s="196" t="s">
        <v>5857</v>
      </c>
      <c r="H3688" s="175"/>
    </row>
    <row r="3689" ht="14.25" spans="1:8">
      <c r="A3689" s="232">
        <v>1157</v>
      </c>
      <c r="B3689" s="262" t="s">
        <v>5858</v>
      </c>
      <c r="C3689" s="175" t="s">
        <v>48</v>
      </c>
      <c r="D3689" s="190">
        <v>0.05</v>
      </c>
      <c r="E3689" s="204" t="s">
        <v>30</v>
      </c>
      <c r="F3689" s="204" t="s">
        <v>201</v>
      </c>
      <c r="G3689" s="196" t="s">
        <v>5859</v>
      </c>
      <c r="H3689" s="175"/>
    </row>
    <row r="3690" ht="14.25" spans="1:8">
      <c r="A3690" s="232">
        <v>1158</v>
      </c>
      <c r="B3690" s="195" t="s">
        <v>4914</v>
      </c>
      <c r="C3690" s="175" t="s">
        <v>48</v>
      </c>
      <c r="D3690" s="190">
        <v>0.03</v>
      </c>
      <c r="E3690" s="204" t="s">
        <v>30</v>
      </c>
      <c r="F3690" s="204" t="s">
        <v>201</v>
      </c>
      <c r="G3690" s="196" t="s">
        <v>5860</v>
      </c>
      <c r="H3690" s="175"/>
    </row>
    <row r="3691" ht="14.25" spans="1:8">
      <c r="A3691" s="232">
        <v>1159</v>
      </c>
      <c r="B3691" s="195" t="s">
        <v>5861</v>
      </c>
      <c r="C3691" s="175" t="s">
        <v>48</v>
      </c>
      <c r="D3691" s="190">
        <v>0.01</v>
      </c>
      <c r="E3691" s="204" t="s">
        <v>30</v>
      </c>
      <c r="F3691" s="204" t="s">
        <v>201</v>
      </c>
      <c r="G3691" s="196" t="s">
        <v>5862</v>
      </c>
      <c r="H3691" s="175"/>
    </row>
    <row r="3692" ht="14.25" spans="1:8">
      <c r="A3692" s="232">
        <v>1160</v>
      </c>
      <c r="B3692" s="195" t="s">
        <v>5861</v>
      </c>
      <c r="C3692" s="175" t="s">
        <v>48</v>
      </c>
      <c r="D3692" s="190">
        <v>0.01</v>
      </c>
      <c r="E3692" s="204" t="s">
        <v>30</v>
      </c>
      <c r="F3692" s="204" t="s">
        <v>201</v>
      </c>
      <c r="G3692" s="196" t="s">
        <v>5863</v>
      </c>
      <c r="H3692" s="175"/>
    </row>
    <row r="3693" ht="14.25" spans="1:8">
      <c r="A3693" s="232">
        <v>1161</v>
      </c>
      <c r="B3693" s="195" t="s">
        <v>5861</v>
      </c>
      <c r="C3693" s="175" t="s">
        <v>48</v>
      </c>
      <c r="D3693" s="190">
        <v>0.01</v>
      </c>
      <c r="E3693" s="204" t="s">
        <v>30</v>
      </c>
      <c r="F3693" s="204" t="s">
        <v>201</v>
      </c>
      <c r="G3693" s="196" t="s">
        <v>5864</v>
      </c>
      <c r="H3693" s="175"/>
    </row>
    <row r="3694" ht="14.25" spans="1:8">
      <c r="A3694" s="232">
        <v>1162</v>
      </c>
      <c r="B3694" s="195" t="s">
        <v>5861</v>
      </c>
      <c r="C3694" s="175" t="s">
        <v>48</v>
      </c>
      <c r="D3694" s="190">
        <v>0.01</v>
      </c>
      <c r="E3694" s="204" t="s">
        <v>30</v>
      </c>
      <c r="F3694" s="204" t="s">
        <v>201</v>
      </c>
      <c r="G3694" s="196" t="s">
        <v>5865</v>
      </c>
      <c r="H3694" s="175"/>
    </row>
    <row r="3695" ht="14.25" spans="1:8">
      <c r="A3695" s="232">
        <v>1163</v>
      </c>
      <c r="B3695" s="195" t="s">
        <v>5861</v>
      </c>
      <c r="C3695" s="175" t="s">
        <v>48</v>
      </c>
      <c r="D3695" s="190">
        <v>0.01</v>
      </c>
      <c r="E3695" s="204" t="s">
        <v>30</v>
      </c>
      <c r="F3695" s="204" t="s">
        <v>201</v>
      </c>
      <c r="G3695" s="196" t="s">
        <v>5866</v>
      </c>
      <c r="H3695" s="175"/>
    </row>
    <row r="3696" ht="14.25" spans="1:8">
      <c r="A3696" s="232">
        <v>1164</v>
      </c>
      <c r="B3696" s="195" t="s">
        <v>5861</v>
      </c>
      <c r="C3696" s="175" t="s">
        <v>48</v>
      </c>
      <c r="D3696" s="190">
        <v>0.01</v>
      </c>
      <c r="E3696" s="204" t="s">
        <v>30</v>
      </c>
      <c r="F3696" s="204" t="s">
        <v>201</v>
      </c>
      <c r="G3696" s="196" t="s">
        <v>5867</v>
      </c>
      <c r="H3696" s="175"/>
    </row>
    <row r="3697" ht="14.25" spans="1:8">
      <c r="A3697" s="232">
        <v>1165</v>
      </c>
      <c r="B3697" s="195" t="s">
        <v>5861</v>
      </c>
      <c r="C3697" s="175" t="s">
        <v>48</v>
      </c>
      <c r="D3697" s="190">
        <v>0.01</v>
      </c>
      <c r="E3697" s="204" t="s">
        <v>30</v>
      </c>
      <c r="F3697" s="204" t="s">
        <v>201</v>
      </c>
      <c r="G3697" s="196" t="s">
        <v>5868</v>
      </c>
      <c r="H3697" s="175"/>
    </row>
    <row r="3698" ht="14.25" spans="1:8">
      <c r="A3698" s="232">
        <v>1166</v>
      </c>
      <c r="B3698" s="195" t="s">
        <v>5861</v>
      </c>
      <c r="C3698" s="175" t="s">
        <v>48</v>
      </c>
      <c r="D3698" s="190">
        <v>0.05</v>
      </c>
      <c r="E3698" s="204" t="s">
        <v>30</v>
      </c>
      <c r="F3698" s="204" t="s">
        <v>201</v>
      </c>
      <c r="G3698" s="196" t="s">
        <v>5869</v>
      </c>
      <c r="H3698" s="175"/>
    </row>
    <row r="3699" ht="14.25" spans="1:8">
      <c r="A3699" s="232">
        <v>1167</v>
      </c>
      <c r="B3699" s="195" t="s">
        <v>5870</v>
      </c>
      <c r="C3699" s="175" t="s">
        <v>48</v>
      </c>
      <c r="D3699" s="190">
        <v>0.03</v>
      </c>
      <c r="E3699" s="204" t="s">
        <v>30</v>
      </c>
      <c r="F3699" s="204" t="s">
        <v>201</v>
      </c>
      <c r="G3699" s="196" t="s">
        <v>5871</v>
      </c>
      <c r="H3699" s="175"/>
    </row>
    <row r="3700" ht="14.25" spans="1:8">
      <c r="A3700" s="232">
        <v>1168</v>
      </c>
      <c r="B3700" s="195" t="s">
        <v>5872</v>
      </c>
      <c r="C3700" s="175" t="s">
        <v>48</v>
      </c>
      <c r="D3700" s="190">
        <v>0.05</v>
      </c>
      <c r="E3700" s="204" t="s">
        <v>30</v>
      </c>
      <c r="F3700" s="204" t="s">
        <v>201</v>
      </c>
      <c r="G3700" s="196" t="s">
        <v>5873</v>
      </c>
      <c r="H3700" s="175"/>
    </row>
    <row r="3701" ht="14.25" spans="1:8">
      <c r="A3701" s="232">
        <v>1169</v>
      </c>
      <c r="B3701" s="195" t="s">
        <v>5874</v>
      </c>
      <c r="C3701" s="175" t="s">
        <v>48</v>
      </c>
      <c r="D3701" s="190">
        <v>0.01</v>
      </c>
      <c r="E3701" s="204" t="s">
        <v>30</v>
      </c>
      <c r="F3701" s="204" t="s">
        <v>201</v>
      </c>
      <c r="G3701" s="196" t="s">
        <v>5875</v>
      </c>
      <c r="H3701" s="175"/>
    </row>
    <row r="3702" ht="14.25" spans="1:8">
      <c r="A3702" s="232">
        <v>1170</v>
      </c>
      <c r="B3702" s="195" t="s">
        <v>5874</v>
      </c>
      <c r="C3702" s="175" t="s">
        <v>48</v>
      </c>
      <c r="D3702" s="190">
        <v>0.01</v>
      </c>
      <c r="E3702" s="204" t="s">
        <v>30</v>
      </c>
      <c r="F3702" s="204" t="s">
        <v>201</v>
      </c>
      <c r="G3702" s="196" t="s">
        <v>5876</v>
      </c>
      <c r="H3702" s="175"/>
    </row>
    <row r="3703" ht="14.25" spans="1:8">
      <c r="A3703" s="232">
        <v>1171</v>
      </c>
      <c r="B3703" s="195" t="s">
        <v>5874</v>
      </c>
      <c r="C3703" s="175" t="s">
        <v>48</v>
      </c>
      <c r="D3703" s="190">
        <v>0.01</v>
      </c>
      <c r="E3703" s="204" t="s">
        <v>30</v>
      </c>
      <c r="F3703" s="204" t="s">
        <v>201</v>
      </c>
      <c r="G3703" s="196" t="s">
        <v>5877</v>
      </c>
      <c r="H3703" s="175"/>
    </row>
    <row r="3704" ht="14.25" spans="1:8">
      <c r="A3704" s="232">
        <v>1172</v>
      </c>
      <c r="B3704" s="195" t="s">
        <v>5874</v>
      </c>
      <c r="C3704" s="175" t="s">
        <v>48</v>
      </c>
      <c r="D3704" s="190">
        <v>0.01</v>
      </c>
      <c r="E3704" s="204" t="s">
        <v>30</v>
      </c>
      <c r="F3704" s="204" t="s">
        <v>201</v>
      </c>
      <c r="G3704" s="196" t="s">
        <v>5878</v>
      </c>
      <c r="H3704" s="175"/>
    </row>
    <row r="3705" ht="14.25" spans="1:8">
      <c r="A3705" s="232">
        <v>1173</v>
      </c>
      <c r="B3705" s="195" t="s">
        <v>5874</v>
      </c>
      <c r="C3705" s="175" t="s">
        <v>48</v>
      </c>
      <c r="D3705" s="190">
        <v>0.01</v>
      </c>
      <c r="E3705" s="204" t="s">
        <v>30</v>
      </c>
      <c r="F3705" s="204" t="s">
        <v>201</v>
      </c>
      <c r="G3705" s="196" t="s">
        <v>5879</v>
      </c>
      <c r="H3705" s="175"/>
    </row>
    <row r="3706" ht="14.25" spans="1:8">
      <c r="A3706" s="232">
        <v>1174</v>
      </c>
      <c r="B3706" s="195" t="s">
        <v>5874</v>
      </c>
      <c r="C3706" s="175" t="s">
        <v>48</v>
      </c>
      <c r="D3706" s="190">
        <v>0.01</v>
      </c>
      <c r="E3706" s="204" t="s">
        <v>30</v>
      </c>
      <c r="F3706" s="204" t="s">
        <v>201</v>
      </c>
      <c r="G3706" s="196" t="s">
        <v>5880</v>
      </c>
      <c r="H3706" s="175"/>
    </row>
    <row r="3707" ht="14.25" spans="1:8">
      <c r="A3707" s="232">
        <v>1175</v>
      </c>
      <c r="B3707" s="195" t="s">
        <v>5874</v>
      </c>
      <c r="C3707" s="175" t="s">
        <v>48</v>
      </c>
      <c r="D3707" s="190">
        <v>0.01</v>
      </c>
      <c r="E3707" s="204" t="s">
        <v>30</v>
      </c>
      <c r="F3707" s="204" t="s">
        <v>201</v>
      </c>
      <c r="G3707" s="196" t="s">
        <v>5881</v>
      </c>
      <c r="H3707" s="175"/>
    </row>
    <row r="3708" ht="14.25" spans="1:8">
      <c r="A3708" s="232">
        <v>1176</v>
      </c>
      <c r="B3708" s="195" t="s">
        <v>5874</v>
      </c>
      <c r="C3708" s="175" t="s">
        <v>48</v>
      </c>
      <c r="D3708" s="190">
        <v>0.01</v>
      </c>
      <c r="E3708" s="204" t="s">
        <v>30</v>
      </c>
      <c r="F3708" s="204" t="s">
        <v>201</v>
      </c>
      <c r="G3708" s="196" t="s">
        <v>5882</v>
      </c>
      <c r="H3708" s="175"/>
    </row>
    <row r="3709" ht="14.25" spans="1:8">
      <c r="A3709" s="232">
        <v>1177</v>
      </c>
      <c r="B3709" s="195" t="s">
        <v>5883</v>
      </c>
      <c r="C3709" s="175" t="s">
        <v>48</v>
      </c>
      <c r="D3709" s="190">
        <v>0.01</v>
      </c>
      <c r="E3709" s="204" t="s">
        <v>30</v>
      </c>
      <c r="F3709" s="204" t="s">
        <v>201</v>
      </c>
      <c r="G3709" s="196" t="s">
        <v>5884</v>
      </c>
      <c r="H3709" s="175"/>
    </row>
    <row r="3710" ht="14.25" spans="1:8">
      <c r="A3710" s="232">
        <v>1178</v>
      </c>
      <c r="B3710" s="195" t="s">
        <v>4857</v>
      </c>
      <c r="C3710" s="175" t="s">
        <v>48</v>
      </c>
      <c r="D3710" s="190">
        <v>0.19</v>
      </c>
      <c r="E3710" s="204" t="s">
        <v>30</v>
      </c>
      <c r="F3710" s="204" t="s">
        <v>201</v>
      </c>
      <c r="G3710" s="196" t="s">
        <v>5885</v>
      </c>
      <c r="H3710" s="175"/>
    </row>
    <row r="3711" ht="14.25" spans="1:8">
      <c r="A3711" s="232">
        <v>1179</v>
      </c>
      <c r="B3711" s="195" t="s">
        <v>5886</v>
      </c>
      <c r="C3711" s="175" t="s">
        <v>48</v>
      </c>
      <c r="D3711" s="190">
        <v>0.01</v>
      </c>
      <c r="E3711" s="204" t="s">
        <v>30</v>
      </c>
      <c r="F3711" s="204" t="s">
        <v>201</v>
      </c>
      <c r="G3711" s="196" t="s">
        <v>5887</v>
      </c>
      <c r="H3711" s="175"/>
    </row>
    <row r="3712" ht="14.25" spans="1:8">
      <c r="A3712" s="232">
        <v>1180</v>
      </c>
      <c r="B3712" s="195" t="s">
        <v>5886</v>
      </c>
      <c r="C3712" s="175" t="s">
        <v>48</v>
      </c>
      <c r="D3712" s="190">
        <v>0.01</v>
      </c>
      <c r="E3712" s="204" t="s">
        <v>30</v>
      </c>
      <c r="F3712" s="204" t="s">
        <v>201</v>
      </c>
      <c r="G3712" s="196" t="s">
        <v>5888</v>
      </c>
      <c r="H3712" s="175"/>
    </row>
    <row r="3713" ht="14.25" spans="1:8">
      <c r="A3713" s="232">
        <v>1181</v>
      </c>
      <c r="B3713" s="195" t="s">
        <v>5886</v>
      </c>
      <c r="C3713" s="175" t="s">
        <v>48</v>
      </c>
      <c r="D3713" s="190">
        <v>0.01</v>
      </c>
      <c r="E3713" s="204" t="s">
        <v>30</v>
      </c>
      <c r="F3713" s="204" t="s">
        <v>201</v>
      </c>
      <c r="G3713" s="196" t="s">
        <v>5889</v>
      </c>
      <c r="H3713" s="175"/>
    </row>
    <row r="3714" ht="14.25" spans="1:8">
      <c r="A3714" s="232">
        <v>1182</v>
      </c>
      <c r="B3714" s="195" t="s">
        <v>5886</v>
      </c>
      <c r="C3714" s="175" t="s">
        <v>48</v>
      </c>
      <c r="D3714" s="190">
        <v>0.01</v>
      </c>
      <c r="E3714" s="204" t="s">
        <v>30</v>
      </c>
      <c r="F3714" s="204" t="s">
        <v>201</v>
      </c>
      <c r="G3714" s="196" t="s">
        <v>5890</v>
      </c>
      <c r="H3714" s="175"/>
    </row>
    <row r="3715" ht="14.25" spans="1:8">
      <c r="A3715" s="232">
        <v>1183</v>
      </c>
      <c r="B3715" s="195" t="s">
        <v>5886</v>
      </c>
      <c r="C3715" s="175" t="s">
        <v>48</v>
      </c>
      <c r="D3715" s="190">
        <v>0.01</v>
      </c>
      <c r="E3715" s="204" t="s">
        <v>30</v>
      </c>
      <c r="F3715" s="204" t="s">
        <v>201</v>
      </c>
      <c r="G3715" s="196" t="s">
        <v>5891</v>
      </c>
      <c r="H3715" s="175"/>
    </row>
    <row r="3716" ht="14.25" spans="1:8">
      <c r="A3716" s="232">
        <v>1184</v>
      </c>
      <c r="B3716" s="195" t="s">
        <v>5886</v>
      </c>
      <c r="C3716" s="175" t="s">
        <v>48</v>
      </c>
      <c r="D3716" s="190">
        <v>0.01</v>
      </c>
      <c r="E3716" s="204" t="s">
        <v>30</v>
      </c>
      <c r="F3716" s="204" t="s">
        <v>201</v>
      </c>
      <c r="G3716" s="196" t="s">
        <v>5892</v>
      </c>
      <c r="H3716" s="175"/>
    </row>
    <row r="3717" ht="14.25" spans="1:8">
      <c r="A3717" s="232">
        <v>1185</v>
      </c>
      <c r="B3717" s="195" t="s">
        <v>5886</v>
      </c>
      <c r="C3717" s="175" t="s">
        <v>48</v>
      </c>
      <c r="D3717" s="190">
        <v>0.03</v>
      </c>
      <c r="E3717" s="204" t="s">
        <v>30</v>
      </c>
      <c r="F3717" s="204" t="s">
        <v>201</v>
      </c>
      <c r="G3717" s="196" t="s">
        <v>5893</v>
      </c>
      <c r="H3717" s="175"/>
    </row>
    <row r="3718" ht="14.25" spans="1:8">
      <c r="A3718" s="232">
        <v>1186</v>
      </c>
      <c r="B3718" s="195" t="s">
        <v>5894</v>
      </c>
      <c r="C3718" s="175" t="s">
        <v>48</v>
      </c>
      <c r="D3718" s="190">
        <v>0.19</v>
      </c>
      <c r="E3718" s="204" t="s">
        <v>30</v>
      </c>
      <c r="F3718" s="204" t="s">
        <v>201</v>
      </c>
      <c r="G3718" s="196" t="s">
        <v>5895</v>
      </c>
      <c r="H3718" s="175"/>
    </row>
    <row r="3719" ht="14.25" spans="1:8">
      <c r="A3719" s="232">
        <v>1187</v>
      </c>
      <c r="B3719" s="195" t="s">
        <v>4857</v>
      </c>
      <c r="C3719" s="175" t="s">
        <v>48</v>
      </c>
      <c r="D3719" s="190">
        <v>0.02</v>
      </c>
      <c r="E3719" s="204" t="s">
        <v>30</v>
      </c>
      <c r="F3719" s="204" t="s">
        <v>201</v>
      </c>
      <c r="G3719" s="196" t="s">
        <v>5896</v>
      </c>
      <c r="H3719" s="175"/>
    </row>
    <row r="3720" ht="14.25" spans="1:8">
      <c r="A3720" s="232">
        <v>1188</v>
      </c>
      <c r="B3720" s="195" t="s">
        <v>5897</v>
      </c>
      <c r="C3720" s="175" t="s">
        <v>48</v>
      </c>
      <c r="D3720" s="190">
        <v>0.24</v>
      </c>
      <c r="E3720" s="204" t="s">
        <v>30</v>
      </c>
      <c r="F3720" s="204" t="s">
        <v>201</v>
      </c>
      <c r="G3720" s="196" t="s">
        <v>5898</v>
      </c>
      <c r="H3720" s="175"/>
    </row>
    <row r="3721" ht="14.25" spans="1:8">
      <c r="A3721" s="232">
        <v>1189</v>
      </c>
      <c r="B3721" s="195" t="s">
        <v>5899</v>
      </c>
      <c r="C3721" s="175" t="s">
        <v>48</v>
      </c>
      <c r="D3721" s="190">
        <v>0.03</v>
      </c>
      <c r="E3721" s="204" t="s">
        <v>30</v>
      </c>
      <c r="F3721" s="204" t="s">
        <v>201</v>
      </c>
      <c r="G3721" s="196" t="s">
        <v>5900</v>
      </c>
      <c r="H3721" s="175"/>
    </row>
    <row r="3722" ht="14.25" spans="1:8">
      <c r="A3722" s="232">
        <v>1190</v>
      </c>
      <c r="B3722" s="195" t="s">
        <v>4533</v>
      </c>
      <c r="C3722" s="175" t="s">
        <v>48</v>
      </c>
      <c r="D3722" s="190">
        <v>0.01</v>
      </c>
      <c r="E3722" s="204" t="s">
        <v>30</v>
      </c>
      <c r="F3722" s="204" t="s">
        <v>201</v>
      </c>
      <c r="G3722" s="196" t="s">
        <v>5901</v>
      </c>
      <c r="H3722" s="175"/>
    </row>
    <row r="3723" ht="14.25" spans="1:8">
      <c r="A3723" s="232">
        <v>1191</v>
      </c>
      <c r="B3723" s="195" t="s">
        <v>4533</v>
      </c>
      <c r="C3723" s="175" t="s">
        <v>48</v>
      </c>
      <c r="D3723" s="190">
        <v>0.01</v>
      </c>
      <c r="E3723" s="204" t="s">
        <v>30</v>
      </c>
      <c r="F3723" s="204" t="s">
        <v>201</v>
      </c>
      <c r="G3723" s="196" t="s">
        <v>5902</v>
      </c>
      <c r="H3723" s="175"/>
    </row>
    <row r="3724" ht="14.25" spans="1:8">
      <c r="A3724" s="232">
        <v>1192</v>
      </c>
      <c r="B3724" s="195" t="s">
        <v>4533</v>
      </c>
      <c r="C3724" s="175" t="s">
        <v>48</v>
      </c>
      <c r="D3724" s="190">
        <v>0.01</v>
      </c>
      <c r="E3724" s="204" t="s">
        <v>30</v>
      </c>
      <c r="F3724" s="204" t="s">
        <v>201</v>
      </c>
      <c r="G3724" s="196" t="s">
        <v>5903</v>
      </c>
      <c r="H3724" s="175"/>
    </row>
    <row r="3725" ht="14.25" spans="1:8">
      <c r="A3725" s="232">
        <v>1193</v>
      </c>
      <c r="B3725" s="195" t="s">
        <v>4533</v>
      </c>
      <c r="C3725" s="175" t="s">
        <v>48</v>
      </c>
      <c r="D3725" s="190">
        <v>0.01</v>
      </c>
      <c r="E3725" s="204" t="s">
        <v>30</v>
      </c>
      <c r="F3725" s="204" t="s">
        <v>201</v>
      </c>
      <c r="G3725" s="196" t="s">
        <v>5904</v>
      </c>
      <c r="H3725" s="175"/>
    </row>
    <row r="3726" ht="14.25" spans="1:8">
      <c r="A3726" s="232">
        <v>1194</v>
      </c>
      <c r="B3726" s="195" t="s">
        <v>4533</v>
      </c>
      <c r="C3726" s="175" t="s">
        <v>48</v>
      </c>
      <c r="D3726" s="190">
        <v>0.01</v>
      </c>
      <c r="E3726" s="204" t="s">
        <v>30</v>
      </c>
      <c r="F3726" s="204" t="s">
        <v>201</v>
      </c>
      <c r="G3726" s="196" t="s">
        <v>5905</v>
      </c>
      <c r="H3726" s="175"/>
    </row>
    <row r="3727" ht="14.25" spans="1:8">
      <c r="A3727" s="232">
        <v>1195</v>
      </c>
      <c r="B3727" s="195" t="s">
        <v>4533</v>
      </c>
      <c r="C3727" s="175" t="s">
        <v>48</v>
      </c>
      <c r="D3727" s="190">
        <v>0.01</v>
      </c>
      <c r="E3727" s="204" t="s">
        <v>30</v>
      </c>
      <c r="F3727" s="204" t="s">
        <v>201</v>
      </c>
      <c r="G3727" s="196" t="s">
        <v>5906</v>
      </c>
      <c r="H3727" s="175"/>
    </row>
    <row r="3728" ht="14.25" spans="1:8">
      <c r="A3728" s="232">
        <v>1196</v>
      </c>
      <c r="B3728" s="195" t="s">
        <v>4533</v>
      </c>
      <c r="C3728" s="175" t="s">
        <v>48</v>
      </c>
      <c r="D3728" s="190">
        <v>0.01</v>
      </c>
      <c r="E3728" s="204" t="s">
        <v>30</v>
      </c>
      <c r="F3728" s="204" t="s">
        <v>201</v>
      </c>
      <c r="G3728" s="196" t="s">
        <v>5907</v>
      </c>
      <c r="H3728" s="175"/>
    </row>
    <row r="3729" ht="14.25" spans="1:8">
      <c r="A3729" s="232">
        <v>1197</v>
      </c>
      <c r="B3729" s="195" t="s">
        <v>4833</v>
      </c>
      <c r="C3729" s="175" t="s">
        <v>48</v>
      </c>
      <c r="D3729" s="190">
        <v>0.01</v>
      </c>
      <c r="E3729" s="204" t="s">
        <v>30</v>
      </c>
      <c r="F3729" s="204" t="s">
        <v>201</v>
      </c>
      <c r="G3729" s="196" t="s">
        <v>5908</v>
      </c>
      <c r="H3729" s="175"/>
    </row>
    <row r="3730" ht="14.25" spans="1:8">
      <c r="A3730" s="232">
        <v>1198</v>
      </c>
      <c r="B3730" s="195" t="s">
        <v>4833</v>
      </c>
      <c r="C3730" s="175" t="s">
        <v>48</v>
      </c>
      <c r="D3730" s="190">
        <v>0.01</v>
      </c>
      <c r="E3730" s="204" t="s">
        <v>30</v>
      </c>
      <c r="F3730" s="204" t="s">
        <v>201</v>
      </c>
      <c r="G3730" s="196" t="s">
        <v>5909</v>
      </c>
      <c r="H3730" s="175"/>
    </row>
    <row r="3731" ht="14.25" spans="1:8">
      <c r="A3731" s="232">
        <v>1199</v>
      </c>
      <c r="B3731" s="195" t="s">
        <v>4833</v>
      </c>
      <c r="C3731" s="175" t="s">
        <v>48</v>
      </c>
      <c r="D3731" s="190">
        <v>0.01</v>
      </c>
      <c r="E3731" s="204" t="s">
        <v>30</v>
      </c>
      <c r="F3731" s="204" t="s">
        <v>201</v>
      </c>
      <c r="G3731" s="196" t="s">
        <v>5910</v>
      </c>
      <c r="H3731" s="175"/>
    </row>
    <row r="3732" ht="14.25" spans="1:8">
      <c r="A3732" s="232">
        <v>1200</v>
      </c>
      <c r="B3732" s="195" t="s">
        <v>4833</v>
      </c>
      <c r="C3732" s="175" t="s">
        <v>48</v>
      </c>
      <c r="D3732" s="190">
        <v>0.01</v>
      </c>
      <c r="E3732" s="204" t="s">
        <v>30</v>
      </c>
      <c r="F3732" s="204" t="s">
        <v>201</v>
      </c>
      <c r="G3732" s="196" t="s">
        <v>5911</v>
      </c>
      <c r="H3732" s="175"/>
    </row>
    <row r="3733" ht="14.25" spans="1:8">
      <c r="A3733" s="232">
        <v>1201</v>
      </c>
      <c r="B3733" s="195" t="s">
        <v>4833</v>
      </c>
      <c r="C3733" s="175" t="s">
        <v>48</v>
      </c>
      <c r="D3733" s="190">
        <v>0.01</v>
      </c>
      <c r="E3733" s="204" t="s">
        <v>30</v>
      </c>
      <c r="F3733" s="204" t="s">
        <v>201</v>
      </c>
      <c r="G3733" s="196" t="s">
        <v>5912</v>
      </c>
      <c r="H3733" s="175"/>
    </row>
    <row r="3734" ht="14.25" spans="1:8">
      <c r="A3734" s="232">
        <v>1202</v>
      </c>
      <c r="B3734" s="195" t="s">
        <v>4833</v>
      </c>
      <c r="C3734" s="175" t="s">
        <v>48</v>
      </c>
      <c r="D3734" s="190">
        <v>0.01</v>
      </c>
      <c r="E3734" s="204" t="s">
        <v>30</v>
      </c>
      <c r="F3734" s="204" t="s">
        <v>201</v>
      </c>
      <c r="G3734" s="196" t="s">
        <v>5913</v>
      </c>
      <c r="H3734" s="175"/>
    </row>
    <row r="3735" ht="14.25" spans="1:8">
      <c r="A3735" s="232">
        <v>1203</v>
      </c>
      <c r="B3735" s="195" t="s">
        <v>4833</v>
      </c>
      <c r="C3735" s="175" t="s">
        <v>48</v>
      </c>
      <c r="D3735" s="190">
        <v>0.01</v>
      </c>
      <c r="E3735" s="204" t="s">
        <v>30</v>
      </c>
      <c r="F3735" s="204" t="s">
        <v>201</v>
      </c>
      <c r="G3735" s="196" t="s">
        <v>5914</v>
      </c>
      <c r="H3735" s="175"/>
    </row>
    <row r="3736" ht="14.25" spans="1:8">
      <c r="A3736" s="232">
        <v>1204</v>
      </c>
      <c r="B3736" s="195" t="s">
        <v>4833</v>
      </c>
      <c r="C3736" s="175" t="s">
        <v>48</v>
      </c>
      <c r="D3736" s="190">
        <v>0.01</v>
      </c>
      <c r="E3736" s="204" t="s">
        <v>30</v>
      </c>
      <c r="F3736" s="204" t="s">
        <v>201</v>
      </c>
      <c r="G3736" s="196" t="s">
        <v>5915</v>
      </c>
      <c r="H3736" s="175"/>
    </row>
    <row r="3737" ht="14.25" spans="1:8">
      <c r="A3737" s="232">
        <v>1205</v>
      </c>
      <c r="B3737" s="195" t="s">
        <v>4833</v>
      </c>
      <c r="C3737" s="175" t="s">
        <v>48</v>
      </c>
      <c r="D3737" s="190">
        <v>0.01</v>
      </c>
      <c r="E3737" s="204" t="s">
        <v>30</v>
      </c>
      <c r="F3737" s="204" t="s">
        <v>201</v>
      </c>
      <c r="G3737" s="196" t="s">
        <v>5916</v>
      </c>
      <c r="H3737" s="175"/>
    </row>
    <row r="3738" ht="14.25" spans="1:8">
      <c r="A3738" s="232">
        <v>1206</v>
      </c>
      <c r="B3738" s="195" t="s">
        <v>5917</v>
      </c>
      <c r="C3738" s="175" t="s">
        <v>48</v>
      </c>
      <c r="D3738" s="190">
        <v>0.19</v>
      </c>
      <c r="E3738" s="204" t="s">
        <v>30</v>
      </c>
      <c r="F3738" s="204" t="s">
        <v>201</v>
      </c>
      <c r="G3738" s="196" t="s">
        <v>5918</v>
      </c>
      <c r="H3738" s="175"/>
    </row>
    <row r="3739" ht="14.25" spans="1:8">
      <c r="A3739" s="232">
        <v>1207</v>
      </c>
      <c r="B3739" s="195" t="s">
        <v>5919</v>
      </c>
      <c r="C3739" s="175" t="s">
        <v>48</v>
      </c>
      <c r="D3739" s="190">
        <v>0.03</v>
      </c>
      <c r="E3739" s="204" t="s">
        <v>30</v>
      </c>
      <c r="F3739" s="204" t="s">
        <v>201</v>
      </c>
      <c r="G3739" s="196" t="s">
        <v>5920</v>
      </c>
      <c r="H3739" s="175"/>
    </row>
    <row r="3740" ht="14.25" spans="1:8">
      <c r="A3740" s="232">
        <v>1208</v>
      </c>
      <c r="B3740" s="195" t="s">
        <v>5921</v>
      </c>
      <c r="C3740" s="175" t="s">
        <v>48</v>
      </c>
      <c r="D3740" s="190">
        <v>0.02</v>
      </c>
      <c r="E3740" s="204" t="s">
        <v>30</v>
      </c>
      <c r="F3740" s="204" t="s">
        <v>201</v>
      </c>
      <c r="G3740" s="196" t="s">
        <v>5922</v>
      </c>
      <c r="H3740" s="175"/>
    </row>
    <row r="3741" ht="14.25" spans="1:8">
      <c r="A3741" s="232">
        <v>1209</v>
      </c>
      <c r="B3741" s="195" t="s">
        <v>5923</v>
      </c>
      <c r="C3741" s="175" t="s">
        <v>48</v>
      </c>
      <c r="D3741" s="190">
        <v>0.02</v>
      </c>
      <c r="E3741" s="204" t="s">
        <v>30</v>
      </c>
      <c r="F3741" s="204" t="s">
        <v>201</v>
      </c>
      <c r="G3741" s="196" t="s">
        <v>5924</v>
      </c>
      <c r="H3741" s="175"/>
    </row>
    <row r="3742" ht="14.25" spans="1:8">
      <c r="A3742" s="232">
        <v>1210</v>
      </c>
      <c r="B3742" s="195" t="s">
        <v>5925</v>
      </c>
      <c r="C3742" s="175" t="s">
        <v>48</v>
      </c>
      <c r="D3742" s="190">
        <v>0.02</v>
      </c>
      <c r="E3742" s="204" t="s">
        <v>30</v>
      </c>
      <c r="F3742" s="204" t="s">
        <v>201</v>
      </c>
      <c r="G3742" s="196" t="s">
        <v>5926</v>
      </c>
      <c r="H3742" s="175"/>
    </row>
    <row r="3743" ht="14.25" spans="1:8">
      <c r="A3743" s="232">
        <v>1211</v>
      </c>
      <c r="B3743" s="195" t="s">
        <v>5927</v>
      </c>
      <c r="C3743" s="175" t="s">
        <v>48</v>
      </c>
      <c r="D3743" s="190">
        <v>0.02</v>
      </c>
      <c r="E3743" s="204" t="s">
        <v>30</v>
      </c>
      <c r="F3743" s="204" t="s">
        <v>201</v>
      </c>
      <c r="G3743" s="196" t="s">
        <v>5928</v>
      </c>
      <c r="H3743" s="175"/>
    </row>
    <row r="3744" ht="14.25" spans="1:8">
      <c r="A3744" s="232">
        <v>1212</v>
      </c>
      <c r="B3744" s="195" t="s">
        <v>3566</v>
      </c>
      <c r="C3744" s="175" t="s">
        <v>48</v>
      </c>
      <c r="D3744" s="190">
        <v>0.02</v>
      </c>
      <c r="E3744" s="204" t="s">
        <v>30</v>
      </c>
      <c r="F3744" s="204" t="s">
        <v>201</v>
      </c>
      <c r="G3744" s="196" t="s">
        <v>5929</v>
      </c>
      <c r="H3744" s="175"/>
    </row>
    <row r="3745" ht="14.25" spans="1:8">
      <c r="A3745" s="232">
        <v>1213</v>
      </c>
      <c r="B3745" s="195" t="s">
        <v>5930</v>
      </c>
      <c r="C3745" s="175" t="s">
        <v>48</v>
      </c>
      <c r="D3745" s="190">
        <v>0.02</v>
      </c>
      <c r="E3745" s="204" t="s">
        <v>30</v>
      </c>
      <c r="F3745" s="204" t="s">
        <v>201</v>
      </c>
      <c r="G3745" s="196" t="s">
        <v>5931</v>
      </c>
      <c r="H3745" s="175"/>
    </row>
    <row r="3746" ht="14.25" spans="1:8">
      <c r="A3746" s="232">
        <v>1214</v>
      </c>
      <c r="B3746" s="195" t="s">
        <v>5932</v>
      </c>
      <c r="C3746" s="175" t="s">
        <v>48</v>
      </c>
      <c r="D3746" s="190">
        <v>0.02</v>
      </c>
      <c r="E3746" s="204" t="s">
        <v>30</v>
      </c>
      <c r="F3746" s="204" t="s">
        <v>201</v>
      </c>
      <c r="G3746" s="196" t="s">
        <v>5933</v>
      </c>
      <c r="H3746" s="175"/>
    </row>
    <row r="3747" ht="14.25" spans="1:8">
      <c r="A3747" s="232">
        <v>1215</v>
      </c>
      <c r="B3747" s="195" t="s">
        <v>5656</v>
      </c>
      <c r="C3747" s="175" t="s">
        <v>48</v>
      </c>
      <c r="D3747" s="190">
        <v>0.02</v>
      </c>
      <c r="E3747" s="204" t="s">
        <v>30</v>
      </c>
      <c r="F3747" s="204" t="s">
        <v>201</v>
      </c>
      <c r="G3747" s="196" t="s">
        <v>5934</v>
      </c>
      <c r="H3747" s="175"/>
    </row>
    <row r="3748" ht="14.25" spans="1:8">
      <c r="A3748" s="232">
        <v>1216</v>
      </c>
      <c r="B3748" s="195" t="s">
        <v>512</v>
      </c>
      <c r="C3748" s="175" t="s">
        <v>48</v>
      </c>
      <c r="D3748" s="190">
        <v>0.02</v>
      </c>
      <c r="E3748" s="204" t="s">
        <v>30</v>
      </c>
      <c r="F3748" s="204" t="s">
        <v>201</v>
      </c>
      <c r="G3748" s="196" t="s">
        <v>5935</v>
      </c>
      <c r="H3748" s="175"/>
    </row>
    <row r="3749" ht="14.25" spans="1:8">
      <c r="A3749" s="232">
        <v>1217</v>
      </c>
      <c r="B3749" s="195" t="s">
        <v>512</v>
      </c>
      <c r="C3749" s="175" t="s">
        <v>48</v>
      </c>
      <c r="D3749" s="190">
        <v>0.02</v>
      </c>
      <c r="E3749" s="204" t="s">
        <v>30</v>
      </c>
      <c r="F3749" s="204" t="s">
        <v>201</v>
      </c>
      <c r="G3749" s="196" t="s">
        <v>5936</v>
      </c>
      <c r="H3749" s="175"/>
    </row>
    <row r="3750" ht="14.25" spans="1:8">
      <c r="A3750" s="232">
        <v>1218</v>
      </c>
      <c r="B3750" s="195" t="s">
        <v>5937</v>
      </c>
      <c r="C3750" s="175" t="s">
        <v>48</v>
      </c>
      <c r="D3750" s="190">
        <v>0.01</v>
      </c>
      <c r="E3750" s="204" t="s">
        <v>30</v>
      </c>
      <c r="F3750" s="204" t="s">
        <v>201</v>
      </c>
      <c r="G3750" s="196" t="s">
        <v>5938</v>
      </c>
      <c r="H3750" s="175"/>
    </row>
    <row r="3751" ht="14.25" spans="1:8">
      <c r="A3751" s="232">
        <v>1219</v>
      </c>
      <c r="B3751" s="195" t="s">
        <v>5267</v>
      </c>
      <c r="C3751" s="175" t="s">
        <v>48</v>
      </c>
      <c r="D3751" s="190">
        <v>0.02</v>
      </c>
      <c r="E3751" s="204" t="s">
        <v>30</v>
      </c>
      <c r="F3751" s="204" t="s">
        <v>201</v>
      </c>
      <c r="G3751" s="196" t="s">
        <v>4447</v>
      </c>
      <c r="H3751" s="175"/>
    </row>
    <row r="3752" ht="14.25" spans="1:8">
      <c r="A3752" s="232">
        <v>1220</v>
      </c>
      <c r="B3752" s="195" t="s">
        <v>5939</v>
      </c>
      <c r="C3752" s="175" t="s">
        <v>48</v>
      </c>
      <c r="D3752" s="190">
        <v>0.02</v>
      </c>
      <c r="E3752" s="204" t="s">
        <v>30</v>
      </c>
      <c r="F3752" s="204" t="s">
        <v>201</v>
      </c>
      <c r="G3752" s="196" t="s">
        <v>5940</v>
      </c>
      <c r="H3752" s="175"/>
    </row>
    <row r="3753" ht="14.25" spans="1:8">
      <c r="A3753" s="232">
        <v>1221</v>
      </c>
      <c r="B3753" s="195" t="s">
        <v>5941</v>
      </c>
      <c r="C3753" s="175" t="s">
        <v>48</v>
      </c>
      <c r="D3753" s="190">
        <v>0.01</v>
      </c>
      <c r="E3753" s="204" t="s">
        <v>30</v>
      </c>
      <c r="F3753" s="204" t="s">
        <v>201</v>
      </c>
      <c r="G3753" s="196" t="s">
        <v>5942</v>
      </c>
      <c r="H3753" s="175"/>
    </row>
    <row r="3754" ht="14.25" spans="1:8">
      <c r="A3754" s="232">
        <v>1222</v>
      </c>
      <c r="B3754" s="195" t="s">
        <v>5937</v>
      </c>
      <c r="C3754" s="175" t="s">
        <v>48</v>
      </c>
      <c r="D3754" s="190">
        <v>0.01</v>
      </c>
      <c r="E3754" s="204" t="s">
        <v>30</v>
      </c>
      <c r="F3754" s="204" t="s">
        <v>201</v>
      </c>
      <c r="G3754" s="196" t="s">
        <v>5943</v>
      </c>
      <c r="H3754" s="175"/>
    </row>
    <row r="3755" ht="14.25" spans="1:8">
      <c r="A3755" s="232">
        <v>1223</v>
      </c>
      <c r="B3755" s="183" t="s">
        <v>5944</v>
      </c>
      <c r="C3755" s="175" t="s">
        <v>48</v>
      </c>
      <c r="D3755" s="190">
        <v>0.01</v>
      </c>
      <c r="E3755" s="204" t="s">
        <v>30</v>
      </c>
      <c r="F3755" s="204" t="s">
        <v>201</v>
      </c>
      <c r="G3755" s="196" t="s">
        <v>5945</v>
      </c>
      <c r="H3755" s="175"/>
    </row>
    <row r="3756" ht="14.25" spans="1:8">
      <c r="A3756" s="232">
        <v>1224</v>
      </c>
      <c r="B3756" s="183" t="s">
        <v>5946</v>
      </c>
      <c r="C3756" s="175" t="s">
        <v>48</v>
      </c>
      <c r="D3756" s="190">
        <v>0.05</v>
      </c>
      <c r="E3756" s="204" t="s">
        <v>30</v>
      </c>
      <c r="F3756" s="204" t="s">
        <v>201</v>
      </c>
      <c r="G3756" s="196" t="s">
        <v>5947</v>
      </c>
      <c r="H3756" s="175"/>
    </row>
    <row r="3757" ht="14.25" spans="1:8">
      <c r="A3757" s="232">
        <v>1225</v>
      </c>
      <c r="B3757" s="183" t="s">
        <v>5948</v>
      </c>
      <c r="C3757" s="175" t="s">
        <v>48</v>
      </c>
      <c r="D3757" s="190">
        <v>0.03</v>
      </c>
      <c r="E3757" s="204" t="s">
        <v>30</v>
      </c>
      <c r="F3757" s="204" t="s">
        <v>201</v>
      </c>
      <c r="G3757" s="196" t="s">
        <v>4617</v>
      </c>
      <c r="H3757" s="175"/>
    </row>
    <row r="3758" ht="14.25" spans="1:8">
      <c r="A3758" s="232">
        <v>1226</v>
      </c>
      <c r="B3758" s="183" t="s">
        <v>5949</v>
      </c>
      <c r="C3758" s="175" t="s">
        <v>48</v>
      </c>
      <c r="D3758" s="190">
        <v>0.01</v>
      </c>
      <c r="E3758" s="204" t="s">
        <v>30</v>
      </c>
      <c r="F3758" s="204" t="s">
        <v>201</v>
      </c>
      <c r="G3758" s="196" t="s">
        <v>5950</v>
      </c>
      <c r="H3758" s="175"/>
    </row>
    <row r="3759" ht="14.25" spans="1:8">
      <c r="A3759" s="232">
        <v>1227</v>
      </c>
      <c r="B3759" s="183" t="s">
        <v>5951</v>
      </c>
      <c r="C3759" s="175" t="s">
        <v>48</v>
      </c>
      <c r="D3759" s="190">
        <v>0.01</v>
      </c>
      <c r="E3759" s="204" t="s">
        <v>30</v>
      </c>
      <c r="F3759" s="204" t="s">
        <v>201</v>
      </c>
      <c r="G3759" s="196" t="s">
        <v>5952</v>
      </c>
      <c r="H3759" s="175"/>
    </row>
    <row r="3760" ht="14.25" spans="1:8">
      <c r="A3760" s="232">
        <v>1228</v>
      </c>
      <c r="B3760" s="183" t="s">
        <v>5953</v>
      </c>
      <c r="C3760" s="175" t="s">
        <v>48</v>
      </c>
      <c r="D3760" s="190">
        <v>0.01</v>
      </c>
      <c r="E3760" s="204" t="s">
        <v>30</v>
      </c>
      <c r="F3760" s="204" t="s">
        <v>201</v>
      </c>
      <c r="G3760" s="196" t="s">
        <v>5954</v>
      </c>
      <c r="H3760" s="175"/>
    </row>
    <row r="3761" ht="14.25" spans="1:8">
      <c r="A3761" s="232">
        <v>1229</v>
      </c>
      <c r="B3761" s="183" t="s">
        <v>5955</v>
      </c>
      <c r="C3761" s="175" t="s">
        <v>48</v>
      </c>
      <c r="D3761" s="190">
        <v>0.01</v>
      </c>
      <c r="E3761" s="204" t="s">
        <v>30</v>
      </c>
      <c r="F3761" s="204" t="s">
        <v>201</v>
      </c>
      <c r="G3761" s="196" t="s">
        <v>5956</v>
      </c>
      <c r="H3761" s="175"/>
    </row>
    <row r="3762" ht="14.25" spans="1:8">
      <c r="A3762" s="232">
        <v>1230</v>
      </c>
      <c r="B3762" s="183" t="s">
        <v>5957</v>
      </c>
      <c r="C3762" s="175" t="s">
        <v>48</v>
      </c>
      <c r="D3762" s="190">
        <v>0.01</v>
      </c>
      <c r="E3762" s="204" t="s">
        <v>30</v>
      </c>
      <c r="F3762" s="204" t="s">
        <v>201</v>
      </c>
      <c r="G3762" s="196" t="s">
        <v>5958</v>
      </c>
      <c r="H3762" s="175"/>
    </row>
    <row r="3763" ht="14.25" spans="1:8">
      <c r="A3763" s="232">
        <v>1231</v>
      </c>
      <c r="B3763" s="183" t="s">
        <v>5959</v>
      </c>
      <c r="C3763" s="175" t="s">
        <v>48</v>
      </c>
      <c r="D3763" s="190">
        <v>0.01</v>
      </c>
      <c r="E3763" s="204" t="s">
        <v>30</v>
      </c>
      <c r="F3763" s="204" t="s">
        <v>201</v>
      </c>
      <c r="G3763" s="196" t="s">
        <v>5960</v>
      </c>
      <c r="H3763" s="175"/>
    </row>
    <row r="3764" ht="14.25" spans="1:8">
      <c r="A3764" s="232">
        <v>1232</v>
      </c>
      <c r="B3764" s="263" t="s">
        <v>5961</v>
      </c>
      <c r="C3764" s="175" t="s">
        <v>48</v>
      </c>
      <c r="D3764" s="190">
        <v>0.1</v>
      </c>
      <c r="E3764" s="204" t="s">
        <v>30</v>
      </c>
      <c r="F3764" s="204" t="s">
        <v>201</v>
      </c>
      <c r="G3764" s="196" t="s">
        <v>5962</v>
      </c>
      <c r="H3764" s="175"/>
    </row>
    <row r="3765" ht="14.25" spans="1:8">
      <c r="A3765" s="232">
        <v>1233</v>
      </c>
      <c r="B3765" s="196" t="s">
        <v>5963</v>
      </c>
      <c r="C3765" s="175" t="s">
        <v>48</v>
      </c>
      <c r="D3765" s="190">
        <v>0.015</v>
      </c>
      <c r="E3765" s="204" t="s">
        <v>30</v>
      </c>
      <c r="F3765" s="204" t="s">
        <v>201</v>
      </c>
      <c r="G3765" s="196" t="s">
        <v>5964</v>
      </c>
      <c r="H3765" s="175"/>
    </row>
    <row r="3766" ht="14.25" spans="1:8">
      <c r="A3766" s="232">
        <v>1234</v>
      </c>
      <c r="B3766" s="196" t="s">
        <v>5939</v>
      </c>
      <c r="C3766" s="175" t="s">
        <v>48</v>
      </c>
      <c r="D3766" s="190">
        <v>0.01</v>
      </c>
      <c r="E3766" s="204" t="s">
        <v>30</v>
      </c>
      <c r="F3766" s="204" t="s">
        <v>201</v>
      </c>
      <c r="G3766" s="196" t="s">
        <v>5965</v>
      </c>
      <c r="H3766" s="175"/>
    </row>
    <row r="3767" ht="14.25" spans="1:8">
      <c r="A3767" s="232">
        <v>1235</v>
      </c>
      <c r="B3767" s="196" t="s">
        <v>5966</v>
      </c>
      <c r="C3767" s="175" t="s">
        <v>48</v>
      </c>
      <c r="D3767" s="190">
        <v>0.02</v>
      </c>
      <c r="E3767" s="204" t="s">
        <v>30</v>
      </c>
      <c r="F3767" s="204" t="s">
        <v>201</v>
      </c>
      <c r="G3767" s="196" t="s">
        <v>5967</v>
      </c>
      <c r="H3767" s="175"/>
    </row>
    <row r="3768" ht="14.25" spans="1:8">
      <c r="A3768" s="232">
        <v>1236</v>
      </c>
      <c r="B3768" s="196" t="s">
        <v>5968</v>
      </c>
      <c r="C3768" s="175" t="s">
        <v>48</v>
      </c>
      <c r="D3768" s="190">
        <v>0.03</v>
      </c>
      <c r="E3768" s="204" t="s">
        <v>30</v>
      </c>
      <c r="F3768" s="204" t="s">
        <v>201</v>
      </c>
      <c r="G3768" s="196" t="s">
        <v>5969</v>
      </c>
      <c r="H3768" s="175"/>
    </row>
    <row r="3769" ht="14.25" spans="1:8">
      <c r="A3769" s="232">
        <v>1237</v>
      </c>
      <c r="B3769" s="196" t="s">
        <v>5369</v>
      </c>
      <c r="C3769" s="175" t="s">
        <v>48</v>
      </c>
      <c r="D3769" s="190">
        <v>0.09</v>
      </c>
      <c r="E3769" s="204" t="s">
        <v>30</v>
      </c>
      <c r="F3769" s="204" t="s">
        <v>201</v>
      </c>
      <c r="G3769" s="196" t="s">
        <v>4931</v>
      </c>
      <c r="H3769" s="175"/>
    </row>
    <row r="3770" ht="14.25" spans="1:8">
      <c r="A3770" s="232">
        <v>1238</v>
      </c>
      <c r="B3770" s="195" t="s">
        <v>5970</v>
      </c>
      <c r="C3770" s="175" t="s">
        <v>48</v>
      </c>
      <c r="D3770" s="190">
        <v>0.02</v>
      </c>
      <c r="E3770" s="204" t="s">
        <v>30</v>
      </c>
      <c r="F3770" s="204" t="s">
        <v>201</v>
      </c>
      <c r="G3770" s="196" t="s">
        <v>5971</v>
      </c>
      <c r="H3770" s="175"/>
    </row>
    <row r="3771" ht="14.25" spans="1:8">
      <c r="A3771" s="232">
        <v>1239</v>
      </c>
      <c r="B3771" s="195" t="s">
        <v>5970</v>
      </c>
      <c r="C3771" s="175" t="s">
        <v>48</v>
      </c>
      <c r="D3771" s="190">
        <v>0.09</v>
      </c>
      <c r="E3771" s="204" t="s">
        <v>30</v>
      </c>
      <c r="F3771" s="204" t="s">
        <v>201</v>
      </c>
      <c r="G3771" s="196" t="s">
        <v>5972</v>
      </c>
      <c r="H3771" s="175"/>
    </row>
    <row r="3772" ht="14.25" spans="1:8">
      <c r="A3772" s="232">
        <v>1240</v>
      </c>
      <c r="B3772" s="195" t="s">
        <v>4740</v>
      </c>
      <c r="C3772" s="175" t="s">
        <v>48</v>
      </c>
      <c r="D3772" s="190">
        <v>0.09</v>
      </c>
      <c r="E3772" s="204" t="s">
        <v>30</v>
      </c>
      <c r="F3772" s="204" t="s">
        <v>201</v>
      </c>
      <c r="G3772" s="196" t="s">
        <v>5973</v>
      </c>
      <c r="H3772" s="175"/>
    </row>
    <row r="3773" ht="14.25" spans="1:8">
      <c r="A3773" s="232">
        <v>1241</v>
      </c>
      <c r="B3773" s="195" t="s">
        <v>5974</v>
      </c>
      <c r="C3773" s="175" t="s">
        <v>48</v>
      </c>
      <c r="D3773" s="190">
        <v>0.02</v>
      </c>
      <c r="E3773" s="204" t="s">
        <v>30</v>
      </c>
      <c r="F3773" s="204" t="s">
        <v>201</v>
      </c>
      <c r="G3773" s="196" t="s">
        <v>5975</v>
      </c>
      <c r="H3773" s="175"/>
    </row>
    <row r="3774" ht="14.25" spans="1:8">
      <c r="A3774" s="232">
        <v>1242</v>
      </c>
      <c r="B3774" s="195" t="s">
        <v>5974</v>
      </c>
      <c r="C3774" s="175" t="s">
        <v>48</v>
      </c>
      <c r="D3774" s="190">
        <v>0.02</v>
      </c>
      <c r="E3774" s="204" t="s">
        <v>30</v>
      </c>
      <c r="F3774" s="204" t="s">
        <v>201</v>
      </c>
      <c r="G3774" s="196" t="s">
        <v>5976</v>
      </c>
      <c r="H3774" s="175"/>
    </row>
    <row r="3775" ht="14.25" spans="1:8">
      <c r="A3775" s="232">
        <v>1243</v>
      </c>
      <c r="B3775" s="195" t="s">
        <v>5974</v>
      </c>
      <c r="C3775" s="175" t="s">
        <v>48</v>
      </c>
      <c r="D3775" s="190">
        <v>0.02</v>
      </c>
      <c r="E3775" s="204" t="s">
        <v>30</v>
      </c>
      <c r="F3775" s="204" t="s">
        <v>201</v>
      </c>
      <c r="G3775" s="196" t="s">
        <v>5977</v>
      </c>
      <c r="H3775" s="175"/>
    </row>
    <row r="3776" ht="14.25" spans="1:8">
      <c r="A3776" s="232">
        <v>1244</v>
      </c>
      <c r="B3776" s="195" t="s">
        <v>5974</v>
      </c>
      <c r="C3776" s="175" t="s">
        <v>48</v>
      </c>
      <c r="D3776" s="190">
        <v>0.02</v>
      </c>
      <c r="E3776" s="204" t="s">
        <v>30</v>
      </c>
      <c r="F3776" s="204" t="s">
        <v>201</v>
      </c>
      <c r="G3776" s="196" t="s">
        <v>5978</v>
      </c>
      <c r="H3776" s="175"/>
    </row>
    <row r="3777" ht="14.25" spans="1:8">
      <c r="A3777" s="232">
        <v>1245</v>
      </c>
      <c r="B3777" s="195" t="s">
        <v>5979</v>
      </c>
      <c r="C3777" s="175" t="s">
        <v>48</v>
      </c>
      <c r="D3777" s="173">
        <v>0.01</v>
      </c>
      <c r="E3777" s="204" t="s">
        <v>30</v>
      </c>
      <c r="F3777" s="204" t="s">
        <v>201</v>
      </c>
      <c r="G3777" s="196" t="s">
        <v>5980</v>
      </c>
      <c r="H3777" s="175"/>
    </row>
    <row r="3778" ht="14.25" spans="1:8">
      <c r="A3778" s="232">
        <v>1246</v>
      </c>
      <c r="B3778" s="195" t="s">
        <v>5981</v>
      </c>
      <c r="C3778" s="175" t="s">
        <v>48</v>
      </c>
      <c r="D3778" s="173">
        <v>0.01</v>
      </c>
      <c r="E3778" s="204" t="s">
        <v>30</v>
      </c>
      <c r="F3778" s="204" t="s">
        <v>201</v>
      </c>
      <c r="G3778" s="196" t="s">
        <v>5982</v>
      </c>
      <c r="H3778" s="175"/>
    </row>
    <row r="3779" ht="14.25" spans="1:8">
      <c r="A3779" s="232">
        <v>1247</v>
      </c>
      <c r="B3779" s="195" t="s">
        <v>5979</v>
      </c>
      <c r="C3779" s="175" t="s">
        <v>48</v>
      </c>
      <c r="D3779" s="173">
        <v>0.01</v>
      </c>
      <c r="E3779" s="204" t="s">
        <v>30</v>
      </c>
      <c r="F3779" s="204" t="s">
        <v>201</v>
      </c>
      <c r="G3779" s="196" t="s">
        <v>5980</v>
      </c>
      <c r="H3779" s="175"/>
    </row>
    <row r="3780" ht="14.25" spans="1:8">
      <c r="A3780" s="232">
        <v>1248</v>
      </c>
      <c r="B3780" s="195" t="s">
        <v>5979</v>
      </c>
      <c r="C3780" s="175" t="s">
        <v>48</v>
      </c>
      <c r="D3780" s="173">
        <v>0.01</v>
      </c>
      <c r="E3780" s="204" t="s">
        <v>30</v>
      </c>
      <c r="F3780" s="204" t="s">
        <v>201</v>
      </c>
      <c r="G3780" s="196" t="s">
        <v>5982</v>
      </c>
      <c r="H3780" s="175"/>
    </row>
    <row r="3781" ht="14.25" spans="1:8">
      <c r="A3781" s="232">
        <v>1249</v>
      </c>
      <c r="B3781" s="264" t="s">
        <v>5306</v>
      </c>
      <c r="C3781" s="175" t="s">
        <v>48</v>
      </c>
      <c r="D3781" s="173">
        <v>0.06</v>
      </c>
      <c r="E3781" s="204" t="s">
        <v>30</v>
      </c>
      <c r="F3781" s="204" t="s">
        <v>201</v>
      </c>
      <c r="G3781" s="196" t="s">
        <v>928</v>
      </c>
      <c r="H3781" s="175"/>
    </row>
    <row r="3782" ht="14.25" spans="1:8">
      <c r="A3782" s="232">
        <v>1250</v>
      </c>
      <c r="B3782" s="264" t="s">
        <v>4558</v>
      </c>
      <c r="C3782" s="175" t="s">
        <v>48</v>
      </c>
      <c r="D3782" s="173">
        <v>0.03</v>
      </c>
      <c r="E3782" s="204" t="s">
        <v>30</v>
      </c>
      <c r="F3782" s="204" t="s">
        <v>201</v>
      </c>
      <c r="G3782" s="196" t="s">
        <v>5964</v>
      </c>
      <c r="H3782" s="175"/>
    </row>
    <row r="3783" ht="14.25" spans="1:8">
      <c r="A3783" s="232">
        <v>1251</v>
      </c>
      <c r="B3783" s="264" t="s">
        <v>4558</v>
      </c>
      <c r="C3783" s="175" t="s">
        <v>48</v>
      </c>
      <c r="D3783" s="173">
        <v>0.03</v>
      </c>
      <c r="E3783" s="204" t="s">
        <v>30</v>
      </c>
      <c r="F3783" s="204" t="s">
        <v>201</v>
      </c>
      <c r="G3783" s="196" t="s">
        <v>5571</v>
      </c>
      <c r="H3783" s="175"/>
    </row>
    <row r="3784" ht="14.25" spans="1:8">
      <c r="A3784" s="232">
        <v>1252</v>
      </c>
      <c r="B3784" s="195" t="s">
        <v>5968</v>
      </c>
      <c r="C3784" s="175" t="s">
        <v>48</v>
      </c>
      <c r="D3784" s="173">
        <v>0.05</v>
      </c>
      <c r="E3784" s="204" t="s">
        <v>30</v>
      </c>
      <c r="F3784" s="204" t="s">
        <v>201</v>
      </c>
      <c r="G3784" s="196" t="s">
        <v>5969</v>
      </c>
      <c r="H3784" s="175"/>
    </row>
    <row r="3785" ht="14.25" spans="1:8">
      <c r="A3785" s="232">
        <v>1253</v>
      </c>
      <c r="B3785" s="264" t="s">
        <v>349</v>
      </c>
      <c r="C3785" s="175" t="s">
        <v>48</v>
      </c>
      <c r="D3785" s="173">
        <v>0.005</v>
      </c>
      <c r="E3785" s="204" t="s">
        <v>30</v>
      </c>
      <c r="F3785" s="204" t="s">
        <v>201</v>
      </c>
      <c r="G3785" s="196" t="s">
        <v>5983</v>
      </c>
      <c r="H3785" s="175"/>
    </row>
    <row r="3786" ht="14.25" spans="1:8">
      <c r="A3786" s="232">
        <v>1254</v>
      </c>
      <c r="B3786" s="195" t="s">
        <v>5833</v>
      </c>
      <c r="C3786" s="175" t="s">
        <v>48</v>
      </c>
      <c r="D3786" s="173">
        <v>0.1</v>
      </c>
      <c r="E3786" s="204" t="s">
        <v>30</v>
      </c>
      <c r="F3786" s="204" t="s">
        <v>201</v>
      </c>
      <c r="G3786" s="196" t="s">
        <v>5834</v>
      </c>
      <c r="H3786" s="175"/>
    </row>
    <row r="3787" ht="14.25" spans="1:8">
      <c r="A3787" s="232">
        <v>1255</v>
      </c>
      <c r="B3787" s="264" t="s">
        <v>5984</v>
      </c>
      <c r="C3787" s="175" t="s">
        <v>48</v>
      </c>
      <c r="D3787" s="173">
        <v>0.05</v>
      </c>
      <c r="E3787" s="204" t="s">
        <v>30</v>
      </c>
      <c r="F3787" s="204" t="s">
        <v>201</v>
      </c>
      <c r="G3787" s="196" t="s">
        <v>5985</v>
      </c>
      <c r="H3787" s="175"/>
    </row>
    <row r="3788" ht="14.25" spans="1:8">
      <c r="A3788" s="232">
        <v>1256</v>
      </c>
      <c r="B3788" s="264" t="s">
        <v>5986</v>
      </c>
      <c r="C3788" s="175" t="s">
        <v>48</v>
      </c>
      <c r="D3788" s="173">
        <v>0.04</v>
      </c>
      <c r="E3788" s="204" t="s">
        <v>30</v>
      </c>
      <c r="F3788" s="204" t="s">
        <v>201</v>
      </c>
      <c r="G3788" s="196" t="s">
        <v>5987</v>
      </c>
      <c r="H3788" s="175"/>
    </row>
    <row r="3789" ht="14.25" spans="1:8">
      <c r="A3789" s="232">
        <v>1257</v>
      </c>
      <c r="B3789" s="264" t="s">
        <v>5988</v>
      </c>
      <c r="C3789" s="175" t="s">
        <v>48</v>
      </c>
      <c r="D3789" s="173">
        <v>0.03</v>
      </c>
      <c r="E3789" s="204" t="s">
        <v>30</v>
      </c>
      <c r="F3789" s="204" t="s">
        <v>201</v>
      </c>
      <c r="G3789" s="196" t="s">
        <v>5989</v>
      </c>
      <c r="H3789" s="175"/>
    </row>
    <row r="3790" ht="14.25" spans="1:8">
      <c r="A3790" s="232">
        <v>1258</v>
      </c>
      <c r="B3790" s="264" t="s">
        <v>5988</v>
      </c>
      <c r="C3790" s="175" t="s">
        <v>48</v>
      </c>
      <c r="D3790" s="173">
        <v>0.03</v>
      </c>
      <c r="E3790" s="204" t="s">
        <v>30</v>
      </c>
      <c r="F3790" s="204" t="s">
        <v>201</v>
      </c>
      <c r="G3790" s="196" t="s">
        <v>5990</v>
      </c>
      <c r="H3790" s="175"/>
    </row>
    <row r="3791" ht="14.25" spans="1:8">
      <c r="A3791" s="232">
        <v>1259</v>
      </c>
      <c r="B3791" s="195" t="s">
        <v>5396</v>
      </c>
      <c r="C3791" s="175" t="s">
        <v>48</v>
      </c>
      <c r="D3791" s="173">
        <v>0.03</v>
      </c>
      <c r="E3791" s="204" t="s">
        <v>30</v>
      </c>
      <c r="F3791" s="204" t="s">
        <v>201</v>
      </c>
      <c r="G3791" s="196" t="s">
        <v>5397</v>
      </c>
      <c r="H3791" s="175"/>
    </row>
    <row r="3792" ht="14.25" spans="1:8">
      <c r="A3792" s="232">
        <v>1260</v>
      </c>
      <c r="B3792" s="264" t="s">
        <v>5991</v>
      </c>
      <c r="C3792" s="175" t="s">
        <v>48</v>
      </c>
      <c r="D3792" s="173">
        <v>0.03</v>
      </c>
      <c r="E3792" s="204" t="s">
        <v>30</v>
      </c>
      <c r="F3792" s="204" t="s">
        <v>201</v>
      </c>
      <c r="G3792" s="196" t="s">
        <v>5992</v>
      </c>
      <c r="H3792" s="175"/>
    </row>
    <row r="3793" ht="14.25" spans="1:8">
      <c r="A3793" s="232">
        <v>1261</v>
      </c>
      <c r="B3793" s="195" t="s">
        <v>5993</v>
      </c>
      <c r="C3793" s="175" t="s">
        <v>48</v>
      </c>
      <c r="D3793" s="173">
        <v>0.02</v>
      </c>
      <c r="E3793" s="204" t="s">
        <v>30</v>
      </c>
      <c r="F3793" s="204" t="s">
        <v>201</v>
      </c>
      <c r="G3793" s="196" t="s">
        <v>5994</v>
      </c>
      <c r="H3793" s="175"/>
    </row>
    <row r="3794" ht="14.25" spans="1:8">
      <c r="A3794" s="232">
        <v>1262</v>
      </c>
      <c r="B3794" s="195" t="s">
        <v>5993</v>
      </c>
      <c r="C3794" s="175" t="s">
        <v>48</v>
      </c>
      <c r="D3794" s="173">
        <v>0.02</v>
      </c>
      <c r="E3794" s="204" t="s">
        <v>30</v>
      </c>
      <c r="F3794" s="204" t="s">
        <v>201</v>
      </c>
      <c r="G3794" s="196" t="s">
        <v>5995</v>
      </c>
      <c r="H3794" s="175"/>
    </row>
    <row r="3795" ht="14.25" spans="1:8">
      <c r="A3795" s="232">
        <v>1263</v>
      </c>
      <c r="B3795" s="195" t="s">
        <v>5993</v>
      </c>
      <c r="C3795" s="175" t="s">
        <v>48</v>
      </c>
      <c r="D3795" s="173">
        <v>0.02</v>
      </c>
      <c r="E3795" s="204" t="s">
        <v>30</v>
      </c>
      <c r="F3795" s="204" t="s">
        <v>201</v>
      </c>
      <c r="G3795" s="196" t="s">
        <v>5996</v>
      </c>
      <c r="H3795" s="175"/>
    </row>
    <row r="3796" ht="14.25" spans="1:8">
      <c r="A3796" s="232">
        <v>1264</v>
      </c>
      <c r="B3796" s="264" t="s">
        <v>5997</v>
      </c>
      <c r="C3796" s="175" t="s">
        <v>48</v>
      </c>
      <c r="D3796" s="173">
        <v>0.02</v>
      </c>
      <c r="E3796" s="204" t="s">
        <v>30</v>
      </c>
      <c r="F3796" s="204" t="s">
        <v>201</v>
      </c>
      <c r="G3796" s="196" t="s">
        <v>5534</v>
      </c>
      <c r="H3796" s="175"/>
    </row>
    <row r="3797" ht="14.25" spans="1:8">
      <c r="A3797" s="232">
        <v>1265</v>
      </c>
      <c r="B3797" s="195" t="s">
        <v>5998</v>
      </c>
      <c r="C3797" s="175" t="s">
        <v>48</v>
      </c>
      <c r="D3797" s="173">
        <v>0.03</v>
      </c>
      <c r="E3797" s="204" t="s">
        <v>30</v>
      </c>
      <c r="F3797" s="204" t="s">
        <v>201</v>
      </c>
      <c r="G3797" s="196" t="s">
        <v>5999</v>
      </c>
      <c r="H3797" s="175"/>
    </row>
    <row r="3798" ht="14.25" spans="1:8">
      <c r="A3798" s="232">
        <v>1266</v>
      </c>
      <c r="B3798" s="195" t="s">
        <v>1718</v>
      </c>
      <c r="C3798" s="175" t="s">
        <v>48</v>
      </c>
      <c r="D3798" s="173">
        <v>0.1</v>
      </c>
      <c r="E3798" s="204" t="s">
        <v>30</v>
      </c>
      <c r="F3798" s="204" t="s">
        <v>201</v>
      </c>
      <c r="G3798" s="196" t="s">
        <v>6000</v>
      </c>
      <c r="H3798" s="175"/>
    </row>
    <row r="3799" ht="14.25" spans="1:8">
      <c r="A3799" s="232">
        <v>1267</v>
      </c>
      <c r="B3799" s="195" t="s">
        <v>1718</v>
      </c>
      <c r="C3799" s="175" t="s">
        <v>48</v>
      </c>
      <c r="D3799" s="173">
        <v>0.1</v>
      </c>
      <c r="E3799" s="204" t="s">
        <v>30</v>
      </c>
      <c r="F3799" s="204" t="s">
        <v>201</v>
      </c>
      <c r="G3799" s="196" t="s">
        <v>6001</v>
      </c>
      <c r="H3799" s="175"/>
    </row>
    <row r="3800" ht="14.25" spans="1:8">
      <c r="A3800" s="232">
        <v>1268</v>
      </c>
      <c r="B3800" s="195" t="s">
        <v>6002</v>
      </c>
      <c r="C3800" s="175" t="s">
        <v>48</v>
      </c>
      <c r="D3800" s="173">
        <v>0.1</v>
      </c>
      <c r="E3800" s="204" t="s">
        <v>30</v>
      </c>
      <c r="F3800" s="204" t="s">
        <v>201</v>
      </c>
      <c r="G3800" s="196" t="s">
        <v>6003</v>
      </c>
      <c r="H3800" s="175"/>
    </row>
    <row r="3801" ht="14.25" spans="1:8">
      <c r="A3801" s="232">
        <v>1269</v>
      </c>
      <c r="B3801" s="195" t="s">
        <v>4857</v>
      </c>
      <c r="C3801" s="175" t="s">
        <v>48</v>
      </c>
      <c r="D3801" s="173">
        <v>0.05</v>
      </c>
      <c r="E3801" s="204" t="s">
        <v>30</v>
      </c>
      <c r="F3801" s="204" t="s">
        <v>201</v>
      </c>
      <c r="G3801" s="196" t="s">
        <v>6004</v>
      </c>
      <c r="H3801" s="175"/>
    </row>
    <row r="3802" ht="14.25" spans="1:8">
      <c r="A3802" s="232">
        <v>1270</v>
      </c>
      <c r="B3802" s="195" t="s">
        <v>6005</v>
      </c>
      <c r="C3802" s="175" t="s">
        <v>48</v>
      </c>
      <c r="D3802" s="173">
        <v>0.015</v>
      </c>
      <c r="E3802" s="204" t="s">
        <v>30</v>
      </c>
      <c r="F3802" s="204" t="s">
        <v>201</v>
      </c>
      <c r="G3802" s="196" t="s">
        <v>6006</v>
      </c>
      <c r="H3802" s="175"/>
    </row>
    <row r="3803" ht="14.25" spans="1:8">
      <c r="A3803" s="232">
        <v>1271</v>
      </c>
      <c r="B3803" s="195" t="s">
        <v>6007</v>
      </c>
      <c r="C3803" s="175" t="s">
        <v>48</v>
      </c>
      <c r="D3803" s="173">
        <v>0.045</v>
      </c>
      <c r="E3803" s="204" t="s">
        <v>30</v>
      </c>
      <c r="F3803" s="204" t="s">
        <v>201</v>
      </c>
      <c r="G3803" s="196" t="s">
        <v>6008</v>
      </c>
      <c r="H3803" s="175"/>
    </row>
    <row r="3804" ht="14.25" spans="1:8">
      <c r="A3804" s="232">
        <v>1272</v>
      </c>
      <c r="B3804" s="195" t="s">
        <v>6009</v>
      </c>
      <c r="C3804" s="175" t="s">
        <v>48</v>
      </c>
      <c r="D3804" s="173">
        <v>0.18</v>
      </c>
      <c r="E3804" s="204" t="s">
        <v>30</v>
      </c>
      <c r="F3804" s="204" t="s">
        <v>201</v>
      </c>
      <c r="G3804" s="196" t="s">
        <v>6010</v>
      </c>
      <c r="H3804" s="175"/>
    </row>
    <row r="3805" ht="14.25" spans="1:8">
      <c r="A3805" s="232">
        <v>1273</v>
      </c>
      <c r="B3805" s="195" t="s">
        <v>4740</v>
      </c>
      <c r="C3805" s="175" t="s">
        <v>48</v>
      </c>
      <c r="D3805" s="173">
        <v>0.02</v>
      </c>
      <c r="E3805" s="204" t="s">
        <v>30</v>
      </c>
      <c r="F3805" s="204" t="s">
        <v>201</v>
      </c>
      <c r="G3805" s="196" t="s">
        <v>4765</v>
      </c>
      <c r="H3805" s="175"/>
    </row>
    <row r="3806" ht="14.25" spans="1:8">
      <c r="A3806" s="232">
        <v>1274</v>
      </c>
      <c r="B3806" s="195" t="s">
        <v>6011</v>
      </c>
      <c r="C3806" s="175" t="s">
        <v>48</v>
      </c>
      <c r="D3806" s="173">
        <v>0.015</v>
      </c>
      <c r="E3806" s="204" t="s">
        <v>30</v>
      </c>
      <c r="F3806" s="204" t="s">
        <v>201</v>
      </c>
      <c r="G3806" s="196" t="s">
        <v>4589</v>
      </c>
      <c r="H3806" s="175"/>
    </row>
    <row r="3807" ht="14.25" spans="1:8">
      <c r="A3807" s="232">
        <v>1275</v>
      </c>
      <c r="B3807" s="195" t="s">
        <v>6012</v>
      </c>
      <c r="C3807" s="175" t="s">
        <v>48</v>
      </c>
      <c r="D3807" s="173">
        <v>0.1</v>
      </c>
      <c r="E3807" s="204" t="s">
        <v>30</v>
      </c>
      <c r="F3807" s="204" t="s">
        <v>201</v>
      </c>
      <c r="G3807" s="196" t="s">
        <v>6013</v>
      </c>
      <c r="H3807" s="175"/>
    </row>
    <row r="3808" ht="14.25" spans="1:8">
      <c r="A3808" s="232">
        <v>1276</v>
      </c>
      <c r="B3808" s="195" t="s">
        <v>4857</v>
      </c>
      <c r="C3808" s="175" t="s">
        <v>48</v>
      </c>
      <c r="D3808" s="173">
        <v>0.05</v>
      </c>
      <c r="E3808" s="204" t="s">
        <v>30</v>
      </c>
      <c r="F3808" s="204" t="s">
        <v>201</v>
      </c>
      <c r="G3808" s="196" t="s">
        <v>6014</v>
      </c>
      <c r="H3808" s="175"/>
    </row>
    <row r="3809" ht="14.25" spans="1:8">
      <c r="A3809" s="232">
        <v>1277</v>
      </c>
      <c r="B3809" s="195" t="s">
        <v>4857</v>
      </c>
      <c r="C3809" s="175" t="s">
        <v>48</v>
      </c>
      <c r="D3809" s="173">
        <v>0.01</v>
      </c>
      <c r="E3809" s="204" t="s">
        <v>30</v>
      </c>
      <c r="F3809" s="204" t="s">
        <v>201</v>
      </c>
      <c r="G3809" s="196" t="s">
        <v>5263</v>
      </c>
      <c r="H3809" s="175"/>
    </row>
    <row r="3810" ht="14.25" spans="1:8">
      <c r="A3810" s="232">
        <v>1278</v>
      </c>
      <c r="B3810" s="195" t="s">
        <v>6015</v>
      </c>
      <c r="C3810" s="175" t="s">
        <v>48</v>
      </c>
      <c r="D3810" s="173">
        <v>0.03</v>
      </c>
      <c r="E3810" s="204" t="s">
        <v>30</v>
      </c>
      <c r="F3810" s="204" t="s">
        <v>201</v>
      </c>
      <c r="G3810" s="196" t="s">
        <v>6016</v>
      </c>
      <c r="H3810" s="175"/>
    </row>
    <row r="3811" ht="14.25" spans="1:8">
      <c r="A3811" s="232">
        <v>1279</v>
      </c>
      <c r="B3811" s="264" t="s">
        <v>6017</v>
      </c>
      <c r="C3811" s="175" t="s">
        <v>48</v>
      </c>
      <c r="D3811" s="173">
        <v>0.03</v>
      </c>
      <c r="E3811" s="204" t="s">
        <v>30</v>
      </c>
      <c r="F3811" s="204" t="s">
        <v>201</v>
      </c>
      <c r="G3811" s="196" t="s">
        <v>6018</v>
      </c>
      <c r="H3811" s="175"/>
    </row>
    <row r="3812" ht="14.25" spans="1:8">
      <c r="A3812" s="232">
        <v>1280</v>
      </c>
      <c r="B3812" s="195" t="s">
        <v>4784</v>
      </c>
      <c r="C3812" s="175" t="s">
        <v>48</v>
      </c>
      <c r="D3812" s="173">
        <v>0.03</v>
      </c>
      <c r="E3812" s="204" t="s">
        <v>30</v>
      </c>
      <c r="F3812" s="204" t="s">
        <v>201</v>
      </c>
      <c r="G3812" s="196" t="s">
        <v>5684</v>
      </c>
      <c r="H3812" s="175"/>
    </row>
    <row r="3813" ht="14.25" spans="1:8">
      <c r="A3813" s="232">
        <v>1281</v>
      </c>
      <c r="B3813" s="195" t="s">
        <v>6019</v>
      </c>
      <c r="C3813" s="175" t="s">
        <v>48</v>
      </c>
      <c r="D3813" s="173">
        <v>0.03</v>
      </c>
      <c r="E3813" s="204" t="s">
        <v>30</v>
      </c>
      <c r="F3813" s="204" t="s">
        <v>201</v>
      </c>
      <c r="G3813" s="196" t="s">
        <v>6020</v>
      </c>
      <c r="H3813" s="175"/>
    </row>
    <row r="3814" ht="14.25" spans="1:8">
      <c r="A3814" s="232">
        <v>1282</v>
      </c>
      <c r="B3814" s="264" t="s">
        <v>971</v>
      </c>
      <c r="C3814" s="175" t="s">
        <v>48</v>
      </c>
      <c r="D3814" s="173">
        <v>0.04</v>
      </c>
      <c r="E3814" s="204" t="s">
        <v>30</v>
      </c>
      <c r="F3814" s="204" t="s">
        <v>201</v>
      </c>
      <c r="G3814" s="196" t="s">
        <v>6021</v>
      </c>
      <c r="H3814" s="175"/>
    </row>
    <row r="3815" ht="14.25" spans="1:8">
      <c r="A3815" s="232">
        <v>1283</v>
      </c>
      <c r="B3815" s="195" t="s">
        <v>6022</v>
      </c>
      <c r="C3815" s="175" t="s">
        <v>48</v>
      </c>
      <c r="D3815" s="173">
        <v>0.04</v>
      </c>
      <c r="E3815" s="204" t="s">
        <v>30</v>
      </c>
      <c r="F3815" s="204" t="s">
        <v>201</v>
      </c>
      <c r="G3815" s="196" t="s">
        <v>6023</v>
      </c>
      <c r="H3815" s="175"/>
    </row>
    <row r="3816" ht="14.25" spans="1:8">
      <c r="A3816" s="232">
        <v>1284</v>
      </c>
      <c r="B3816" s="264" t="s">
        <v>4716</v>
      </c>
      <c r="C3816" s="175" t="s">
        <v>48</v>
      </c>
      <c r="D3816" s="173">
        <v>0.06</v>
      </c>
      <c r="E3816" s="204" t="s">
        <v>30</v>
      </c>
      <c r="F3816" s="204" t="s">
        <v>201</v>
      </c>
      <c r="G3816" s="196" t="s">
        <v>4717</v>
      </c>
      <c r="H3816" s="175"/>
    </row>
    <row r="3817" ht="14.25" spans="1:8">
      <c r="A3817" s="232">
        <v>1285</v>
      </c>
      <c r="B3817" s="195" t="s">
        <v>6024</v>
      </c>
      <c r="C3817" s="175" t="s">
        <v>48</v>
      </c>
      <c r="D3817" s="173">
        <v>0.03</v>
      </c>
      <c r="E3817" s="204" t="s">
        <v>30</v>
      </c>
      <c r="F3817" s="204" t="s">
        <v>201</v>
      </c>
      <c r="G3817" s="196" t="s">
        <v>6025</v>
      </c>
      <c r="H3817" s="175"/>
    </row>
    <row r="3818" ht="14.25" spans="1:8">
      <c r="A3818" s="232">
        <v>1286</v>
      </c>
      <c r="B3818" s="264" t="s">
        <v>1498</v>
      </c>
      <c r="C3818" s="175" t="s">
        <v>48</v>
      </c>
      <c r="D3818" s="173">
        <v>0.03</v>
      </c>
      <c r="E3818" s="204" t="s">
        <v>30</v>
      </c>
      <c r="F3818" s="204" t="s">
        <v>201</v>
      </c>
      <c r="G3818" s="196" t="s">
        <v>6026</v>
      </c>
      <c r="H3818" s="175"/>
    </row>
    <row r="3819" ht="14.25" spans="1:8">
      <c r="A3819" s="232">
        <v>1287</v>
      </c>
      <c r="B3819" s="264" t="s">
        <v>6027</v>
      </c>
      <c r="C3819" s="175" t="s">
        <v>48</v>
      </c>
      <c r="D3819" s="173">
        <v>0.03</v>
      </c>
      <c r="E3819" s="204" t="s">
        <v>30</v>
      </c>
      <c r="F3819" s="204" t="s">
        <v>201</v>
      </c>
      <c r="G3819" s="196" t="s">
        <v>6028</v>
      </c>
      <c r="H3819" s="175"/>
    </row>
    <row r="3820" ht="14.25" spans="1:8">
      <c r="A3820" s="232">
        <v>1288</v>
      </c>
      <c r="B3820" s="195" t="s">
        <v>6029</v>
      </c>
      <c r="C3820" s="175" t="s">
        <v>48</v>
      </c>
      <c r="D3820" s="173">
        <v>0.03</v>
      </c>
      <c r="E3820" s="204" t="s">
        <v>30</v>
      </c>
      <c r="F3820" s="204" t="s">
        <v>201</v>
      </c>
      <c r="G3820" s="196" t="s">
        <v>6030</v>
      </c>
      <c r="H3820" s="175"/>
    </row>
    <row r="3821" ht="14.25" spans="1:8">
      <c r="A3821" s="232">
        <v>1289</v>
      </c>
      <c r="B3821" s="195" t="s">
        <v>2219</v>
      </c>
      <c r="C3821" s="175" t="s">
        <v>48</v>
      </c>
      <c r="D3821" s="173">
        <v>0.08</v>
      </c>
      <c r="E3821" s="204" t="s">
        <v>30</v>
      </c>
      <c r="F3821" s="204" t="s">
        <v>201</v>
      </c>
      <c r="G3821" s="196" t="s">
        <v>6031</v>
      </c>
      <c r="H3821" s="175"/>
    </row>
    <row r="3822" ht="14.25" spans="1:8">
      <c r="A3822" s="232">
        <v>1290</v>
      </c>
      <c r="B3822" s="195" t="s">
        <v>1172</v>
      </c>
      <c r="C3822" s="175" t="s">
        <v>48</v>
      </c>
      <c r="D3822" s="173">
        <v>0.08</v>
      </c>
      <c r="E3822" s="204" t="s">
        <v>30</v>
      </c>
      <c r="F3822" s="204" t="s">
        <v>201</v>
      </c>
      <c r="G3822" s="196" t="s">
        <v>6032</v>
      </c>
      <c r="H3822" s="175"/>
    </row>
    <row r="3823" ht="14.25" spans="1:8">
      <c r="A3823" s="232">
        <v>1291</v>
      </c>
      <c r="B3823" s="195" t="s">
        <v>4292</v>
      </c>
      <c r="C3823" s="175" t="s">
        <v>48</v>
      </c>
      <c r="D3823" s="173">
        <v>0.08</v>
      </c>
      <c r="E3823" s="204" t="s">
        <v>30</v>
      </c>
      <c r="F3823" s="204" t="s">
        <v>201</v>
      </c>
      <c r="G3823" s="196" t="s">
        <v>6033</v>
      </c>
      <c r="H3823" s="175"/>
    </row>
    <row r="3824" ht="14.25" spans="1:8">
      <c r="A3824" s="232">
        <v>1292</v>
      </c>
      <c r="B3824" s="195" t="s">
        <v>3579</v>
      </c>
      <c r="C3824" s="175" t="s">
        <v>48</v>
      </c>
      <c r="D3824" s="173">
        <v>0.03</v>
      </c>
      <c r="E3824" s="204" t="s">
        <v>30</v>
      </c>
      <c r="F3824" s="204" t="s">
        <v>201</v>
      </c>
      <c r="G3824" s="196" t="s">
        <v>4174</v>
      </c>
      <c r="H3824" s="175"/>
    </row>
    <row r="3825" ht="14.25" spans="1:8">
      <c r="A3825" s="232">
        <v>1293</v>
      </c>
      <c r="B3825" s="195" t="s">
        <v>3579</v>
      </c>
      <c r="C3825" s="175" t="s">
        <v>48</v>
      </c>
      <c r="D3825" s="173">
        <v>0.03</v>
      </c>
      <c r="E3825" s="204" t="s">
        <v>30</v>
      </c>
      <c r="F3825" s="204" t="s">
        <v>201</v>
      </c>
      <c r="G3825" s="196" t="s">
        <v>6034</v>
      </c>
      <c r="H3825" s="175"/>
    </row>
    <row r="3826" ht="14.25" spans="1:8">
      <c r="A3826" s="232">
        <v>1294</v>
      </c>
      <c r="B3826" s="195" t="s">
        <v>3579</v>
      </c>
      <c r="C3826" s="175" t="s">
        <v>48</v>
      </c>
      <c r="D3826" s="173">
        <v>0.03</v>
      </c>
      <c r="E3826" s="204" t="s">
        <v>30</v>
      </c>
      <c r="F3826" s="204" t="s">
        <v>201</v>
      </c>
      <c r="G3826" s="196" t="s">
        <v>6035</v>
      </c>
      <c r="H3826" s="175"/>
    </row>
    <row r="3827" ht="14.25" spans="1:8">
      <c r="A3827" s="232">
        <v>1295</v>
      </c>
      <c r="B3827" s="195" t="s">
        <v>3579</v>
      </c>
      <c r="C3827" s="175" t="s">
        <v>48</v>
      </c>
      <c r="D3827" s="173">
        <v>0.03</v>
      </c>
      <c r="E3827" s="204" t="s">
        <v>30</v>
      </c>
      <c r="F3827" s="204" t="s">
        <v>201</v>
      </c>
      <c r="G3827" s="196" t="s">
        <v>6036</v>
      </c>
      <c r="H3827" s="175"/>
    </row>
    <row r="3828" ht="14.25" spans="1:8">
      <c r="A3828" s="232">
        <v>1296</v>
      </c>
      <c r="B3828" s="195" t="s">
        <v>3579</v>
      </c>
      <c r="C3828" s="175" t="s">
        <v>48</v>
      </c>
      <c r="D3828" s="173">
        <v>0.03</v>
      </c>
      <c r="E3828" s="204" t="s">
        <v>30</v>
      </c>
      <c r="F3828" s="204" t="s">
        <v>201</v>
      </c>
      <c r="G3828" s="196" t="s">
        <v>6037</v>
      </c>
      <c r="H3828" s="175"/>
    </row>
    <row r="3829" ht="14.25" spans="1:8">
      <c r="A3829" s="232">
        <v>1297</v>
      </c>
      <c r="B3829" s="195" t="s">
        <v>3579</v>
      </c>
      <c r="C3829" s="175" t="s">
        <v>48</v>
      </c>
      <c r="D3829" s="173">
        <v>0.03</v>
      </c>
      <c r="E3829" s="204" t="s">
        <v>30</v>
      </c>
      <c r="F3829" s="204" t="s">
        <v>201</v>
      </c>
      <c r="G3829" s="196" t="s">
        <v>6038</v>
      </c>
      <c r="H3829" s="175"/>
    </row>
    <row r="3830" ht="14.25" spans="1:8">
      <c r="A3830" s="232">
        <v>1298</v>
      </c>
      <c r="B3830" s="195" t="s">
        <v>3579</v>
      </c>
      <c r="C3830" s="175" t="s">
        <v>48</v>
      </c>
      <c r="D3830" s="173">
        <v>0.03</v>
      </c>
      <c r="E3830" s="204" t="s">
        <v>30</v>
      </c>
      <c r="F3830" s="204" t="s">
        <v>201</v>
      </c>
      <c r="G3830" s="196" t="s">
        <v>4171</v>
      </c>
      <c r="H3830" s="175"/>
    </row>
    <row r="3831" ht="14.25" spans="1:8">
      <c r="A3831" s="232">
        <v>1299</v>
      </c>
      <c r="B3831" s="195" t="s">
        <v>4393</v>
      </c>
      <c r="C3831" s="175" t="s">
        <v>48</v>
      </c>
      <c r="D3831" s="173">
        <v>0.07</v>
      </c>
      <c r="E3831" s="204" t="s">
        <v>30</v>
      </c>
      <c r="F3831" s="204" t="s">
        <v>201</v>
      </c>
      <c r="G3831" s="196" t="s">
        <v>1653</v>
      </c>
      <c r="H3831" s="175"/>
    </row>
    <row r="3832" ht="14.25" spans="1:8">
      <c r="A3832" s="255" t="s">
        <v>6039</v>
      </c>
      <c r="B3832" s="166" t="s">
        <v>310</v>
      </c>
      <c r="C3832" s="175"/>
      <c r="D3832" s="167"/>
      <c r="E3832" s="208"/>
      <c r="F3832" s="161"/>
      <c r="G3832" s="166"/>
      <c r="H3832" s="166"/>
    </row>
    <row r="3833" ht="14.25" spans="1:8">
      <c r="A3833" s="232">
        <v>1</v>
      </c>
      <c r="B3833" s="189" t="s">
        <v>6040</v>
      </c>
      <c r="C3833" s="187" t="s">
        <v>170</v>
      </c>
      <c r="D3833" s="173">
        <v>0.02</v>
      </c>
      <c r="E3833" s="204" t="s">
        <v>30</v>
      </c>
      <c r="F3833" s="176" t="s">
        <v>188</v>
      </c>
      <c r="G3833" s="171" t="s">
        <v>6041</v>
      </c>
      <c r="H3833" s="171"/>
    </row>
    <row r="3834" ht="14.25" spans="1:8">
      <c r="A3834" s="232">
        <v>2</v>
      </c>
      <c r="B3834" s="189" t="s">
        <v>6042</v>
      </c>
      <c r="C3834" s="187" t="s">
        <v>170</v>
      </c>
      <c r="D3834" s="173">
        <v>0.04</v>
      </c>
      <c r="E3834" s="204" t="s">
        <v>30</v>
      </c>
      <c r="F3834" s="176" t="s">
        <v>188</v>
      </c>
      <c r="G3834" s="171" t="s">
        <v>6043</v>
      </c>
      <c r="H3834" s="171"/>
    </row>
    <row r="3835" ht="14.25" spans="1:8">
      <c r="A3835" s="232">
        <v>3</v>
      </c>
      <c r="B3835" s="189" t="s">
        <v>6044</v>
      </c>
      <c r="C3835" s="187" t="s">
        <v>170</v>
      </c>
      <c r="D3835" s="173">
        <v>0.02</v>
      </c>
      <c r="E3835" s="204" t="s">
        <v>30</v>
      </c>
      <c r="F3835" s="176" t="s">
        <v>188</v>
      </c>
      <c r="G3835" s="171" t="s">
        <v>6045</v>
      </c>
      <c r="H3835" s="171"/>
    </row>
    <row r="3836" ht="14.25" spans="1:8">
      <c r="A3836" s="232">
        <v>4</v>
      </c>
      <c r="B3836" s="189" t="s">
        <v>6046</v>
      </c>
      <c r="C3836" s="187" t="s">
        <v>170</v>
      </c>
      <c r="D3836" s="173">
        <v>0.02</v>
      </c>
      <c r="E3836" s="204" t="s">
        <v>30</v>
      </c>
      <c r="F3836" s="176" t="s">
        <v>188</v>
      </c>
      <c r="G3836" s="171" t="s">
        <v>6047</v>
      </c>
      <c r="H3836" s="171"/>
    </row>
    <row r="3837" ht="14.25" spans="1:8">
      <c r="A3837" s="232">
        <v>5</v>
      </c>
      <c r="B3837" s="189" t="s">
        <v>6048</v>
      </c>
      <c r="C3837" s="187" t="s">
        <v>170</v>
      </c>
      <c r="D3837" s="173">
        <v>0.03</v>
      </c>
      <c r="E3837" s="204" t="s">
        <v>30</v>
      </c>
      <c r="F3837" s="176" t="s">
        <v>188</v>
      </c>
      <c r="G3837" s="171" t="s">
        <v>6049</v>
      </c>
      <c r="H3837" s="171"/>
    </row>
    <row r="3838" ht="14.25" spans="1:8">
      <c r="A3838" s="232">
        <v>6</v>
      </c>
      <c r="B3838" s="175" t="s">
        <v>6050</v>
      </c>
      <c r="C3838" s="187" t="s">
        <v>170</v>
      </c>
      <c r="D3838" s="173">
        <v>0.02</v>
      </c>
      <c r="E3838" s="204" t="s">
        <v>30</v>
      </c>
      <c r="F3838" s="176" t="s">
        <v>188</v>
      </c>
      <c r="G3838" s="171" t="s">
        <v>6051</v>
      </c>
      <c r="H3838" s="171"/>
    </row>
    <row r="3839" ht="14.25" spans="1:8">
      <c r="A3839" s="232">
        <v>7</v>
      </c>
      <c r="B3839" s="175" t="s">
        <v>6050</v>
      </c>
      <c r="C3839" s="187" t="s">
        <v>170</v>
      </c>
      <c r="D3839" s="173">
        <v>0.02</v>
      </c>
      <c r="E3839" s="204" t="s">
        <v>30</v>
      </c>
      <c r="F3839" s="176" t="s">
        <v>188</v>
      </c>
      <c r="G3839" s="171" t="s">
        <v>6052</v>
      </c>
      <c r="H3839" s="171"/>
    </row>
    <row r="3840" ht="14.25" spans="1:8">
      <c r="A3840" s="232">
        <v>8</v>
      </c>
      <c r="B3840" s="175" t="s">
        <v>864</v>
      </c>
      <c r="C3840" s="187" t="s">
        <v>170</v>
      </c>
      <c r="D3840" s="173">
        <v>0.02</v>
      </c>
      <c r="E3840" s="204" t="s">
        <v>30</v>
      </c>
      <c r="F3840" s="176" t="s">
        <v>188</v>
      </c>
      <c r="G3840" s="171" t="s">
        <v>6053</v>
      </c>
      <c r="H3840" s="171"/>
    </row>
    <row r="3841" ht="14.25" spans="1:8">
      <c r="A3841" s="232">
        <v>9</v>
      </c>
      <c r="B3841" s="175" t="s">
        <v>4273</v>
      </c>
      <c r="C3841" s="187" t="s">
        <v>170</v>
      </c>
      <c r="D3841" s="173">
        <v>0.03</v>
      </c>
      <c r="E3841" s="204" t="s">
        <v>30</v>
      </c>
      <c r="F3841" s="176" t="s">
        <v>188</v>
      </c>
      <c r="G3841" s="171" t="s">
        <v>6054</v>
      </c>
      <c r="H3841" s="171"/>
    </row>
    <row r="3842" ht="14.25" spans="1:8">
      <c r="A3842" s="232">
        <v>10</v>
      </c>
      <c r="B3842" s="175" t="s">
        <v>2468</v>
      </c>
      <c r="C3842" s="187" t="s">
        <v>170</v>
      </c>
      <c r="D3842" s="173">
        <v>0.04</v>
      </c>
      <c r="E3842" s="204" t="s">
        <v>30</v>
      </c>
      <c r="F3842" s="176" t="s">
        <v>188</v>
      </c>
      <c r="G3842" s="171" t="s">
        <v>372</v>
      </c>
      <c r="H3842" s="171"/>
    </row>
    <row r="3843" ht="14.25" spans="1:8">
      <c r="A3843" s="232">
        <v>11</v>
      </c>
      <c r="B3843" s="175" t="s">
        <v>1503</v>
      </c>
      <c r="C3843" s="187" t="s">
        <v>170</v>
      </c>
      <c r="D3843" s="173">
        <v>0.04</v>
      </c>
      <c r="E3843" s="204" t="s">
        <v>30</v>
      </c>
      <c r="F3843" s="176" t="s">
        <v>188</v>
      </c>
      <c r="G3843" s="171" t="s">
        <v>6055</v>
      </c>
      <c r="H3843" s="171"/>
    </row>
    <row r="3844" ht="14.25" spans="1:8">
      <c r="A3844" s="232">
        <v>12</v>
      </c>
      <c r="B3844" s="175" t="s">
        <v>1560</v>
      </c>
      <c r="C3844" s="187" t="s">
        <v>170</v>
      </c>
      <c r="D3844" s="173">
        <v>0.02</v>
      </c>
      <c r="E3844" s="204" t="s">
        <v>30</v>
      </c>
      <c r="F3844" s="176" t="s">
        <v>188</v>
      </c>
      <c r="G3844" s="171" t="s">
        <v>6056</v>
      </c>
      <c r="H3844" s="171"/>
    </row>
    <row r="3845" ht="14.25" spans="1:8">
      <c r="A3845" s="232">
        <v>13</v>
      </c>
      <c r="B3845" s="175" t="s">
        <v>6057</v>
      </c>
      <c r="C3845" s="187" t="s">
        <v>170</v>
      </c>
      <c r="D3845" s="173">
        <v>0.02</v>
      </c>
      <c r="E3845" s="204" t="s">
        <v>30</v>
      </c>
      <c r="F3845" s="176" t="s">
        <v>188</v>
      </c>
      <c r="G3845" s="171" t="s">
        <v>6058</v>
      </c>
      <c r="H3845" s="171"/>
    </row>
    <row r="3846" ht="14.25" spans="1:8">
      <c r="A3846" s="232">
        <v>14</v>
      </c>
      <c r="B3846" s="175" t="s">
        <v>6059</v>
      </c>
      <c r="C3846" s="187" t="s">
        <v>170</v>
      </c>
      <c r="D3846" s="173">
        <v>0.02</v>
      </c>
      <c r="E3846" s="204" t="s">
        <v>30</v>
      </c>
      <c r="F3846" s="176" t="s">
        <v>188</v>
      </c>
      <c r="G3846" s="171" t="s">
        <v>6060</v>
      </c>
      <c r="H3846" s="171"/>
    </row>
    <row r="3847" ht="14.25" spans="1:8">
      <c r="A3847" s="232">
        <v>15</v>
      </c>
      <c r="B3847" s="175" t="s">
        <v>6061</v>
      </c>
      <c r="C3847" s="187" t="s">
        <v>170</v>
      </c>
      <c r="D3847" s="173">
        <v>0.03</v>
      </c>
      <c r="E3847" s="204" t="s">
        <v>30</v>
      </c>
      <c r="F3847" s="176" t="s">
        <v>188</v>
      </c>
      <c r="G3847" s="171" t="s">
        <v>6062</v>
      </c>
      <c r="H3847" s="171"/>
    </row>
    <row r="3848" ht="14.25" spans="1:8">
      <c r="A3848" s="232">
        <v>16</v>
      </c>
      <c r="B3848" s="175" t="s">
        <v>6063</v>
      </c>
      <c r="C3848" s="187" t="s">
        <v>170</v>
      </c>
      <c r="D3848" s="173">
        <v>0.02</v>
      </c>
      <c r="E3848" s="204" t="s">
        <v>30</v>
      </c>
      <c r="F3848" s="176" t="s">
        <v>188</v>
      </c>
      <c r="G3848" s="171" t="s">
        <v>6064</v>
      </c>
      <c r="H3848" s="171"/>
    </row>
    <row r="3849" ht="14.25" spans="1:8">
      <c r="A3849" s="232">
        <v>17</v>
      </c>
      <c r="B3849" s="175" t="s">
        <v>6065</v>
      </c>
      <c r="C3849" s="187" t="s">
        <v>170</v>
      </c>
      <c r="D3849" s="173">
        <v>0.01</v>
      </c>
      <c r="E3849" s="204" t="s">
        <v>30</v>
      </c>
      <c r="F3849" s="176" t="s">
        <v>188</v>
      </c>
      <c r="G3849" s="171" t="s">
        <v>6066</v>
      </c>
      <c r="H3849" s="171"/>
    </row>
    <row r="3850" ht="14.25" spans="1:8">
      <c r="A3850" s="232">
        <v>18</v>
      </c>
      <c r="B3850" s="175" t="s">
        <v>6067</v>
      </c>
      <c r="C3850" s="187" t="s">
        <v>170</v>
      </c>
      <c r="D3850" s="173">
        <v>0.01</v>
      </c>
      <c r="E3850" s="204" t="s">
        <v>30</v>
      </c>
      <c r="F3850" s="176" t="s">
        <v>188</v>
      </c>
      <c r="G3850" s="171" t="s">
        <v>6068</v>
      </c>
      <c r="H3850" s="171"/>
    </row>
    <row r="3851" ht="14.25" spans="1:8">
      <c r="A3851" s="232">
        <v>19</v>
      </c>
      <c r="B3851" s="175" t="s">
        <v>6069</v>
      </c>
      <c r="C3851" s="187" t="s">
        <v>170</v>
      </c>
      <c r="D3851" s="173">
        <v>0.02</v>
      </c>
      <c r="E3851" s="204" t="s">
        <v>30</v>
      </c>
      <c r="F3851" s="176" t="s">
        <v>188</v>
      </c>
      <c r="G3851" s="171" t="s">
        <v>6041</v>
      </c>
      <c r="H3851" s="171"/>
    </row>
    <row r="3852" ht="14.25" spans="1:8">
      <c r="A3852" s="232">
        <v>20</v>
      </c>
      <c r="B3852" s="175" t="s">
        <v>6070</v>
      </c>
      <c r="C3852" s="187" t="s">
        <v>170</v>
      </c>
      <c r="D3852" s="173">
        <v>0.04</v>
      </c>
      <c r="E3852" s="204" t="s">
        <v>30</v>
      </c>
      <c r="F3852" s="176" t="s">
        <v>188</v>
      </c>
      <c r="G3852" s="171" t="s">
        <v>6071</v>
      </c>
      <c r="H3852" s="171"/>
    </row>
    <row r="3853" ht="14.25" spans="1:8">
      <c r="A3853" s="232">
        <v>21</v>
      </c>
      <c r="B3853" s="175" t="s">
        <v>6072</v>
      </c>
      <c r="C3853" s="187" t="s">
        <v>170</v>
      </c>
      <c r="D3853" s="173">
        <v>0.04</v>
      </c>
      <c r="E3853" s="204" t="s">
        <v>30</v>
      </c>
      <c r="F3853" s="176" t="s">
        <v>188</v>
      </c>
      <c r="G3853" s="171" t="s">
        <v>6073</v>
      </c>
      <c r="H3853" s="171"/>
    </row>
    <row r="3854" ht="14.25" spans="1:8">
      <c r="A3854" s="232">
        <v>22</v>
      </c>
      <c r="B3854" s="175" t="s">
        <v>6072</v>
      </c>
      <c r="C3854" s="187" t="s">
        <v>170</v>
      </c>
      <c r="D3854" s="173">
        <v>0.04</v>
      </c>
      <c r="E3854" s="204" t="s">
        <v>30</v>
      </c>
      <c r="F3854" s="176" t="s">
        <v>188</v>
      </c>
      <c r="G3854" s="171" t="s">
        <v>6074</v>
      </c>
      <c r="H3854" s="171"/>
    </row>
    <row r="3855" ht="14.25" spans="1:8">
      <c r="A3855" s="232">
        <v>23</v>
      </c>
      <c r="B3855" s="175" t="s">
        <v>6075</v>
      </c>
      <c r="C3855" s="187" t="s">
        <v>170</v>
      </c>
      <c r="D3855" s="173">
        <v>0.7</v>
      </c>
      <c r="E3855" s="204" t="s">
        <v>30</v>
      </c>
      <c r="F3855" s="176" t="s">
        <v>188</v>
      </c>
      <c r="G3855" s="171" t="s">
        <v>6076</v>
      </c>
      <c r="H3855" s="171"/>
    </row>
    <row r="3856" ht="14.25" spans="1:8">
      <c r="A3856" s="232">
        <v>24</v>
      </c>
      <c r="B3856" s="175" t="s">
        <v>5419</v>
      </c>
      <c r="C3856" s="187" t="s">
        <v>170</v>
      </c>
      <c r="D3856" s="173">
        <v>0.1</v>
      </c>
      <c r="E3856" s="204" t="s">
        <v>30</v>
      </c>
      <c r="F3856" s="176" t="s">
        <v>188</v>
      </c>
      <c r="G3856" s="171" t="s">
        <v>6077</v>
      </c>
      <c r="H3856" s="171"/>
    </row>
    <row r="3857" ht="14.25" spans="1:8">
      <c r="A3857" s="232">
        <v>25</v>
      </c>
      <c r="B3857" s="175" t="s">
        <v>6078</v>
      </c>
      <c r="C3857" s="187" t="s">
        <v>170</v>
      </c>
      <c r="D3857" s="173">
        <v>0.02</v>
      </c>
      <c r="E3857" s="204" t="s">
        <v>30</v>
      </c>
      <c r="F3857" s="176" t="s">
        <v>188</v>
      </c>
      <c r="G3857" s="171" t="s">
        <v>6079</v>
      </c>
      <c r="H3857" s="171"/>
    </row>
    <row r="3858" ht="14.25" spans="1:8">
      <c r="A3858" s="232">
        <v>26</v>
      </c>
      <c r="B3858" s="175" t="s">
        <v>6080</v>
      </c>
      <c r="C3858" s="187" t="s">
        <v>170</v>
      </c>
      <c r="D3858" s="173">
        <v>0.04</v>
      </c>
      <c r="E3858" s="204" t="s">
        <v>30</v>
      </c>
      <c r="F3858" s="176" t="s">
        <v>188</v>
      </c>
      <c r="G3858" s="171" t="s">
        <v>6081</v>
      </c>
      <c r="H3858" s="171"/>
    </row>
    <row r="3859" ht="14.25" spans="1:8">
      <c r="A3859" s="232">
        <v>27</v>
      </c>
      <c r="B3859" s="175" t="s">
        <v>6082</v>
      </c>
      <c r="C3859" s="187" t="s">
        <v>170</v>
      </c>
      <c r="D3859" s="173">
        <v>0.02</v>
      </c>
      <c r="E3859" s="204" t="s">
        <v>30</v>
      </c>
      <c r="F3859" s="176" t="s">
        <v>188</v>
      </c>
      <c r="G3859" s="171" t="s">
        <v>6041</v>
      </c>
      <c r="H3859" s="171"/>
    </row>
    <row r="3860" ht="14.25" spans="1:8">
      <c r="A3860" s="232">
        <v>28</v>
      </c>
      <c r="B3860" s="175" t="s">
        <v>6083</v>
      </c>
      <c r="C3860" s="187" t="s">
        <v>170</v>
      </c>
      <c r="D3860" s="173">
        <v>0.04</v>
      </c>
      <c r="E3860" s="204" t="s">
        <v>30</v>
      </c>
      <c r="F3860" s="176" t="s">
        <v>188</v>
      </c>
      <c r="G3860" s="171" t="s">
        <v>6084</v>
      </c>
      <c r="H3860" s="171"/>
    </row>
    <row r="3861" ht="14.25" spans="1:8">
      <c r="A3861" s="232">
        <v>29</v>
      </c>
      <c r="B3861" s="175" t="s">
        <v>6085</v>
      </c>
      <c r="C3861" s="187" t="s">
        <v>170</v>
      </c>
      <c r="D3861" s="173">
        <v>0.04</v>
      </c>
      <c r="E3861" s="204" t="s">
        <v>30</v>
      </c>
      <c r="F3861" s="176" t="s">
        <v>188</v>
      </c>
      <c r="G3861" s="171" t="s">
        <v>1590</v>
      </c>
      <c r="H3861" s="171"/>
    </row>
    <row r="3862" ht="14.25" spans="1:8">
      <c r="A3862" s="232">
        <v>30</v>
      </c>
      <c r="B3862" s="175" t="s">
        <v>6086</v>
      </c>
      <c r="C3862" s="187" t="s">
        <v>170</v>
      </c>
      <c r="D3862" s="173">
        <v>0.02</v>
      </c>
      <c r="E3862" s="204" t="s">
        <v>30</v>
      </c>
      <c r="F3862" s="176" t="s">
        <v>188</v>
      </c>
      <c r="G3862" s="171" t="s">
        <v>6087</v>
      </c>
      <c r="H3862" s="171"/>
    </row>
    <row r="3863" ht="14.25" spans="1:8">
      <c r="A3863" s="232">
        <v>31</v>
      </c>
      <c r="B3863" s="175" t="s">
        <v>6088</v>
      </c>
      <c r="C3863" s="187" t="s">
        <v>170</v>
      </c>
      <c r="D3863" s="173">
        <v>0.02</v>
      </c>
      <c r="E3863" s="204" t="s">
        <v>30</v>
      </c>
      <c r="F3863" s="176" t="s">
        <v>188</v>
      </c>
      <c r="G3863" s="171" t="s">
        <v>6089</v>
      </c>
      <c r="H3863" s="171"/>
    </row>
    <row r="3864" ht="14.25" spans="1:8">
      <c r="A3864" s="232">
        <v>32</v>
      </c>
      <c r="B3864" s="175" t="s">
        <v>6090</v>
      </c>
      <c r="C3864" s="187" t="s">
        <v>170</v>
      </c>
      <c r="D3864" s="173">
        <v>0.02</v>
      </c>
      <c r="E3864" s="204" t="s">
        <v>30</v>
      </c>
      <c r="F3864" s="176" t="s">
        <v>188</v>
      </c>
      <c r="G3864" s="171" t="s">
        <v>6091</v>
      </c>
      <c r="H3864" s="171"/>
    </row>
    <row r="3865" ht="14.25" spans="1:8">
      <c r="A3865" s="232">
        <v>33</v>
      </c>
      <c r="B3865" s="175" t="s">
        <v>6092</v>
      </c>
      <c r="C3865" s="187" t="s">
        <v>170</v>
      </c>
      <c r="D3865" s="173">
        <v>0.01</v>
      </c>
      <c r="E3865" s="204" t="s">
        <v>30</v>
      </c>
      <c r="F3865" s="176" t="s">
        <v>188</v>
      </c>
      <c r="G3865" s="171" t="s">
        <v>6054</v>
      </c>
      <c r="H3865" s="171"/>
    </row>
    <row r="3866" ht="14.25" spans="1:8">
      <c r="A3866" s="232">
        <v>34</v>
      </c>
      <c r="B3866" s="175" t="s">
        <v>6093</v>
      </c>
      <c r="C3866" s="187" t="s">
        <v>170</v>
      </c>
      <c r="D3866" s="173">
        <v>0.1</v>
      </c>
      <c r="E3866" s="204" t="s">
        <v>30</v>
      </c>
      <c r="F3866" s="176" t="s">
        <v>188</v>
      </c>
      <c r="G3866" s="171" t="s">
        <v>1926</v>
      </c>
      <c r="H3866" s="171"/>
    </row>
    <row r="3867" ht="14.25" spans="1:8">
      <c r="A3867" s="232">
        <v>35</v>
      </c>
      <c r="B3867" s="175" t="s">
        <v>6094</v>
      </c>
      <c r="C3867" s="187" t="s">
        <v>170</v>
      </c>
      <c r="D3867" s="173">
        <v>0.01</v>
      </c>
      <c r="E3867" s="204" t="s">
        <v>30</v>
      </c>
      <c r="F3867" s="176" t="s">
        <v>188</v>
      </c>
      <c r="G3867" s="171" t="s">
        <v>6095</v>
      </c>
      <c r="H3867" s="171"/>
    </row>
    <row r="3868" ht="14.25" spans="1:8">
      <c r="A3868" s="232">
        <v>36</v>
      </c>
      <c r="B3868" s="175" t="s">
        <v>6096</v>
      </c>
      <c r="C3868" s="187" t="s">
        <v>170</v>
      </c>
      <c r="D3868" s="173">
        <v>0.04</v>
      </c>
      <c r="E3868" s="204" t="s">
        <v>30</v>
      </c>
      <c r="F3868" s="176" t="s">
        <v>188</v>
      </c>
      <c r="G3868" s="171" t="s">
        <v>6097</v>
      </c>
      <c r="H3868" s="171"/>
    </row>
    <row r="3869" ht="14.25" spans="1:8">
      <c r="A3869" s="232">
        <v>37</v>
      </c>
      <c r="B3869" s="175" t="s">
        <v>6075</v>
      </c>
      <c r="C3869" s="187" t="s">
        <v>170</v>
      </c>
      <c r="D3869" s="173">
        <v>0.05</v>
      </c>
      <c r="E3869" s="204" t="s">
        <v>30</v>
      </c>
      <c r="F3869" s="176" t="s">
        <v>188</v>
      </c>
      <c r="G3869" s="171" t="s">
        <v>6098</v>
      </c>
      <c r="H3869" s="171"/>
    </row>
    <row r="3870" ht="14.25" spans="1:8">
      <c r="A3870" s="232">
        <v>38</v>
      </c>
      <c r="B3870" s="175" t="s">
        <v>6099</v>
      </c>
      <c r="C3870" s="187" t="s">
        <v>170</v>
      </c>
      <c r="D3870" s="173">
        <v>0.03</v>
      </c>
      <c r="E3870" s="204" t="s">
        <v>30</v>
      </c>
      <c r="F3870" s="176" t="s">
        <v>188</v>
      </c>
      <c r="G3870" s="171" t="s">
        <v>6100</v>
      </c>
      <c r="H3870" s="171"/>
    </row>
    <row r="3871" ht="14.25" spans="1:8">
      <c r="A3871" s="232">
        <v>39</v>
      </c>
      <c r="B3871" s="175" t="s">
        <v>6101</v>
      </c>
      <c r="C3871" s="187" t="s">
        <v>170</v>
      </c>
      <c r="D3871" s="173">
        <v>0.06</v>
      </c>
      <c r="E3871" s="204" t="s">
        <v>30</v>
      </c>
      <c r="F3871" s="176" t="s">
        <v>188</v>
      </c>
      <c r="G3871" s="171" t="s">
        <v>6102</v>
      </c>
      <c r="H3871" s="171"/>
    </row>
    <row r="3872" ht="14.25" spans="1:8">
      <c r="A3872" s="232">
        <v>40</v>
      </c>
      <c r="B3872" s="175" t="s">
        <v>6101</v>
      </c>
      <c r="C3872" s="187" t="s">
        <v>170</v>
      </c>
      <c r="D3872" s="173">
        <v>0.06</v>
      </c>
      <c r="E3872" s="204" t="s">
        <v>30</v>
      </c>
      <c r="F3872" s="176" t="s">
        <v>188</v>
      </c>
      <c r="G3872" s="171" t="s">
        <v>6103</v>
      </c>
      <c r="H3872" s="171"/>
    </row>
    <row r="3873" ht="14.25" spans="1:8">
      <c r="A3873" s="232">
        <v>41</v>
      </c>
      <c r="B3873" s="175" t="s">
        <v>6104</v>
      </c>
      <c r="C3873" s="187" t="s">
        <v>170</v>
      </c>
      <c r="D3873" s="173">
        <v>0.06</v>
      </c>
      <c r="E3873" s="204" t="s">
        <v>30</v>
      </c>
      <c r="F3873" s="176" t="s">
        <v>188</v>
      </c>
      <c r="G3873" s="171" t="s">
        <v>6105</v>
      </c>
      <c r="H3873" s="171"/>
    </row>
    <row r="3874" ht="14.25" spans="1:8">
      <c r="A3874" s="232">
        <v>42</v>
      </c>
      <c r="B3874" s="175" t="s">
        <v>6106</v>
      </c>
      <c r="C3874" s="187" t="s">
        <v>170</v>
      </c>
      <c r="D3874" s="173">
        <v>0.01</v>
      </c>
      <c r="E3874" s="204" t="s">
        <v>30</v>
      </c>
      <c r="F3874" s="176" t="s">
        <v>188</v>
      </c>
      <c r="G3874" s="171" t="s">
        <v>6107</v>
      </c>
      <c r="H3874" s="171"/>
    </row>
    <row r="3875" ht="14.25" spans="1:8">
      <c r="A3875" s="232">
        <v>43</v>
      </c>
      <c r="B3875" s="175" t="s">
        <v>6108</v>
      </c>
      <c r="C3875" s="187" t="s">
        <v>170</v>
      </c>
      <c r="D3875" s="173">
        <v>0.01</v>
      </c>
      <c r="E3875" s="204" t="s">
        <v>30</v>
      </c>
      <c r="F3875" s="176" t="s">
        <v>188</v>
      </c>
      <c r="G3875" s="171" t="s">
        <v>6109</v>
      </c>
      <c r="H3875" s="171"/>
    </row>
    <row r="3876" ht="14.25" spans="1:8">
      <c r="A3876" s="232">
        <v>44</v>
      </c>
      <c r="B3876" s="189" t="s">
        <v>6110</v>
      </c>
      <c r="C3876" s="187" t="s">
        <v>170</v>
      </c>
      <c r="D3876" s="173">
        <v>0.04</v>
      </c>
      <c r="E3876" s="204" t="s">
        <v>30</v>
      </c>
      <c r="F3876" s="176" t="s">
        <v>188</v>
      </c>
      <c r="G3876" s="171" t="s">
        <v>6111</v>
      </c>
      <c r="H3876" s="171"/>
    </row>
    <row r="3877" ht="14.25" spans="1:8">
      <c r="A3877" s="232">
        <v>45</v>
      </c>
      <c r="B3877" s="175" t="s">
        <v>3683</v>
      </c>
      <c r="C3877" s="187" t="s">
        <v>170</v>
      </c>
      <c r="D3877" s="173">
        <v>0.03</v>
      </c>
      <c r="E3877" s="204" t="s">
        <v>30</v>
      </c>
      <c r="F3877" s="176" t="s">
        <v>188</v>
      </c>
      <c r="G3877" s="171" t="s">
        <v>6112</v>
      </c>
      <c r="H3877" s="171"/>
    </row>
    <row r="3878" ht="14.25" spans="1:8">
      <c r="A3878" s="232">
        <v>46</v>
      </c>
      <c r="B3878" s="175" t="s">
        <v>1183</v>
      </c>
      <c r="C3878" s="187" t="s">
        <v>170</v>
      </c>
      <c r="D3878" s="173">
        <v>0.02</v>
      </c>
      <c r="E3878" s="204" t="s">
        <v>30</v>
      </c>
      <c r="F3878" s="176" t="s">
        <v>188</v>
      </c>
      <c r="G3878" s="171" t="s">
        <v>6113</v>
      </c>
      <c r="H3878" s="171"/>
    </row>
    <row r="3879" ht="14.25" spans="1:8">
      <c r="A3879" s="232">
        <v>47</v>
      </c>
      <c r="B3879" s="175" t="s">
        <v>1183</v>
      </c>
      <c r="C3879" s="187" t="s">
        <v>170</v>
      </c>
      <c r="D3879" s="173">
        <v>0.02</v>
      </c>
      <c r="E3879" s="204" t="s">
        <v>30</v>
      </c>
      <c r="F3879" s="176" t="s">
        <v>188</v>
      </c>
      <c r="G3879" s="171" t="s">
        <v>6114</v>
      </c>
      <c r="H3879" s="171"/>
    </row>
    <row r="3880" ht="14.25" spans="1:8">
      <c r="A3880" s="232">
        <v>48</v>
      </c>
      <c r="B3880" s="175" t="s">
        <v>6115</v>
      </c>
      <c r="C3880" s="187" t="s">
        <v>170</v>
      </c>
      <c r="D3880" s="173">
        <v>0.02</v>
      </c>
      <c r="E3880" s="204" t="s">
        <v>30</v>
      </c>
      <c r="F3880" s="176" t="s">
        <v>188</v>
      </c>
      <c r="G3880" s="171" t="s">
        <v>6116</v>
      </c>
      <c r="H3880" s="171"/>
    </row>
    <row r="3881" ht="14.25" spans="1:8">
      <c r="A3881" s="232">
        <v>49</v>
      </c>
      <c r="B3881" s="175" t="s">
        <v>6117</v>
      </c>
      <c r="C3881" s="187" t="s">
        <v>170</v>
      </c>
      <c r="D3881" s="173">
        <v>0.02</v>
      </c>
      <c r="E3881" s="204" t="s">
        <v>30</v>
      </c>
      <c r="F3881" s="176" t="s">
        <v>188</v>
      </c>
      <c r="G3881" s="171" t="s">
        <v>6118</v>
      </c>
      <c r="H3881" s="171"/>
    </row>
    <row r="3882" ht="14.25" spans="1:8">
      <c r="A3882" s="232">
        <v>50</v>
      </c>
      <c r="B3882" s="175" t="s">
        <v>6119</v>
      </c>
      <c r="C3882" s="187" t="s">
        <v>170</v>
      </c>
      <c r="D3882" s="173">
        <v>0.02</v>
      </c>
      <c r="E3882" s="204" t="s">
        <v>30</v>
      </c>
      <c r="F3882" s="176" t="s">
        <v>188</v>
      </c>
      <c r="G3882" s="171" t="s">
        <v>6120</v>
      </c>
      <c r="H3882" s="171"/>
    </row>
    <row r="3883" ht="14.25" spans="1:8">
      <c r="A3883" s="232">
        <v>51</v>
      </c>
      <c r="B3883" s="175" t="s">
        <v>6121</v>
      </c>
      <c r="C3883" s="187" t="s">
        <v>170</v>
      </c>
      <c r="D3883" s="173">
        <v>0.03</v>
      </c>
      <c r="E3883" s="204" t="s">
        <v>30</v>
      </c>
      <c r="F3883" s="176" t="s">
        <v>188</v>
      </c>
      <c r="G3883" s="171" t="s">
        <v>6122</v>
      </c>
      <c r="H3883" s="171"/>
    </row>
    <row r="3884" ht="14.25" spans="1:8">
      <c r="A3884" s="232">
        <v>52</v>
      </c>
      <c r="B3884" s="175" t="s">
        <v>6121</v>
      </c>
      <c r="C3884" s="187" t="s">
        <v>170</v>
      </c>
      <c r="D3884" s="173">
        <v>0.03</v>
      </c>
      <c r="E3884" s="204" t="s">
        <v>30</v>
      </c>
      <c r="F3884" s="176" t="s">
        <v>188</v>
      </c>
      <c r="G3884" s="171" t="s">
        <v>6116</v>
      </c>
      <c r="H3884" s="171"/>
    </row>
    <row r="3885" ht="14.25" spans="1:8">
      <c r="A3885" s="232">
        <v>53</v>
      </c>
      <c r="B3885" s="175" t="s">
        <v>6123</v>
      </c>
      <c r="C3885" s="187" t="s">
        <v>170</v>
      </c>
      <c r="D3885" s="173">
        <v>0.02</v>
      </c>
      <c r="E3885" s="204" t="s">
        <v>30</v>
      </c>
      <c r="F3885" s="176" t="s">
        <v>188</v>
      </c>
      <c r="G3885" s="171" t="s">
        <v>6124</v>
      </c>
      <c r="H3885" s="171"/>
    </row>
    <row r="3886" ht="14.25" spans="1:8">
      <c r="A3886" s="232">
        <v>54</v>
      </c>
      <c r="B3886" s="175" t="s">
        <v>1066</v>
      </c>
      <c r="C3886" s="187" t="s">
        <v>170</v>
      </c>
      <c r="D3886" s="173">
        <v>0.08</v>
      </c>
      <c r="E3886" s="204" t="s">
        <v>30</v>
      </c>
      <c r="F3886" s="176" t="s">
        <v>188</v>
      </c>
      <c r="G3886" s="171" t="s">
        <v>6125</v>
      </c>
      <c r="H3886" s="171"/>
    </row>
    <row r="3887" ht="14.25" spans="1:8">
      <c r="A3887" s="232">
        <v>55</v>
      </c>
      <c r="B3887" s="175" t="s">
        <v>6126</v>
      </c>
      <c r="C3887" s="187" t="s">
        <v>170</v>
      </c>
      <c r="D3887" s="173">
        <v>0.1</v>
      </c>
      <c r="E3887" s="204" t="s">
        <v>30</v>
      </c>
      <c r="F3887" s="176" t="s">
        <v>188</v>
      </c>
      <c r="G3887" s="171" t="s">
        <v>6127</v>
      </c>
      <c r="H3887" s="171"/>
    </row>
    <row r="3888" ht="14.25" spans="1:8">
      <c r="A3888" s="232">
        <v>56</v>
      </c>
      <c r="B3888" s="175" t="s">
        <v>6128</v>
      </c>
      <c r="C3888" s="187" t="s">
        <v>170</v>
      </c>
      <c r="D3888" s="173">
        <v>0.04</v>
      </c>
      <c r="E3888" s="204" t="s">
        <v>30</v>
      </c>
      <c r="F3888" s="176" t="s">
        <v>188</v>
      </c>
      <c r="G3888" s="171" t="s">
        <v>6129</v>
      </c>
      <c r="H3888" s="171"/>
    </row>
    <row r="3889" ht="14.25" spans="1:8">
      <c r="A3889" s="232">
        <v>57</v>
      </c>
      <c r="B3889" s="175" t="s">
        <v>6130</v>
      </c>
      <c r="C3889" s="187" t="s">
        <v>170</v>
      </c>
      <c r="D3889" s="173">
        <v>0.04</v>
      </c>
      <c r="E3889" s="204" t="s">
        <v>30</v>
      </c>
      <c r="F3889" s="176" t="s">
        <v>188</v>
      </c>
      <c r="G3889" s="171" t="s">
        <v>6131</v>
      </c>
      <c r="H3889" s="171"/>
    </row>
    <row r="3890" ht="14.25" spans="1:8">
      <c r="A3890" s="232">
        <v>58</v>
      </c>
      <c r="B3890" s="175" t="s">
        <v>6132</v>
      </c>
      <c r="C3890" s="187" t="s">
        <v>170</v>
      </c>
      <c r="D3890" s="173">
        <v>0.05</v>
      </c>
      <c r="E3890" s="204" t="s">
        <v>30</v>
      </c>
      <c r="F3890" s="176" t="s">
        <v>188</v>
      </c>
      <c r="G3890" s="171" t="s">
        <v>6133</v>
      </c>
      <c r="H3890" s="171"/>
    </row>
    <row r="3891" ht="14.25" spans="1:8">
      <c r="A3891" s="232">
        <v>59</v>
      </c>
      <c r="B3891" s="175" t="s">
        <v>6134</v>
      </c>
      <c r="C3891" s="187" t="s">
        <v>170</v>
      </c>
      <c r="D3891" s="173">
        <v>0.05</v>
      </c>
      <c r="E3891" s="204" t="s">
        <v>30</v>
      </c>
      <c r="F3891" s="176" t="s">
        <v>188</v>
      </c>
      <c r="G3891" s="171" t="s">
        <v>3897</v>
      </c>
      <c r="H3891" s="171"/>
    </row>
    <row r="3892" ht="14.25" spans="1:8">
      <c r="A3892" s="232">
        <v>60</v>
      </c>
      <c r="B3892" s="175" t="s">
        <v>6135</v>
      </c>
      <c r="C3892" s="187" t="s">
        <v>170</v>
      </c>
      <c r="D3892" s="173">
        <v>0.02</v>
      </c>
      <c r="E3892" s="204" t="s">
        <v>30</v>
      </c>
      <c r="F3892" s="176" t="s">
        <v>188</v>
      </c>
      <c r="G3892" s="171" t="s">
        <v>6136</v>
      </c>
      <c r="H3892" s="171"/>
    </row>
    <row r="3893" ht="14.25" spans="1:8">
      <c r="A3893" s="232">
        <v>61</v>
      </c>
      <c r="B3893" s="175" t="s">
        <v>6135</v>
      </c>
      <c r="C3893" s="187" t="s">
        <v>170</v>
      </c>
      <c r="D3893" s="173">
        <v>0.02</v>
      </c>
      <c r="E3893" s="204" t="s">
        <v>30</v>
      </c>
      <c r="F3893" s="176" t="s">
        <v>188</v>
      </c>
      <c r="G3893" s="171" t="s">
        <v>6137</v>
      </c>
      <c r="H3893" s="171"/>
    </row>
    <row r="3894" ht="14.25" spans="1:8">
      <c r="A3894" s="232">
        <v>62</v>
      </c>
      <c r="B3894" s="175" t="s">
        <v>6138</v>
      </c>
      <c r="C3894" s="187" t="s">
        <v>170</v>
      </c>
      <c r="D3894" s="173">
        <v>0.07</v>
      </c>
      <c r="E3894" s="204" t="s">
        <v>30</v>
      </c>
      <c r="F3894" s="176" t="s">
        <v>188</v>
      </c>
      <c r="G3894" s="171" t="s">
        <v>6139</v>
      </c>
      <c r="H3894" s="171"/>
    </row>
    <row r="3895" ht="14.25" spans="1:8">
      <c r="A3895" s="232">
        <v>63</v>
      </c>
      <c r="B3895" s="175" t="s">
        <v>6140</v>
      </c>
      <c r="C3895" s="187" t="s">
        <v>170</v>
      </c>
      <c r="D3895" s="173">
        <v>0.05</v>
      </c>
      <c r="E3895" s="204" t="s">
        <v>30</v>
      </c>
      <c r="F3895" s="176" t="s">
        <v>188</v>
      </c>
      <c r="G3895" s="171" t="s">
        <v>6141</v>
      </c>
      <c r="H3895" s="171"/>
    </row>
    <row r="3896" ht="14.25" spans="1:8">
      <c r="A3896" s="232">
        <v>64</v>
      </c>
      <c r="B3896" s="175" t="s">
        <v>6142</v>
      </c>
      <c r="C3896" s="187" t="s">
        <v>170</v>
      </c>
      <c r="D3896" s="173">
        <v>0.04</v>
      </c>
      <c r="E3896" s="204" t="s">
        <v>30</v>
      </c>
      <c r="F3896" s="176" t="s">
        <v>188</v>
      </c>
      <c r="G3896" s="171" t="s">
        <v>6143</v>
      </c>
      <c r="H3896" s="171"/>
    </row>
    <row r="3897" ht="14.25" spans="1:8">
      <c r="A3897" s="232">
        <v>65</v>
      </c>
      <c r="B3897" s="175" t="s">
        <v>6144</v>
      </c>
      <c r="C3897" s="187" t="s">
        <v>170</v>
      </c>
      <c r="D3897" s="173">
        <v>0.03</v>
      </c>
      <c r="E3897" s="204" t="s">
        <v>30</v>
      </c>
      <c r="F3897" s="176" t="s">
        <v>188</v>
      </c>
      <c r="G3897" s="171" t="s">
        <v>6145</v>
      </c>
      <c r="H3897" s="171"/>
    </row>
    <row r="3898" ht="14.25" spans="1:8">
      <c r="A3898" s="232">
        <v>66</v>
      </c>
      <c r="B3898" s="175" t="s">
        <v>6146</v>
      </c>
      <c r="C3898" s="187" t="s">
        <v>170</v>
      </c>
      <c r="D3898" s="173">
        <v>0.04</v>
      </c>
      <c r="E3898" s="204" t="s">
        <v>30</v>
      </c>
      <c r="F3898" s="176" t="s">
        <v>188</v>
      </c>
      <c r="G3898" s="171" t="s">
        <v>6147</v>
      </c>
      <c r="H3898" s="171"/>
    </row>
    <row r="3899" ht="14.25" spans="1:8">
      <c r="A3899" s="232">
        <v>67</v>
      </c>
      <c r="B3899" s="175" t="s">
        <v>4965</v>
      </c>
      <c r="C3899" s="187" t="s">
        <v>170</v>
      </c>
      <c r="D3899" s="173">
        <v>0.06</v>
      </c>
      <c r="E3899" s="204" t="s">
        <v>30</v>
      </c>
      <c r="F3899" s="176" t="s">
        <v>188</v>
      </c>
      <c r="G3899" s="171" t="s">
        <v>6148</v>
      </c>
      <c r="H3899" s="171"/>
    </row>
    <row r="3900" ht="14.25" spans="1:8">
      <c r="A3900" s="232">
        <v>68</v>
      </c>
      <c r="B3900" s="175" t="s">
        <v>6149</v>
      </c>
      <c r="C3900" s="187" t="s">
        <v>170</v>
      </c>
      <c r="D3900" s="173">
        <v>0.04</v>
      </c>
      <c r="E3900" s="204" t="s">
        <v>30</v>
      </c>
      <c r="F3900" s="176" t="s">
        <v>188</v>
      </c>
      <c r="G3900" s="171" t="s">
        <v>6150</v>
      </c>
      <c r="H3900" s="171"/>
    </row>
    <row r="3901" ht="14.25" spans="1:8">
      <c r="A3901" s="232">
        <v>69</v>
      </c>
      <c r="B3901" s="175" t="s">
        <v>6151</v>
      </c>
      <c r="C3901" s="187" t="s">
        <v>170</v>
      </c>
      <c r="D3901" s="173">
        <v>0.04</v>
      </c>
      <c r="E3901" s="204" t="s">
        <v>30</v>
      </c>
      <c r="F3901" s="176" t="s">
        <v>188</v>
      </c>
      <c r="G3901" s="171" t="s">
        <v>6152</v>
      </c>
      <c r="H3901" s="171"/>
    </row>
    <row r="3902" ht="14.25" spans="1:8">
      <c r="A3902" s="232">
        <v>70</v>
      </c>
      <c r="B3902" s="175" t="s">
        <v>6153</v>
      </c>
      <c r="C3902" s="187" t="s">
        <v>170</v>
      </c>
      <c r="D3902" s="173">
        <v>0.02</v>
      </c>
      <c r="E3902" s="204" t="s">
        <v>30</v>
      </c>
      <c r="F3902" s="176" t="s">
        <v>188</v>
      </c>
      <c r="G3902" s="171" t="s">
        <v>6154</v>
      </c>
      <c r="H3902" s="171"/>
    </row>
    <row r="3903" ht="14.25" spans="1:8">
      <c r="A3903" s="232">
        <v>71</v>
      </c>
      <c r="B3903" s="175" t="s">
        <v>6155</v>
      </c>
      <c r="C3903" s="187" t="s">
        <v>170</v>
      </c>
      <c r="D3903" s="173">
        <v>0.03</v>
      </c>
      <c r="E3903" s="204" t="s">
        <v>30</v>
      </c>
      <c r="F3903" s="176" t="s">
        <v>188</v>
      </c>
      <c r="G3903" s="171" t="s">
        <v>6156</v>
      </c>
      <c r="H3903" s="171"/>
    </row>
    <row r="3904" ht="14.25" spans="1:8">
      <c r="A3904" s="232">
        <v>72</v>
      </c>
      <c r="B3904" s="175" t="s">
        <v>6157</v>
      </c>
      <c r="C3904" s="187" t="s">
        <v>170</v>
      </c>
      <c r="D3904" s="173">
        <v>0.02</v>
      </c>
      <c r="E3904" s="204" t="s">
        <v>30</v>
      </c>
      <c r="F3904" s="176" t="s">
        <v>188</v>
      </c>
      <c r="G3904" s="171" t="s">
        <v>6158</v>
      </c>
      <c r="H3904" s="171"/>
    </row>
    <row r="3905" ht="14.25" spans="1:8">
      <c r="A3905" s="232">
        <v>73</v>
      </c>
      <c r="B3905" s="175" t="s">
        <v>6096</v>
      </c>
      <c r="C3905" s="187" t="s">
        <v>170</v>
      </c>
      <c r="D3905" s="173">
        <v>0.04</v>
      </c>
      <c r="E3905" s="204" t="s">
        <v>30</v>
      </c>
      <c r="F3905" s="176" t="s">
        <v>188</v>
      </c>
      <c r="G3905" s="171" t="s">
        <v>6097</v>
      </c>
      <c r="H3905" s="171"/>
    </row>
    <row r="3906" ht="14.25" spans="1:8">
      <c r="A3906" s="232">
        <v>74</v>
      </c>
      <c r="B3906" s="175" t="s">
        <v>4006</v>
      </c>
      <c r="C3906" s="187" t="s">
        <v>170</v>
      </c>
      <c r="D3906" s="173">
        <v>0.01</v>
      </c>
      <c r="E3906" s="204" t="s">
        <v>30</v>
      </c>
      <c r="F3906" s="176" t="s">
        <v>188</v>
      </c>
      <c r="G3906" s="171" t="s">
        <v>6159</v>
      </c>
      <c r="H3906" s="171"/>
    </row>
    <row r="3907" ht="14.25" spans="1:8">
      <c r="A3907" s="232">
        <v>75</v>
      </c>
      <c r="B3907" s="175" t="s">
        <v>6160</v>
      </c>
      <c r="C3907" s="187" t="s">
        <v>170</v>
      </c>
      <c r="D3907" s="173">
        <v>0.02</v>
      </c>
      <c r="E3907" s="204" t="s">
        <v>30</v>
      </c>
      <c r="F3907" s="176" t="s">
        <v>188</v>
      </c>
      <c r="G3907" s="171" t="s">
        <v>6161</v>
      </c>
      <c r="H3907" s="171"/>
    </row>
    <row r="3908" ht="14.25" spans="1:8">
      <c r="A3908" s="232">
        <v>76</v>
      </c>
      <c r="B3908" s="175" t="s">
        <v>6162</v>
      </c>
      <c r="C3908" s="187" t="s">
        <v>170</v>
      </c>
      <c r="D3908" s="173">
        <v>0.03</v>
      </c>
      <c r="E3908" s="204" t="s">
        <v>30</v>
      </c>
      <c r="F3908" s="176" t="s">
        <v>188</v>
      </c>
      <c r="G3908" s="171" t="s">
        <v>6163</v>
      </c>
      <c r="H3908" s="171"/>
    </row>
    <row r="3909" ht="14.25" spans="1:8">
      <c r="A3909" s="232">
        <v>77</v>
      </c>
      <c r="B3909" s="175" t="s">
        <v>6164</v>
      </c>
      <c r="C3909" s="187" t="s">
        <v>170</v>
      </c>
      <c r="D3909" s="173">
        <v>0.04</v>
      </c>
      <c r="E3909" s="204" t="s">
        <v>30</v>
      </c>
      <c r="F3909" s="176" t="s">
        <v>188</v>
      </c>
      <c r="G3909" s="171" t="s">
        <v>6165</v>
      </c>
      <c r="H3909" s="171"/>
    </row>
    <row r="3910" ht="14.25" spans="1:8">
      <c r="A3910" s="232">
        <v>78</v>
      </c>
      <c r="B3910" s="175" t="s">
        <v>6166</v>
      </c>
      <c r="C3910" s="187" t="s">
        <v>170</v>
      </c>
      <c r="D3910" s="173">
        <v>0.04</v>
      </c>
      <c r="E3910" s="204" t="s">
        <v>30</v>
      </c>
      <c r="F3910" s="176" t="s">
        <v>188</v>
      </c>
      <c r="G3910" s="171" t="s">
        <v>6167</v>
      </c>
      <c r="H3910" s="171"/>
    </row>
    <row r="3911" ht="14.25" spans="1:8">
      <c r="A3911" s="232">
        <v>79</v>
      </c>
      <c r="B3911" s="175" t="s">
        <v>6168</v>
      </c>
      <c r="C3911" s="187" t="s">
        <v>170</v>
      </c>
      <c r="D3911" s="173">
        <v>0.03</v>
      </c>
      <c r="E3911" s="204" t="s">
        <v>30</v>
      </c>
      <c r="F3911" s="176" t="s">
        <v>188</v>
      </c>
      <c r="G3911" s="171" t="s">
        <v>6169</v>
      </c>
      <c r="H3911" s="171"/>
    </row>
    <row r="3912" ht="14.25" spans="1:8">
      <c r="A3912" s="232">
        <v>80</v>
      </c>
      <c r="B3912" s="175" t="s">
        <v>6170</v>
      </c>
      <c r="C3912" s="187" t="s">
        <v>170</v>
      </c>
      <c r="D3912" s="173">
        <v>0.1</v>
      </c>
      <c r="E3912" s="204" t="s">
        <v>30</v>
      </c>
      <c r="F3912" s="176" t="s">
        <v>188</v>
      </c>
      <c r="G3912" s="171" t="s">
        <v>6171</v>
      </c>
      <c r="H3912" s="171"/>
    </row>
    <row r="3913" ht="14.25" spans="1:8">
      <c r="A3913" s="232">
        <v>81</v>
      </c>
      <c r="B3913" s="175" t="s">
        <v>6065</v>
      </c>
      <c r="C3913" s="187" t="s">
        <v>170</v>
      </c>
      <c r="D3913" s="173">
        <v>0.01</v>
      </c>
      <c r="E3913" s="204" t="s">
        <v>30</v>
      </c>
      <c r="F3913" s="176" t="s">
        <v>188</v>
      </c>
      <c r="G3913" s="171" t="s">
        <v>6066</v>
      </c>
      <c r="H3913" s="171"/>
    </row>
    <row r="3914" ht="14.25" spans="1:8">
      <c r="A3914" s="232">
        <v>82</v>
      </c>
      <c r="B3914" s="175" t="s">
        <v>6172</v>
      </c>
      <c r="C3914" s="187" t="s">
        <v>170</v>
      </c>
      <c r="D3914" s="173">
        <v>0.02</v>
      </c>
      <c r="E3914" s="204" t="s">
        <v>30</v>
      </c>
      <c r="F3914" s="176" t="s">
        <v>188</v>
      </c>
      <c r="G3914" s="171" t="s">
        <v>6173</v>
      </c>
      <c r="H3914" s="171"/>
    </row>
    <row r="3915" ht="14.25" spans="1:8">
      <c r="A3915" s="232">
        <v>83</v>
      </c>
      <c r="B3915" s="175" t="s">
        <v>6174</v>
      </c>
      <c r="C3915" s="187" t="s">
        <v>170</v>
      </c>
      <c r="D3915" s="173">
        <v>0.01</v>
      </c>
      <c r="E3915" s="204" t="s">
        <v>30</v>
      </c>
      <c r="F3915" s="176" t="s">
        <v>188</v>
      </c>
      <c r="G3915" s="171" t="s">
        <v>6175</v>
      </c>
      <c r="H3915" s="171"/>
    </row>
    <row r="3916" ht="14.25" spans="1:8">
      <c r="A3916" s="232">
        <v>84</v>
      </c>
      <c r="B3916" s="175" t="s">
        <v>6174</v>
      </c>
      <c r="C3916" s="187" t="s">
        <v>170</v>
      </c>
      <c r="D3916" s="173">
        <v>0.01</v>
      </c>
      <c r="E3916" s="204" t="s">
        <v>30</v>
      </c>
      <c r="F3916" s="176" t="s">
        <v>188</v>
      </c>
      <c r="G3916" s="171" t="s">
        <v>6176</v>
      </c>
      <c r="H3916" s="171"/>
    </row>
    <row r="3917" ht="14.25" spans="1:8">
      <c r="A3917" s="232">
        <v>85</v>
      </c>
      <c r="B3917" s="175" t="s">
        <v>6174</v>
      </c>
      <c r="C3917" s="187" t="s">
        <v>170</v>
      </c>
      <c r="D3917" s="173">
        <v>0.01</v>
      </c>
      <c r="E3917" s="204" t="s">
        <v>30</v>
      </c>
      <c r="F3917" s="176" t="s">
        <v>188</v>
      </c>
      <c r="G3917" s="171" t="s">
        <v>6177</v>
      </c>
      <c r="H3917" s="171"/>
    </row>
    <row r="3918" ht="14.25" spans="1:8">
      <c r="A3918" s="232">
        <v>86</v>
      </c>
      <c r="B3918" s="175" t="s">
        <v>6178</v>
      </c>
      <c r="C3918" s="187" t="s">
        <v>170</v>
      </c>
      <c r="D3918" s="173">
        <v>0.01</v>
      </c>
      <c r="E3918" s="204" t="s">
        <v>30</v>
      </c>
      <c r="F3918" s="176" t="s">
        <v>188</v>
      </c>
      <c r="G3918" s="171" t="s">
        <v>6179</v>
      </c>
      <c r="H3918" s="171"/>
    </row>
    <row r="3919" ht="14.25" spans="1:8">
      <c r="A3919" s="232">
        <v>87</v>
      </c>
      <c r="B3919" s="175" t="s">
        <v>6180</v>
      </c>
      <c r="C3919" s="187" t="s">
        <v>170</v>
      </c>
      <c r="D3919" s="173">
        <v>0.04</v>
      </c>
      <c r="E3919" s="204" t="s">
        <v>30</v>
      </c>
      <c r="F3919" s="176" t="s">
        <v>188</v>
      </c>
      <c r="G3919" s="171" t="s">
        <v>6181</v>
      </c>
      <c r="H3919" s="171"/>
    </row>
    <row r="3920" ht="14.25" spans="1:8">
      <c r="A3920" s="232">
        <v>88</v>
      </c>
      <c r="B3920" s="175" t="s">
        <v>6180</v>
      </c>
      <c r="C3920" s="187" t="s">
        <v>170</v>
      </c>
      <c r="D3920" s="173">
        <v>0.04</v>
      </c>
      <c r="E3920" s="204" t="s">
        <v>30</v>
      </c>
      <c r="F3920" s="176" t="s">
        <v>188</v>
      </c>
      <c r="G3920" s="171" t="s">
        <v>6182</v>
      </c>
      <c r="H3920" s="171"/>
    </row>
    <row r="3921" ht="14.25" spans="1:8">
      <c r="A3921" s="232">
        <v>89</v>
      </c>
      <c r="B3921" s="175" t="s">
        <v>6183</v>
      </c>
      <c r="C3921" s="187" t="s">
        <v>170</v>
      </c>
      <c r="D3921" s="173">
        <v>0.01</v>
      </c>
      <c r="E3921" s="204" t="s">
        <v>30</v>
      </c>
      <c r="F3921" s="176" t="s">
        <v>188</v>
      </c>
      <c r="G3921" s="171" t="s">
        <v>6184</v>
      </c>
      <c r="H3921" s="171"/>
    </row>
    <row r="3922" ht="14.25" spans="1:8">
      <c r="A3922" s="232">
        <v>90</v>
      </c>
      <c r="B3922" s="175" t="s">
        <v>2446</v>
      </c>
      <c r="C3922" s="187" t="s">
        <v>170</v>
      </c>
      <c r="D3922" s="173">
        <v>0.02</v>
      </c>
      <c r="E3922" s="204" t="s">
        <v>30</v>
      </c>
      <c r="F3922" s="176" t="s">
        <v>188</v>
      </c>
      <c r="G3922" s="171" t="s">
        <v>6185</v>
      </c>
      <c r="H3922" s="171"/>
    </row>
    <row r="3923" ht="14.25" spans="1:8">
      <c r="A3923" s="232">
        <v>91</v>
      </c>
      <c r="B3923" s="175" t="s">
        <v>6186</v>
      </c>
      <c r="C3923" s="187" t="s">
        <v>170</v>
      </c>
      <c r="D3923" s="173">
        <v>0.02</v>
      </c>
      <c r="E3923" s="204" t="s">
        <v>30</v>
      </c>
      <c r="F3923" s="176" t="s">
        <v>188</v>
      </c>
      <c r="G3923" s="171" t="s">
        <v>6187</v>
      </c>
      <c r="H3923" s="171"/>
    </row>
    <row r="3924" ht="14.25" spans="1:8">
      <c r="A3924" s="232">
        <v>92</v>
      </c>
      <c r="B3924" s="175" t="s">
        <v>3832</v>
      </c>
      <c r="C3924" s="187" t="s">
        <v>170</v>
      </c>
      <c r="D3924" s="173">
        <v>0.2</v>
      </c>
      <c r="E3924" s="204" t="s">
        <v>30</v>
      </c>
      <c r="F3924" s="176" t="s">
        <v>188</v>
      </c>
      <c r="G3924" s="171" t="s">
        <v>6188</v>
      </c>
      <c r="H3924" s="171"/>
    </row>
    <row r="3925" ht="14.25" spans="1:8">
      <c r="A3925" s="232">
        <v>93</v>
      </c>
      <c r="B3925" s="175" t="s">
        <v>6189</v>
      </c>
      <c r="C3925" s="187" t="s">
        <v>170</v>
      </c>
      <c r="D3925" s="173">
        <v>0.02</v>
      </c>
      <c r="E3925" s="204" t="s">
        <v>30</v>
      </c>
      <c r="F3925" s="176" t="s">
        <v>188</v>
      </c>
      <c r="G3925" s="171" t="s">
        <v>6190</v>
      </c>
      <c r="H3925" s="171"/>
    </row>
    <row r="3926" ht="14.25" spans="1:8">
      <c r="A3926" s="232">
        <v>94</v>
      </c>
      <c r="B3926" s="175" t="s">
        <v>6189</v>
      </c>
      <c r="C3926" s="187" t="s">
        <v>170</v>
      </c>
      <c r="D3926" s="173">
        <v>0.01</v>
      </c>
      <c r="E3926" s="204" t="s">
        <v>30</v>
      </c>
      <c r="F3926" s="176" t="s">
        <v>188</v>
      </c>
      <c r="G3926" s="171" t="s">
        <v>6191</v>
      </c>
      <c r="H3926" s="171"/>
    </row>
    <row r="3927" ht="14.25" spans="1:8">
      <c r="A3927" s="232">
        <v>95</v>
      </c>
      <c r="B3927" s="175" t="s">
        <v>6192</v>
      </c>
      <c r="C3927" s="187" t="s">
        <v>170</v>
      </c>
      <c r="D3927" s="173">
        <v>0.02</v>
      </c>
      <c r="E3927" s="204" t="s">
        <v>30</v>
      </c>
      <c r="F3927" s="176" t="s">
        <v>188</v>
      </c>
      <c r="G3927" s="171" t="s">
        <v>6193</v>
      </c>
      <c r="H3927" s="171"/>
    </row>
    <row r="3928" ht="14.25" spans="1:8">
      <c r="A3928" s="232">
        <v>96</v>
      </c>
      <c r="B3928" s="175" t="s">
        <v>6194</v>
      </c>
      <c r="C3928" s="187" t="s">
        <v>170</v>
      </c>
      <c r="D3928" s="173">
        <v>0.02</v>
      </c>
      <c r="E3928" s="204" t="s">
        <v>30</v>
      </c>
      <c r="F3928" s="176" t="s">
        <v>188</v>
      </c>
      <c r="G3928" s="171" t="s">
        <v>6195</v>
      </c>
      <c r="H3928" s="171"/>
    </row>
    <row r="3929" ht="14.25" spans="1:8">
      <c r="A3929" s="232">
        <v>97</v>
      </c>
      <c r="B3929" s="175" t="s">
        <v>6196</v>
      </c>
      <c r="C3929" s="187" t="s">
        <v>170</v>
      </c>
      <c r="D3929" s="173">
        <v>0.02</v>
      </c>
      <c r="E3929" s="204" t="s">
        <v>30</v>
      </c>
      <c r="F3929" s="176" t="s">
        <v>188</v>
      </c>
      <c r="G3929" s="171" t="s">
        <v>6197</v>
      </c>
      <c r="H3929" s="171"/>
    </row>
    <row r="3930" ht="14.25" spans="1:8">
      <c r="A3930" s="232">
        <v>98</v>
      </c>
      <c r="B3930" s="175" t="s">
        <v>6196</v>
      </c>
      <c r="C3930" s="187" t="s">
        <v>170</v>
      </c>
      <c r="D3930" s="173">
        <v>0.02</v>
      </c>
      <c r="E3930" s="204" t="s">
        <v>30</v>
      </c>
      <c r="F3930" s="176" t="s">
        <v>188</v>
      </c>
      <c r="G3930" s="171" t="s">
        <v>6198</v>
      </c>
      <c r="H3930" s="171"/>
    </row>
    <row r="3931" ht="14.25" spans="1:8">
      <c r="A3931" s="232">
        <v>99</v>
      </c>
      <c r="B3931" s="175" t="s">
        <v>6199</v>
      </c>
      <c r="C3931" s="187" t="s">
        <v>170</v>
      </c>
      <c r="D3931" s="173">
        <v>0.025</v>
      </c>
      <c r="E3931" s="204" t="s">
        <v>30</v>
      </c>
      <c r="F3931" s="176" t="s">
        <v>188</v>
      </c>
      <c r="G3931" s="171" t="s">
        <v>6200</v>
      </c>
      <c r="H3931" s="171"/>
    </row>
    <row r="3932" ht="14.25" spans="1:8">
      <c r="A3932" s="232">
        <v>100</v>
      </c>
      <c r="B3932" s="175" t="s">
        <v>6201</v>
      </c>
      <c r="C3932" s="187" t="s">
        <v>170</v>
      </c>
      <c r="D3932" s="173">
        <v>0.03</v>
      </c>
      <c r="E3932" s="204" t="s">
        <v>30</v>
      </c>
      <c r="F3932" s="176" t="s">
        <v>188</v>
      </c>
      <c r="G3932" s="171" t="s">
        <v>6202</v>
      </c>
      <c r="H3932" s="171"/>
    </row>
    <row r="3933" ht="14.25" spans="1:8">
      <c r="A3933" s="232">
        <v>101</v>
      </c>
      <c r="B3933" s="175" t="s">
        <v>6203</v>
      </c>
      <c r="C3933" s="187" t="s">
        <v>170</v>
      </c>
      <c r="D3933" s="173">
        <v>0.02</v>
      </c>
      <c r="E3933" s="204" t="s">
        <v>30</v>
      </c>
      <c r="F3933" s="176" t="s">
        <v>188</v>
      </c>
      <c r="G3933" s="171" t="s">
        <v>6197</v>
      </c>
      <c r="H3933" s="171"/>
    </row>
    <row r="3934" ht="14.25" spans="1:8">
      <c r="A3934" s="232">
        <v>102</v>
      </c>
      <c r="B3934" s="175" t="s">
        <v>6196</v>
      </c>
      <c r="C3934" s="187" t="s">
        <v>170</v>
      </c>
      <c r="D3934" s="173">
        <v>0.02</v>
      </c>
      <c r="E3934" s="204" t="s">
        <v>30</v>
      </c>
      <c r="F3934" s="176" t="s">
        <v>188</v>
      </c>
      <c r="G3934" s="171" t="s">
        <v>6204</v>
      </c>
      <c r="H3934" s="171"/>
    </row>
    <row r="3935" ht="14.25" spans="1:8">
      <c r="A3935" s="232">
        <v>103</v>
      </c>
      <c r="B3935" s="175" t="s">
        <v>6196</v>
      </c>
      <c r="C3935" s="187" t="s">
        <v>170</v>
      </c>
      <c r="D3935" s="173">
        <v>0.02</v>
      </c>
      <c r="E3935" s="204" t="s">
        <v>30</v>
      </c>
      <c r="F3935" s="176" t="s">
        <v>188</v>
      </c>
      <c r="G3935" s="171" t="s">
        <v>6205</v>
      </c>
      <c r="H3935" s="171"/>
    </row>
    <row r="3936" ht="14.25" spans="1:8">
      <c r="A3936" s="232">
        <v>104</v>
      </c>
      <c r="B3936" s="175" t="s">
        <v>6206</v>
      </c>
      <c r="C3936" s="187" t="s">
        <v>170</v>
      </c>
      <c r="D3936" s="173">
        <v>0.04</v>
      </c>
      <c r="E3936" s="204" t="s">
        <v>30</v>
      </c>
      <c r="F3936" s="176" t="s">
        <v>188</v>
      </c>
      <c r="G3936" s="171" t="s">
        <v>6052</v>
      </c>
      <c r="H3936" s="171"/>
    </row>
    <row r="3937" ht="14.25" spans="1:8">
      <c r="A3937" s="232">
        <v>105</v>
      </c>
      <c r="B3937" s="175" t="s">
        <v>6207</v>
      </c>
      <c r="C3937" s="187" t="s">
        <v>170</v>
      </c>
      <c r="D3937" s="173">
        <v>0.02</v>
      </c>
      <c r="E3937" s="204" t="s">
        <v>30</v>
      </c>
      <c r="F3937" s="176" t="s">
        <v>188</v>
      </c>
      <c r="G3937" s="171" t="s">
        <v>6208</v>
      </c>
      <c r="H3937" s="171"/>
    </row>
    <row r="3938" ht="14.25" spans="1:8">
      <c r="A3938" s="232">
        <v>106</v>
      </c>
      <c r="B3938" s="175" t="s">
        <v>6209</v>
      </c>
      <c r="C3938" s="187" t="s">
        <v>170</v>
      </c>
      <c r="D3938" s="173">
        <v>0.02</v>
      </c>
      <c r="E3938" s="204" t="s">
        <v>30</v>
      </c>
      <c r="F3938" s="176" t="s">
        <v>188</v>
      </c>
      <c r="G3938" s="171" t="s">
        <v>6210</v>
      </c>
      <c r="H3938" s="171"/>
    </row>
    <row r="3939" ht="14.25" spans="1:8">
      <c r="A3939" s="232">
        <v>107</v>
      </c>
      <c r="B3939" s="175" t="s">
        <v>5115</v>
      </c>
      <c r="C3939" s="187" t="s">
        <v>170</v>
      </c>
      <c r="D3939" s="173">
        <v>0.02</v>
      </c>
      <c r="E3939" s="204" t="s">
        <v>30</v>
      </c>
      <c r="F3939" s="176" t="s">
        <v>188</v>
      </c>
      <c r="G3939" s="171" t="s">
        <v>6211</v>
      </c>
      <c r="H3939" s="171"/>
    </row>
    <row r="3940" ht="14.25" spans="1:8">
      <c r="A3940" s="232">
        <v>108</v>
      </c>
      <c r="B3940" s="175" t="s">
        <v>5115</v>
      </c>
      <c r="C3940" s="187" t="s">
        <v>170</v>
      </c>
      <c r="D3940" s="173">
        <v>0.02</v>
      </c>
      <c r="E3940" s="204" t="s">
        <v>30</v>
      </c>
      <c r="F3940" s="176" t="s">
        <v>188</v>
      </c>
      <c r="G3940" s="171" t="s">
        <v>6212</v>
      </c>
      <c r="H3940" s="171"/>
    </row>
    <row r="3941" ht="14.25" spans="1:8">
      <c r="A3941" s="232">
        <v>109</v>
      </c>
      <c r="B3941" s="175" t="s">
        <v>6213</v>
      </c>
      <c r="C3941" s="187" t="s">
        <v>170</v>
      </c>
      <c r="D3941" s="173">
        <v>0.03</v>
      </c>
      <c r="E3941" s="204" t="s">
        <v>30</v>
      </c>
      <c r="F3941" s="176" t="s">
        <v>188</v>
      </c>
      <c r="G3941" s="171" t="s">
        <v>6214</v>
      </c>
      <c r="H3941" s="171"/>
    </row>
    <row r="3942" ht="14.25" spans="1:8">
      <c r="A3942" s="232">
        <v>110</v>
      </c>
      <c r="B3942" s="175" t="s">
        <v>6215</v>
      </c>
      <c r="C3942" s="187" t="s">
        <v>170</v>
      </c>
      <c r="D3942" s="173">
        <v>0.04</v>
      </c>
      <c r="E3942" s="204" t="s">
        <v>30</v>
      </c>
      <c r="F3942" s="176" t="s">
        <v>188</v>
      </c>
      <c r="G3942" s="171" t="s">
        <v>6216</v>
      </c>
      <c r="H3942" s="171"/>
    </row>
    <row r="3943" ht="14.25" spans="1:8">
      <c r="A3943" s="232">
        <v>111</v>
      </c>
      <c r="B3943" s="175" t="s">
        <v>6217</v>
      </c>
      <c r="C3943" s="187" t="s">
        <v>170</v>
      </c>
      <c r="D3943" s="173">
        <v>0.01</v>
      </c>
      <c r="E3943" s="204" t="s">
        <v>30</v>
      </c>
      <c r="F3943" s="176" t="s">
        <v>188</v>
      </c>
      <c r="G3943" s="171" t="s">
        <v>6218</v>
      </c>
      <c r="H3943" s="171"/>
    </row>
    <row r="3944" ht="14.25" spans="1:8">
      <c r="A3944" s="232">
        <v>112</v>
      </c>
      <c r="B3944" s="175" t="s">
        <v>6217</v>
      </c>
      <c r="C3944" s="187" t="s">
        <v>170</v>
      </c>
      <c r="D3944" s="173">
        <v>0.01</v>
      </c>
      <c r="E3944" s="204" t="s">
        <v>30</v>
      </c>
      <c r="F3944" s="176" t="s">
        <v>188</v>
      </c>
      <c r="G3944" s="171" t="s">
        <v>6219</v>
      </c>
      <c r="H3944" s="171"/>
    </row>
    <row r="3945" ht="14.25" spans="1:8">
      <c r="A3945" s="232">
        <v>113</v>
      </c>
      <c r="B3945" s="175" t="s">
        <v>6220</v>
      </c>
      <c r="C3945" s="187" t="s">
        <v>170</v>
      </c>
      <c r="D3945" s="173">
        <v>0.02</v>
      </c>
      <c r="E3945" s="204" t="s">
        <v>30</v>
      </c>
      <c r="F3945" s="176" t="s">
        <v>188</v>
      </c>
      <c r="G3945" s="171" t="s">
        <v>6208</v>
      </c>
      <c r="H3945" s="171"/>
    </row>
    <row r="3946" ht="14.25" spans="1:8">
      <c r="A3946" s="232">
        <v>114</v>
      </c>
      <c r="B3946" s="175" t="s">
        <v>6221</v>
      </c>
      <c r="C3946" s="187" t="s">
        <v>170</v>
      </c>
      <c r="D3946" s="173">
        <v>0.02</v>
      </c>
      <c r="E3946" s="204" t="s">
        <v>30</v>
      </c>
      <c r="F3946" s="176" t="s">
        <v>188</v>
      </c>
      <c r="G3946" s="171" t="s">
        <v>6222</v>
      </c>
      <c r="H3946" s="171"/>
    </row>
    <row r="3947" ht="14.25" spans="1:8">
      <c r="A3947" s="232">
        <v>115</v>
      </c>
      <c r="B3947" s="175" t="s">
        <v>6223</v>
      </c>
      <c r="C3947" s="187" t="s">
        <v>170</v>
      </c>
      <c r="D3947" s="173">
        <v>0.02</v>
      </c>
      <c r="E3947" s="204" t="s">
        <v>30</v>
      </c>
      <c r="F3947" s="176" t="s">
        <v>188</v>
      </c>
      <c r="G3947" s="171" t="s">
        <v>6224</v>
      </c>
      <c r="H3947" s="171"/>
    </row>
    <row r="3948" ht="14.25" spans="1:8">
      <c r="A3948" s="232">
        <v>116</v>
      </c>
      <c r="B3948" s="175" t="s">
        <v>6225</v>
      </c>
      <c r="C3948" s="187" t="s">
        <v>170</v>
      </c>
      <c r="D3948" s="173">
        <v>0.02</v>
      </c>
      <c r="E3948" s="204" t="s">
        <v>30</v>
      </c>
      <c r="F3948" s="176" t="s">
        <v>188</v>
      </c>
      <c r="G3948" s="171" t="s">
        <v>6226</v>
      </c>
      <c r="H3948" s="171"/>
    </row>
    <row r="3949" ht="14.25" spans="1:8">
      <c r="A3949" s="232">
        <v>117</v>
      </c>
      <c r="B3949" s="175" t="s">
        <v>6227</v>
      </c>
      <c r="C3949" s="187" t="s">
        <v>170</v>
      </c>
      <c r="D3949" s="173">
        <v>0.03</v>
      </c>
      <c r="E3949" s="204" t="s">
        <v>30</v>
      </c>
      <c r="F3949" s="176" t="s">
        <v>188</v>
      </c>
      <c r="G3949" s="171" t="s">
        <v>6228</v>
      </c>
      <c r="H3949" s="171"/>
    </row>
    <row r="3950" ht="14.25" spans="1:8">
      <c r="A3950" s="232">
        <v>118</v>
      </c>
      <c r="B3950" s="175" t="s">
        <v>6229</v>
      </c>
      <c r="C3950" s="187" t="s">
        <v>170</v>
      </c>
      <c r="D3950" s="173">
        <v>0.08</v>
      </c>
      <c r="E3950" s="204" t="s">
        <v>30</v>
      </c>
      <c r="F3950" s="176" t="s">
        <v>188</v>
      </c>
      <c r="G3950" s="171" t="s">
        <v>6230</v>
      </c>
      <c r="H3950" s="171"/>
    </row>
    <row r="3951" ht="14.25" spans="1:8">
      <c r="A3951" s="232">
        <v>119</v>
      </c>
      <c r="B3951" s="175" t="s">
        <v>6059</v>
      </c>
      <c r="C3951" s="187" t="s">
        <v>170</v>
      </c>
      <c r="D3951" s="173">
        <v>0.07</v>
      </c>
      <c r="E3951" s="204" t="s">
        <v>30</v>
      </c>
      <c r="F3951" s="176" t="s">
        <v>188</v>
      </c>
      <c r="G3951" s="171" t="s">
        <v>6231</v>
      </c>
      <c r="H3951" s="171"/>
    </row>
    <row r="3952" ht="14.25" spans="1:8">
      <c r="A3952" s="232">
        <v>120</v>
      </c>
      <c r="B3952" s="175" t="s">
        <v>6232</v>
      </c>
      <c r="C3952" s="187" t="s">
        <v>170</v>
      </c>
      <c r="D3952" s="173">
        <v>0.01</v>
      </c>
      <c r="E3952" s="204" t="s">
        <v>30</v>
      </c>
      <c r="F3952" s="176" t="s">
        <v>188</v>
      </c>
      <c r="G3952" s="171" t="s">
        <v>6133</v>
      </c>
      <c r="H3952" s="171"/>
    </row>
    <row r="3953" ht="14.25" spans="1:8">
      <c r="A3953" s="232">
        <v>121</v>
      </c>
      <c r="B3953" s="175" t="s">
        <v>6233</v>
      </c>
      <c r="C3953" s="187" t="s">
        <v>170</v>
      </c>
      <c r="D3953" s="173">
        <v>0.13</v>
      </c>
      <c r="E3953" s="204" t="s">
        <v>30</v>
      </c>
      <c r="F3953" s="176" t="s">
        <v>188</v>
      </c>
      <c r="G3953" s="171" t="s">
        <v>6234</v>
      </c>
      <c r="H3953" s="171"/>
    </row>
    <row r="3954" ht="14.25" spans="1:8">
      <c r="A3954" s="232">
        <v>122</v>
      </c>
      <c r="B3954" s="175" t="s">
        <v>2257</v>
      </c>
      <c r="C3954" s="187" t="s">
        <v>170</v>
      </c>
      <c r="D3954" s="173">
        <v>0.08</v>
      </c>
      <c r="E3954" s="204" t="s">
        <v>30</v>
      </c>
      <c r="F3954" s="176" t="s">
        <v>188</v>
      </c>
      <c r="G3954" s="171" t="s">
        <v>6235</v>
      </c>
      <c r="H3954" s="171"/>
    </row>
    <row r="3955" ht="14.25" spans="1:8">
      <c r="A3955" s="232">
        <v>123</v>
      </c>
      <c r="B3955" s="175" t="s">
        <v>2257</v>
      </c>
      <c r="C3955" s="187" t="s">
        <v>170</v>
      </c>
      <c r="D3955" s="173">
        <v>0.1</v>
      </c>
      <c r="E3955" s="204" t="s">
        <v>30</v>
      </c>
      <c r="F3955" s="176" t="s">
        <v>188</v>
      </c>
      <c r="G3955" s="171" t="s">
        <v>6236</v>
      </c>
      <c r="H3955" s="171"/>
    </row>
    <row r="3956" ht="14.25" spans="1:8">
      <c r="A3956" s="232">
        <v>124</v>
      </c>
      <c r="B3956" s="175" t="s">
        <v>6092</v>
      </c>
      <c r="C3956" s="187" t="s">
        <v>170</v>
      </c>
      <c r="D3956" s="173">
        <v>0.02</v>
      </c>
      <c r="E3956" s="204" t="s">
        <v>30</v>
      </c>
      <c r="F3956" s="176" t="s">
        <v>188</v>
      </c>
      <c r="G3956" s="171" t="s">
        <v>6054</v>
      </c>
      <c r="H3956" s="171"/>
    </row>
    <row r="3957" ht="14.25" spans="1:8">
      <c r="A3957" s="232">
        <v>125</v>
      </c>
      <c r="B3957" s="175" t="s">
        <v>6237</v>
      </c>
      <c r="C3957" s="187" t="s">
        <v>170</v>
      </c>
      <c r="D3957" s="173">
        <v>0.06</v>
      </c>
      <c r="E3957" s="204" t="s">
        <v>30</v>
      </c>
      <c r="F3957" s="176" t="s">
        <v>188</v>
      </c>
      <c r="G3957" s="171" t="s">
        <v>6238</v>
      </c>
      <c r="H3957" s="171"/>
    </row>
    <row r="3958" ht="14.25" spans="1:8">
      <c r="A3958" s="232">
        <v>126</v>
      </c>
      <c r="B3958" s="175" t="s">
        <v>6239</v>
      </c>
      <c r="C3958" s="187" t="s">
        <v>170</v>
      </c>
      <c r="D3958" s="173">
        <v>0.04</v>
      </c>
      <c r="E3958" s="204" t="s">
        <v>30</v>
      </c>
      <c r="F3958" s="176" t="s">
        <v>188</v>
      </c>
      <c r="G3958" s="171" t="s">
        <v>6240</v>
      </c>
      <c r="H3958" s="171" t="s">
        <v>672</v>
      </c>
    </row>
    <row r="3959" ht="14.25" spans="1:8">
      <c r="A3959" s="232">
        <v>127</v>
      </c>
      <c r="B3959" s="175" t="s">
        <v>6241</v>
      </c>
      <c r="C3959" s="187" t="s">
        <v>170</v>
      </c>
      <c r="D3959" s="173">
        <v>0.02</v>
      </c>
      <c r="E3959" s="204" t="s">
        <v>30</v>
      </c>
      <c r="F3959" s="176" t="s">
        <v>188</v>
      </c>
      <c r="G3959" s="171" t="s">
        <v>6242</v>
      </c>
      <c r="H3959" s="171"/>
    </row>
    <row r="3960" ht="14.25" spans="1:8">
      <c r="A3960" s="232">
        <v>128</v>
      </c>
      <c r="B3960" s="175" t="s">
        <v>6243</v>
      </c>
      <c r="C3960" s="187" t="s">
        <v>170</v>
      </c>
      <c r="D3960" s="173">
        <v>0.02</v>
      </c>
      <c r="E3960" s="204" t="s">
        <v>30</v>
      </c>
      <c r="F3960" s="176" t="s">
        <v>188</v>
      </c>
      <c r="G3960" s="171" t="s">
        <v>6244</v>
      </c>
      <c r="H3960" s="171"/>
    </row>
    <row r="3961" ht="14.25" spans="1:8">
      <c r="A3961" s="232">
        <v>129</v>
      </c>
      <c r="B3961" s="191" t="s">
        <v>6245</v>
      </c>
      <c r="C3961" s="187" t="s">
        <v>170</v>
      </c>
      <c r="D3961" s="173">
        <v>0.01</v>
      </c>
      <c r="E3961" s="204" t="s">
        <v>30</v>
      </c>
      <c r="F3961" s="176" t="s">
        <v>188</v>
      </c>
      <c r="G3961" s="191" t="s">
        <v>3709</v>
      </c>
      <c r="H3961" s="171"/>
    </row>
    <row r="3962" ht="14.25" spans="1:8">
      <c r="A3962" s="232">
        <v>130</v>
      </c>
      <c r="B3962" s="191" t="s">
        <v>6246</v>
      </c>
      <c r="C3962" s="187" t="s">
        <v>170</v>
      </c>
      <c r="D3962" s="173">
        <v>0.07</v>
      </c>
      <c r="E3962" s="204" t="s">
        <v>30</v>
      </c>
      <c r="F3962" s="176" t="s">
        <v>188</v>
      </c>
      <c r="G3962" s="191" t="s">
        <v>2132</v>
      </c>
      <c r="H3962" s="171"/>
    </row>
    <row r="3963" ht="14.25" spans="1:8">
      <c r="A3963" s="232">
        <v>131</v>
      </c>
      <c r="B3963" s="191" t="s">
        <v>822</v>
      </c>
      <c r="C3963" s="187" t="s">
        <v>170</v>
      </c>
      <c r="D3963" s="173">
        <v>0.2</v>
      </c>
      <c r="E3963" s="204" t="s">
        <v>30</v>
      </c>
      <c r="F3963" s="176" t="s">
        <v>188</v>
      </c>
      <c r="G3963" s="191" t="s">
        <v>6074</v>
      </c>
      <c r="H3963" s="171"/>
    </row>
    <row r="3964" ht="14.25" spans="1:8">
      <c r="A3964" s="232">
        <v>132</v>
      </c>
      <c r="B3964" s="191" t="s">
        <v>4489</v>
      </c>
      <c r="C3964" s="187" t="s">
        <v>170</v>
      </c>
      <c r="D3964" s="173">
        <v>0.04</v>
      </c>
      <c r="E3964" s="204" t="s">
        <v>30</v>
      </c>
      <c r="F3964" s="176" t="s">
        <v>188</v>
      </c>
      <c r="G3964" s="191" t="s">
        <v>6236</v>
      </c>
      <c r="H3964" s="171"/>
    </row>
    <row r="3965" ht="14.25" spans="1:8">
      <c r="A3965" s="232">
        <v>133</v>
      </c>
      <c r="B3965" s="191" t="s">
        <v>4489</v>
      </c>
      <c r="C3965" s="187" t="s">
        <v>170</v>
      </c>
      <c r="D3965" s="173">
        <v>0.04</v>
      </c>
      <c r="E3965" s="204" t="s">
        <v>30</v>
      </c>
      <c r="F3965" s="176" t="s">
        <v>188</v>
      </c>
      <c r="G3965" s="191" t="s">
        <v>6202</v>
      </c>
      <c r="H3965" s="171"/>
    </row>
    <row r="3966" ht="14.25" spans="1:8">
      <c r="A3966" s="232">
        <v>134</v>
      </c>
      <c r="B3966" s="191" t="s">
        <v>4489</v>
      </c>
      <c r="C3966" s="187" t="s">
        <v>170</v>
      </c>
      <c r="D3966" s="173">
        <v>0.04</v>
      </c>
      <c r="E3966" s="204" t="s">
        <v>30</v>
      </c>
      <c r="F3966" s="176" t="s">
        <v>188</v>
      </c>
      <c r="G3966" s="191" t="s">
        <v>6235</v>
      </c>
      <c r="H3966" s="171"/>
    </row>
    <row r="3967" ht="14.25" spans="1:8">
      <c r="A3967" s="232">
        <v>135</v>
      </c>
      <c r="B3967" s="191" t="s">
        <v>4489</v>
      </c>
      <c r="C3967" s="187" t="s">
        <v>170</v>
      </c>
      <c r="D3967" s="173">
        <v>0.04</v>
      </c>
      <c r="E3967" s="204" t="s">
        <v>30</v>
      </c>
      <c r="F3967" s="176" t="s">
        <v>188</v>
      </c>
      <c r="G3967" s="191" t="s">
        <v>6247</v>
      </c>
      <c r="H3967" s="171"/>
    </row>
    <row r="3968" ht="14.25" spans="1:8">
      <c r="A3968" s="232">
        <v>136</v>
      </c>
      <c r="B3968" s="191" t="s">
        <v>3832</v>
      </c>
      <c r="C3968" s="187" t="s">
        <v>170</v>
      </c>
      <c r="D3968" s="173">
        <v>0.18</v>
      </c>
      <c r="E3968" s="204" t="s">
        <v>30</v>
      </c>
      <c r="F3968" s="176" t="s">
        <v>188</v>
      </c>
      <c r="G3968" s="191" t="s">
        <v>6188</v>
      </c>
      <c r="H3968" s="171"/>
    </row>
    <row r="3969" ht="14.25" spans="1:8">
      <c r="A3969" s="232">
        <v>137</v>
      </c>
      <c r="B3969" s="175" t="s">
        <v>6069</v>
      </c>
      <c r="C3969" s="187" t="s">
        <v>170</v>
      </c>
      <c r="D3969" s="173">
        <v>0.05</v>
      </c>
      <c r="E3969" s="204" t="s">
        <v>30</v>
      </c>
      <c r="F3969" s="176" t="s">
        <v>188</v>
      </c>
      <c r="G3969" s="189" t="s">
        <v>6248</v>
      </c>
      <c r="H3969" s="171"/>
    </row>
    <row r="3970" ht="14.25" spans="1:8">
      <c r="A3970" s="232">
        <v>138</v>
      </c>
      <c r="B3970" s="175" t="s">
        <v>1560</v>
      </c>
      <c r="C3970" s="187" t="s">
        <v>170</v>
      </c>
      <c r="D3970" s="173">
        <v>0.05</v>
      </c>
      <c r="E3970" s="204" t="s">
        <v>30</v>
      </c>
      <c r="F3970" s="176" t="s">
        <v>188</v>
      </c>
      <c r="G3970" s="189" t="s">
        <v>6056</v>
      </c>
      <c r="H3970" s="171"/>
    </row>
    <row r="3971" ht="14.25" spans="1:8">
      <c r="A3971" s="232">
        <v>139</v>
      </c>
      <c r="B3971" s="175" t="s">
        <v>6249</v>
      </c>
      <c r="C3971" s="187" t="s">
        <v>170</v>
      </c>
      <c r="D3971" s="173">
        <v>0.04</v>
      </c>
      <c r="E3971" s="204" t="s">
        <v>30</v>
      </c>
      <c r="F3971" s="176" t="s">
        <v>188</v>
      </c>
      <c r="G3971" s="189" t="s">
        <v>6250</v>
      </c>
      <c r="H3971" s="171" t="s">
        <v>672</v>
      </c>
    </row>
    <row r="3972" ht="14.25" spans="1:8">
      <c r="A3972" s="232">
        <v>140</v>
      </c>
      <c r="B3972" s="175" t="s">
        <v>6251</v>
      </c>
      <c r="C3972" s="187" t="s">
        <v>170</v>
      </c>
      <c r="D3972" s="173">
        <v>0.07</v>
      </c>
      <c r="E3972" s="204" t="s">
        <v>30</v>
      </c>
      <c r="F3972" s="176" t="s">
        <v>188</v>
      </c>
      <c r="G3972" s="189" t="s">
        <v>6252</v>
      </c>
      <c r="H3972" s="171"/>
    </row>
    <row r="3973" ht="14.25" spans="1:8">
      <c r="A3973" s="232">
        <v>141</v>
      </c>
      <c r="B3973" s="175" t="s">
        <v>1631</v>
      </c>
      <c r="C3973" s="187" t="s">
        <v>170</v>
      </c>
      <c r="D3973" s="173">
        <v>0.3</v>
      </c>
      <c r="E3973" s="204" t="s">
        <v>30</v>
      </c>
      <c r="F3973" s="176" t="s">
        <v>188</v>
      </c>
      <c r="G3973" s="189" t="s">
        <v>6253</v>
      </c>
      <c r="H3973" s="171" t="s">
        <v>593</v>
      </c>
    </row>
    <row r="3974" ht="14.25" spans="1:8">
      <c r="A3974" s="232">
        <v>142</v>
      </c>
      <c r="B3974" s="175" t="s">
        <v>6254</v>
      </c>
      <c r="C3974" s="187" t="s">
        <v>170</v>
      </c>
      <c r="D3974" s="173">
        <v>0.5</v>
      </c>
      <c r="E3974" s="204" t="s">
        <v>30</v>
      </c>
      <c r="F3974" s="176" t="s">
        <v>188</v>
      </c>
      <c r="G3974" s="189" t="s">
        <v>6255</v>
      </c>
      <c r="H3974" s="171"/>
    </row>
    <row r="3975" ht="14.25" spans="1:8">
      <c r="A3975" s="232">
        <v>143</v>
      </c>
      <c r="B3975" s="175" t="s">
        <v>6256</v>
      </c>
      <c r="C3975" s="187" t="s">
        <v>170</v>
      </c>
      <c r="D3975" s="173">
        <v>0.04</v>
      </c>
      <c r="E3975" s="204" t="s">
        <v>30</v>
      </c>
      <c r="F3975" s="176" t="s">
        <v>188</v>
      </c>
      <c r="G3975" s="189" t="s">
        <v>6257</v>
      </c>
      <c r="H3975" s="171"/>
    </row>
    <row r="3976" ht="14.25" spans="1:8">
      <c r="A3976" s="232">
        <v>144</v>
      </c>
      <c r="B3976" s="175" t="s">
        <v>2615</v>
      </c>
      <c r="C3976" s="187" t="s">
        <v>170</v>
      </c>
      <c r="D3976" s="173">
        <v>0.06</v>
      </c>
      <c r="E3976" s="204" t="s">
        <v>30</v>
      </c>
      <c r="F3976" s="176" t="s">
        <v>188</v>
      </c>
      <c r="G3976" s="189" t="s">
        <v>6258</v>
      </c>
      <c r="H3976" s="171" t="s">
        <v>672</v>
      </c>
    </row>
    <row r="3977" ht="14.25" spans="1:8">
      <c r="A3977" s="232">
        <v>145</v>
      </c>
      <c r="B3977" s="175" t="s">
        <v>2615</v>
      </c>
      <c r="C3977" s="187" t="s">
        <v>170</v>
      </c>
      <c r="D3977" s="173">
        <v>0.08</v>
      </c>
      <c r="E3977" s="204" t="s">
        <v>30</v>
      </c>
      <c r="F3977" s="176" t="s">
        <v>188</v>
      </c>
      <c r="G3977" s="189" t="s">
        <v>6259</v>
      </c>
      <c r="H3977" s="171" t="s">
        <v>672</v>
      </c>
    </row>
    <row r="3978" ht="14.25" spans="1:8">
      <c r="A3978" s="232">
        <v>146</v>
      </c>
      <c r="B3978" s="175" t="s">
        <v>2615</v>
      </c>
      <c r="C3978" s="187" t="s">
        <v>170</v>
      </c>
      <c r="D3978" s="173">
        <v>0.08</v>
      </c>
      <c r="E3978" s="204" t="s">
        <v>30</v>
      </c>
      <c r="F3978" s="176" t="s">
        <v>188</v>
      </c>
      <c r="G3978" s="189" t="s">
        <v>6260</v>
      </c>
      <c r="H3978" s="171" t="s">
        <v>672</v>
      </c>
    </row>
    <row r="3979" ht="14.25" spans="1:8">
      <c r="A3979" s="232">
        <v>147</v>
      </c>
      <c r="B3979" s="175" t="s">
        <v>708</v>
      </c>
      <c r="C3979" s="187" t="s">
        <v>170</v>
      </c>
      <c r="D3979" s="173">
        <v>0.11</v>
      </c>
      <c r="E3979" s="204" t="s">
        <v>30</v>
      </c>
      <c r="F3979" s="176" t="s">
        <v>188</v>
      </c>
      <c r="G3979" s="189" t="s">
        <v>6238</v>
      </c>
      <c r="H3979" s="171"/>
    </row>
    <row r="3980" ht="25.5" spans="1:8">
      <c r="A3980" s="232">
        <v>148</v>
      </c>
      <c r="B3980" s="175" t="s">
        <v>6261</v>
      </c>
      <c r="C3980" s="187" t="s">
        <v>170</v>
      </c>
      <c r="D3980" s="173">
        <v>0.23</v>
      </c>
      <c r="E3980" s="204" t="s">
        <v>30</v>
      </c>
      <c r="F3980" s="176" t="s">
        <v>188</v>
      </c>
      <c r="G3980" s="189" t="s">
        <v>6262</v>
      </c>
      <c r="H3980" s="171" t="s">
        <v>682</v>
      </c>
    </row>
    <row r="3981" ht="14.25" spans="1:8">
      <c r="A3981" s="232">
        <v>149</v>
      </c>
      <c r="B3981" s="175" t="s">
        <v>6126</v>
      </c>
      <c r="C3981" s="187" t="s">
        <v>170</v>
      </c>
      <c r="D3981" s="173">
        <v>0.09</v>
      </c>
      <c r="E3981" s="204" t="s">
        <v>30</v>
      </c>
      <c r="F3981" s="176" t="s">
        <v>188</v>
      </c>
      <c r="G3981" s="189" t="s">
        <v>6127</v>
      </c>
      <c r="H3981" s="171"/>
    </row>
    <row r="3982" ht="14.25" spans="1:8">
      <c r="A3982" s="232">
        <v>150</v>
      </c>
      <c r="B3982" s="175" t="s">
        <v>2313</v>
      </c>
      <c r="C3982" s="187" t="s">
        <v>170</v>
      </c>
      <c r="D3982" s="173">
        <v>0.1</v>
      </c>
      <c r="E3982" s="204" t="s">
        <v>30</v>
      </c>
      <c r="F3982" s="176" t="s">
        <v>188</v>
      </c>
      <c r="G3982" s="189" t="s">
        <v>6263</v>
      </c>
      <c r="H3982" s="171"/>
    </row>
    <row r="3983" ht="14.25" spans="1:8">
      <c r="A3983" s="232">
        <v>151</v>
      </c>
      <c r="B3983" s="175" t="s">
        <v>6264</v>
      </c>
      <c r="C3983" s="187" t="s">
        <v>170</v>
      </c>
      <c r="D3983" s="173">
        <v>0.13</v>
      </c>
      <c r="E3983" s="204" t="s">
        <v>30</v>
      </c>
      <c r="F3983" s="176" t="s">
        <v>188</v>
      </c>
      <c r="G3983" s="189" t="s">
        <v>6265</v>
      </c>
      <c r="H3983" s="171"/>
    </row>
    <row r="3984" ht="14.25" spans="1:8">
      <c r="A3984" s="232">
        <v>152</v>
      </c>
      <c r="B3984" s="175" t="s">
        <v>6254</v>
      </c>
      <c r="C3984" s="187" t="s">
        <v>170</v>
      </c>
      <c r="D3984" s="173">
        <v>0.42</v>
      </c>
      <c r="E3984" s="204" t="s">
        <v>30</v>
      </c>
      <c r="F3984" s="176" t="s">
        <v>188</v>
      </c>
      <c r="G3984" s="189" t="s">
        <v>6266</v>
      </c>
      <c r="H3984" s="171"/>
    </row>
    <row r="3985" ht="14.25" spans="1:8">
      <c r="A3985" s="232">
        <v>153</v>
      </c>
      <c r="B3985" s="175" t="s">
        <v>4910</v>
      </c>
      <c r="C3985" s="187" t="s">
        <v>170</v>
      </c>
      <c r="D3985" s="173">
        <v>0.02</v>
      </c>
      <c r="E3985" s="204" t="s">
        <v>30</v>
      </c>
      <c r="F3985" s="176" t="s">
        <v>188</v>
      </c>
      <c r="G3985" s="189" t="s">
        <v>6267</v>
      </c>
      <c r="H3985" s="171"/>
    </row>
    <row r="3986" ht="14.25" spans="1:8">
      <c r="A3986" s="232">
        <v>154</v>
      </c>
      <c r="B3986" s="175" t="s">
        <v>6268</v>
      </c>
      <c r="C3986" s="187" t="s">
        <v>170</v>
      </c>
      <c r="D3986" s="173">
        <v>0.2</v>
      </c>
      <c r="E3986" s="204" t="s">
        <v>30</v>
      </c>
      <c r="F3986" s="176" t="s">
        <v>188</v>
      </c>
      <c r="G3986" s="189" t="s">
        <v>6269</v>
      </c>
      <c r="H3986" s="171"/>
    </row>
    <row r="3987" ht="14.25" spans="1:8">
      <c r="A3987" s="232">
        <v>155</v>
      </c>
      <c r="B3987" s="175" t="s">
        <v>6270</v>
      </c>
      <c r="C3987" s="187" t="s">
        <v>170</v>
      </c>
      <c r="D3987" s="173">
        <v>0.04</v>
      </c>
      <c r="E3987" s="204" t="s">
        <v>30</v>
      </c>
      <c r="F3987" s="176" t="s">
        <v>188</v>
      </c>
      <c r="G3987" s="189" t="s">
        <v>6271</v>
      </c>
      <c r="H3987" s="171"/>
    </row>
    <row r="3988" ht="14.25" spans="1:8">
      <c r="A3988" s="232">
        <v>156</v>
      </c>
      <c r="B3988" s="175" t="s">
        <v>6272</v>
      </c>
      <c r="C3988" s="187" t="s">
        <v>170</v>
      </c>
      <c r="D3988" s="173">
        <v>0.04</v>
      </c>
      <c r="E3988" s="204" t="s">
        <v>30</v>
      </c>
      <c r="F3988" s="176" t="s">
        <v>188</v>
      </c>
      <c r="G3988" s="189" t="s">
        <v>6273</v>
      </c>
      <c r="H3988" s="171"/>
    </row>
    <row r="3989" ht="14.25" spans="1:8">
      <c r="A3989" s="232">
        <v>157</v>
      </c>
      <c r="B3989" s="175" t="s">
        <v>6274</v>
      </c>
      <c r="C3989" s="187" t="s">
        <v>170</v>
      </c>
      <c r="D3989" s="173">
        <v>0.04</v>
      </c>
      <c r="E3989" s="204" t="s">
        <v>30</v>
      </c>
      <c r="F3989" s="176" t="s">
        <v>188</v>
      </c>
      <c r="G3989" s="189" t="s">
        <v>6275</v>
      </c>
      <c r="H3989" s="171"/>
    </row>
    <row r="3990" ht="14.25" spans="1:8">
      <c r="A3990" s="232">
        <v>158</v>
      </c>
      <c r="B3990" s="175" t="s">
        <v>2489</v>
      </c>
      <c r="C3990" s="187" t="s">
        <v>170</v>
      </c>
      <c r="D3990" s="173">
        <v>0.02</v>
      </c>
      <c r="E3990" s="204" t="s">
        <v>30</v>
      </c>
      <c r="F3990" s="176" t="s">
        <v>188</v>
      </c>
      <c r="G3990" s="189" t="s">
        <v>6276</v>
      </c>
      <c r="H3990" s="171"/>
    </row>
    <row r="3991" ht="14.25" spans="1:8">
      <c r="A3991" s="232">
        <v>159</v>
      </c>
      <c r="B3991" s="175" t="s">
        <v>2785</v>
      </c>
      <c r="C3991" s="187" t="s">
        <v>170</v>
      </c>
      <c r="D3991" s="173">
        <v>0.02</v>
      </c>
      <c r="E3991" s="204" t="s">
        <v>30</v>
      </c>
      <c r="F3991" s="176" t="s">
        <v>188</v>
      </c>
      <c r="G3991" s="189" t="s">
        <v>6277</v>
      </c>
      <c r="H3991" s="171"/>
    </row>
    <row r="3992" ht="14.25" spans="1:8">
      <c r="A3992" s="232">
        <v>160</v>
      </c>
      <c r="B3992" s="175" t="s">
        <v>2785</v>
      </c>
      <c r="C3992" s="187" t="s">
        <v>170</v>
      </c>
      <c r="D3992" s="173">
        <v>0.02</v>
      </c>
      <c r="E3992" s="204" t="s">
        <v>30</v>
      </c>
      <c r="F3992" s="176" t="s">
        <v>188</v>
      </c>
      <c r="G3992" s="189" t="s">
        <v>6278</v>
      </c>
      <c r="H3992" s="171"/>
    </row>
    <row r="3993" ht="14.25" spans="1:8">
      <c r="A3993" s="232">
        <v>161</v>
      </c>
      <c r="B3993" s="175" t="s">
        <v>2785</v>
      </c>
      <c r="C3993" s="187" t="s">
        <v>170</v>
      </c>
      <c r="D3993" s="173">
        <v>0.02</v>
      </c>
      <c r="E3993" s="204" t="s">
        <v>30</v>
      </c>
      <c r="F3993" s="176" t="s">
        <v>188</v>
      </c>
      <c r="G3993" s="189" t="s">
        <v>6279</v>
      </c>
      <c r="H3993" s="171"/>
    </row>
    <row r="3994" ht="14.25" spans="1:8">
      <c r="A3994" s="232">
        <v>162</v>
      </c>
      <c r="B3994" s="175" t="s">
        <v>2785</v>
      </c>
      <c r="C3994" s="187" t="s">
        <v>170</v>
      </c>
      <c r="D3994" s="173">
        <v>0.02</v>
      </c>
      <c r="E3994" s="204" t="s">
        <v>30</v>
      </c>
      <c r="F3994" s="176" t="s">
        <v>188</v>
      </c>
      <c r="G3994" s="189" t="s">
        <v>6280</v>
      </c>
      <c r="H3994" s="171"/>
    </row>
    <row r="3995" ht="14.25" spans="1:8">
      <c r="A3995" s="232">
        <v>163</v>
      </c>
      <c r="B3995" s="175" t="s">
        <v>2785</v>
      </c>
      <c r="C3995" s="187" t="s">
        <v>170</v>
      </c>
      <c r="D3995" s="173">
        <v>0.02</v>
      </c>
      <c r="E3995" s="204" t="s">
        <v>30</v>
      </c>
      <c r="F3995" s="176" t="s">
        <v>188</v>
      </c>
      <c r="G3995" s="189" t="s">
        <v>6281</v>
      </c>
      <c r="H3995" s="171"/>
    </row>
    <row r="3996" ht="14.25" spans="1:8">
      <c r="A3996" s="232">
        <v>164</v>
      </c>
      <c r="B3996" s="175" t="s">
        <v>2785</v>
      </c>
      <c r="C3996" s="187" t="s">
        <v>170</v>
      </c>
      <c r="D3996" s="173">
        <v>0.02</v>
      </c>
      <c r="E3996" s="204" t="s">
        <v>30</v>
      </c>
      <c r="F3996" s="176" t="s">
        <v>188</v>
      </c>
      <c r="G3996" s="189" t="s">
        <v>6282</v>
      </c>
      <c r="H3996" s="171"/>
    </row>
    <row r="3997" ht="14.25" spans="1:8">
      <c r="A3997" s="232">
        <v>165</v>
      </c>
      <c r="B3997" s="175" t="s">
        <v>2785</v>
      </c>
      <c r="C3997" s="187" t="s">
        <v>170</v>
      </c>
      <c r="D3997" s="173">
        <v>0.02</v>
      </c>
      <c r="E3997" s="204" t="s">
        <v>30</v>
      </c>
      <c r="F3997" s="176" t="s">
        <v>188</v>
      </c>
      <c r="G3997" s="189" t="s">
        <v>6283</v>
      </c>
      <c r="H3997" s="171"/>
    </row>
    <row r="3998" ht="14.25" spans="1:8">
      <c r="A3998" s="232">
        <v>166</v>
      </c>
      <c r="B3998" s="175" t="s">
        <v>5079</v>
      </c>
      <c r="C3998" s="187" t="s">
        <v>170</v>
      </c>
      <c r="D3998" s="173">
        <v>0.02</v>
      </c>
      <c r="E3998" s="204" t="s">
        <v>30</v>
      </c>
      <c r="F3998" s="176" t="s">
        <v>188</v>
      </c>
      <c r="G3998" s="189" t="s">
        <v>6284</v>
      </c>
      <c r="H3998" s="171"/>
    </row>
    <row r="3999" ht="14.25" spans="1:8">
      <c r="A3999" s="232">
        <v>167</v>
      </c>
      <c r="B3999" s="175" t="s">
        <v>6246</v>
      </c>
      <c r="C3999" s="187" t="s">
        <v>170</v>
      </c>
      <c r="D3999" s="173">
        <v>0.02</v>
      </c>
      <c r="E3999" s="204" t="s">
        <v>30</v>
      </c>
      <c r="F3999" s="176" t="s">
        <v>188</v>
      </c>
      <c r="G3999" s="189" t="s">
        <v>2132</v>
      </c>
      <c r="H3999" s="171"/>
    </row>
    <row r="4000" ht="14.25" spans="1:8">
      <c r="A4000" s="232">
        <v>168</v>
      </c>
      <c r="B4000" s="175" t="s">
        <v>6099</v>
      </c>
      <c r="C4000" s="187" t="s">
        <v>170</v>
      </c>
      <c r="D4000" s="173">
        <v>0.01</v>
      </c>
      <c r="E4000" s="204" t="s">
        <v>30</v>
      </c>
      <c r="F4000" s="176" t="s">
        <v>188</v>
      </c>
      <c r="G4000" s="189" t="s">
        <v>6285</v>
      </c>
      <c r="H4000" s="171"/>
    </row>
    <row r="4001" ht="14.25" spans="1:8">
      <c r="A4001" s="232">
        <v>169</v>
      </c>
      <c r="B4001" s="175" t="s">
        <v>6286</v>
      </c>
      <c r="C4001" s="187" t="s">
        <v>170</v>
      </c>
      <c r="D4001" s="173">
        <v>0.03</v>
      </c>
      <c r="E4001" s="204" t="s">
        <v>30</v>
      </c>
      <c r="F4001" s="176" t="s">
        <v>188</v>
      </c>
      <c r="G4001" s="189" t="s">
        <v>6287</v>
      </c>
      <c r="H4001" s="171"/>
    </row>
    <row r="4002" ht="14.25" spans="1:8">
      <c r="A4002" s="232">
        <v>170</v>
      </c>
      <c r="B4002" s="175" t="s">
        <v>6288</v>
      </c>
      <c r="C4002" s="187" t="s">
        <v>170</v>
      </c>
      <c r="D4002" s="173">
        <v>0.1</v>
      </c>
      <c r="E4002" s="204" t="s">
        <v>30</v>
      </c>
      <c r="F4002" s="176" t="s">
        <v>188</v>
      </c>
      <c r="G4002" s="189" t="s">
        <v>6289</v>
      </c>
      <c r="H4002" s="171"/>
    </row>
    <row r="4003" ht="14.25" spans="1:8">
      <c r="A4003" s="232">
        <v>171</v>
      </c>
      <c r="B4003" s="175" t="s">
        <v>6290</v>
      </c>
      <c r="C4003" s="187" t="s">
        <v>170</v>
      </c>
      <c r="D4003" s="173">
        <v>0.08</v>
      </c>
      <c r="E4003" s="204" t="s">
        <v>30</v>
      </c>
      <c r="F4003" s="176" t="s">
        <v>188</v>
      </c>
      <c r="G4003" s="189" t="s">
        <v>6291</v>
      </c>
      <c r="H4003" s="171"/>
    </row>
    <row r="4004" ht="14.25" spans="1:8">
      <c r="A4004" s="232">
        <v>172</v>
      </c>
      <c r="B4004" s="175" t="s">
        <v>6063</v>
      </c>
      <c r="C4004" s="187" t="s">
        <v>170</v>
      </c>
      <c r="D4004" s="173">
        <v>0.02</v>
      </c>
      <c r="E4004" s="204" t="s">
        <v>30</v>
      </c>
      <c r="F4004" s="176" t="s">
        <v>188</v>
      </c>
      <c r="G4004" s="189" t="s">
        <v>6064</v>
      </c>
      <c r="H4004" s="171"/>
    </row>
    <row r="4005" ht="14.25" spans="1:8">
      <c r="A4005" s="232">
        <v>173</v>
      </c>
      <c r="B4005" s="175" t="s">
        <v>6057</v>
      </c>
      <c r="C4005" s="187" t="s">
        <v>170</v>
      </c>
      <c r="D4005" s="173">
        <v>0.02</v>
      </c>
      <c r="E4005" s="204" t="s">
        <v>30</v>
      </c>
      <c r="F4005" s="176" t="s">
        <v>188</v>
      </c>
      <c r="G4005" s="189" t="s">
        <v>6058</v>
      </c>
      <c r="H4005" s="171"/>
    </row>
    <row r="4006" ht="14.25" spans="1:8">
      <c r="A4006" s="232">
        <v>174</v>
      </c>
      <c r="B4006" s="175" t="s">
        <v>6292</v>
      </c>
      <c r="C4006" s="187" t="s">
        <v>170</v>
      </c>
      <c r="D4006" s="173">
        <v>0.02</v>
      </c>
      <c r="E4006" s="204" t="s">
        <v>30</v>
      </c>
      <c r="F4006" s="176" t="s">
        <v>188</v>
      </c>
      <c r="G4006" s="189" t="s">
        <v>6293</v>
      </c>
      <c r="H4006" s="171"/>
    </row>
    <row r="4007" ht="14.25" spans="1:8">
      <c r="A4007" s="232">
        <v>175</v>
      </c>
      <c r="B4007" s="175" t="s">
        <v>6294</v>
      </c>
      <c r="C4007" s="187" t="s">
        <v>170</v>
      </c>
      <c r="D4007" s="173">
        <v>0.06</v>
      </c>
      <c r="E4007" s="204" t="s">
        <v>30</v>
      </c>
      <c r="F4007" s="176" t="s">
        <v>188</v>
      </c>
      <c r="G4007" s="189" t="s">
        <v>3239</v>
      </c>
      <c r="H4007" s="171"/>
    </row>
    <row r="4008" ht="14.25" spans="1:8">
      <c r="A4008" s="232">
        <v>176</v>
      </c>
      <c r="B4008" s="175" t="s">
        <v>6295</v>
      </c>
      <c r="C4008" s="187" t="s">
        <v>170</v>
      </c>
      <c r="D4008" s="173">
        <v>0.02</v>
      </c>
      <c r="E4008" s="204" t="s">
        <v>30</v>
      </c>
      <c r="F4008" s="176" t="s">
        <v>188</v>
      </c>
      <c r="G4008" s="189" t="s">
        <v>2858</v>
      </c>
      <c r="H4008" s="171"/>
    </row>
    <row r="4009" ht="14.25" spans="1:8">
      <c r="A4009" s="232">
        <v>177</v>
      </c>
      <c r="B4009" s="175" t="s">
        <v>6296</v>
      </c>
      <c r="C4009" s="187" t="s">
        <v>170</v>
      </c>
      <c r="D4009" s="173">
        <v>0.03</v>
      </c>
      <c r="E4009" s="204" t="s">
        <v>30</v>
      </c>
      <c r="F4009" s="176" t="s">
        <v>188</v>
      </c>
      <c r="G4009" s="189" t="s">
        <v>6297</v>
      </c>
      <c r="H4009" s="171"/>
    </row>
    <row r="4010" ht="14.25" spans="1:8">
      <c r="A4010" s="232">
        <v>178</v>
      </c>
      <c r="B4010" s="175" t="s">
        <v>6080</v>
      </c>
      <c r="C4010" s="187" t="s">
        <v>170</v>
      </c>
      <c r="D4010" s="173">
        <v>0.03</v>
      </c>
      <c r="E4010" s="204" t="s">
        <v>30</v>
      </c>
      <c r="F4010" s="176" t="s">
        <v>188</v>
      </c>
      <c r="G4010" s="189" t="s">
        <v>6298</v>
      </c>
      <c r="H4010" s="171"/>
    </row>
    <row r="4011" ht="14.25" spans="1:8">
      <c r="A4011" s="232">
        <v>179</v>
      </c>
      <c r="B4011" s="175" t="s">
        <v>6080</v>
      </c>
      <c r="C4011" s="187" t="s">
        <v>170</v>
      </c>
      <c r="D4011" s="173">
        <v>0.1</v>
      </c>
      <c r="E4011" s="204" t="s">
        <v>30</v>
      </c>
      <c r="F4011" s="176" t="s">
        <v>188</v>
      </c>
      <c r="G4011" s="189" t="s">
        <v>6299</v>
      </c>
      <c r="H4011" s="171"/>
    </row>
    <row r="4012" ht="14.25" spans="1:8">
      <c r="A4012" s="232">
        <v>180</v>
      </c>
      <c r="B4012" s="175" t="s">
        <v>2785</v>
      </c>
      <c r="C4012" s="187" t="s">
        <v>170</v>
      </c>
      <c r="D4012" s="173">
        <v>0.02</v>
      </c>
      <c r="E4012" s="204" t="s">
        <v>30</v>
      </c>
      <c r="F4012" s="176" t="s">
        <v>188</v>
      </c>
      <c r="G4012" s="189" t="s">
        <v>6300</v>
      </c>
      <c r="H4012" s="171"/>
    </row>
    <row r="4013" ht="14.25" spans="1:8">
      <c r="A4013" s="232">
        <v>181</v>
      </c>
      <c r="B4013" s="175" t="s">
        <v>2785</v>
      </c>
      <c r="C4013" s="187" t="s">
        <v>170</v>
      </c>
      <c r="D4013" s="173">
        <v>0.02</v>
      </c>
      <c r="E4013" s="204" t="s">
        <v>30</v>
      </c>
      <c r="F4013" s="176" t="s">
        <v>188</v>
      </c>
      <c r="G4013" s="189" t="s">
        <v>6301</v>
      </c>
      <c r="H4013" s="171"/>
    </row>
    <row r="4014" ht="14.25" spans="1:8">
      <c r="A4014" s="232">
        <v>182</v>
      </c>
      <c r="B4014" s="175" t="s">
        <v>2785</v>
      </c>
      <c r="C4014" s="187" t="s">
        <v>170</v>
      </c>
      <c r="D4014" s="173">
        <v>0.02</v>
      </c>
      <c r="E4014" s="204" t="s">
        <v>30</v>
      </c>
      <c r="F4014" s="176" t="s">
        <v>188</v>
      </c>
      <c r="G4014" s="189" t="s">
        <v>6302</v>
      </c>
      <c r="H4014" s="171"/>
    </row>
    <row r="4015" ht="14.25" spans="1:8">
      <c r="A4015" s="232">
        <v>183</v>
      </c>
      <c r="B4015" s="175" t="s">
        <v>2785</v>
      </c>
      <c r="C4015" s="187" t="s">
        <v>170</v>
      </c>
      <c r="D4015" s="173">
        <v>0.02</v>
      </c>
      <c r="E4015" s="204" t="s">
        <v>30</v>
      </c>
      <c r="F4015" s="176" t="s">
        <v>188</v>
      </c>
      <c r="G4015" s="189" t="s">
        <v>6303</v>
      </c>
      <c r="H4015" s="171"/>
    </row>
    <row r="4016" ht="14.25" spans="1:8">
      <c r="A4016" s="232">
        <v>184</v>
      </c>
      <c r="B4016" s="175" t="s">
        <v>2785</v>
      </c>
      <c r="C4016" s="187" t="s">
        <v>170</v>
      </c>
      <c r="D4016" s="173">
        <v>0.02</v>
      </c>
      <c r="E4016" s="204" t="s">
        <v>30</v>
      </c>
      <c r="F4016" s="176" t="s">
        <v>188</v>
      </c>
      <c r="G4016" s="189" t="s">
        <v>6304</v>
      </c>
      <c r="H4016" s="171"/>
    </row>
    <row r="4017" ht="14.25" spans="1:8">
      <c r="A4017" s="232">
        <v>185</v>
      </c>
      <c r="B4017" s="175" t="s">
        <v>2785</v>
      </c>
      <c r="C4017" s="187" t="s">
        <v>170</v>
      </c>
      <c r="D4017" s="173">
        <v>0.02</v>
      </c>
      <c r="E4017" s="204" t="s">
        <v>30</v>
      </c>
      <c r="F4017" s="176" t="s">
        <v>188</v>
      </c>
      <c r="G4017" s="189" t="s">
        <v>6305</v>
      </c>
      <c r="H4017" s="171"/>
    </row>
    <row r="4018" ht="14.25" spans="1:8">
      <c r="A4018" s="232">
        <v>186</v>
      </c>
      <c r="B4018" s="175" t="s">
        <v>2785</v>
      </c>
      <c r="C4018" s="187" t="s">
        <v>170</v>
      </c>
      <c r="D4018" s="173">
        <v>0.02</v>
      </c>
      <c r="E4018" s="204" t="s">
        <v>30</v>
      </c>
      <c r="F4018" s="176" t="s">
        <v>188</v>
      </c>
      <c r="G4018" s="189" t="s">
        <v>6306</v>
      </c>
      <c r="H4018" s="171"/>
    </row>
    <row r="4019" ht="14.25" spans="1:8">
      <c r="A4019" s="232">
        <v>187</v>
      </c>
      <c r="B4019" s="175" t="s">
        <v>6239</v>
      </c>
      <c r="C4019" s="187" t="s">
        <v>170</v>
      </c>
      <c r="D4019" s="173">
        <v>0.03</v>
      </c>
      <c r="E4019" s="204" t="s">
        <v>30</v>
      </c>
      <c r="F4019" s="176" t="s">
        <v>188</v>
      </c>
      <c r="G4019" s="189" t="s">
        <v>6307</v>
      </c>
      <c r="H4019" s="171"/>
    </row>
    <row r="4020" ht="14.25" spans="1:8">
      <c r="A4020" s="232">
        <v>188</v>
      </c>
      <c r="B4020" s="175" t="s">
        <v>6239</v>
      </c>
      <c r="C4020" s="187" t="s">
        <v>170</v>
      </c>
      <c r="D4020" s="173">
        <v>0.04</v>
      </c>
      <c r="E4020" s="204" t="s">
        <v>30</v>
      </c>
      <c r="F4020" s="176" t="s">
        <v>188</v>
      </c>
      <c r="G4020" s="189" t="s">
        <v>6308</v>
      </c>
      <c r="H4020" s="171"/>
    </row>
    <row r="4021" ht="14.25" spans="1:8">
      <c r="A4021" s="232">
        <v>189</v>
      </c>
      <c r="B4021" s="175" t="s">
        <v>6309</v>
      </c>
      <c r="C4021" s="187" t="s">
        <v>170</v>
      </c>
      <c r="D4021" s="173">
        <v>0.02</v>
      </c>
      <c r="E4021" s="204" t="s">
        <v>30</v>
      </c>
      <c r="F4021" s="176" t="s">
        <v>188</v>
      </c>
      <c r="G4021" s="189" t="s">
        <v>2131</v>
      </c>
      <c r="H4021" s="171"/>
    </row>
    <row r="4022" ht="14.25" spans="1:8">
      <c r="A4022" s="232">
        <v>190</v>
      </c>
      <c r="B4022" s="175" t="s">
        <v>6261</v>
      </c>
      <c r="C4022" s="187" t="s">
        <v>170</v>
      </c>
      <c r="D4022" s="173">
        <v>0.04</v>
      </c>
      <c r="E4022" s="204" t="s">
        <v>30</v>
      </c>
      <c r="F4022" s="176" t="s">
        <v>188</v>
      </c>
      <c r="G4022" s="189" t="s">
        <v>6310</v>
      </c>
      <c r="H4022" s="171"/>
    </row>
    <row r="4023" ht="14.25" spans="1:8">
      <c r="A4023" s="232">
        <v>191</v>
      </c>
      <c r="B4023" s="175" t="s">
        <v>6311</v>
      </c>
      <c r="C4023" s="187" t="s">
        <v>170</v>
      </c>
      <c r="D4023" s="173">
        <v>0.02</v>
      </c>
      <c r="E4023" s="204" t="s">
        <v>30</v>
      </c>
      <c r="F4023" s="176" t="s">
        <v>188</v>
      </c>
      <c r="G4023" s="189" t="s">
        <v>6312</v>
      </c>
      <c r="H4023" s="171"/>
    </row>
    <row r="4024" ht="14.25" spans="1:8">
      <c r="A4024" s="232">
        <v>192</v>
      </c>
      <c r="B4024" s="175" t="s">
        <v>6313</v>
      </c>
      <c r="C4024" s="187" t="s">
        <v>170</v>
      </c>
      <c r="D4024" s="173">
        <v>0.02</v>
      </c>
      <c r="E4024" s="204" t="s">
        <v>30</v>
      </c>
      <c r="F4024" s="176" t="s">
        <v>188</v>
      </c>
      <c r="G4024" s="189" t="s">
        <v>6314</v>
      </c>
      <c r="H4024" s="171"/>
    </row>
    <row r="4025" ht="14.25" spans="1:8">
      <c r="A4025" s="232">
        <v>193</v>
      </c>
      <c r="B4025" s="175" t="s">
        <v>6186</v>
      </c>
      <c r="C4025" s="187" t="s">
        <v>170</v>
      </c>
      <c r="D4025" s="173">
        <v>0.05</v>
      </c>
      <c r="E4025" s="204" t="s">
        <v>30</v>
      </c>
      <c r="F4025" s="176" t="s">
        <v>188</v>
      </c>
      <c r="G4025" s="189" t="s">
        <v>6187</v>
      </c>
      <c r="H4025" s="171"/>
    </row>
    <row r="4026" ht="14.25" spans="1:8">
      <c r="A4026" s="232">
        <v>194</v>
      </c>
      <c r="B4026" s="175" t="s">
        <v>6315</v>
      </c>
      <c r="C4026" s="187" t="s">
        <v>170</v>
      </c>
      <c r="D4026" s="173">
        <v>0.2</v>
      </c>
      <c r="E4026" s="204" t="s">
        <v>30</v>
      </c>
      <c r="F4026" s="176" t="s">
        <v>188</v>
      </c>
      <c r="G4026" s="189" t="s">
        <v>6316</v>
      </c>
      <c r="H4026" s="171"/>
    </row>
    <row r="4027" ht="14.25" spans="1:8">
      <c r="A4027" s="232">
        <v>195</v>
      </c>
      <c r="B4027" s="175" t="s">
        <v>6317</v>
      </c>
      <c r="C4027" s="187" t="s">
        <v>170</v>
      </c>
      <c r="D4027" s="173">
        <v>0.02</v>
      </c>
      <c r="E4027" s="204" t="s">
        <v>30</v>
      </c>
      <c r="F4027" s="176" t="s">
        <v>188</v>
      </c>
      <c r="G4027" s="189" t="s">
        <v>6318</v>
      </c>
      <c r="H4027" s="171"/>
    </row>
    <row r="4028" ht="14.25" spans="1:8">
      <c r="A4028" s="232">
        <v>196</v>
      </c>
      <c r="B4028" s="175" t="s">
        <v>6319</v>
      </c>
      <c r="C4028" s="187" t="s">
        <v>170</v>
      </c>
      <c r="D4028" s="173">
        <v>0.02</v>
      </c>
      <c r="E4028" s="204" t="s">
        <v>30</v>
      </c>
      <c r="F4028" s="176" t="s">
        <v>188</v>
      </c>
      <c r="G4028" s="189" t="s">
        <v>1600</v>
      </c>
      <c r="H4028" s="171"/>
    </row>
    <row r="4029" ht="14.25" spans="1:8">
      <c r="A4029" s="232">
        <v>197</v>
      </c>
      <c r="B4029" s="175" t="s">
        <v>6203</v>
      </c>
      <c r="C4029" s="187" t="s">
        <v>170</v>
      </c>
      <c r="D4029" s="173">
        <v>0.03</v>
      </c>
      <c r="E4029" s="204" t="s">
        <v>30</v>
      </c>
      <c r="F4029" s="176" t="s">
        <v>188</v>
      </c>
      <c r="G4029" s="189" t="s">
        <v>6320</v>
      </c>
      <c r="H4029" s="171"/>
    </row>
    <row r="4030" ht="14.25" spans="1:8">
      <c r="A4030" s="232">
        <v>198</v>
      </c>
      <c r="B4030" s="175" t="s">
        <v>2785</v>
      </c>
      <c r="C4030" s="187" t="s">
        <v>170</v>
      </c>
      <c r="D4030" s="173">
        <v>0.02</v>
      </c>
      <c r="E4030" s="204" t="s">
        <v>30</v>
      </c>
      <c r="F4030" s="176" t="s">
        <v>188</v>
      </c>
      <c r="G4030" s="189" t="s">
        <v>6321</v>
      </c>
      <c r="H4030" s="171"/>
    </row>
    <row r="4031" ht="14.25" spans="1:8">
      <c r="A4031" s="232">
        <v>199</v>
      </c>
      <c r="B4031" s="175" t="s">
        <v>2785</v>
      </c>
      <c r="C4031" s="187" t="s">
        <v>170</v>
      </c>
      <c r="D4031" s="173">
        <v>0.02</v>
      </c>
      <c r="E4031" s="204" t="s">
        <v>30</v>
      </c>
      <c r="F4031" s="176" t="s">
        <v>188</v>
      </c>
      <c r="G4031" s="189" t="s">
        <v>6322</v>
      </c>
      <c r="H4031" s="171"/>
    </row>
    <row r="4032" ht="14.25" spans="1:8">
      <c r="A4032" s="232">
        <v>200</v>
      </c>
      <c r="B4032" s="175" t="s">
        <v>2785</v>
      </c>
      <c r="C4032" s="187" t="s">
        <v>170</v>
      </c>
      <c r="D4032" s="173">
        <v>0.02</v>
      </c>
      <c r="E4032" s="204" t="s">
        <v>30</v>
      </c>
      <c r="F4032" s="176" t="s">
        <v>188</v>
      </c>
      <c r="G4032" s="189" t="s">
        <v>6323</v>
      </c>
      <c r="H4032" s="171"/>
    </row>
    <row r="4033" ht="14.25" spans="1:8">
      <c r="A4033" s="232">
        <v>201</v>
      </c>
      <c r="B4033" s="175" t="s">
        <v>2785</v>
      </c>
      <c r="C4033" s="187" t="s">
        <v>170</v>
      </c>
      <c r="D4033" s="173">
        <v>0.02</v>
      </c>
      <c r="E4033" s="204" t="s">
        <v>30</v>
      </c>
      <c r="F4033" s="176" t="s">
        <v>188</v>
      </c>
      <c r="G4033" s="189" t="s">
        <v>6324</v>
      </c>
      <c r="H4033" s="171"/>
    </row>
    <row r="4034" ht="14.25" spans="1:8">
      <c r="A4034" s="232">
        <v>202</v>
      </c>
      <c r="B4034" s="175" t="s">
        <v>2785</v>
      </c>
      <c r="C4034" s="187" t="s">
        <v>170</v>
      </c>
      <c r="D4034" s="173">
        <v>0.02</v>
      </c>
      <c r="E4034" s="204" t="s">
        <v>30</v>
      </c>
      <c r="F4034" s="176" t="s">
        <v>188</v>
      </c>
      <c r="G4034" s="189" t="s">
        <v>6325</v>
      </c>
      <c r="H4034" s="171"/>
    </row>
    <row r="4035" ht="14.25" spans="1:8">
      <c r="A4035" s="232">
        <v>203</v>
      </c>
      <c r="B4035" s="175" t="s">
        <v>2785</v>
      </c>
      <c r="C4035" s="187" t="s">
        <v>170</v>
      </c>
      <c r="D4035" s="173">
        <v>0.02</v>
      </c>
      <c r="E4035" s="204" t="s">
        <v>30</v>
      </c>
      <c r="F4035" s="176" t="s">
        <v>188</v>
      </c>
      <c r="G4035" s="189" t="s">
        <v>6326</v>
      </c>
      <c r="H4035" s="171"/>
    </row>
    <row r="4036" ht="14.25" spans="1:8">
      <c r="A4036" s="232">
        <v>204</v>
      </c>
      <c r="B4036" s="175" t="s">
        <v>2785</v>
      </c>
      <c r="C4036" s="187" t="s">
        <v>170</v>
      </c>
      <c r="D4036" s="173">
        <v>0.02</v>
      </c>
      <c r="E4036" s="204" t="s">
        <v>30</v>
      </c>
      <c r="F4036" s="176" t="s">
        <v>188</v>
      </c>
      <c r="G4036" s="189" t="s">
        <v>6327</v>
      </c>
      <c r="H4036" s="171"/>
    </row>
    <row r="4037" ht="14.25" spans="1:8">
      <c r="A4037" s="232">
        <v>205</v>
      </c>
      <c r="B4037" s="175" t="s">
        <v>2785</v>
      </c>
      <c r="C4037" s="187" t="s">
        <v>170</v>
      </c>
      <c r="D4037" s="173">
        <v>0.02</v>
      </c>
      <c r="E4037" s="204" t="s">
        <v>30</v>
      </c>
      <c r="F4037" s="176" t="s">
        <v>188</v>
      </c>
      <c r="G4037" s="189" t="s">
        <v>6328</v>
      </c>
      <c r="H4037" s="171"/>
    </row>
    <row r="4038" ht="14.25" spans="1:8">
      <c r="A4038" s="232">
        <v>206</v>
      </c>
      <c r="B4038" s="175" t="s">
        <v>2785</v>
      </c>
      <c r="C4038" s="187" t="s">
        <v>170</v>
      </c>
      <c r="D4038" s="173">
        <v>0.02</v>
      </c>
      <c r="E4038" s="204" t="s">
        <v>30</v>
      </c>
      <c r="F4038" s="176" t="s">
        <v>188</v>
      </c>
      <c r="G4038" s="189" t="s">
        <v>6329</v>
      </c>
      <c r="H4038" s="171"/>
    </row>
    <row r="4039" ht="14.25" spans="1:8">
      <c r="A4039" s="232">
        <v>207</v>
      </c>
      <c r="B4039" s="175" t="s">
        <v>2785</v>
      </c>
      <c r="C4039" s="187" t="s">
        <v>170</v>
      </c>
      <c r="D4039" s="173">
        <v>0.02</v>
      </c>
      <c r="E4039" s="204" t="s">
        <v>30</v>
      </c>
      <c r="F4039" s="176" t="s">
        <v>188</v>
      </c>
      <c r="G4039" s="189" t="s">
        <v>6330</v>
      </c>
      <c r="H4039" s="171"/>
    </row>
    <row r="4040" ht="14.25" spans="1:8">
      <c r="A4040" s="232">
        <v>208</v>
      </c>
      <c r="B4040" s="175" t="s">
        <v>6331</v>
      </c>
      <c r="C4040" s="187" t="s">
        <v>170</v>
      </c>
      <c r="D4040" s="173">
        <v>0.16</v>
      </c>
      <c r="E4040" s="204" t="s">
        <v>30</v>
      </c>
      <c r="F4040" s="176" t="s">
        <v>188</v>
      </c>
      <c r="G4040" s="189" t="s">
        <v>6332</v>
      </c>
      <c r="H4040" s="171"/>
    </row>
    <row r="4041" ht="14.25" spans="1:8">
      <c r="A4041" s="232">
        <v>209</v>
      </c>
      <c r="B4041" s="175" t="s">
        <v>6331</v>
      </c>
      <c r="C4041" s="187" t="s">
        <v>170</v>
      </c>
      <c r="D4041" s="173">
        <v>0.1</v>
      </c>
      <c r="E4041" s="204" t="s">
        <v>30</v>
      </c>
      <c r="F4041" s="176" t="s">
        <v>188</v>
      </c>
      <c r="G4041" s="189" t="s">
        <v>6333</v>
      </c>
      <c r="H4041" s="171"/>
    </row>
    <row r="4042" ht="14.25" spans="1:8">
      <c r="A4042" s="232">
        <v>210</v>
      </c>
      <c r="B4042" s="175" t="s">
        <v>6334</v>
      </c>
      <c r="C4042" s="187" t="s">
        <v>170</v>
      </c>
      <c r="D4042" s="173">
        <v>0.1</v>
      </c>
      <c r="E4042" s="204" t="s">
        <v>30</v>
      </c>
      <c r="F4042" s="176" t="s">
        <v>188</v>
      </c>
      <c r="G4042" s="189" t="s">
        <v>6335</v>
      </c>
      <c r="H4042" s="171"/>
    </row>
    <row r="4043" ht="14.25" spans="1:8">
      <c r="A4043" s="232">
        <v>211</v>
      </c>
      <c r="B4043" s="182" t="s">
        <v>6336</v>
      </c>
      <c r="C4043" s="187" t="s">
        <v>170</v>
      </c>
      <c r="D4043" s="173">
        <v>0.04</v>
      </c>
      <c r="E4043" s="204" t="s">
        <v>30</v>
      </c>
      <c r="F4043" s="176" t="s">
        <v>188</v>
      </c>
      <c r="G4043" s="189" t="s">
        <v>6337</v>
      </c>
      <c r="H4043" s="171"/>
    </row>
    <row r="4044" ht="14.25" spans="1:8">
      <c r="A4044" s="232">
        <v>212</v>
      </c>
      <c r="B4044" s="182" t="s">
        <v>6338</v>
      </c>
      <c r="C4044" s="187" t="s">
        <v>170</v>
      </c>
      <c r="D4044" s="173">
        <v>0.04</v>
      </c>
      <c r="E4044" s="204" t="s">
        <v>30</v>
      </c>
      <c r="F4044" s="176" t="s">
        <v>188</v>
      </c>
      <c r="G4044" s="189" t="s">
        <v>6339</v>
      </c>
      <c r="H4044" s="171"/>
    </row>
    <row r="4045" ht="14.25" spans="1:8">
      <c r="A4045" s="232">
        <v>213</v>
      </c>
      <c r="B4045" s="182" t="s">
        <v>6340</v>
      </c>
      <c r="C4045" s="187" t="s">
        <v>170</v>
      </c>
      <c r="D4045" s="173">
        <v>0.04</v>
      </c>
      <c r="E4045" s="204" t="s">
        <v>30</v>
      </c>
      <c r="F4045" s="176" t="s">
        <v>188</v>
      </c>
      <c r="G4045" s="189" t="s">
        <v>6341</v>
      </c>
      <c r="H4045" s="171"/>
    </row>
    <row r="4046" ht="14.25" spans="1:8">
      <c r="A4046" s="232">
        <v>214</v>
      </c>
      <c r="B4046" s="182" t="s">
        <v>6342</v>
      </c>
      <c r="C4046" s="187" t="s">
        <v>170</v>
      </c>
      <c r="D4046" s="173">
        <v>0.04</v>
      </c>
      <c r="E4046" s="204" t="s">
        <v>30</v>
      </c>
      <c r="F4046" s="176" t="s">
        <v>188</v>
      </c>
      <c r="G4046" s="189" t="s">
        <v>6343</v>
      </c>
      <c r="H4046" s="171"/>
    </row>
    <row r="4047" ht="14.25" spans="1:8">
      <c r="A4047" s="232">
        <v>215</v>
      </c>
      <c r="B4047" s="182" t="s">
        <v>6290</v>
      </c>
      <c r="C4047" s="187" t="s">
        <v>170</v>
      </c>
      <c r="D4047" s="173">
        <v>0.04</v>
      </c>
      <c r="E4047" s="204" t="s">
        <v>30</v>
      </c>
      <c r="F4047" s="176" t="s">
        <v>188</v>
      </c>
      <c r="G4047" s="189" t="s">
        <v>6344</v>
      </c>
      <c r="H4047" s="171"/>
    </row>
    <row r="4048" ht="14.25" spans="1:8">
      <c r="A4048" s="232">
        <v>216</v>
      </c>
      <c r="B4048" s="182" t="s">
        <v>6345</v>
      </c>
      <c r="C4048" s="187" t="s">
        <v>170</v>
      </c>
      <c r="D4048" s="173">
        <v>0.06</v>
      </c>
      <c r="E4048" s="204" t="s">
        <v>30</v>
      </c>
      <c r="F4048" s="176" t="s">
        <v>188</v>
      </c>
      <c r="G4048" s="189" t="s">
        <v>6346</v>
      </c>
      <c r="H4048" s="171"/>
    </row>
    <row r="4049" ht="14.25" spans="1:8">
      <c r="A4049" s="232">
        <v>217</v>
      </c>
      <c r="B4049" s="182" t="s">
        <v>6347</v>
      </c>
      <c r="C4049" s="187" t="s">
        <v>170</v>
      </c>
      <c r="D4049" s="173">
        <v>0.04</v>
      </c>
      <c r="E4049" s="204" t="s">
        <v>30</v>
      </c>
      <c r="F4049" s="176" t="s">
        <v>188</v>
      </c>
      <c r="G4049" s="189" t="s">
        <v>6348</v>
      </c>
      <c r="H4049" s="171"/>
    </row>
    <row r="4050" ht="14.25" spans="1:8">
      <c r="A4050" s="232">
        <v>218</v>
      </c>
      <c r="B4050" s="182" t="s">
        <v>6349</v>
      </c>
      <c r="C4050" s="187" t="s">
        <v>170</v>
      </c>
      <c r="D4050" s="173">
        <v>0.05</v>
      </c>
      <c r="E4050" s="204" t="s">
        <v>30</v>
      </c>
      <c r="F4050" s="176" t="s">
        <v>188</v>
      </c>
      <c r="G4050" s="189" t="s">
        <v>6350</v>
      </c>
      <c r="H4050" s="171"/>
    </row>
    <row r="4051" ht="14.25" spans="1:8">
      <c r="A4051" s="232">
        <v>219</v>
      </c>
      <c r="B4051" s="182" t="s">
        <v>3737</v>
      </c>
      <c r="C4051" s="187" t="s">
        <v>170</v>
      </c>
      <c r="D4051" s="173">
        <v>0.04</v>
      </c>
      <c r="E4051" s="204" t="s">
        <v>30</v>
      </c>
      <c r="F4051" s="176" t="s">
        <v>188</v>
      </c>
      <c r="G4051" s="189" t="s">
        <v>6351</v>
      </c>
      <c r="H4051" s="171"/>
    </row>
    <row r="4052" ht="14.25" spans="1:8">
      <c r="A4052" s="232">
        <v>220</v>
      </c>
      <c r="B4052" s="182" t="s">
        <v>6352</v>
      </c>
      <c r="C4052" s="187" t="s">
        <v>170</v>
      </c>
      <c r="D4052" s="173">
        <v>0.08</v>
      </c>
      <c r="E4052" s="204" t="s">
        <v>30</v>
      </c>
      <c r="F4052" s="176" t="s">
        <v>188</v>
      </c>
      <c r="G4052" s="189" t="s">
        <v>6353</v>
      </c>
      <c r="H4052" s="171"/>
    </row>
    <row r="4053" ht="14.25" spans="1:8">
      <c r="A4053" s="232">
        <v>221</v>
      </c>
      <c r="B4053" s="182" t="s">
        <v>6354</v>
      </c>
      <c r="C4053" s="187" t="s">
        <v>170</v>
      </c>
      <c r="D4053" s="173">
        <v>0.1</v>
      </c>
      <c r="E4053" s="204" t="s">
        <v>30</v>
      </c>
      <c r="F4053" s="176" t="s">
        <v>188</v>
      </c>
      <c r="G4053" s="189" t="s">
        <v>6355</v>
      </c>
      <c r="H4053" s="171"/>
    </row>
    <row r="4054" ht="14.25" spans="1:8">
      <c r="A4054" s="232">
        <v>222</v>
      </c>
      <c r="B4054" s="182" t="s">
        <v>6356</v>
      </c>
      <c r="C4054" s="187" t="s">
        <v>170</v>
      </c>
      <c r="D4054" s="173">
        <v>0.02</v>
      </c>
      <c r="E4054" s="204" t="s">
        <v>30</v>
      </c>
      <c r="F4054" s="176" t="s">
        <v>188</v>
      </c>
      <c r="G4054" s="189" t="s">
        <v>6357</v>
      </c>
      <c r="H4054" s="171"/>
    </row>
    <row r="4055" ht="14.25" spans="1:8">
      <c r="A4055" s="232">
        <v>223</v>
      </c>
      <c r="B4055" s="182" t="s">
        <v>6358</v>
      </c>
      <c r="C4055" s="187" t="s">
        <v>170</v>
      </c>
      <c r="D4055" s="173">
        <v>0.02</v>
      </c>
      <c r="E4055" s="204" t="s">
        <v>30</v>
      </c>
      <c r="F4055" s="176" t="s">
        <v>188</v>
      </c>
      <c r="G4055" s="189" t="s">
        <v>6359</v>
      </c>
      <c r="H4055" s="171"/>
    </row>
    <row r="4056" ht="14.25" spans="1:8">
      <c r="A4056" s="232">
        <v>224</v>
      </c>
      <c r="B4056" s="182" t="s">
        <v>6360</v>
      </c>
      <c r="C4056" s="187" t="s">
        <v>170</v>
      </c>
      <c r="D4056" s="173">
        <v>0.03</v>
      </c>
      <c r="E4056" s="204" t="s">
        <v>30</v>
      </c>
      <c r="F4056" s="176" t="s">
        <v>188</v>
      </c>
      <c r="G4056" s="189" t="s">
        <v>6361</v>
      </c>
      <c r="H4056" s="171"/>
    </row>
    <row r="4057" ht="14.25" spans="1:8">
      <c r="A4057" s="232">
        <v>225</v>
      </c>
      <c r="B4057" s="182" t="s">
        <v>6362</v>
      </c>
      <c r="C4057" s="187" t="s">
        <v>170</v>
      </c>
      <c r="D4057" s="173">
        <v>0.01</v>
      </c>
      <c r="E4057" s="204" t="s">
        <v>30</v>
      </c>
      <c r="F4057" s="176" t="s">
        <v>188</v>
      </c>
      <c r="G4057" s="189" t="s">
        <v>3163</v>
      </c>
      <c r="H4057" s="171"/>
    </row>
    <row r="4058" ht="14.25" spans="1:8">
      <c r="A4058" s="232">
        <v>226</v>
      </c>
      <c r="B4058" s="182" t="s">
        <v>6363</v>
      </c>
      <c r="C4058" s="187" t="s">
        <v>170</v>
      </c>
      <c r="D4058" s="173">
        <v>0.02</v>
      </c>
      <c r="E4058" s="204" t="s">
        <v>30</v>
      </c>
      <c r="F4058" s="176" t="s">
        <v>188</v>
      </c>
      <c r="G4058" s="189" t="s">
        <v>6364</v>
      </c>
      <c r="H4058" s="171"/>
    </row>
    <row r="4059" ht="14.25" spans="1:8">
      <c r="A4059" s="232">
        <v>227</v>
      </c>
      <c r="B4059" s="182" t="s">
        <v>6363</v>
      </c>
      <c r="C4059" s="187" t="s">
        <v>170</v>
      </c>
      <c r="D4059" s="173">
        <v>0.02</v>
      </c>
      <c r="E4059" s="204" t="s">
        <v>30</v>
      </c>
      <c r="F4059" s="176" t="s">
        <v>188</v>
      </c>
      <c r="G4059" s="189" t="s">
        <v>6365</v>
      </c>
      <c r="H4059" s="171"/>
    </row>
    <row r="4060" ht="14.25" spans="1:8">
      <c r="A4060" s="232">
        <v>228</v>
      </c>
      <c r="B4060" s="182" t="s">
        <v>6366</v>
      </c>
      <c r="C4060" s="187" t="s">
        <v>170</v>
      </c>
      <c r="D4060" s="173">
        <v>0.01</v>
      </c>
      <c r="E4060" s="204" t="s">
        <v>30</v>
      </c>
      <c r="F4060" s="176" t="s">
        <v>188</v>
      </c>
      <c r="G4060" s="189" t="s">
        <v>6367</v>
      </c>
      <c r="H4060" s="171"/>
    </row>
    <row r="4061" ht="14.25" spans="1:8">
      <c r="A4061" s="232">
        <v>229</v>
      </c>
      <c r="B4061" s="182" t="s">
        <v>6368</v>
      </c>
      <c r="C4061" s="187" t="s">
        <v>170</v>
      </c>
      <c r="D4061" s="173">
        <v>0.05</v>
      </c>
      <c r="E4061" s="204" t="s">
        <v>30</v>
      </c>
      <c r="F4061" s="176" t="s">
        <v>188</v>
      </c>
      <c r="G4061" s="189" t="s">
        <v>6369</v>
      </c>
      <c r="H4061" s="171"/>
    </row>
    <row r="4062" ht="14.25" spans="1:8">
      <c r="A4062" s="232">
        <v>230</v>
      </c>
      <c r="B4062" s="182" t="s">
        <v>6370</v>
      </c>
      <c r="C4062" s="187" t="s">
        <v>170</v>
      </c>
      <c r="D4062" s="173">
        <v>0.1</v>
      </c>
      <c r="E4062" s="204" t="s">
        <v>30</v>
      </c>
      <c r="F4062" s="176" t="s">
        <v>188</v>
      </c>
      <c r="G4062" s="189" t="s">
        <v>6371</v>
      </c>
      <c r="H4062" s="171"/>
    </row>
    <row r="4063" ht="14.25" spans="1:8">
      <c r="A4063" s="232">
        <v>231</v>
      </c>
      <c r="B4063" s="182" t="s">
        <v>6372</v>
      </c>
      <c r="C4063" s="187" t="s">
        <v>170</v>
      </c>
      <c r="D4063" s="173">
        <v>0.01</v>
      </c>
      <c r="E4063" s="204" t="s">
        <v>30</v>
      </c>
      <c r="F4063" s="176" t="s">
        <v>188</v>
      </c>
      <c r="G4063" s="189" t="s">
        <v>6373</v>
      </c>
      <c r="H4063" s="171"/>
    </row>
    <row r="4064" ht="14.25" spans="1:8">
      <c r="A4064" s="232">
        <v>232</v>
      </c>
      <c r="B4064" s="182" t="s">
        <v>6340</v>
      </c>
      <c r="C4064" s="187" t="s">
        <v>170</v>
      </c>
      <c r="D4064" s="173">
        <v>0.06</v>
      </c>
      <c r="E4064" s="204" t="s">
        <v>30</v>
      </c>
      <c r="F4064" s="176" t="s">
        <v>188</v>
      </c>
      <c r="G4064" s="189" t="s">
        <v>748</v>
      </c>
      <c r="H4064" s="171"/>
    </row>
    <row r="4065" ht="14.25" spans="1:8">
      <c r="A4065" s="232">
        <v>233</v>
      </c>
      <c r="B4065" s="182" t="s">
        <v>6203</v>
      </c>
      <c r="C4065" s="187" t="s">
        <v>170</v>
      </c>
      <c r="D4065" s="173">
        <v>0.02</v>
      </c>
      <c r="E4065" s="204" t="s">
        <v>30</v>
      </c>
      <c r="F4065" s="176" t="s">
        <v>188</v>
      </c>
      <c r="G4065" s="189" t="s">
        <v>6374</v>
      </c>
      <c r="H4065" s="171"/>
    </row>
    <row r="4066" ht="14.25" spans="1:8">
      <c r="A4066" s="232">
        <v>234</v>
      </c>
      <c r="B4066" s="182" t="s">
        <v>6203</v>
      </c>
      <c r="C4066" s="187" t="s">
        <v>170</v>
      </c>
      <c r="D4066" s="173">
        <v>0.02</v>
      </c>
      <c r="E4066" s="204" t="s">
        <v>30</v>
      </c>
      <c r="F4066" s="176" t="s">
        <v>188</v>
      </c>
      <c r="G4066" s="189" t="s">
        <v>6375</v>
      </c>
      <c r="H4066" s="171"/>
    </row>
    <row r="4067" ht="14.25" spans="1:8">
      <c r="A4067" s="232">
        <v>235</v>
      </c>
      <c r="B4067" s="182" t="s">
        <v>6376</v>
      </c>
      <c r="C4067" s="187" t="s">
        <v>170</v>
      </c>
      <c r="D4067" s="173">
        <v>0.02</v>
      </c>
      <c r="E4067" s="204" t="s">
        <v>30</v>
      </c>
      <c r="F4067" s="176" t="s">
        <v>188</v>
      </c>
      <c r="G4067" s="189" t="s">
        <v>6377</v>
      </c>
      <c r="H4067" s="171"/>
    </row>
    <row r="4068" ht="14.25" spans="1:8">
      <c r="A4068" s="232">
        <v>236</v>
      </c>
      <c r="B4068" s="182" t="s">
        <v>3737</v>
      </c>
      <c r="C4068" s="187" t="s">
        <v>170</v>
      </c>
      <c r="D4068" s="173">
        <v>0.02</v>
      </c>
      <c r="E4068" s="204" t="s">
        <v>30</v>
      </c>
      <c r="F4068" s="176" t="s">
        <v>188</v>
      </c>
      <c r="G4068" s="189" t="s">
        <v>6378</v>
      </c>
      <c r="H4068" s="171"/>
    </row>
    <row r="4069" ht="14.25" spans="1:8">
      <c r="A4069" s="232">
        <v>237</v>
      </c>
      <c r="B4069" s="182" t="s">
        <v>3737</v>
      </c>
      <c r="C4069" s="187" t="s">
        <v>170</v>
      </c>
      <c r="D4069" s="173">
        <v>0.02</v>
      </c>
      <c r="E4069" s="204" t="s">
        <v>30</v>
      </c>
      <c r="F4069" s="176" t="s">
        <v>188</v>
      </c>
      <c r="G4069" s="189" t="s">
        <v>1370</v>
      </c>
      <c r="H4069" s="171"/>
    </row>
    <row r="4070" ht="14.25" spans="1:8">
      <c r="A4070" s="232">
        <v>238</v>
      </c>
      <c r="B4070" s="175" t="s">
        <v>6379</v>
      </c>
      <c r="C4070" s="187" t="s">
        <v>170</v>
      </c>
      <c r="D4070" s="173">
        <v>0.03</v>
      </c>
      <c r="E4070" s="170" t="s">
        <v>30</v>
      </c>
      <c r="F4070" s="170" t="s">
        <v>188</v>
      </c>
      <c r="G4070" s="189" t="s">
        <v>6380</v>
      </c>
      <c r="H4070" s="171"/>
    </row>
    <row r="4071" ht="14.25" spans="1:8">
      <c r="A4071" s="232">
        <v>239</v>
      </c>
      <c r="B4071" s="175" t="s">
        <v>6381</v>
      </c>
      <c r="C4071" s="187" t="s">
        <v>170</v>
      </c>
      <c r="D4071" s="173">
        <v>0.05</v>
      </c>
      <c r="E4071" s="170" t="s">
        <v>30</v>
      </c>
      <c r="F4071" s="170" t="s">
        <v>188</v>
      </c>
      <c r="G4071" s="189" t="s">
        <v>6382</v>
      </c>
      <c r="H4071" s="171"/>
    </row>
    <row r="4072" ht="14.25" spans="1:8">
      <c r="A4072" s="232">
        <v>240</v>
      </c>
      <c r="B4072" s="175" t="s">
        <v>884</v>
      </c>
      <c r="C4072" s="187" t="s">
        <v>170</v>
      </c>
      <c r="D4072" s="173">
        <v>0.01</v>
      </c>
      <c r="E4072" s="170" t="s">
        <v>30</v>
      </c>
      <c r="F4072" s="170" t="s">
        <v>188</v>
      </c>
      <c r="G4072" s="189" t="s">
        <v>6383</v>
      </c>
      <c r="H4072" s="171"/>
    </row>
    <row r="4073" ht="14.25" spans="1:8">
      <c r="A4073" s="232">
        <v>241</v>
      </c>
      <c r="B4073" s="175" t="s">
        <v>6384</v>
      </c>
      <c r="C4073" s="187" t="s">
        <v>170</v>
      </c>
      <c r="D4073" s="173">
        <v>0.1</v>
      </c>
      <c r="E4073" s="170" t="s">
        <v>30</v>
      </c>
      <c r="F4073" s="170" t="s">
        <v>188</v>
      </c>
      <c r="G4073" s="189" t="s">
        <v>6385</v>
      </c>
      <c r="H4073" s="171"/>
    </row>
    <row r="4074" ht="14.25" spans="1:8">
      <c r="A4074" s="232">
        <v>242</v>
      </c>
      <c r="B4074" s="175" t="s">
        <v>6386</v>
      </c>
      <c r="C4074" s="187" t="s">
        <v>170</v>
      </c>
      <c r="D4074" s="173">
        <v>0.03</v>
      </c>
      <c r="E4074" s="170" t="s">
        <v>30</v>
      </c>
      <c r="F4074" s="170" t="s">
        <v>188</v>
      </c>
      <c r="G4074" s="189" t="s">
        <v>6387</v>
      </c>
      <c r="H4074" s="171"/>
    </row>
    <row r="4075" ht="14.25" spans="1:8">
      <c r="A4075" s="232">
        <v>243</v>
      </c>
      <c r="B4075" s="175" t="s">
        <v>6388</v>
      </c>
      <c r="C4075" s="187" t="s">
        <v>170</v>
      </c>
      <c r="D4075" s="173">
        <v>0.04</v>
      </c>
      <c r="E4075" s="170" t="s">
        <v>30</v>
      </c>
      <c r="F4075" s="170" t="s">
        <v>188</v>
      </c>
      <c r="G4075" s="189" t="s">
        <v>6389</v>
      </c>
      <c r="H4075" s="171"/>
    </row>
    <row r="4076" ht="14.25" spans="1:8">
      <c r="A4076" s="232">
        <v>244</v>
      </c>
      <c r="B4076" s="175" t="s">
        <v>6290</v>
      </c>
      <c r="C4076" s="187" t="s">
        <v>170</v>
      </c>
      <c r="D4076" s="173">
        <v>0.03</v>
      </c>
      <c r="E4076" s="170" t="s">
        <v>30</v>
      </c>
      <c r="F4076" s="170" t="s">
        <v>188</v>
      </c>
      <c r="G4076" s="189" t="s">
        <v>6344</v>
      </c>
      <c r="H4076" s="171"/>
    </row>
    <row r="4077" ht="14.25" spans="1:8">
      <c r="A4077" s="232">
        <v>245</v>
      </c>
      <c r="B4077" s="175" t="s">
        <v>6338</v>
      </c>
      <c r="C4077" s="187" t="s">
        <v>170</v>
      </c>
      <c r="D4077" s="173">
        <v>0.01</v>
      </c>
      <c r="E4077" s="170" t="s">
        <v>30</v>
      </c>
      <c r="F4077" s="170" t="s">
        <v>188</v>
      </c>
      <c r="G4077" s="189" t="s">
        <v>6339</v>
      </c>
      <c r="H4077" s="171"/>
    </row>
    <row r="4078" ht="14.25" spans="1:8">
      <c r="A4078" s="232">
        <v>246</v>
      </c>
      <c r="B4078" s="175" t="s">
        <v>6336</v>
      </c>
      <c r="C4078" s="187" t="s">
        <v>170</v>
      </c>
      <c r="D4078" s="173">
        <v>0.01</v>
      </c>
      <c r="E4078" s="170" t="s">
        <v>30</v>
      </c>
      <c r="F4078" s="170" t="s">
        <v>188</v>
      </c>
      <c r="G4078" s="189" t="s">
        <v>6337</v>
      </c>
      <c r="H4078" s="171"/>
    </row>
    <row r="4079" ht="14.25" spans="1:8">
      <c r="A4079" s="232">
        <v>247</v>
      </c>
      <c r="B4079" s="175" t="s">
        <v>6390</v>
      </c>
      <c r="C4079" s="187" t="s">
        <v>170</v>
      </c>
      <c r="D4079" s="173">
        <v>0.01</v>
      </c>
      <c r="E4079" s="170" t="s">
        <v>30</v>
      </c>
      <c r="F4079" s="170" t="s">
        <v>188</v>
      </c>
      <c r="G4079" s="189" t="s">
        <v>6391</v>
      </c>
      <c r="H4079" s="171"/>
    </row>
    <row r="4080" ht="14.25" spans="1:8">
      <c r="A4080" s="232">
        <v>248</v>
      </c>
      <c r="B4080" s="201" t="s">
        <v>6392</v>
      </c>
      <c r="C4080" s="195" t="s">
        <v>170</v>
      </c>
      <c r="D4080" s="173">
        <v>0.16</v>
      </c>
      <c r="E4080" s="199" t="s">
        <v>30</v>
      </c>
      <c r="F4080" s="199" t="s">
        <v>188</v>
      </c>
      <c r="G4080" s="202" t="s">
        <v>6393</v>
      </c>
      <c r="H4080" s="171"/>
    </row>
    <row r="4081" ht="14.25" spans="1:8">
      <c r="A4081" s="232">
        <v>249</v>
      </c>
      <c r="B4081" s="201" t="s">
        <v>6394</v>
      </c>
      <c r="C4081" s="195" t="s">
        <v>170</v>
      </c>
      <c r="D4081" s="173">
        <v>0.09</v>
      </c>
      <c r="E4081" s="199" t="s">
        <v>30</v>
      </c>
      <c r="F4081" s="199" t="s">
        <v>188</v>
      </c>
      <c r="G4081" s="202" t="s">
        <v>6395</v>
      </c>
      <c r="H4081" s="171"/>
    </row>
    <row r="4082" ht="14.25" spans="1:8">
      <c r="A4082" s="232">
        <v>250</v>
      </c>
      <c r="B4082" s="201" t="s">
        <v>6396</v>
      </c>
      <c r="C4082" s="195" t="s">
        <v>170</v>
      </c>
      <c r="D4082" s="173">
        <v>0.07</v>
      </c>
      <c r="E4082" s="199" t="s">
        <v>30</v>
      </c>
      <c r="F4082" s="199" t="s">
        <v>188</v>
      </c>
      <c r="G4082" s="202" t="s">
        <v>6397</v>
      </c>
      <c r="H4082" s="171"/>
    </row>
    <row r="4083" ht="14.25" spans="1:8">
      <c r="A4083" s="232">
        <v>251</v>
      </c>
      <c r="B4083" s="201" t="s">
        <v>6398</v>
      </c>
      <c r="C4083" s="195" t="s">
        <v>170</v>
      </c>
      <c r="D4083" s="173">
        <v>0.15</v>
      </c>
      <c r="E4083" s="199" t="s">
        <v>30</v>
      </c>
      <c r="F4083" s="199" t="s">
        <v>188</v>
      </c>
      <c r="G4083" s="202" t="s">
        <v>6399</v>
      </c>
      <c r="H4083" s="171"/>
    </row>
    <row r="4084" ht="14.25" spans="1:8">
      <c r="A4084" s="232">
        <v>252</v>
      </c>
      <c r="B4084" s="201" t="s">
        <v>6400</v>
      </c>
      <c r="C4084" s="195" t="s">
        <v>170</v>
      </c>
      <c r="D4084" s="173">
        <v>0.28</v>
      </c>
      <c r="E4084" s="241" t="s">
        <v>30</v>
      </c>
      <c r="F4084" s="241" t="s">
        <v>188</v>
      </c>
      <c r="G4084" s="202" t="s">
        <v>6401</v>
      </c>
      <c r="H4084" s="171"/>
    </row>
    <row r="4085" ht="14.25" spans="1:8">
      <c r="A4085" s="232">
        <v>253</v>
      </c>
      <c r="B4085" s="201" t="s">
        <v>6402</v>
      </c>
      <c r="C4085" s="195" t="s">
        <v>170</v>
      </c>
      <c r="D4085" s="173">
        <v>0.06</v>
      </c>
      <c r="E4085" s="241" t="s">
        <v>30</v>
      </c>
      <c r="F4085" s="241" t="s">
        <v>188</v>
      </c>
      <c r="G4085" s="202" t="s">
        <v>6403</v>
      </c>
      <c r="H4085" s="171"/>
    </row>
    <row r="4086" ht="14.25" spans="1:8">
      <c r="A4086" s="232">
        <v>254</v>
      </c>
      <c r="B4086" s="175" t="s">
        <v>6404</v>
      </c>
      <c r="C4086" s="187" t="s">
        <v>170</v>
      </c>
      <c r="D4086" s="173">
        <v>0.01</v>
      </c>
      <c r="E4086" s="170" t="s">
        <v>30</v>
      </c>
      <c r="F4086" s="170" t="s">
        <v>188</v>
      </c>
      <c r="G4086" s="189" t="s">
        <v>6405</v>
      </c>
      <c r="H4086" s="171"/>
    </row>
    <row r="4087" ht="14.25" spans="1:8">
      <c r="A4087" s="232">
        <v>255</v>
      </c>
      <c r="B4087" s="175" t="s">
        <v>6406</v>
      </c>
      <c r="C4087" s="187" t="s">
        <v>170</v>
      </c>
      <c r="D4087" s="173">
        <v>0.04</v>
      </c>
      <c r="E4087" s="170" t="s">
        <v>30</v>
      </c>
      <c r="F4087" s="170" t="s">
        <v>188</v>
      </c>
      <c r="G4087" s="189" t="s">
        <v>6407</v>
      </c>
      <c r="H4087" s="171"/>
    </row>
    <row r="4088" ht="14.25" spans="1:8">
      <c r="A4088" s="232">
        <v>256</v>
      </c>
      <c r="B4088" s="175" t="s">
        <v>4402</v>
      </c>
      <c r="C4088" s="187" t="s">
        <v>170</v>
      </c>
      <c r="D4088" s="173">
        <v>0.2</v>
      </c>
      <c r="E4088" s="170" t="s">
        <v>30</v>
      </c>
      <c r="F4088" s="170" t="s">
        <v>188</v>
      </c>
      <c r="G4088" s="189" t="s">
        <v>6408</v>
      </c>
      <c r="H4088" s="171"/>
    </row>
    <row r="4089" ht="14.25" spans="1:8">
      <c r="A4089" s="232">
        <v>257</v>
      </c>
      <c r="B4089" s="175" t="s">
        <v>2785</v>
      </c>
      <c r="C4089" s="187" t="s">
        <v>170</v>
      </c>
      <c r="D4089" s="173">
        <v>0.24</v>
      </c>
      <c r="E4089" s="170" t="s">
        <v>30</v>
      </c>
      <c r="F4089" s="170" t="s">
        <v>188</v>
      </c>
      <c r="G4089" s="189" t="s">
        <v>6409</v>
      </c>
      <c r="H4089" s="171"/>
    </row>
    <row r="4090" ht="14.25" spans="1:8">
      <c r="A4090" s="232">
        <v>258</v>
      </c>
      <c r="B4090" s="175" t="s">
        <v>6410</v>
      </c>
      <c r="C4090" s="187" t="s">
        <v>170</v>
      </c>
      <c r="D4090" s="173">
        <v>0.15</v>
      </c>
      <c r="E4090" s="170" t="s">
        <v>30</v>
      </c>
      <c r="F4090" s="170" t="s">
        <v>188</v>
      </c>
      <c r="G4090" s="189" t="s">
        <v>6411</v>
      </c>
      <c r="H4090" s="171"/>
    </row>
    <row r="4091" ht="14.25" spans="1:8">
      <c r="A4091" s="232">
        <v>259</v>
      </c>
      <c r="B4091" s="175" t="s">
        <v>6229</v>
      </c>
      <c r="C4091" s="187" t="s">
        <v>170</v>
      </c>
      <c r="D4091" s="173">
        <v>0.2</v>
      </c>
      <c r="E4091" s="170" t="s">
        <v>30</v>
      </c>
      <c r="F4091" s="170" t="s">
        <v>188</v>
      </c>
      <c r="G4091" s="189" t="s">
        <v>6412</v>
      </c>
      <c r="H4091" s="171"/>
    </row>
    <row r="4092" ht="14.25" spans="1:8">
      <c r="A4092" s="232">
        <v>260</v>
      </c>
      <c r="B4092" s="175" t="s">
        <v>6272</v>
      </c>
      <c r="C4092" s="187" t="s">
        <v>170</v>
      </c>
      <c r="D4092" s="173">
        <v>0.1</v>
      </c>
      <c r="E4092" s="170" t="s">
        <v>30</v>
      </c>
      <c r="F4092" s="170" t="s">
        <v>188</v>
      </c>
      <c r="G4092" s="189" t="s">
        <v>6413</v>
      </c>
      <c r="H4092" s="171"/>
    </row>
    <row r="4093" ht="14.25" spans="1:8">
      <c r="A4093" s="232">
        <v>261</v>
      </c>
      <c r="B4093" s="175" t="s">
        <v>971</v>
      </c>
      <c r="C4093" s="187" t="s">
        <v>170</v>
      </c>
      <c r="D4093" s="173">
        <v>0.42</v>
      </c>
      <c r="E4093" s="170" t="s">
        <v>30</v>
      </c>
      <c r="F4093" s="170" t="s">
        <v>188</v>
      </c>
      <c r="G4093" s="189" t="s">
        <v>6355</v>
      </c>
      <c r="H4093" s="171"/>
    </row>
    <row r="4094" ht="14.25" spans="1:8">
      <c r="A4094" s="232">
        <v>262</v>
      </c>
      <c r="B4094" s="175" t="s">
        <v>6414</v>
      </c>
      <c r="C4094" s="187" t="s">
        <v>170</v>
      </c>
      <c r="D4094" s="173">
        <v>0.2</v>
      </c>
      <c r="E4094" s="170" t="s">
        <v>30</v>
      </c>
      <c r="F4094" s="170" t="s">
        <v>188</v>
      </c>
      <c r="G4094" s="189" t="s">
        <v>6415</v>
      </c>
      <c r="H4094" s="171"/>
    </row>
    <row r="4095" ht="14.25" spans="1:8">
      <c r="A4095" s="232">
        <v>263</v>
      </c>
      <c r="B4095" s="175" t="s">
        <v>6416</v>
      </c>
      <c r="C4095" s="187" t="s">
        <v>170</v>
      </c>
      <c r="D4095" s="173">
        <v>0.05</v>
      </c>
      <c r="E4095" s="170" t="s">
        <v>30</v>
      </c>
      <c r="F4095" s="170" t="s">
        <v>188</v>
      </c>
      <c r="G4095" s="189" t="s">
        <v>6417</v>
      </c>
      <c r="H4095" s="171"/>
    </row>
    <row r="4096" ht="14.25" spans="1:8">
      <c r="A4096" s="232">
        <v>264</v>
      </c>
      <c r="B4096" s="175" t="s">
        <v>6418</v>
      </c>
      <c r="C4096" s="187" t="s">
        <v>170</v>
      </c>
      <c r="D4096" s="173">
        <v>0.03</v>
      </c>
      <c r="E4096" s="170" t="s">
        <v>30</v>
      </c>
      <c r="F4096" s="170" t="s">
        <v>188</v>
      </c>
      <c r="G4096" s="189" t="s">
        <v>6419</v>
      </c>
      <c r="H4096" s="171"/>
    </row>
    <row r="4097" ht="14.25" spans="1:8">
      <c r="A4097" s="232">
        <v>265</v>
      </c>
      <c r="B4097" s="175" t="s">
        <v>6420</v>
      </c>
      <c r="C4097" s="187" t="s">
        <v>170</v>
      </c>
      <c r="D4097" s="173">
        <v>0.02</v>
      </c>
      <c r="E4097" s="170" t="s">
        <v>30</v>
      </c>
      <c r="F4097" s="170" t="s">
        <v>188</v>
      </c>
      <c r="G4097" s="189" t="s">
        <v>6421</v>
      </c>
      <c r="H4097" s="171"/>
    </row>
    <row r="4098" ht="14.25" spans="1:8">
      <c r="A4098" s="232">
        <v>266</v>
      </c>
      <c r="B4098" s="175" t="s">
        <v>6422</v>
      </c>
      <c r="C4098" s="187" t="s">
        <v>170</v>
      </c>
      <c r="D4098" s="173">
        <v>0.08</v>
      </c>
      <c r="E4098" s="170" t="s">
        <v>30</v>
      </c>
      <c r="F4098" s="170" t="s">
        <v>188</v>
      </c>
      <c r="G4098" s="189" t="s">
        <v>6423</v>
      </c>
      <c r="H4098" s="171"/>
    </row>
    <row r="4099" ht="14.25" spans="1:8">
      <c r="A4099" s="232">
        <v>267</v>
      </c>
      <c r="B4099" s="175" t="s">
        <v>1066</v>
      </c>
      <c r="C4099" s="187" t="s">
        <v>170</v>
      </c>
      <c r="D4099" s="173">
        <v>0.14</v>
      </c>
      <c r="E4099" s="170" t="s">
        <v>30</v>
      </c>
      <c r="F4099" s="170" t="s">
        <v>188</v>
      </c>
      <c r="G4099" s="189" t="s">
        <v>6424</v>
      </c>
      <c r="H4099" s="171"/>
    </row>
    <row r="4100" ht="14.25" spans="1:8">
      <c r="A4100" s="232">
        <v>268</v>
      </c>
      <c r="B4100" s="175" t="s">
        <v>6363</v>
      </c>
      <c r="C4100" s="187" t="s">
        <v>170</v>
      </c>
      <c r="D4100" s="173">
        <v>0.04</v>
      </c>
      <c r="E4100" s="170" t="s">
        <v>30</v>
      </c>
      <c r="F4100" s="170" t="s">
        <v>188</v>
      </c>
      <c r="G4100" s="189" t="s">
        <v>6365</v>
      </c>
      <c r="H4100" s="171"/>
    </row>
    <row r="4101" ht="14.25" spans="1:8">
      <c r="A4101" s="232">
        <v>269</v>
      </c>
      <c r="B4101" s="175" t="s">
        <v>6342</v>
      </c>
      <c r="C4101" s="187" t="s">
        <v>170</v>
      </c>
      <c r="D4101" s="173">
        <v>0.01</v>
      </c>
      <c r="E4101" s="170" t="s">
        <v>30</v>
      </c>
      <c r="F4101" s="170" t="s">
        <v>188</v>
      </c>
      <c r="G4101" s="189" t="s">
        <v>6343</v>
      </c>
      <c r="H4101" s="171"/>
    </row>
    <row r="4102" ht="14.25" spans="1:8">
      <c r="A4102" s="232">
        <v>270</v>
      </c>
      <c r="B4102" s="175" t="s">
        <v>6425</v>
      </c>
      <c r="C4102" s="187" t="s">
        <v>170</v>
      </c>
      <c r="D4102" s="173">
        <v>0.04</v>
      </c>
      <c r="E4102" s="170" t="s">
        <v>30</v>
      </c>
      <c r="F4102" s="170" t="s">
        <v>188</v>
      </c>
      <c r="G4102" s="189" t="s">
        <v>6426</v>
      </c>
      <c r="H4102" s="171"/>
    </row>
    <row r="4103" ht="14.25" spans="1:8">
      <c r="A4103" s="232">
        <v>271</v>
      </c>
      <c r="B4103" s="175" t="s">
        <v>6427</v>
      </c>
      <c r="C4103" s="187" t="s">
        <v>170</v>
      </c>
      <c r="D4103" s="173">
        <v>0.04</v>
      </c>
      <c r="E4103" s="170" t="s">
        <v>30</v>
      </c>
      <c r="F4103" s="170" t="s">
        <v>188</v>
      </c>
      <c r="G4103" s="189" t="s">
        <v>6428</v>
      </c>
      <c r="H4103" s="171"/>
    </row>
    <row r="4104" ht="14.25" spans="1:8">
      <c r="A4104" s="232">
        <v>272</v>
      </c>
      <c r="B4104" s="195" t="s">
        <v>4558</v>
      </c>
      <c r="C4104" s="187" t="s">
        <v>170</v>
      </c>
      <c r="D4104" s="173">
        <v>0.09</v>
      </c>
      <c r="E4104" s="170" t="s">
        <v>30</v>
      </c>
      <c r="F4104" s="170" t="s">
        <v>188</v>
      </c>
      <c r="G4104" s="196" t="s">
        <v>6429</v>
      </c>
      <c r="H4104" s="171"/>
    </row>
    <row r="4105" ht="14.25" spans="1:8">
      <c r="A4105" s="232">
        <v>273</v>
      </c>
      <c r="B4105" s="195" t="s">
        <v>6160</v>
      </c>
      <c r="C4105" s="187" t="s">
        <v>170</v>
      </c>
      <c r="D4105" s="173">
        <v>0.04</v>
      </c>
      <c r="E4105" s="170" t="s">
        <v>30</v>
      </c>
      <c r="F4105" s="170" t="s">
        <v>188</v>
      </c>
      <c r="G4105" s="196" t="s">
        <v>6430</v>
      </c>
      <c r="H4105" s="171"/>
    </row>
    <row r="4106" ht="14.25" spans="1:8">
      <c r="A4106" s="232">
        <v>274</v>
      </c>
      <c r="B4106" s="195" t="s">
        <v>6431</v>
      </c>
      <c r="C4106" s="187" t="s">
        <v>170</v>
      </c>
      <c r="D4106" s="173">
        <v>0.09</v>
      </c>
      <c r="E4106" s="170" t="s">
        <v>30</v>
      </c>
      <c r="F4106" s="170" t="s">
        <v>188</v>
      </c>
      <c r="G4106" s="196" t="s">
        <v>6432</v>
      </c>
      <c r="H4106" s="171"/>
    </row>
    <row r="4107" ht="14.25" spans="1:8">
      <c r="A4107" s="232">
        <v>275</v>
      </c>
      <c r="B4107" s="197" t="s">
        <v>6251</v>
      </c>
      <c r="C4107" s="187" t="s">
        <v>170</v>
      </c>
      <c r="D4107" s="173">
        <v>0.08</v>
      </c>
      <c r="E4107" s="170" t="s">
        <v>30</v>
      </c>
      <c r="F4107" s="170" t="s">
        <v>188</v>
      </c>
      <c r="G4107" s="196" t="s">
        <v>6433</v>
      </c>
      <c r="H4107" s="171"/>
    </row>
    <row r="4108" ht="14.25" spans="1:8">
      <c r="A4108" s="232">
        <v>276</v>
      </c>
      <c r="B4108" s="197" t="s">
        <v>6434</v>
      </c>
      <c r="C4108" s="187" t="s">
        <v>170</v>
      </c>
      <c r="D4108" s="173">
        <v>0.09</v>
      </c>
      <c r="E4108" s="170" t="s">
        <v>30</v>
      </c>
      <c r="F4108" s="170" t="s">
        <v>188</v>
      </c>
      <c r="G4108" s="196" t="s">
        <v>6435</v>
      </c>
      <c r="H4108" s="171"/>
    </row>
    <row r="4109" ht="14.25" spans="1:8">
      <c r="A4109" s="232">
        <v>277</v>
      </c>
      <c r="B4109" s="197" t="s">
        <v>6436</v>
      </c>
      <c r="C4109" s="187" t="s">
        <v>170</v>
      </c>
      <c r="D4109" s="173">
        <v>0.08</v>
      </c>
      <c r="E4109" s="170" t="s">
        <v>30</v>
      </c>
      <c r="F4109" s="170" t="s">
        <v>188</v>
      </c>
      <c r="G4109" s="196" t="s">
        <v>6437</v>
      </c>
      <c r="H4109" s="171"/>
    </row>
    <row r="4110" ht="14.25" spans="1:8">
      <c r="A4110" s="232">
        <v>278</v>
      </c>
      <c r="B4110" s="197" t="s">
        <v>6406</v>
      </c>
      <c r="C4110" s="187" t="s">
        <v>170</v>
      </c>
      <c r="D4110" s="173">
        <v>0.04</v>
      </c>
      <c r="E4110" s="170" t="s">
        <v>30</v>
      </c>
      <c r="F4110" s="170" t="s">
        <v>188</v>
      </c>
      <c r="G4110" s="196" t="s">
        <v>6407</v>
      </c>
      <c r="H4110" s="171"/>
    </row>
    <row r="4111" ht="14.25" spans="1:8">
      <c r="A4111" s="232">
        <v>279</v>
      </c>
      <c r="B4111" s="197" t="s">
        <v>6438</v>
      </c>
      <c r="C4111" s="187" t="s">
        <v>170</v>
      </c>
      <c r="D4111" s="173">
        <v>0.09</v>
      </c>
      <c r="E4111" s="170" t="s">
        <v>30</v>
      </c>
      <c r="F4111" s="170" t="s">
        <v>188</v>
      </c>
      <c r="G4111" s="196" t="s">
        <v>6439</v>
      </c>
      <c r="H4111" s="171"/>
    </row>
    <row r="4112" ht="14.25" spans="1:8">
      <c r="A4112" s="232">
        <v>280</v>
      </c>
      <c r="B4112" s="195" t="s">
        <v>6440</v>
      </c>
      <c r="C4112" s="187" t="s">
        <v>170</v>
      </c>
      <c r="D4112" s="173">
        <v>0.09</v>
      </c>
      <c r="E4112" s="170" t="s">
        <v>30</v>
      </c>
      <c r="F4112" s="170" t="s">
        <v>188</v>
      </c>
      <c r="G4112" s="196" t="s">
        <v>3376</v>
      </c>
      <c r="H4112" s="171"/>
    </row>
    <row r="4113" ht="14.25" spans="1:8">
      <c r="A4113" s="232">
        <v>281</v>
      </c>
      <c r="B4113" s="195" t="s">
        <v>4411</v>
      </c>
      <c r="C4113" s="187" t="s">
        <v>170</v>
      </c>
      <c r="D4113" s="173">
        <v>0.09</v>
      </c>
      <c r="E4113" s="170" t="s">
        <v>30</v>
      </c>
      <c r="F4113" s="170" t="s">
        <v>188</v>
      </c>
      <c r="G4113" s="196" t="s">
        <v>6441</v>
      </c>
      <c r="H4113" s="171"/>
    </row>
    <row r="4114" ht="14.25" spans="1:8">
      <c r="A4114" s="232">
        <v>282</v>
      </c>
      <c r="B4114" s="195" t="s">
        <v>4411</v>
      </c>
      <c r="C4114" s="187" t="s">
        <v>170</v>
      </c>
      <c r="D4114" s="173">
        <v>0.09</v>
      </c>
      <c r="E4114" s="170" t="s">
        <v>30</v>
      </c>
      <c r="F4114" s="170" t="s">
        <v>188</v>
      </c>
      <c r="G4114" s="196" t="s">
        <v>6442</v>
      </c>
      <c r="H4114" s="171"/>
    </row>
    <row r="4115" ht="14.25" spans="1:8">
      <c r="A4115" s="232">
        <v>283</v>
      </c>
      <c r="B4115" s="195" t="s">
        <v>6443</v>
      </c>
      <c r="C4115" s="187" t="s">
        <v>170</v>
      </c>
      <c r="D4115" s="173">
        <v>0.09</v>
      </c>
      <c r="E4115" s="170" t="s">
        <v>30</v>
      </c>
      <c r="F4115" s="170" t="s">
        <v>188</v>
      </c>
      <c r="G4115" s="196" t="s">
        <v>6444</v>
      </c>
      <c r="H4115" s="171"/>
    </row>
    <row r="4116" ht="14.25" spans="1:8">
      <c r="A4116" s="232">
        <v>284</v>
      </c>
      <c r="B4116" s="195" t="s">
        <v>6445</v>
      </c>
      <c r="C4116" s="187" t="s">
        <v>170</v>
      </c>
      <c r="D4116" s="173">
        <v>0.04</v>
      </c>
      <c r="E4116" s="170" t="s">
        <v>30</v>
      </c>
      <c r="F4116" s="170" t="s">
        <v>188</v>
      </c>
      <c r="G4116" s="196" t="s">
        <v>6446</v>
      </c>
      <c r="H4116" s="171"/>
    </row>
    <row r="4117" ht="14.25" spans="1:8">
      <c r="A4117" s="232">
        <v>285</v>
      </c>
      <c r="B4117" s="195" t="s">
        <v>6447</v>
      </c>
      <c r="C4117" s="187" t="s">
        <v>170</v>
      </c>
      <c r="D4117" s="173">
        <v>0.09</v>
      </c>
      <c r="E4117" s="170" t="s">
        <v>30</v>
      </c>
      <c r="F4117" s="170" t="s">
        <v>188</v>
      </c>
      <c r="G4117" s="196" t="s">
        <v>6448</v>
      </c>
      <c r="H4117" s="171"/>
    </row>
    <row r="4118" ht="14.25" spans="1:8">
      <c r="A4118" s="232">
        <v>286</v>
      </c>
      <c r="B4118" s="195" t="s">
        <v>6447</v>
      </c>
      <c r="C4118" s="187" t="s">
        <v>170</v>
      </c>
      <c r="D4118" s="173">
        <v>0.06</v>
      </c>
      <c r="E4118" s="170" t="s">
        <v>30</v>
      </c>
      <c r="F4118" s="170" t="s">
        <v>188</v>
      </c>
      <c r="G4118" s="196" t="s">
        <v>3793</v>
      </c>
      <c r="H4118" s="171"/>
    </row>
    <row r="4119" ht="14.25" spans="1:8">
      <c r="A4119" s="232">
        <v>287</v>
      </c>
      <c r="B4119" s="195" t="s">
        <v>6447</v>
      </c>
      <c r="C4119" s="187" t="s">
        <v>170</v>
      </c>
      <c r="D4119" s="173">
        <v>0.19</v>
      </c>
      <c r="E4119" s="170" t="s">
        <v>30</v>
      </c>
      <c r="F4119" s="170" t="s">
        <v>188</v>
      </c>
      <c r="G4119" s="196" t="s">
        <v>372</v>
      </c>
      <c r="H4119" s="171"/>
    </row>
    <row r="4120" ht="14.25" spans="1:8">
      <c r="A4120" s="232">
        <v>288</v>
      </c>
      <c r="B4120" s="195" t="s">
        <v>6449</v>
      </c>
      <c r="C4120" s="187" t="s">
        <v>170</v>
      </c>
      <c r="D4120" s="173">
        <v>0.04</v>
      </c>
      <c r="E4120" s="170" t="s">
        <v>30</v>
      </c>
      <c r="F4120" s="170" t="s">
        <v>188</v>
      </c>
      <c r="G4120" s="196" t="s">
        <v>6450</v>
      </c>
      <c r="H4120" s="171"/>
    </row>
    <row r="4121" ht="14.25" spans="1:8">
      <c r="A4121" s="232">
        <v>289</v>
      </c>
      <c r="B4121" s="195" t="s">
        <v>6090</v>
      </c>
      <c r="C4121" s="187" t="s">
        <v>170</v>
      </c>
      <c r="D4121" s="173">
        <v>0.04</v>
      </c>
      <c r="E4121" s="170" t="s">
        <v>30</v>
      </c>
      <c r="F4121" s="170" t="s">
        <v>188</v>
      </c>
      <c r="G4121" s="196" t="s">
        <v>6091</v>
      </c>
      <c r="H4121" s="171"/>
    </row>
    <row r="4122" ht="14.25" spans="1:8">
      <c r="A4122" s="232">
        <v>290</v>
      </c>
      <c r="B4122" s="195" t="s">
        <v>4489</v>
      </c>
      <c r="C4122" s="187" t="s">
        <v>170</v>
      </c>
      <c r="D4122" s="173">
        <v>0.05</v>
      </c>
      <c r="E4122" s="170" t="s">
        <v>30</v>
      </c>
      <c r="F4122" s="170" t="s">
        <v>188</v>
      </c>
      <c r="G4122" s="196" t="s">
        <v>6125</v>
      </c>
      <c r="H4122" s="171"/>
    </row>
    <row r="4123" ht="14.25" spans="1:8">
      <c r="A4123" s="232">
        <v>291</v>
      </c>
      <c r="B4123" s="195" t="s">
        <v>4489</v>
      </c>
      <c r="C4123" s="187" t="s">
        <v>170</v>
      </c>
      <c r="D4123" s="173">
        <v>0.05</v>
      </c>
      <c r="E4123" s="170" t="s">
        <v>30</v>
      </c>
      <c r="F4123" s="170" t="s">
        <v>188</v>
      </c>
      <c r="G4123" s="196" t="s">
        <v>6451</v>
      </c>
      <c r="H4123" s="171"/>
    </row>
    <row r="4124" ht="14.25" spans="1:8">
      <c r="A4124" s="232">
        <v>292</v>
      </c>
      <c r="B4124" s="196" t="s">
        <v>6452</v>
      </c>
      <c r="C4124" s="187" t="s">
        <v>170</v>
      </c>
      <c r="D4124" s="173">
        <v>0.2</v>
      </c>
      <c r="E4124" s="170" t="s">
        <v>30</v>
      </c>
      <c r="F4124" s="170" t="s">
        <v>188</v>
      </c>
      <c r="G4124" s="196" t="s">
        <v>6453</v>
      </c>
      <c r="H4124" s="171"/>
    </row>
    <row r="4125" ht="14.25" spans="1:8">
      <c r="A4125" s="232">
        <v>293</v>
      </c>
      <c r="B4125" s="196" t="s">
        <v>6454</v>
      </c>
      <c r="C4125" s="187" t="s">
        <v>170</v>
      </c>
      <c r="D4125" s="173">
        <v>0.2</v>
      </c>
      <c r="E4125" s="170" t="s">
        <v>30</v>
      </c>
      <c r="F4125" s="170" t="s">
        <v>188</v>
      </c>
      <c r="G4125" s="196" t="s">
        <v>6455</v>
      </c>
      <c r="H4125" s="171"/>
    </row>
    <row r="4126" ht="14.25" spans="1:8">
      <c r="A4126" s="232">
        <v>294</v>
      </c>
      <c r="B4126" s="196" t="s">
        <v>6456</v>
      </c>
      <c r="C4126" s="187" t="s">
        <v>170</v>
      </c>
      <c r="D4126" s="173">
        <v>0.14</v>
      </c>
      <c r="E4126" s="170" t="s">
        <v>30</v>
      </c>
      <c r="F4126" s="170" t="s">
        <v>188</v>
      </c>
      <c r="G4126" s="196" t="s">
        <v>6457</v>
      </c>
      <c r="H4126" s="171"/>
    </row>
    <row r="4127" ht="14.25" spans="1:8">
      <c r="A4127" s="232">
        <v>295</v>
      </c>
      <c r="B4127" s="196" t="s">
        <v>6456</v>
      </c>
      <c r="C4127" s="187" t="s">
        <v>170</v>
      </c>
      <c r="D4127" s="173">
        <v>0.11</v>
      </c>
      <c r="E4127" s="170" t="s">
        <v>30</v>
      </c>
      <c r="F4127" s="170" t="s">
        <v>188</v>
      </c>
      <c r="G4127" s="196" t="s">
        <v>6458</v>
      </c>
      <c r="H4127" s="171"/>
    </row>
    <row r="4128" ht="14.25" spans="1:8">
      <c r="A4128" s="232">
        <v>296</v>
      </c>
      <c r="B4128" s="182" t="s">
        <v>6459</v>
      </c>
      <c r="C4128" s="187" t="s">
        <v>170</v>
      </c>
      <c r="D4128" s="173">
        <v>0.08</v>
      </c>
      <c r="E4128" s="170" t="s">
        <v>30</v>
      </c>
      <c r="F4128" s="170" t="s">
        <v>188</v>
      </c>
      <c r="G4128" s="196" t="s">
        <v>6460</v>
      </c>
      <c r="H4128" s="171"/>
    </row>
    <row r="4129" ht="14.25" spans="1:8">
      <c r="A4129" s="232">
        <v>297</v>
      </c>
      <c r="B4129" s="182" t="s">
        <v>6461</v>
      </c>
      <c r="C4129" s="187" t="s">
        <v>170</v>
      </c>
      <c r="D4129" s="173">
        <v>0.05</v>
      </c>
      <c r="E4129" s="170" t="s">
        <v>30</v>
      </c>
      <c r="F4129" s="170" t="s">
        <v>188</v>
      </c>
      <c r="G4129" s="196" t="s">
        <v>6169</v>
      </c>
      <c r="H4129" s="171"/>
    </row>
    <row r="4130" ht="14.25" spans="1:8">
      <c r="A4130" s="232">
        <v>298</v>
      </c>
      <c r="B4130" s="182" t="s">
        <v>6462</v>
      </c>
      <c r="C4130" s="187" t="s">
        <v>170</v>
      </c>
      <c r="D4130" s="173">
        <v>0.03</v>
      </c>
      <c r="E4130" s="170" t="s">
        <v>30</v>
      </c>
      <c r="F4130" s="170" t="s">
        <v>188</v>
      </c>
      <c r="G4130" s="196" t="s">
        <v>6463</v>
      </c>
      <c r="H4130" s="171"/>
    </row>
    <row r="4131" ht="14.25" spans="1:8">
      <c r="A4131" s="232">
        <v>299</v>
      </c>
      <c r="B4131" s="182" t="s">
        <v>6414</v>
      </c>
      <c r="C4131" s="187" t="s">
        <v>170</v>
      </c>
      <c r="D4131" s="173">
        <v>0.04</v>
      </c>
      <c r="E4131" s="170" t="s">
        <v>30</v>
      </c>
      <c r="F4131" s="170" t="s">
        <v>188</v>
      </c>
      <c r="G4131" s="196" t="s">
        <v>6464</v>
      </c>
      <c r="H4131" s="171"/>
    </row>
    <row r="4132" ht="14.25" spans="1:8">
      <c r="A4132" s="232">
        <v>300</v>
      </c>
      <c r="B4132" s="182" t="s">
        <v>6465</v>
      </c>
      <c r="C4132" s="187" t="s">
        <v>170</v>
      </c>
      <c r="D4132" s="173">
        <v>0.09</v>
      </c>
      <c r="E4132" s="170" t="s">
        <v>30</v>
      </c>
      <c r="F4132" s="170" t="s">
        <v>188</v>
      </c>
      <c r="G4132" s="196" t="s">
        <v>6466</v>
      </c>
      <c r="H4132" s="171"/>
    </row>
    <row r="4133" ht="14.25" spans="1:8">
      <c r="A4133" s="232">
        <v>301</v>
      </c>
      <c r="B4133" s="182" t="s">
        <v>6467</v>
      </c>
      <c r="C4133" s="187" t="s">
        <v>170</v>
      </c>
      <c r="D4133" s="173">
        <v>0.09</v>
      </c>
      <c r="E4133" s="170" t="s">
        <v>30</v>
      </c>
      <c r="F4133" s="170" t="s">
        <v>188</v>
      </c>
      <c r="G4133" s="196" t="s">
        <v>5109</v>
      </c>
      <c r="H4133" s="171"/>
    </row>
    <row r="4134" ht="14.25" spans="1:8">
      <c r="A4134" s="232">
        <v>302</v>
      </c>
      <c r="B4134" s="182" t="s">
        <v>6468</v>
      </c>
      <c r="C4134" s="187" t="s">
        <v>170</v>
      </c>
      <c r="D4134" s="173">
        <v>0.05</v>
      </c>
      <c r="E4134" s="170" t="s">
        <v>30</v>
      </c>
      <c r="F4134" s="170" t="s">
        <v>188</v>
      </c>
      <c r="G4134" s="196" t="s">
        <v>6469</v>
      </c>
      <c r="H4134" s="171"/>
    </row>
    <row r="4135" ht="14.25" spans="1:8">
      <c r="A4135" s="232">
        <v>303</v>
      </c>
      <c r="B4135" s="182" t="s">
        <v>6470</v>
      </c>
      <c r="C4135" s="187" t="s">
        <v>170</v>
      </c>
      <c r="D4135" s="173">
        <v>0.01</v>
      </c>
      <c r="E4135" s="170" t="s">
        <v>30</v>
      </c>
      <c r="F4135" s="170" t="s">
        <v>188</v>
      </c>
      <c r="G4135" s="196" t="s">
        <v>6471</v>
      </c>
      <c r="H4135" s="171"/>
    </row>
    <row r="4136" ht="14.25" spans="1:8">
      <c r="A4136" s="206" t="s">
        <v>6472</v>
      </c>
      <c r="B4136" s="166" t="s">
        <v>311</v>
      </c>
      <c r="C4136" s="187"/>
      <c r="D4136" s="207"/>
      <c r="E4136" s="212"/>
      <c r="F4136" s="206"/>
      <c r="G4136" s="213"/>
      <c r="H4136" s="213"/>
    </row>
    <row r="4137" ht="14.25" spans="1:8">
      <c r="A4137" s="176">
        <v>1</v>
      </c>
      <c r="B4137" s="175" t="s">
        <v>6473</v>
      </c>
      <c r="C4137" s="181" t="s">
        <v>272</v>
      </c>
      <c r="D4137" s="173">
        <v>0.03</v>
      </c>
      <c r="E4137" s="204" t="s">
        <v>30</v>
      </c>
      <c r="F4137" s="204" t="s">
        <v>188</v>
      </c>
      <c r="G4137" s="175" t="s">
        <v>6474</v>
      </c>
      <c r="H4137" s="171"/>
    </row>
    <row r="4138" ht="14.25" spans="1:8">
      <c r="A4138" s="176">
        <v>2</v>
      </c>
      <c r="B4138" s="175" t="s">
        <v>4207</v>
      </c>
      <c r="C4138" s="181" t="s">
        <v>272</v>
      </c>
      <c r="D4138" s="173">
        <v>0.04</v>
      </c>
      <c r="E4138" s="204" t="s">
        <v>30</v>
      </c>
      <c r="F4138" s="204" t="s">
        <v>188</v>
      </c>
      <c r="G4138" s="175" t="s">
        <v>6475</v>
      </c>
      <c r="H4138" s="171"/>
    </row>
    <row r="4139" ht="14.25" spans="1:8">
      <c r="A4139" s="176">
        <v>3</v>
      </c>
      <c r="B4139" s="175" t="s">
        <v>6476</v>
      </c>
      <c r="C4139" s="181" t="s">
        <v>272</v>
      </c>
      <c r="D4139" s="173">
        <v>0.02</v>
      </c>
      <c r="E4139" s="204" t="s">
        <v>30</v>
      </c>
      <c r="F4139" s="204" t="s">
        <v>188</v>
      </c>
      <c r="G4139" s="175" t="s">
        <v>1390</v>
      </c>
      <c r="H4139" s="171"/>
    </row>
    <row r="4140" ht="14.25" spans="1:8">
      <c r="A4140" s="176">
        <v>4</v>
      </c>
      <c r="B4140" s="175" t="s">
        <v>6477</v>
      </c>
      <c r="C4140" s="181" t="s">
        <v>272</v>
      </c>
      <c r="D4140" s="173">
        <v>0.01</v>
      </c>
      <c r="E4140" s="204" t="s">
        <v>30</v>
      </c>
      <c r="F4140" s="204" t="s">
        <v>188</v>
      </c>
      <c r="G4140" s="175" t="s">
        <v>6478</v>
      </c>
      <c r="H4140" s="171"/>
    </row>
    <row r="4141" ht="14.25" spans="1:8">
      <c r="A4141" s="176">
        <v>5</v>
      </c>
      <c r="B4141" s="175" t="s">
        <v>6479</v>
      </c>
      <c r="C4141" s="181" t="s">
        <v>272</v>
      </c>
      <c r="D4141" s="173">
        <v>0.01</v>
      </c>
      <c r="E4141" s="204" t="s">
        <v>30</v>
      </c>
      <c r="F4141" s="204" t="s">
        <v>188</v>
      </c>
      <c r="G4141" s="175" t="s">
        <v>6480</v>
      </c>
      <c r="H4141" s="171"/>
    </row>
    <row r="4142" ht="14.25" spans="1:8">
      <c r="A4142" s="176">
        <v>6</v>
      </c>
      <c r="B4142" s="175" t="s">
        <v>4831</v>
      </c>
      <c r="C4142" s="181" t="s">
        <v>272</v>
      </c>
      <c r="D4142" s="173">
        <v>0.01</v>
      </c>
      <c r="E4142" s="204" t="s">
        <v>30</v>
      </c>
      <c r="F4142" s="204" t="s">
        <v>188</v>
      </c>
      <c r="G4142" s="175" t="s">
        <v>6481</v>
      </c>
      <c r="H4142" s="171"/>
    </row>
    <row r="4143" ht="14.25" spans="1:8">
      <c r="A4143" s="176">
        <v>7</v>
      </c>
      <c r="B4143" s="175" t="s">
        <v>6482</v>
      </c>
      <c r="C4143" s="181" t="s">
        <v>272</v>
      </c>
      <c r="D4143" s="173">
        <v>0.03</v>
      </c>
      <c r="E4143" s="204" t="s">
        <v>30</v>
      </c>
      <c r="F4143" s="204" t="s">
        <v>188</v>
      </c>
      <c r="G4143" s="175" t="s">
        <v>6483</v>
      </c>
      <c r="H4143" s="171"/>
    </row>
    <row r="4144" ht="14.25" spans="1:8">
      <c r="A4144" s="176">
        <v>8</v>
      </c>
      <c r="B4144" s="175" t="s">
        <v>6484</v>
      </c>
      <c r="C4144" s="181" t="s">
        <v>272</v>
      </c>
      <c r="D4144" s="173">
        <v>0.04</v>
      </c>
      <c r="E4144" s="204" t="s">
        <v>30</v>
      </c>
      <c r="F4144" s="204" t="s">
        <v>188</v>
      </c>
      <c r="G4144" s="175" t="s">
        <v>6485</v>
      </c>
      <c r="H4144" s="171"/>
    </row>
    <row r="4145" ht="14.25" spans="1:8">
      <c r="A4145" s="176">
        <v>9</v>
      </c>
      <c r="B4145" s="175" t="s">
        <v>6486</v>
      </c>
      <c r="C4145" s="181" t="s">
        <v>272</v>
      </c>
      <c r="D4145" s="173">
        <v>0.01</v>
      </c>
      <c r="E4145" s="204" t="s">
        <v>30</v>
      </c>
      <c r="F4145" s="204" t="s">
        <v>188</v>
      </c>
      <c r="G4145" s="175" t="s">
        <v>6487</v>
      </c>
      <c r="H4145" s="171"/>
    </row>
    <row r="4146" ht="14.25" spans="1:8">
      <c r="A4146" s="176">
        <v>10</v>
      </c>
      <c r="B4146" s="175" t="s">
        <v>6488</v>
      </c>
      <c r="C4146" s="181" t="s">
        <v>272</v>
      </c>
      <c r="D4146" s="173">
        <v>0.04</v>
      </c>
      <c r="E4146" s="204" t="s">
        <v>30</v>
      </c>
      <c r="F4146" s="204" t="s">
        <v>188</v>
      </c>
      <c r="G4146" s="175" t="s">
        <v>6489</v>
      </c>
      <c r="H4146" s="171"/>
    </row>
    <row r="4147" ht="14.25" spans="1:8">
      <c r="A4147" s="176">
        <v>11</v>
      </c>
      <c r="B4147" s="175" t="s">
        <v>6490</v>
      </c>
      <c r="C4147" s="181" t="s">
        <v>272</v>
      </c>
      <c r="D4147" s="173">
        <v>0.02</v>
      </c>
      <c r="E4147" s="204" t="s">
        <v>30</v>
      </c>
      <c r="F4147" s="204" t="s">
        <v>188</v>
      </c>
      <c r="G4147" s="175" t="s">
        <v>6491</v>
      </c>
      <c r="H4147" s="171"/>
    </row>
    <row r="4148" ht="14.25" spans="1:8">
      <c r="A4148" s="176">
        <v>12</v>
      </c>
      <c r="B4148" s="175" t="s">
        <v>6492</v>
      </c>
      <c r="C4148" s="181" t="s">
        <v>272</v>
      </c>
      <c r="D4148" s="173">
        <v>0.01</v>
      </c>
      <c r="E4148" s="204" t="s">
        <v>30</v>
      </c>
      <c r="F4148" s="204" t="s">
        <v>188</v>
      </c>
      <c r="G4148" s="175" t="s">
        <v>6493</v>
      </c>
      <c r="H4148" s="171"/>
    </row>
    <row r="4149" ht="14.25" spans="1:8">
      <c r="A4149" s="176">
        <v>13</v>
      </c>
      <c r="B4149" s="175" t="s">
        <v>6494</v>
      </c>
      <c r="C4149" s="181" t="s">
        <v>272</v>
      </c>
      <c r="D4149" s="173">
        <v>0.01</v>
      </c>
      <c r="E4149" s="204" t="s">
        <v>30</v>
      </c>
      <c r="F4149" s="204" t="s">
        <v>188</v>
      </c>
      <c r="G4149" s="175" t="s">
        <v>6495</v>
      </c>
      <c r="H4149" s="171"/>
    </row>
    <row r="4150" ht="14.25" spans="1:8">
      <c r="A4150" s="176">
        <v>14</v>
      </c>
      <c r="B4150" s="175" t="s">
        <v>6496</v>
      </c>
      <c r="C4150" s="181" t="s">
        <v>272</v>
      </c>
      <c r="D4150" s="173">
        <v>0.02</v>
      </c>
      <c r="E4150" s="204" t="s">
        <v>30</v>
      </c>
      <c r="F4150" s="204" t="s">
        <v>188</v>
      </c>
      <c r="G4150" s="175" t="s">
        <v>6497</v>
      </c>
      <c r="H4150" s="171"/>
    </row>
    <row r="4151" ht="14.25" spans="1:8">
      <c r="A4151" s="176">
        <v>15</v>
      </c>
      <c r="B4151" s="175" t="s">
        <v>6496</v>
      </c>
      <c r="C4151" s="181" t="s">
        <v>272</v>
      </c>
      <c r="D4151" s="173">
        <v>0.04</v>
      </c>
      <c r="E4151" s="204" t="s">
        <v>30</v>
      </c>
      <c r="F4151" s="204" t="s">
        <v>188</v>
      </c>
      <c r="G4151" s="175" t="s">
        <v>6498</v>
      </c>
      <c r="H4151" s="171"/>
    </row>
    <row r="4152" ht="14.25" spans="1:8">
      <c r="A4152" s="176">
        <v>16</v>
      </c>
      <c r="B4152" s="175" t="s">
        <v>512</v>
      </c>
      <c r="C4152" s="181" t="s">
        <v>272</v>
      </c>
      <c r="D4152" s="173">
        <v>0.02</v>
      </c>
      <c r="E4152" s="204" t="s">
        <v>30</v>
      </c>
      <c r="F4152" s="204" t="s">
        <v>188</v>
      </c>
      <c r="G4152" s="175" t="s">
        <v>6499</v>
      </c>
      <c r="H4152" s="171"/>
    </row>
    <row r="4153" ht="14.25" spans="1:8">
      <c r="A4153" s="176">
        <v>17</v>
      </c>
      <c r="B4153" s="175" t="s">
        <v>6500</v>
      </c>
      <c r="C4153" s="181" t="s">
        <v>272</v>
      </c>
      <c r="D4153" s="173">
        <v>0.04</v>
      </c>
      <c r="E4153" s="204" t="s">
        <v>30</v>
      </c>
      <c r="F4153" s="204" t="s">
        <v>188</v>
      </c>
      <c r="G4153" s="175" t="s">
        <v>6501</v>
      </c>
      <c r="H4153" s="171"/>
    </row>
    <row r="4154" ht="14.25" spans="1:8">
      <c r="A4154" s="176">
        <v>18</v>
      </c>
      <c r="B4154" s="175" t="s">
        <v>6502</v>
      </c>
      <c r="C4154" s="181" t="s">
        <v>272</v>
      </c>
      <c r="D4154" s="173">
        <v>0.01</v>
      </c>
      <c r="E4154" s="204" t="s">
        <v>30</v>
      </c>
      <c r="F4154" s="204" t="s">
        <v>188</v>
      </c>
      <c r="G4154" s="175" t="s">
        <v>6503</v>
      </c>
      <c r="H4154" s="171"/>
    </row>
    <row r="4155" ht="14.25" spans="1:8">
      <c r="A4155" s="176">
        <v>19</v>
      </c>
      <c r="B4155" s="175" t="s">
        <v>6504</v>
      </c>
      <c r="C4155" s="181" t="s">
        <v>272</v>
      </c>
      <c r="D4155" s="173">
        <v>0.02</v>
      </c>
      <c r="E4155" s="204" t="s">
        <v>30</v>
      </c>
      <c r="F4155" s="204" t="s">
        <v>188</v>
      </c>
      <c r="G4155" s="175" t="s">
        <v>6505</v>
      </c>
      <c r="H4155" s="171"/>
    </row>
    <row r="4156" ht="14.25" spans="1:8">
      <c r="A4156" s="176">
        <v>20</v>
      </c>
      <c r="B4156" s="175" t="s">
        <v>6506</v>
      </c>
      <c r="C4156" s="181" t="s">
        <v>272</v>
      </c>
      <c r="D4156" s="173">
        <v>0.01</v>
      </c>
      <c r="E4156" s="204" t="s">
        <v>30</v>
      </c>
      <c r="F4156" s="204" t="s">
        <v>188</v>
      </c>
      <c r="G4156" s="175" t="s">
        <v>6507</v>
      </c>
      <c r="H4156" s="171"/>
    </row>
    <row r="4157" ht="14.25" spans="1:8">
      <c r="A4157" s="176">
        <v>21</v>
      </c>
      <c r="B4157" s="175" t="s">
        <v>6508</v>
      </c>
      <c r="C4157" s="181" t="s">
        <v>272</v>
      </c>
      <c r="D4157" s="173">
        <v>0.01</v>
      </c>
      <c r="E4157" s="204" t="s">
        <v>30</v>
      </c>
      <c r="F4157" s="204" t="s">
        <v>188</v>
      </c>
      <c r="G4157" s="175" t="s">
        <v>6509</v>
      </c>
      <c r="H4157" s="171"/>
    </row>
    <row r="4158" ht="14.25" spans="1:8">
      <c r="A4158" s="176">
        <v>22</v>
      </c>
      <c r="B4158" s="175" t="s">
        <v>6510</v>
      </c>
      <c r="C4158" s="181" t="s">
        <v>272</v>
      </c>
      <c r="D4158" s="173">
        <v>0.04</v>
      </c>
      <c r="E4158" s="204" t="s">
        <v>30</v>
      </c>
      <c r="F4158" s="204" t="s">
        <v>188</v>
      </c>
      <c r="G4158" s="175" t="s">
        <v>6511</v>
      </c>
      <c r="H4158" s="171"/>
    </row>
    <row r="4159" ht="14.25" spans="1:8">
      <c r="A4159" s="176">
        <v>23</v>
      </c>
      <c r="B4159" s="175" t="s">
        <v>6512</v>
      </c>
      <c r="C4159" s="181" t="s">
        <v>272</v>
      </c>
      <c r="D4159" s="173">
        <v>0.01</v>
      </c>
      <c r="E4159" s="204" t="s">
        <v>30</v>
      </c>
      <c r="F4159" s="204" t="s">
        <v>188</v>
      </c>
      <c r="G4159" s="175" t="s">
        <v>6513</v>
      </c>
      <c r="H4159" s="171"/>
    </row>
    <row r="4160" ht="14.25" spans="1:8">
      <c r="A4160" s="176">
        <v>24</v>
      </c>
      <c r="B4160" s="175" t="s">
        <v>6512</v>
      </c>
      <c r="C4160" s="181" t="s">
        <v>272</v>
      </c>
      <c r="D4160" s="173">
        <v>0.01</v>
      </c>
      <c r="E4160" s="204" t="s">
        <v>30</v>
      </c>
      <c r="F4160" s="204" t="s">
        <v>188</v>
      </c>
      <c r="G4160" s="175" t="s">
        <v>2274</v>
      </c>
      <c r="H4160" s="171"/>
    </row>
    <row r="4161" ht="14.25" spans="1:8">
      <c r="A4161" s="176">
        <v>25</v>
      </c>
      <c r="B4161" s="175" t="s">
        <v>6514</v>
      </c>
      <c r="C4161" s="181" t="s">
        <v>272</v>
      </c>
      <c r="D4161" s="173">
        <v>0.01</v>
      </c>
      <c r="E4161" s="204" t="s">
        <v>30</v>
      </c>
      <c r="F4161" s="204" t="s">
        <v>188</v>
      </c>
      <c r="G4161" s="175" t="s">
        <v>6515</v>
      </c>
      <c r="H4161" s="171"/>
    </row>
    <row r="4162" ht="14.25" spans="1:8">
      <c r="A4162" s="176">
        <v>26</v>
      </c>
      <c r="B4162" s="175" t="s">
        <v>6516</v>
      </c>
      <c r="C4162" s="181" t="s">
        <v>272</v>
      </c>
      <c r="D4162" s="173">
        <v>0.02</v>
      </c>
      <c r="E4162" s="204" t="s">
        <v>30</v>
      </c>
      <c r="F4162" s="204" t="s">
        <v>188</v>
      </c>
      <c r="G4162" s="175" t="s">
        <v>1717</v>
      </c>
      <c r="H4162" s="171"/>
    </row>
    <row r="4163" ht="14.25" spans="1:8">
      <c r="A4163" s="176">
        <v>27</v>
      </c>
      <c r="B4163" s="175" t="s">
        <v>6517</v>
      </c>
      <c r="C4163" s="181" t="s">
        <v>272</v>
      </c>
      <c r="D4163" s="173">
        <v>0.01</v>
      </c>
      <c r="E4163" s="204" t="s">
        <v>30</v>
      </c>
      <c r="F4163" s="204" t="s">
        <v>188</v>
      </c>
      <c r="G4163" s="175" t="s">
        <v>6518</v>
      </c>
      <c r="H4163" s="171"/>
    </row>
    <row r="4164" ht="14.25" spans="1:8">
      <c r="A4164" s="176">
        <v>28</v>
      </c>
      <c r="B4164" s="175" t="s">
        <v>6519</v>
      </c>
      <c r="C4164" s="181" t="s">
        <v>272</v>
      </c>
      <c r="D4164" s="173">
        <v>0.02</v>
      </c>
      <c r="E4164" s="204" t="s">
        <v>30</v>
      </c>
      <c r="F4164" s="204" t="s">
        <v>188</v>
      </c>
      <c r="G4164" s="175" t="s">
        <v>6520</v>
      </c>
      <c r="H4164" s="171"/>
    </row>
    <row r="4165" ht="14.25" spans="1:8">
      <c r="A4165" s="176">
        <v>29</v>
      </c>
      <c r="B4165" s="175" t="s">
        <v>6521</v>
      </c>
      <c r="C4165" s="181" t="s">
        <v>272</v>
      </c>
      <c r="D4165" s="173">
        <v>0.04</v>
      </c>
      <c r="E4165" s="204" t="s">
        <v>30</v>
      </c>
      <c r="F4165" s="204" t="s">
        <v>188</v>
      </c>
      <c r="G4165" s="175" t="s">
        <v>6522</v>
      </c>
      <c r="H4165" s="171"/>
    </row>
    <row r="4166" ht="14.25" spans="1:8">
      <c r="A4166" s="176">
        <v>30</v>
      </c>
      <c r="B4166" s="175" t="s">
        <v>6523</v>
      </c>
      <c r="C4166" s="181" t="s">
        <v>272</v>
      </c>
      <c r="D4166" s="173">
        <v>0.01</v>
      </c>
      <c r="E4166" s="204" t="s">
        <v>30</v>
      </c>
      <c r="F4166" s="204" t="s">
        <v>188</v>
      </c>
      <c r="G4166" s="175" t="s">
        <v>6524</v>
      </c>
      <c r="H4166" s="171"/>
    </row>
    <row r="4167" ht="14.25" spans="1:8">
      <c r="A4167" s="176">
        <v>31</v>
      </c>
      <c r="B4167" s="175" t="s">
        <v>6525</v>
      </c>
      <c r="C4167" s="181" t="s">
        <v>272</v>
      </c>
      <c r="D4167" s="173">
        <v>0.01</v>
      </c>
      <c r="E4167" s="204" t="s">
        <v>30</v>
      </c>
      <c r="F4167" s="204" t="s">
        <v>188</v>
      </c>
      <c r="G4167" s="175" t="s">
        <v>6526</v>
      </c>
      <c r="H4167" s="171"/>
    </row>
    <row r="4168" ht="14.25" spans="1:8">
      <c r="A4168" s="176">
        <v>32</v>
      </c>
      <c r="B4168" s="175" t="s">
        <v>6502</v>
      </c>
      <c r="C4168" s="181" t="s">
        <v>272</v>
      </c>
      <c r="D4168" s="173">
        <v>0.04</v>
      </c>
      <c r="E4168" s="204" t="s">
        <v>30</v>
      </c>
      <c r="F4168" s="204" t="s">
        <v>188</v>
      </c>
      <c r="G4168" s="175" t="s">
        <v>6527</v>
      </c>
      <c r="H4168" s="171"/>
    </row>
    <row r="4169" ht="14.25" spans="1:8">
      <c r="A4169" s="176">
        <v>33</v>
      </c>
      <c r="B4169" s="175" t="s">
        <v>6508</v>
      </c>
      <c r="C4169" s="181" t="s">
        <v>272</v>
      </c>
      <c r="D4169" s="173">
        <v>0.01</v>
      </c>
      <c r="E4169" s="204" t="s">
        <v>30</v>
      </c>
      <c r="F4169" s="204" t="s">
        <v>188</v>
      </c>
      <c r="G4169" s="175" t="s">
        <v>6528</v>
      </c>
      <c r="H4169" s="171"/>
    </row>
    <row r="4170" ht="14.25" spans="1:8">
      <c r="A4170" s="176">
        <v>34</v>
      </c>
      <c r="B4170" s="175" t="s">
        <v>6529</v>
      </c>
      <c r="C4170" s="181" t="s">
        <v>272</v>
      </c>
      <c r="D4170" s="173">
        <v>0.01</v>
      </c>
      <c r="E4170" s="204" t="s">
        <v>30</v>
      </c>
      <c r="F4170" s="204" t="s">
        <v>188</v>
      </c>
      <c r="G4170" s="175" t="s">
        <v>6530</v>
      </c>
      <c r="H4170" s="171"/>
    </row>
    <row r="4171" ht="14.25" spans="1:8">
      <c r="A4171" s="176">
        <v>35</v>
      </c>
      <c r="B4171" s="175" t="s">
        <v>6531</v>
      </c>
      <c r="C4171" s="181" t="s">
        <v>272</v>
      </c>
      <c r="D4171" s="173">
        <v>0.02</v>
      </c>
      <c r="E4171" s="204" t="s">
        <v>30</v>
      </c>
      <c r="F4171" s="204" t="s">
        <v>188</v>
      </c>
      <c r="G4171" s="175" t="s">
        <v>6532</v>
      </c>
      <c r="H4171" s="171"/>
    </row>
    <row r="4172" ht="14.25" spans="1:8">
      <c r="A4172" s="176">
        <v>36</v>
      </c>
      <c r="B4172" s="175" t="s">
        <v>6533</v>
      </c>
      <c r="C4172" s="181" t="s">
        <v>272</v>
      </c>
      <c r="D4172" s="173">
        <v>0.01</v>
      </c>
      <c r="E4172" s="204" t="s">
        <v>30</v>
      </c>
      <c r="F4172" s="204" t="s">
        <v>188</v>
      </c>
      <c r="G4172" s="175" t="s">
        <v>6534</v>
      </c>
      <c r="H4172" s="171"/>
    </row>
    <row r="4173" ht="14.25" spans="1:8">
      <c r="A4173" s="176">
        <v>37</v>
      </c>
      <c r="B4173" s="175" t="s">
        <v>699</v>
      </c>
      <c r="C4173" s="181" t="s">
        <v>272</v>
      </c>
      <c r="D4173" s="173">
        <v>0.01</v>
      </c>
      <c r="E4173" s="204" t="s">
        <v>30</v>
      </c>
      <c r="F4173" s="204" t="s">
        <v>188</v>
      </c>
      <c r="G4173" s="175" t="s">
        <v>6535</v>
      </c>
      <c r="H4173" s="171"/>
    </row>
    <row r="4174" ht="14.25" spans="1:8">
      <c r="A4174" s="176">
        <v>38</v>
      </c>
      <c r="B4174" s="175" t="s">
        <v>6536</v>
      </c>
      <c r="C4174" s="181" t="s">
        <v>272</v>
      </c>
      <c r="D4174" s="173">
        <v>0.03</v>
      </c>
      <c r="E4174" s="204" t="s">
        <v>30</v>
      </c>
      <c r="F4174" s="204" t="s">
        <v>188</v>
      </c>
      <c r="G4174" s="175" t="s">
        <v>6537</v>
      </c>
      <c r="H4174" s="171"/>
    </row>
    <row r="4175" ht="14.25" spans="1:8">
      <c r="A4175" s="176">
        <v>39</v>
      </c>
      <c r="B4175" s="175" t="s">
        <v>6538</v>
      </c>
      <c r="C4175" s="181" t="s">
        <v>272</v>
      </c>
      <c r="D4175" s="173">
        <v>0.01</v>
      </c>
      <c r="E4175" s="204" t="s">
        <v>30</v>
      </c>
      <c r="F4175" s="204" t="s">
        <v>188</v>
      </c>
      <c r="G4175" s="175" t="s">
        <v>6539</v>
      </c>
      <c r="H4175" s="171"/>
    </row>
    <row r="4176" ht="14.25" spans="1:8">
      <c r="A4176" s="176">
        <v>40</v>
      </c>
      <c r="B4176" s="175" t="s">
        <v>6512</v>
      </c>
      <c r="C4176" s="181" t="s">
        <v>272</v>
      </c>
      <c r="D4176" s="173">
        <v>0.04</v>
      </c>
      <c r="E4176" s="204" t="s">
        <v>30</v>
      </c>
      <c r="F4176" s="204" t="s">
        <v>188</v>
      </c>
      <c r="G4176" s="175" t="s">
        <v>6540</v>
      </c>
      <c r="H4176" s="171"/>
    </row>
    <row r="4177" ht="14.25" spans="1:8">
      <c r="A4177" s="176">
        <v>41</v>
      </c>
      <c r="B4177" s="175" t="s">
        <v>6541</v>
      </c>
      <c r="C4177" s="181" t="s">
        <v>272</v>
      </c>
      <c r="D4177" s="173">
        <v>0.03</v>
      </c>
      <c r="E4177" s="204" t="s">
        <v>30</v>
      </c>
      <c r="F4177" s="204" t="s">
        <v>188</v>
      </c>
      <c r="G4177" s="175" t="s">
        <v>6542</v>
      </c>
      <c r="H4177" s="171"/>
    </row>
    <row r="4178" ht="14.25" spans="1:8">
      <c r="A4178" s="176">
        <v>42</v>
      </c>
      <c r="B4178" s="175" t="s">
        <v>6543</v>
      </c>
      <c r="C4178" s="181" t="s">
        <v>272</v>
      </c>
      <c r="D4178" s="173">
        <v>0.02</v>
      </c>
      <c r="E4178" s="204" t="s">
        <v>30</v>
      </c>
      <c r="F4178" s="204" t="s">
        <v>188</v>
      </c>
      <c r="G4178" s="175" t="s">
        <v>6544</v>
      </c>
      <c r="H4178" s="171"/>
    </row>
    <row r="4179" ht="14.25" spans="1:8">
      <c r="A4179" s="176">
        <v>43</v>
      </c>
      <c r="B4179" s="175" t="s">
        <v>6545</v>
      </c>
      <c r="C4179" s="181" t="s">
        <v>272</v>
      </c>
      <c r="D4179" s="173">
        <v>0.04</v>
      </c>
      <c r="E4179" s="204" t="s">
        <v>30</v>
      </c>
      <c r="F4179" s="204" t="s">
        <v>188</v>
      </c>
      <c r="G4179" s="175" t="s">
        <v>6546</v>
      </c>
      <c r="H4179" s="171"/>
    </row>
    <row r="4180" ht="14.25" spans="1:8">
      <c r="A4180" s="176">
        <v>44</v>
      </c>
      <c r="B4180" s="175" t="s">
        <v>512</v>
      </c>
      <c r="C4180" s="181" t="s">
        <v>272</v>
      </c>
      <c r="D4180" s="173">
        <v>0.02</v>
      </c>
      <c r="E4180" s="204" t="s">
        <v>30</v>
      </c>
      <c r="F4180" s="204" t="s">
        <v>188</v>
      </c>
      <c r="G4180" s="175" t="s">
        <v>6499</v>
      </c>
      <c r="H4180" s="171"/>
    </row>
    <row r="4181" ht="14.25" spans="1:8">
      <c r="A4181" s="176">
        <v>45</v>
      </c>
      <c r="B4181" s="175" t="s">
        <v>6547</v>
      </c>
      <c r="C4181" s="181" t="s">
        <v>272</v>
      </c>
      <c r="D4181" s="173">
        <v>0.05</v>
      </c>
      <c r="E4181" s="204" t="s">
        <v>30</v>
      </c>
      <c r="F4181" s="204" t="s">
        <v>188</v>
      </c>
      <c r="G4181" s="175" t="s">
        <v>6548</v>
      </c>
      <c r="H4181" s="171"/>
    </row>
    <row r="4182" ht="14.25" spans="1:8">
      <c r="A4182" s="176">
        <v>46</v>
      </c>
      <c r="B4182" s="175" t="s">
        <v>6549</v>
      </c>
      <c r="C4182" s="181" t="s">
        <v>272</v>
      </c>
      <c r="D4182" s="173">
        <v>0.04</v>
      </c>
      <c r="E4182" s="204" t="s">
        <v>30</v>
      </c>
      <c r="F4182" s="204" t="s">
        <v>188</v>
      </c>
      <c r="G4182" s="175" t="s">
        <v>6550</v>
      </c>
      <c r="H4182" s="171"/>
    </row>
    <row r="4183" ht="14.25" spans="1:8">
      <c r="A4183" s="176">
        <v>47</v>
      </c>
      <c r="B4183" s="175" t="s">
        <v>6551</v>
      </c>
      <c r="C4183" s="181" t="s">
        <v>272</v>
      </c>
      <c r="D4183" s="173">
        <v>0.01</v>
      </c>
      <c r="E4183" s="204" t="s">
        <v>30</v>
      </c>
      <c r="F4183" s="204" t="s">
        <v>188</v>
      </c>
      <c r="G4183" s="175" t="s">
        <v>3689</v>
      </c>
      <c r="H4183" s="171"/>
    </row>
    <row r="4184" ht="14.25" spans="1:8">
      <c r="A4184" s="176">
        <v>48</v>
      </c>
      <c r="B4184" s="175" t="s">
        <v>6549</v>
      </c>
      <c r="C4184" s="181" t="s">
        <v>272</v>
      </c>
      <c r="D4184" s="173">
        <v>0.04</v>
      </c>
      <c r="E4184" s="204" t="s">
        <v>30</v>
      </c>
      <c r="F4184" s="204" t="s">
        <v>188</v>
      </c>
      <c r="G4184" s="175" t="s">
        <v>6552</v>
      </c>
      <c r="H4184" s="171"/>
    </row>
    <row r="4185" ht="14.25" spans="1:8">
      <c r="A4185" s="176">
        <v>49</v>
      </c>
      <c r="B4185" s="175" t="s">
        <v>6553</v>
      </c>
      <c r="C4185" s="181" t="s">
        <v>272</v>
      </c>
      <c r="D4185" s="173">
        <v>0.02</v>
      </c>
      <c r="E4185" s="204" t="s">
        <v>30</v>
      </c>
      <c r="F4185" s="204" t="s">
        <v>188</v>
      </c>
      <c r="G4185" s="175" t="s">
        <v>6554</v>
      </c>
      <c r="H4185" s="171"/>
    </row>
    <row r="4186" ht="14.25" spans="1:8">
      <c r="A4186" s="176">
        <v>50</v>
      </c>
      <c r="B4186" s="175" t="s">
        <v>6108</v>
      </c>
      <c r="C4186" s="181" t="s">
        <v>272</v>
      </c>
      <c r="D4186" s="173">
        <v>0.04</v>
      </c>
      <c r="E4186" s="204" t="s">
        <v>30</v>
      </c>
      <c r="F4186" s="204" t="s">
        <v>188</v>
      </c>
      <c r="G4186" s="175" t="s">
        <v>6555</v>
      </c>
      <c r="H4186" s="171"/>
    </row>
    <row r="4187" ht="14.25" spans="1:8">
      <c r="A4187" s="176">
        <v>51</v>
      </c>
      <c r="B4187" s="175" t="s">
        <v>5395</v>
      </c>
      <c r="C4187" s="181" t="s">
        <v>272</v>
      </c>
      <c r="D4187" s="173">
        <v>0.02</v>
      </c>
      <c r="E4187" s="204" t="s">
        <v>30</v>
      </c>
      <c r="F4187" s="204" t="s">
        <v>188</v>
      </c>
      <c r="G4187" s="175" t="s">
        <v>6556</v>
      </c>
      <c r="H4187" s="171"/>
    </row>
    <row r="4188" ht="14.25" spans="1:8">
      <c r="A4188" s="176">
        <v>52</v>
      </c>
      <c r="B4188" s="175" t="s">
        <v>5395</v>
      </c>
      <c r="C4188" s="181" t="s">
        <v>272</v>
      </c>
      <c r="D4188" s="173">
        <v>0.01</v>
      </c>
      <c r="E4188" s="204" t="s">
        <v>30</v>
      </c>
      <c r="F4188" s="204" t="s">
        <v>188</v>
      </c>
      <c r="G4188" s="175" t="s">
        <v>6557</v>
      </c>
      <c r="H4188" s="171"/>
    </row>
    <row r="4189" ht="14.25" spans="1:8">
      <c r="A4189" s="176">
        <v>53</v>
      </c>
      <c r="B4189" s="175" t="s">
        <v>6558</v>
      </c>
      <c r="C4189" s="181" t="s">
        <v>272</v>
      </c>
      <c r="D4189" s="173">
        <v>0.7</v>
      </c>
      <c r="E4189" s="204" t="s">
        <v>30</v>
      </c>
      <c r="F4189" s="204" t="s">
        <v>204</v>
      </c>
      <c r="G4189" s="175" t="s">
        <v>6559</v>
      </c>
      <c r="H4189" s="171"/>
    </row>
    <row r="4190" ht="14.25" spans="1:8">
      <c r="A4190" s="176">
        <v>54</v>
      </c>
      <c r="B4190" s="171" t="s">
        <v>6560</v>
      </c>
      <c r="C4190" s="181" t="s">
        <v>272</v>
      </c>
      <c r="D4190" s="190">
        <v>0.04</v>
      </c>
      <c r="E4190" s="204" t="s">
        <v>30</v>
      </c>
      <c r="F4190" s="204" t="s">
        <v>188</v>
      </c>
      <c r="G4190" s="175" t="s">
        <v>921</v>
      </c>
      <c r="H4190" s="171"/>
    </row>
    <row r="4191" ht="14.25" spans="1:8">
      <c r="A4191" s="176">
        <v>55</v>
      </c>
      <c r="B4191" s="171" t="s">
        <v>6561</v>
      </c>
      <c r="C4191" s="181" t="s">
        <v>272</v>
      </c>
      <c r="D4191" s="190">
        <v>0.02</v>
      </c>
      <c r="E4191" s="204" t="s">
        <v>30</v>
      </c>
      <c r="F4191" s="204" t="s">
        <v>188</v>
      </c>
      <c r="G4191" s="175" t="s">
        <v>6562</v>
      </c>
      <c r="H4191" s="171"/>
    </row>
    <row r="4192" ht="14.25" spans="1:8">
      <c r="A4192" s="176">
        <v>56</v>
      </c>
      <c r="B4192" s="171" t="s">
        <v>6563</v>
      </c>
      <c r="C4192" s="181" t="s">
        <v>272</v>
      </c>
      <c r="D4192" s="190">
        <v>0.04</v>
      </c>
      <c r="E4192" s="204" t="s">
        <v>30</v>
      </c>
      <c r="F4192" s="204" t="s">
        <v>188</v>
      </c>
      <c r="G4192" s="175" t="s">
        <v>6564</v>
      </c>
      <c r="H4192" s="171"/>
    </row>
    <row r="4193" ht="14.25" spans="1:8">
      <c r="A4193" s="176">
        <v>57</v>
      </c>
      <c r="B4193" s="171" t="s">
        <v>6563</v>
      </c>
      <c r="C4193" s="181" t="s">
        <v>272</v>
      </c>
      <c r="D4193" s="190">
        <v>0.04</v>
      </c>
      <c r="E4193" s="204" t="s">
        <v>30</v>
      </c>
      <c r="F4193" s="204" t="s">
        <v>188</v>
      </c>
      <c r="G4193" s="175" t="s">
        <v>6565</v>
      </c>
      <c r="H4193" s="171"/>
    </row>
    <row r="4194" ht="14.25" spans="1:8">
      <c r="A4194" s="176">
        <v>58</v>
      </c>
      <c r="B4194" s="171" t="s">
        <v>6563</v>
      </c>
      <c r="C4194" s="181" t="s">
        <v>272</v>
      </c>
      <c r="D4194" s="190">
        <v>0.04</v>
      </c>
      <c r="E4194" s="204" t="s">
        <v>30</v>
      </c>
      <c r="F4194" s="204" t="s">
        <v>188</v>
      </c>
      <c r="G4194" s="175" t="s">
        <v>6566</v>
      </c>
      <c r="H4194" s="171"/>
    </row>
    <row r="4195" ht="14.25" spans="1:8">
      <c r="A4195" s="176">
        <v>59</v>
      </c>
      <c r="B4195" s="171" t="s">
        <v>6567</v>
      </c>
      <c r="C4195" s="181" t="s">
        <v>272</v>
      </c>
      <c r="D4195" s="190">
        <v>0.02</v>
      </c>
      <c r="E4195" s="204" t="s">
        <v>30</v>
      </c>
      <c r="F4195" s="204" t="s">
        <v>188</v>
      </c>
      <c r="G4195" s="175" t="s">
        <v>6568</v>
      </c>
      <c r="H4195" s="171"/>
    </row>
    <row r="4196" ht="14.25" spans="1:8">
      <c r="A4196" s="176">
        <v>60</v>
      </c>
      <c r="B4196" s="171" t="s">
        <v>6569</v>
      </c>
      <c r="C4196" s="181" t="s">
        <v>272</v>
      </c>
      <c r="D4196" s="190">
        <v>0.04</v>
      </c>
      <c r="E4196" s="204" t="s">
        <v>30</v>
      </c>
      <c r="F4196" s="204" t="s">
        <v>188</v>
      </c>
      <c r="G4196" s="175" t="s">
        <v>6570</v>
      </c>
      <c r="H4196" s="171"/>
    </row>
    <row r="4197" ht="14.25" spans="1:8">
      <c r="A4197" s="176">
        <v>61</v>
      </c>
      <c r="B4197" s="171" t="s">
        <v>6571</v>
      </c>
      <c r="C4197" s="181" t="s">
        <v>272</v>
      </c>
      <c r="D4197" s="190">
        <v>0.02</v>
      </c>
      <c r="E4197" s="204" t="s">
        <v>30</v>
      </c>
      <c r="F4197" s="204" t="s">
        <v>188</v>
      </c>
      <c r="G4197" s="175" t="s">
        <v>6572</v>
      </c>
      <c r="H4197" s="171"/>
    </row>
    <row r="4198" ht="14.25" spans="1:8">
      <c r="A4198" s="176">
        <v>62</v>
      </c>
      <c r="B4198" s="171" t="s">
        <v>6573</v>
      </c>
      <c r="C4198" s="181" t="s">
        <v>272</v>
      </c>
      <c r="D4198" s="190">
        <v>0.02</v>
      </c>
      <c r="E4198" s="204" t="s">
        <v>30</v>
      </c>
      <c r="F4198" s="204" t="s">
        <v>188</v>
      </c>
      <c r="G4198" s="175" t="s">
        <v>6574</v>
      </c>
      <c r="H4198" s="171"/>
    </row>
    <row r="4199" ht="14.25" spans="1:8">
      <c r="A4199" s="176">
        <v>63</v>
      </c>
      <c r="B4199" s="171" t="s">
        <v>4292</v>
      </c>
      <c r="C4199" s="181" t="s">
        <v>272</v>
      </c>
      <c r="D4199" s="190">
        <v>0.04</v>
      </c>
      <c r="E4199" s="204" t="s">
        <v>30</v>
      </c>
      <c r="F4199" s="204" t="s">
        <v>188</v>
      </c>
      <c r="G4199" s="175" t="s">
        <v>6575</v>
      </c>
      <c r="H4199" s="171"/>
    </row>
    <row r="4200" ht="14.25" spans="1:8">
      <c r="A4200" s="176">
        <v>64</v>
      </c>
      <c r="B4200" s="171" t="s">
        <v>4292</v>
      </c>
      <c r="C4200" s="181" t="s">
        <v>272</v>
      </c>
      <c r="D4200" s="190">
        <v>0.02</v>
      </c>
      <c r="E4200" s="204" t="s">
        <v>30</v>
      </c>
      <c r="F4200" s="204" t="s">
        <v>188</v>
      </c>
      <c r="G4200" s="175" t="s">
        <v>6576</v>
      </c>
      <c r="H4200" s="171"/>
    </row>
    <row r="4201" ht="14.25" spans="1:8">
      <c r="A4201" s="176">
        <v>65</v>
      </c>
      <c r="B4201" s="171" t="s">
        <v>4292</v>
      </c>
      <c r="C4201" s="181" t="s">
        <v>272</v>
      </c>
      <c r="D4201" s="190">
        <v>0.04</v>
      </c>
      <c r="E4201" s="204" t="s">
        <v>30</v>
      </c>
      <c r="F4201" s="204" t="s">
        <v>188</v>
      </c>
      <c r="G4201" s="175" t="s">
        <v>6577</v>
      </c>
      <c r="H4201" s="171"/>
    </row>
    <row r="4202" ht="14.25" spans="1:8">
      <c r="A4202" s="176">
        <v>66</v>
      </c>
      <c r="B4202" s="171" t="s">
        <v>6578</v>
      </c>
      <c r="C4202" s="181" t="s">
        <v>272</v>
      </c>
      <c r="D4202" s="190">
        <v>0.03</v>
      </c>
      <c r="E4202" s="204" t="s">
        <v>30</v>
      </c>
      <c r="F4202" s="204" t="s">
        <v>188</v>
      </c>
      <c r="G4202" s="175" t="s">
        <v>6579</v>
      </c>
      <c r="H4202" s="171"/>
    </row>
    <row r="4203" ht="14.25" spans="1:8">
      <c r="A4203" s="176">
        <v>67</v>
      </c>
      <c r="B4203" s="171" t="s">
        <v>6580</v>
      </c>
      <c r="C4203" s="181" t="s">
        <v>272</v>
      </c>
      <c r="D4203" s="190">
        <v>0.03</v>
      </c>
      <c r="E4203" s="204" t="s">
        <v>30</v>
      </c>
      <c r="F4203" s="204" t="s">
        <v>188</v>
      </c>
      <c r="G4203" s="175" t="s">
        <v>6581</v>
      </c>
      <c r="H4203" s="171"/>
    </row>
    <row r="4204" ht="14.25" spans="1:8">
      <c r="A4204" s="176">
        <v>68</v>
      </c>
      <c r="B4204" s="171" t="s">
        <v>6582</v>
      </c>
      <c r="C4204" s="181" t="s">
        <v>272</v>
      </c>
      <c r="D4204" s="190">
        <v>0.04</v>
      </c>
      <c r="E4204" s="204" t="s">
        <v>30</v>
      </c>
      <c r="F4204" s="204" t="s">
        <v>188</v>
      </c>
      <c r="G4204" s="175" t="s">
        <v>6583</v>
      </c>
      <c r="H4204" s="171"/>
    </row>
    <row r="4205" ht="14.25" spans="1:8">
      <c r="A4205" s="176">
        <v>69</v>
      </c>
      <c r="B4205" s="171" t="s">
        <v>6551</v>
      </c>
      <c r="C4205" s="181" t="s">
        <v>272</v>
      </c>
      <c r="D4205" s="190">
        <v>0.02</v>
      </c>
      <c r="E4205" s="204" t="s">
        <v>30</v>
      </c>
      <c r="F4205" s="204" t="s">
        <v>188</v>
      </c>
      <c r="G4205" s="175" t="s">
        <v>6584</v>
      </c>
      <c r="H4205" s="171"/>
    </row>
    <row r="4206" ht="14.25" spans="1:8">
      <c r="A4206" s="176">
        <v>70</v>
      </c>
      <c r="B4206" s="171" t="s">
        <v>6585</v>
      </c>
      <c r="C4206" s="181" t="s">
        <v>272</v>
      </c>
      <c r="D4206" s="190">
        <v>0.04</v>
      </c>
      <c r="E4206" s="204" t="s">
        <v>30</v>
      </c>
      <c r="F4206" s="204" t="s">
        <v>188</v>
      </c>
      <c r="G4206" s="175" t="s">
        <v>6586</v>
      </c>
      <c r="H4206" s="171"/>
    </row>
    <row r="4207" ht="14.25" spans="1:8">
      <c r="A4207" s="176">
        <v>71</v>
      </c>
      <c r="B4207" s="171" t="s">
        <v>6587</v>
      </c>
      <c r="C4207" s="181" t="s">
        <v>272</v>
      </c>
      <c r="D4207" s="190">
        <v>0.02</v>
      </c>
      <c r="E4207" s="204" t="s">
        <v>30</v>
      </c>
      <c r="F4207" s="204" t="s">
        <v>188</v>
      </c>
      <c r="G4207" s="175" t="s">
        <v>1852</v>
      </c>
      <c r="H4207" s="171"/>
    </row>
    <row r="4208" ht="14.25" spans="1:8">
      <c r="A4208" s="176">
        <v>72</v>
      </c>
      <c r="B4208" s="171" t="s">
        <v>6588</v>
      </c>
      <c r="C4208" s="181" t="s">
        <v>272</v>
      </c>
      <c r="D4208" s="190">
        <v>0.02</v>
      </c>
      <c r="E4208" s="204" t="s">
        <v>30</v>
      </c>
      <c r="F4208" s="204" t="s">
        <v>188</v>
      </c>
      <c r="G4208" s="175" t="s">
        <v>6589</v>
      </c>
      <c r="H4208" s="171"/>
    </row>
    <row r="4209" ht="14.25" spans="1:8">
      <c r="A4209" s="176">
        <v>73</v>
      </c>
      <c r="B4209" s="171" t="s">
        <v>6590</v>
      </c>
      <c r="C4209" s="181" t="s">
        <v>272</v>
      </c>
      <c r="D4209" s="190">
        <v>0.01</v>
      </c>
      <c r="E4209" s="204" t="s">
        <v>30</v>
      </c>
      <c r="F4209" s="204" t="s">
        <v>188</v>
      </c>
      <c r="G4209" s="175" t="s">
        <v>6591</v>
      </c>
      <c r="H4209" s="171"/>
    </row>
    <row r="4210" ht="14.25" spans="1:8">
      <c r="A4210" s="176">
        <v>74</v>
      </c>
      <c r="B4210" s="171" t="s">
        <v>6592</v>
      </c>
      <c r="C4210" s="181" t="s">
        <v>272</v>
      </c>
      <c r="D4210" s="190">
        <v>0.02</v>
      </c>
      <c r="E4210" s="204" t="s">
        <v>30</v>
      </c>
      <c r="F4210" s="204" t="s">
        <v>188</v>
      </c>
      <c r="G4210" s="175" t="s">
        <v>6593</v>
      </c>
      <c r="H4210" s="171"/>
    </row>
    <row r="4211" ht="14.25" spans="1:8">
      <c r="A4211" s="176">
        <v>75</v>
      </c>
      <c r="B4211" s="171" t="s">
        <v>6594</v>
      </c>
      <c r="C4211" s="181" t="s">
        <v>272</v>
      </c>
      <c r="D4211" s="190">
        <v>0.01</v>
      </c>
      <c r="E4211" s="204" t="s">
        <v>30</v>
      </c>
      <c r="F4211" s="204" t="s">
        <v>188</v>
      </c>
      <c r="G4211" s="175" t="s">
        <v>6595</v>
      </c>
      <c r="H4211" s="171"/>
    </row>
    <row r="4212" ht="14.25" spans="1:8">
      <c r="A4212" s="176">
        <v>76</v>
      </c>
      <c r="B4212" s="171" t="s">
        <v>6596</v>
      </c>
      <c r="C4212" s="181" t="s">
        <v>272</v>
      </c>
      <c r="D4212" s="190">
        <v>0.01</v>
      </c>
      <c r="E4212" s="204" t="s">
        <v>30</v>
      </c>
      <c r="F4212" s="204" t="s">
        <v>188</v>
      </c>
      <c r="G4212" s="175" t="s">
        <v>6597</v>
      </c>
      <c r="H4212" s="171"/>
    </row>
    <row r="4213" ht="14.25" spans="1:8">
      <c r="A4213" s="176">
        <v>77</v>
      </c>
      <c r="B4213" s="171" t="s">
        <v>6598</v>
      </c>
      <c r="C4213" s="181" t="s">
        <v>272</v>
      </c>
      <c r="D4213" s="190">
        <v>0.005</v>
      </c>
      <c r="E4213" s="204" t="s">
        <v>30</v>
      </c>
      <c r="F4213" s="204" t="s">
        <v>188</v>
      </c>
      <c r="G4213" s="175" t="s">
        <v>6599</v>
      </c>
      <c r="H4213" s="171"/>
    </row>
    <row r="4214" ht="14.25" spans="1:8">
      <c r="A4214" s="176">
        <v>78</v>
      </c>
      <c r="B4214" s="171" t="s">
        <v>6600</v>
      </c>
      <c r="C4214" s="181" t="s">
        <v>272</v>
      </c>
      <c r="D4214" s="190">
        <v>0.04</v>
      </c>
      <c r="E4214" s="204" t="s">
        <v>30</v>
      </c>
      <c r="F4214" s="204" t="s">
        <v>188</v>
      </c>
      <c r="G4214" s="175" t="s">
        <v>6601</v>
      </c>
      <c r="H4214" s="171"/>
    </row>
    <row r="4215" ht="14.25" spans="1:8">
      <c r="A4215" s="176">
        <v>79</v>
      </c>
      <c r="B4215" s="171" t="s">
        <v>6602</v>
      </c>
      <c r="C4215" s="181" t="s">
        <v>272</v>
      </c>
      <c r="D4215" s="190">
        <v>0.02</v>
      </c>
      <c r="E4215" s="204" t="s">
        <v>30</v>
      </c>
      <c r="F4215" s="204" t="s">
        <v>188</v>
      </c>
      <c r="G4215" s="175" t="s">
        <v>6603</v>
      </c>
      <c r="H4215" s="171"/>
    </row>
    <row r="4216" ht="14.25" spans="1:8">
      <c r="A4216" s="176">
        <v>80</v>
      </c>
      <c r="B4216" s="171" t="s">
        <v>6604</v>
      </c>
      <c r="C4216" s="181" t="s">
        <v>272</v>
      </c>
      <c r="D4216" s="190">
        <v>0.01</v>
      </c>
      <c r="E4216" s="204" t="s">
        <v>30</v>
      </c>
      <c r="F4216" s="204" t="s">
        <v>188</v>
      </c>
      <c r="G4216" s="175" t="s">
        <v>6605</v>
      </c>
      <c r="H4216" s="171"/>
    </row>
    <row r="4217" ht="14.25" spans="1:8">
      <c r="A4217" s="176">
        <v>81</v>
      </c>
      <c r="B4217" s="171" t="s">
        <v>6604</v>
      </c>
      <c r="C4217" s="181" t="s">
        <v>272</v>
      </c>
      <c r="D4217" s="190">
        <v>0.01</v>
      </c>
      <c r="E4217" s="204" t="s">
        <v>30</v>
      </c>
      <c r="F4217" s="204" t="s">
        <v>188</v>
      </c>
      <c r="G4217" s="175" t="s">
        <v>6606</v>
      </c>
      <c r="H4217" s="171"/>
    </row>
    <row r="4218" ht="14.25" spans="1:8">
      <c r="A4218" s="176">
        <v>82</v>
      </c>
      <c r="B4218" s="171" t="s">
        <v>743</v>
      </c>
      <c r="C4218" s="181" t="s">
        <v>272</v>
      </c>
      <c r="D4218" s="190">
        <v>0.02</v>
      </c>
      <c r="E4218" s="204" t="s">
        <v>30</v>
      </c>
      <c r="F4218" s="204" t="s">
        <v>188</v>
      </c>
      <c r="G4218" s="175" t="s">
        <v>6607</v>
      </c>
      <c r="H4218" s="171"/>
    </row>
    <row r="4219" ht="14.25" spans="1:8">
      <c r="A4219" s="176">
        <v>83</v>
      </c>
      <c r="B4219" s="171" t="s">
        <v>512</v>
      </c>
      <c r="C4219" s="181" t="s">
        <v>272</v>
      </c>
      <c r="D4219" s="190">
        <v>0.02</v>
      </c>
      <c r="E4219" s="204" t="s">
        <v>30</v>
      </c>
      <c r="F4219" s="204" t="s">
        <v>188</v>
      </c>
      <c r="G4219" s="175" t="s">
        <v>6608</v>
      </c>
      <c r="H4219" s="171"/>
    </row>
    <row r="4220" ht="14.25" spans="1:8">
      <c r="A4220" s="176">
        <v>84</v>
      </c>
      <c r="B4220" s="171" t="s">
        <v>6609</v>
      </c>
      <c r="C4220" s="181" t="s">
        <v>272</v>
      </c>
      <c r="D4220" s="190">
        <v>0.04</v>
      </c>
      <c r="E4220" s="204" t="s">
        <v>30</v>
      </c>
      <c r="F4220" s="204" t="s">
        <v>188</v>
      </c>
      <c r="G4220" s="175" t="s">
        <v>6610</v>
      </c>
      <c r="H4220" s="171"/>
    </row>
    <row r="4221" ht="14.25" spans="1:8">
      <c r="A4221" s="176">
        <v>85</v>
      </c>
      <c r="B4221" s="171" t="s">
        <v>6611</v>
      </c>
      <c r="C4221" s="181" t="s">
        <v>272</v>
      </c>
      <c r="D4221" s="190">
        <v>0.02</v>
      </c>
      <c r="E4221" s="204" t="s">
        <v>30</v>
      </c>
      <c r="F4221" s="204" t="s">
        <v>188</v>
      </c>
      <c r="G4221" s="175" t="s">
        <v>4284</v>
      </c>
      <c r="H4221" s="171"/>
    </row>
    <row r="4222" ht="14.25" spans="1:8">
      <c r="A4222" s="176">
        <v>86</v>
      </c>
      <c r="B4222" s="171" t="s">
        <v>6612</v>
      </c>
      <c r="C4222" s="181" t="s">
        <v>272</v>
      </c>
      <c r="D4222" s="190">
        <v>0.04</v>
      </c>
      <c r="E4222" s="204" t="s">
        <v>30</v>
      </c>
      <c r="F4222" s="204" t="s">
        <v>188</v>
      </c>
      <c r="G4222" s="175" t="s">
        <v>6613</v>
      </c>
      <c r="H4222" s="171"/>
    </row>
    <row r="4223" ht="14.25" spans="1:8">
      <c r="A4223" s="176">
        <v>87</v>
      </c>
      <c r="B4223" s="171" t="s">
        <v>6614</v>
      </c>
      <c r="C4223" s="181" t="s">
        <v>272</v>
      </c>
      <c r="D4223" s="190">
        <v>0.02</v>
      </c>
      <c r="E4223" s="204" t="s">
        <v>30</v>
      </c>
      <c r="F4223" s="204" t="s">
        <v>188</v>
      </c>
      <c r="G4223" s="175" t="s">
        <v>6615</v>
      </c>
      <c r="H4223" s="171"/>
    </row>
    <row r="4224" ht="14.25" spans="1:8">
      <c r="A4224" s="176">
        <v>88</v>
      </c>
      <c r="B4224" s="171" t="s">
        <v>6616</v>
      </c>
      <c r="C4224" s="181" t="s">
        <v>272</v>
      </c>
      <c r="D4224" s="190">
        <v>0.02</v>
      </c>
      <c r="E4224" s="204" t="s">
        <v>30</v>
      </c>
      <c r="F4224" s="204" t="s">
        <v>188</v>
      </c>
      <c r="G4224" s="175" t="s">
        <v>6617</v>
      </c>
      <c r="H4224" s="171"/>
    </row>
    <row r="4225" ht="14.25" spans="1:8">
      <c r="A4225" s="176">
        <v>89</v>
      </c>
      <c r="B4225" s="171" t="s">
        <v>6618</v>
      </c>
      <c r="C4225" s="181" t="s">
        <v>272</v>
      </c>
      <c r="D4225" s="190">
        <v>0.01</v>
      </c>
      <c r="E4225" s="204" t="s">
        <v>30</v>
      </c>
      <c r="F4225" s="204" t="s">
        <v>188</v>
      </c>
      <c r="G4225" s="175" t="s">
        <v>6619</v>
      </c>
      <c r="H4225" s="171"/>
    </row>
    <row r="4226" ht="14.25" spans="1:8">
      <c r="A4226" s="176">
        <v>90</v>
      </c>
      <c r="B4226" s="171" t="s">
        <v>6620</v>
      </c>
      <c r="C4226" s="181" t="s">
        <v>272</v>
      </c>
      <c r="D4226" s="190">
        <v>0.04</v>
      </c>
      <c r="E4226" s="204" t="s">
        <v>30</v>
      </c>
      <c r="F4226" s="204" t="s">
        <v>188</v>
      </c>
      <c r="G4226" s="175" t="s">
        <v>1608</v>
      </c>
      <c r="H4226" s="171"/>
    </row>
    <row r="4227" ht="14.25" spans="1:8">
      <c r="A4227" s="176">
        <v>91</v>
      </c>
      <c r="B4227" s="171" t="s">
        <v>6621</v>
      </c>
      <c r="C4227" s="181" t="s">
        <v>272</v>
      </c>
      <c r="D4227" s="190">
        <v>0.01</v>
      </c>
      <c r="E4227" s="204" t="s">
        <v>30</v>
      </c>
      <c r="F4227" s="204" t="s">
        <v>188</v>
      </c>
      <c r="G4227" s="175" t="s">
        <v>2880</v>
      </c>
      <c r="H4227" s="171"/>
    </row>
    <row r="4228" ht="14.25" spans="1:8">
      <c r="A4228" s="176">
        <v>92</v>
      </c>
      <c r="B4228" s="171" t="s">
        <v>6622</v>
      </c>
      <c r="C4228" s="181" t="s">
        <v>272</v>
      </c>
      <c r="D4228" s="190">
        <v>0.02</v>
      </c>
      <c r="E4228" s="204" t="s">
        <v>30</v>
      </c>
      <c r="F4228" s="204" t="s">
        <v>188</v>
      </c>
      <c r="G4228" s="175" t="s">
        <v>6623</v>
      </c>
      <c r="H4228" s="171"/>
    </row>
    <row r="4229" ht="14.25" spans="1:8">
      <c r="A4229" s="176">
        <v>93</v>
      </c>
      <c r="B4229" s="171" t="s">
        <v>6558</v>
      </c>
      <c r="C4229" s="181" t="s">
        <v>272</v>
      </c>
      <c r="D4229" s="190">
        <v>0.02</v>
      </c>
      <c r="E4229" s="204" t="s">
        <v>30</v>
      </c>
      <c r="F4229" s="204" t="s">
        <v>188</v>
      </c>
      <c r="G4229" s="175" t="s">
        <v>6624</v>
      </c>
      <c r="H4229" s="171"/>
    </row>
    <row r="4230" ht="14.25" spans="1:8">
      <c r="A4230" s="176">
        <v>94</v>
      </c>
      <c r="B4230" s="171" t="s">
        <v>6625</v>
      </c>
      <c r="C4230" s="181" t="s">
        <v>272</v>
      </c>
      <c r="D4230" s="190">
        <v>0.03</v>
      </c>
      <c r="E4230" s="204" t="s">
        <v>30</v>
      </c>
      <c r="F4230" s="204" t="s">
        <v>188</v>
      </c>
      <c r="G4230" s="175" t="s">
        <v>6626</v>
      </c>
      <c r="H4230" s="171"/>
    </row>
    <row r="4231" ht="14.25" spans="1:8">
      <c r="A4231" s="176">
        <v>95</v>
      </c>
      <c r="B4231" s="171" t="s">
        <v>6627</v>
      </c>
      <c r="C4231" s="181" t="s">
        <v>272</v>
      </c>
      <c r="D4231" s="190">
        <v>0.01</v>
      </c>
      <c r="E4231" s="204" t="s">
        <v>30</v>
      </c>
      <c r="F4231" s="204" t="s">
        <v>188</v>
      </c>
      <c r="G4231" s="175" t="s">
        <v>6628</v>
      </c>
      <c r="H4231" s="171"/>
    </row>
    <row r="4232" ht="14.25" spans="1:8">
      <c r="A4232" s="176">
        <v>96</v>
      </c>
      <c r="B4232" s="171" t="s">
        <v>6629</v>
      </c>
      <c r="C4232" s="181" t="s">
        <v>272</v>
      </c>
      <c r="D4232" s="190">
        <v>0.02</v>
      </c>
      <c r="E4232" s="204" t="s">
        <v>30</v>
      </c>
      <c r="F4232" s="204" t="s">
        <v>188</v>
      </c>
      <c r="G4232" s="175" t="s">
        <v>6630</v>
      </c>
      <c r="H4232" s="171"/>
    </row>
    <row r="4233" ht="14.25" spans="1:8">
      <c r="A4233" s="176">
        <v>97</v>
      </c>
      <c r="B4233" s="171" t="s">
        <v>6631</v>
      </c>
      <c r="C4233" s="181" t="s">
        <v>272</v>
      </c>
      <c r="D4233" s="190">
        <v>0.04</v>
      </c>
      <c r="E4233" s="204" t="s">
        <v>30</v>
      </c>
      <c r="F4233" s="204" t="s">
        <v>188</v>
      </c>
      <c r="G4233" s="175" t="s">
        <v>1660</v>
      </c>
      <c r="H4233" s="171"/>
    </row>
    <row r="4234" ht="14.25" spans="1:8">
      <c r="A4234" s="176">
        <v>98</v>
      </c>
      <c r="B4234" s="171" t="s">
        <v>6632</v>
      </c>
      <c r="C4234" s="181" t="s">
        <v>272</v>
      </c>
      <c r="D4234" s="190">
        <v>0.01</v>
      </c>
      <c r="E4234" s="204" t="s">
        <v>30</v>
      </c>
      <c r="F4234" s="204" t="s">
        <v>188</v>
      </c>
      <c r="G4234" s="175" t="s">
        <v>6633</v>
      </c>
      <c r="H4234" s="171"/>
    </row>
    <row r="4235" ht="14.25" spans="1:8">
      <c r="A4235" s="176">
        <v>99</v>
      </c>
      <c r="B4235" s="171" t="s">
        <v>920</v>
      </c>
      <c r="C4235" s="181" t="s">
        <v>272</v>
      </c>
      <c r="D4235" s="190">
        <v>0.03</v>
      </c>
      <c r="E4235" s="204" t="s">
        <v>30</v>
      </c>
      <c r="F4235" s="204" t="s">
        <v>188</v>
      </c>
      <c r="G4235" s="175" t="s">
        <v>6634</v>
      </c>
      <c r="H4235" s="171"/>
    </row>
    <row r="4236" ht="14.25" spans="1:8">
      <c r="A4236" s="176">
        <v>100</v>
      </c>
      <c r="B4236" s="171" t="s">
        <v>920</v>
      </c>
      <c r="C4236" s="181" t="s">
        <v>272</v>
      </c>
      <c r="D4236" s="190">
        <v>0.02</v>
      </c>
      <c r="E4236" s="204" t="s">
        <v>30</v>
      </c>
      <c r="F4236" s="204" t="s">
        <v>188</v>
      </c>
      <c r="G4236" s="175" t="s">
        <v>6635</v>
      </c>
      <c r="H4236" s="171"/>
    </row>
    <row r="4237" ht="14.25" spans="1:8">
      <c r="A4237" s="176">
        <v>101</v>
      </c>
      <c r="B4237" s="171" t="s">
        <v>6636</v>
      </c>
      <c r="C4237" s="181" t="s">
        <v>272</v>
      </c>
      <c r="D4237" s="190">
        <v>0.02</v>
      </c>
      <c r="E4237" s="204" t="s">
        <v>30</v>
      </c>
      <c r="F4237" s="204" t="s">
        <v>188</v>
      </c>
      <c r="G4237" s="175" t="s">
        <v>3973</v>
      </c>
      <c r="H4237" s="171"/>
    </row>
    <row r="4238" ht="14.25" spans="1:8">
      <c r="A4238" s="176">
        <v>102</v>
      </c>
      <c r="B4238" s="171" t="s">
        <v>6637</v>
      </c>
      <c r="C4238" s="181" t="s">
        <v>272</v>
      </c>
      <c r="D4238" s="190">
        <v>0.02</v>
      </c>
      <c r="E4238" s="204" t="s">
        <v>30</v>
      </c>
      <c r="F4238" s="204" t="s">
        <v>188</v>
      </c>
      <c r="G4238" s="175" t="s">
        <v>6638</v>
      </c>
      <c r="H4238" s="171"/>
    </row>
    <row r="4239" ht="14.25" spans="1:8">
      <c r="A4239" s="176">
        <v>103</v>
      </c>
      <c r="B4239" s="171" t="s">
        <v>6639</v>
      </c>
      <c r="C4239" s="181" t="s">
        <v>272</v>
      </c>
      <c r="D4239" s="190">
        <v>0.04</v>
      </c>
      <c r="E4239" s="204" t="s">
        <v>30</v>
      </c>
      <c r="F4239" s="204" t="s">
        <v>188</v>
      </c>
      <c r="G4239" s="175" t="s">
        <v>6640</v>
      </c>
      <c r="H4239" s="171"/>
    </row>
    <row r="4240" ht="14.25" spans="1:8">
      <c r="A4240" s="176">
        <v>104</v>
      </c>
      <c r="B4240" s="171" t="s">
        <v>605</v>
      </c>
      <c r="C4240" s="181" t="s">
        <v>272</v>
      </c>
      <c r="D4240" s="190">
        <v>0.01</v>
      </c>
      <c r="E4240" s="204" t="s">
        <v>30</v>
      </c>
      <c r="F4240" s="204" t="s">
        <v>188</v>
      </c>
      <c r="G4240" s="175" t="s">
        <v>6641</v>
      </c>
      <c r="H4240" s="171"/>
    </row>
    <row r="4241" ht="14.25" spans="1:8">
      <c r="A4241" s="176">
        <v>105</v>
      </c>
      <c r="B4241" s="171" t="s">
        <v>6642</v>
      </c>
      <c r="C4241" s="181" t="s">
        <v>272</v>
      </c>
      <c r="D4241" s="190">
        <v>0.02</v>
      </c>
      <c r="E4241" s="204" t="s">
        <v>30</v>
      </c>
      <c r="F4241" s="204" t="s">
        <v>188</v>
      </c>
      <c r="G4241" s="175" t="s">
        <v>6643</v>
      </c>
      <c r="H4241" s="171"/>
    </row>
    <row r="4242" ht="14.25" spans="1:8">
      <c r="A4242" s="176">
        <v>106</v>
      </c>
      <c r="B4242" s="171" t="s">
        <v>6644</v>
      </c>
      <c r="C4242" s="181" t="s">
        <v>272</v>
      </c>
      <c r="D4242" s="190">
        <v>0.03</v>
      </c>
      <c r="E4242" s="204" t="s">
        <v>30</v>
      </c>
      <c r="F4242" s="204" t="s">
        <v>188</v>
      </c>
      <c r="G4242" s="175" t="s">
        <v>6645</v>
      </c>
      <c r="H4242" s="171"/>
    </row>
    <row r="4243" ht="14.25" spans="1:8">
      <c r="A4243" s="176">
        <v>107</v>
      </c>
      <c r="B4243" s="171" t="s">
        <v>6646</v>
      </c>
      <c r="C4243" s="181" t="s">
        <v>272</v>
      </c>
      <c r="D4243" s="190">
        <v>0.06</v>
      </c>
      <c r="E4243" s="204" t="s">
        <v>30</v>
      </c>
      <c r="F4243" s="204" t="s">
        <v>188</v>
      </c>
      <c r="G4243" s="175" t="s">
        <v>6647</v>
      </c>
      <c r="H4243" s="171"/>
    </row>
    <row r="4244" ht="14.25" spans="1:8">
      <c r="A4244" s="176">
        <v>108</v>
      </c>
      <c r="B4244" s="171" t="s">
        <v>6648</v>
      </c>
      <c r="C4244" s="181" t="s">
        <v>272</v>
      </c>
      <c r="D4244" s="190">
        <v>0.01</v>
      </c>
      <c r="E4244" s="204" t="s">
        <v>30</v>
      </c>
      <c r="F4244" s="204" t="s">
        <v>188</v>
      </c>
      <c r="G4244" s="175" t="s">
        <v>6649</v>
      </c>
      <c r="H4244" s="171"/>
    </row>
    <row r="4245" ht="14.25" spans="1:8">
      <c r="A4245" s="176">
        <v>109</v>
      </c>
      <c r="B4245" s="171" t="s">
        <v>6650</v>
      </c>
      <c r="C4245" s="181" t="s">
        <v>272</v>
      </c>
      <c r="D4245" s="190">
        <v>0.02</v>
      </c>
      <c r="E4245" s="204" t="s">
        <v>30</v>
      </c>
      <c r="F4245" s="204" t="s">
        <v>188</v>
      </c>
      <c r="G4245" s="175" t="s">
        <v>6651</v>
      </c>
      <c r="H4245" s="171"/>
    </row>
    <row r="4246" ht="14.25" spans="1:8">
      <c r="A4246" s="176">
        <v>110</v>
      </c>
      <c r="B4246" s="171" t="s">
        <v>6652</v>
      </c>
      <c r="C4246" s="181" t="s">
        <v>272</v>
      </c>
      <c r="D4246" s="190">
        <v>0.01</v>
      </c>
      <c r="E4246" s="204" t="s">
        <v>30</v>
      </c>
      <c r="F4246" s="204" t="s">
        <v>188</v>
      </c>
      <c r="G4246" s="175" t="s">
        <v>6653</v>
      </c>
      <c r="H4246" s="171"/>
    </row>
    <row r="4247" ht="14.25" spans="1:8">
      <c r="A4247" s="176">
        <v>111</v>
      </c>
      <c r="B4247" s="171" t="s">
        <v>6654</v>
      </c>
      <c r="C4247" s="181" t="s">
        <v>272</v>
      </c>
      <c r="D4247" s="190">
        <v>0.03</v>
      </c>
      <c r="E4247" s="204" t="s">
        <v>30</v>
      </c>
      <c r="F4247" s="204" t="s">
        <v>188</v>
      </c>
      <c r="G4247" s="175" t="s">
        <v>6655</v>
      </c>
      <c r="H4247" s="171"/>
    </row>
    <row r="4248" ht="14.25" spans="1:8">
      <c r="A4248" s="176">
        <v>112</v>
      </c>
      <c r="B4248" s="171" t="s">
        <v>6656</v>
      </c>
      <c r="C4248" s="181" t="s">
        <v>272</v>
      </c>
      <c r="D4248" s="190">
        <v>0.01</v>
      </c>
      <c r="E4248" s="204" t="s">
        <v>30</v>
      </c>
      <c r="F4248" s="204" t="s">
        <v>188</v>
      </c>
      <c r="G4248" s="175" t="s">
        <v>6657</v>
      </c>
      <c r="H4248" s="171"/>
    </row>
    <row r="4249" ht="14.25" spans="1:8">
      <c r="A4249" s="176">
        <v>113</v>
      </c>
      <c r="B4249" s="171" t="s">
        <v>6658</v>
      </c>
      <c r="C4249" s="181" t="s">
        <v>272</v>
      </c>
      <c r="D4249" s="190">
        <v>0.02</v>
      </c>
      <c r="E4249" s="204" t="s">
        <v>30</v>
      </c>
      <c r="F4249" s="204" t="s">
        <v>188</v>
      </c>
      <c r="G4249" s="175" t="s">
        <v>6659</v>
      </c>
      <c r="H4249" s="171"/>
    </row>
    <row r="4250" ht="14.25" spans="1:8">
      <c r="A4250" s="176">
        <v>114</v>
      </c>
      <c r="B4250" s="171" t="s">
        <v>6660</v>
      </c>
      <c r="C4250" s="181" t="s">
        <v>272</v>
      </c>
      <c r="D4250" s="190">
        <v>0.02</v>
      </c>
      <c r="E4250" s="204" t="s">
        <v>30</v>
      </c>
      <c r="F4250" s="204" t="s">
        <v>188</v>
      </c>
      <c r="G4250" s="175" t="s">
        <v>2030</v>
      </c>
      <c r="H4250" s="171"/>
    </row>
    <row r="4251" ht="14.25" spans="1:8">
      <c r="A4251" s="176">
        <v>115</v>
      </c>
      <c r="B4251" s="171" t="s">
        <v>6661</v>
      </c>
      <c r="C4251" s="181" t="s">
        <v>272</v>
      </c>
      <c r="D4251" s="190">
        <v>0.02</v>
      </c>
      <c r="E4251" s="204" t="s">
        <v>30</v>
      </c>
      <c r="F4251" s="204" t="s">
        <v>188</v>
      </c>
      <c r="G4251" s="175" t="s">
        <v>6662</v>
      </c>
      <c r="H4251" s="171"/>
    </row>
    <row r="4252" ht="14.25" spans="1:8">
      <c r="A4252" s="176">
        <v>116</v>
      </c>
      <c r="B4252" s="171" t="s">
        <v>6663</v>
      </c>
      <c r="C4252" s="181" t="s">
        <v>272</v>
      </c>
      <c r="D4252" s="190">
        <v>0.04</v>
      </c>
      <c r="E4252" s="204" t="s">
        <v>30</v>
      </c>
      <c r="F4252" s="204" t="s">
        <v>188</v>
      </c>
      <c r="G4252" s="175" t="s">
        <v>6664</v>
      </c>
      <c r="H4252" s="171"/>
    </row>
    <row r="4253" ht="14.25" spans="1:8">
      <c r="A4253" s="176">
        <v>117</v>
      </c>
      <c r="B4253" s="171" t="s">
        <v>6486</v>
      </c>
      <c r="C4253" s="181" t="s">
        <v>272</v>
      </c>
      <c r="D4253" s="190">
        <v>0.04</v>
      </c>
      <c r="E4253" s="204" t="s">
        <v>30</v>
      </c>
      <c r="F4253" s="204" t="s">
        <v>188</v>
      </c>
      <c r="G4253" s="175" t="s">
        <v>6665</v>
      </c>
      <c r="H4253" s="171"/>
    </row>
    <row r="4254" ht="14.25" spans="1:8">
      <c r="A4254" s="176">
        <v>118</v>
      </c>
      <c r="B4254" s="171" t="s">
        <v>6666</v>
      </c>
      <c r="C4254" s="181" t="s">
        <v>272</v>
      </c>
      <c r="D4254" s="190">
        <v>0.04</v>
      </c>
      <c r="E4254" s="204" t="s">
        <v>30</v>
      </c>
      <c r="F4254" s="204" t="s">
        <v>188</v>
      </c>
      <c r="G4254" s="175" t="s">
        <v>6667</v>
      </c>
      <c r="H4254" s="171"/>
    </row>
    <row r="4255" ht="14.25" spans="1:8">
      <c r="A4255" s="176">
        <v>119</v>
      </c>
      <c r="B4255" s="171" t="s">
        <v>3900</v>
      </c>
      <c r="C4255" s="181" t="s">
        <v>272</v>
      </c>
      <c r="D4255" s="190">
        <v>0.02</v>
      </c>
      <c r="E4255" s="204" t="s">
        <v>30</v>
      </c>
      <c r="F4255" s="204" t="s">
        <v>188</v>
      </c>
      <c r="G4255" s="175" t="s">
        <v>6668</v>
      </c>
      <c r="H4255" s="171"/>
    </row>
    <row r="4256" ht="14.25" spans="1:8">
      <c r="A4256" s="176">
        <v>120</v>
      </c>
      <c r="B4256" s="171" t="s">
        <v>6669</v>
      </c>
      <c r="C4256" s="181" t="s">
        <v>272</v>
      </c>
      <c r="D4256" s="190">
        <v>0.02</v>
      </c>
      <c r="E4256" s="204" t="s">
        <v>30</v>
      </c>
      <c r="F4256" s="204" t="s">
        <v>188</v>
      </c>
      <c r="G4256" s="175" t="s">
        <v>3973</v>
      </c>
      <c r="H4256" s="171"/>
    </row>
    <row r="4257" ht="14.25" spans="1:8">
      <c r="A4257" s="176">
        <v>121</v>
      </c>
      <c r="B4257" s="171" t="s">
        <v>6670</v>
      </c>
      <c r="C4257" s="181" t="s">
        <v>272</v>
      </c>
      <c r="D4257" s="190">
        <v>0.02</v>
      </c>
      <c r="E4257" s="204" t="s">
        <v>30</v>
      </c>
      <c r="F4257" s="204" t="s">
        <v>188</v>
      </c>
      <c r="G4257" s="175" t="s">
        <v>6671</v>
      </c>
      <c r="H4257" s="171"/>
    </row>
    <row r="4258" ht="14.25" spans="1:8">
      <c r="A4258" s="176">
        <v>122</v>
      </c>
      <c r="B4258" s="171" t="s">
        <v>6672</v>
      </c>
      <c r="C4258" s="181" t="s">
        <v>272</v>
      </c>
      <c r="D4258" s="190">
        <v>0.01</v>
      </c>
      <c r="E4258" s="204" t="s">
        <v>30</v>
      </c>
      <c r="F4258" s="204" t="s">
        <v>188</v>
      </c>
      <c r="G4258" s="175" t="s">
        <v>6673</v>
      </c>
      <c r="H4258" s="171"/>
    </row>
    <row r="4259" ht="14.25" spans="1:8">
      <c r="A4259" s="176">
        <v>123</v>
      </c>
      <c r="B4259" s="171" t="s">
        <v>6587</v>
      </c>
      <c r="C4259" s="181" t="s">
        <v>272</v>
      </c>
      <c r="D4259" s="190">
        <v>0.01</v>
      </c>
      <c r="E4259" s="204" t="s">
        <v>30</v>
      </c>
      <c r="F4259" s="204" t="s">
        <v>188</v>
      </c>
      <c r="G4259" s="175" t="s">
        <v>6674</v>
      </c>
      <c r="H4259" s="171"/>
    </row>
    <row r="4260" ht="14.25" spans="1:8">
      <c r="A4260" s="176">
        <v>124</v>
      </c>
      <c r="B4260" s="171" t="s">
        <v>6675</v>
      </c>
      <c r="C4260" s="181" t="s">
        <v>272</v>
      </c>
      <c r="D4260" s="190">
        <v>0.02</v>
      </c>
      <c r="E4260" s="204" t="s">
        <v>30</v>
      </c>
      <c r="F4260" s="204" t="s">
        <v>188</v>
      </c>
      <c r="G4260" s="175" t="s">
        <v>6676</v>
      </c>
      <c r="H4260" s="171"/>
    </row>
    <row r="4261" ht="14.25" spans="1:8">
      <c r="A4261" s="176">
        <v>125</v>
      </c>
      <c r="B4261" s="171" t="s">
        <v>6677</v>
      </c>
      <c r="C4261" s="181" t="s">
        <v>272</v>
      </c>
      <c r="D4261" s="190">
        <v>0.01</v>
      </c>
      <c r="E4261" s="204" t="s">
        <v>30</v>
      </c>
      <c r="F4261" s="204" t="s">
        <v>188</v>
      </c>
      <c r="G4261" s="175" t="s">
        <v>6678</v>
      </c>
      <c r="H4261" s="171"/>
    </row>
    <row r="4262" ht="14.25" spans="1:8">
      <c r="A4262" s="176">
        <v>126</v>
      </c>
      <c r="B4262" s="171" t="s">
        <v>6677</v>
      </c>
      <c r="C4262" s="181" t="s">
        <v>272</v>
      </c>
      <c r="D4262" s="190">
        <v>0.01</v>
      </c>
      <c r="E4262" s="204" t="s">
        <v>30</v>
      </c>
      <c r="F4262" s="204" t="s">
        <v>188</v>
      </c>
      <c r="G4262" s="175" t="s">
        <v>6679</v>
      </c>
      <c r="H4262" s="171"/>
    </row>
    <row r="4263" ht="14.25" spans="1:8">
      <c r="A4263" s="176">
        <v>127</v>
      </c>
      <c r="B4263" s="171" t="s">
        <v>6677</v>
      </c>
      <c r="C4263" s="181" t="s">
        <v>272</v>
      </c>
      <c r="D4263" s="190">
        <v>0.01</v>
      </c>
      <c r="E4263" s="204" t="s">
        <v>30</v>
      </c>
      <c r="F4263" s="204" t="s">
        <v>188</v>
      </c>
      <c r="G4263" s="175" t="s">
        <v>6680</v>
      </c>
      <c r="H4263" s="171"/>
    </row>
    <row r="4264" ht="14.25" spans="1:8">
      <c r="A4264" s="176">
        <v>128</v>
      </c>
      <c r="B4264" s="171" t="s">
        <v>6681</v>
      </c>
      <c r="C4264" s="181" t="s">
        <v>272</v>
      </c>
      <c r="D4264" s="190">
        <v>0.01</v>
      </c>
      <c r="E4264" s="204" t="s">
        <v>30</v>
      </c>
      <c r="F4264" s="204" t="s">
        <v>188</v>
      </c>
      <c r="G4264" s="175" t="s">
        <v>1644</v>
      </c>
      <c r="H4264" s="171"/>
    </row>
    <row r="4265" ht="14.25" spans="1:8">
      <c r="A4265" s="176">
        <v>129</v>
      </c>
      <c r="B4265" s="171" t="s">
        <v>6682</v>
      </c>
      <c r="C4265" s="181" t="s">
        <v>272</v>
      </c>
      <c r="D4265" s="190">
        <v>0.01</v>
      </c>
      <c r="E4265" s="204" t="s">
        <v>30</v>
      </c>
      <c r="F4265" s="204" t="s">
        <v>188</v>
      </c>
      <c r="G4265" s="175" t="s">
        <v>6683</v>
      </c>
      <c r="H4265" s="171"/>
    </row>
    <row r="4266" ht="14.25" spans="1:8">
      <c r="A4266" s="176">
        <v>130</v>
      </c>
      <c r="B4266" s="171" t="s">
        <v>6486</v>
      </c>
      <c r="C4266" s="181" t="s">
        <v>272</v>
      </c>
      <c r="D4266" s="190">
        <v>0.04</v>
      </c>
      <c r="E4266" s="204" t="s">
        <v>30</v>
      </c>
      <c r="F4266" s="204" t="s">
        <v>188</v>
      </c>
      <c r="G4266" s="175" t="s">
        <v>6665</v>
      </c>
      <c r="H4266" s="171"/>
    </row>
    <row r="4267" ht="14.25" spans="1:8">
      <c r="A4267" s="176">
        <v>131</v>
      </c>
      <c r="B4267" s="171" t="s">
        <v>6684</v>
      </c>
      <c r="C4267" s="181" t="s">
        <v>272</v>
      </c>
      <c r="D4267" s="190">
        <v>0.03</v>
      </c>
      <c r="E4267" s="204" t="s">
        <v>30</v>
      </c>
      <c r="F4267" s="204" t="s">
        <v>188</v>
      </c>
      <c r="G4267" s="175" t="s">
        <v>6685</v>
      </c>
      <c r="H4267" s="171"/>
    </row>
    <row r="4268" ht="14.25" spans="1:8">
      <c r="A4268" s="176">
        <v>132</v>
      </c>
      <c r="B4268" s="171" t="s">
        <v>6604</v>
      </c>
      <c r="C4268" s="181" t="s">
        <v>272</v>
      </c>
      <c r="D4268" s="190">
        <v>0.03</v>
      </c>
      <c r="E4268" s="204" t="s">
        <v>30</v>
      </c>
      <c r="F4268" s="204" t="s">
        <v>188</v>
      </c>
      <c r="G4268" s="175" t="s">
        <v>6686</v>
      </c>
      <c r="H4268" s="171"/>
    </row>
    <row r="4269" ht="14.25" spans="1:8">
      <c r="A4269" s="176">
        <v>133</v>
      </c>
      <c r="B4269" s="171" t="s">
        <v>6687</v>
      </c>
      <c r="C4269" s="181" t="s">
        <v>272</v>
      </c>
      <c r="D4269" s="190">
        <v>0.04</v>
      </c>
      <c r="E4269" s="204" t="s">
        <v>30</v>
      </c>
      <c r="F4269" s="204" t="s">
        <v>188</v>
      </c>
      <c r="G4269" s="175" t="s">
        <v>6688</v>
      </c>
      <c r="H4269" s="171"/>
    </row>
    <row r="4270" ht="14.25" spans="1:8">
      <c r="A4270" s="176">
        <v>134</v>
      </c>
      <c r="B4270" s="171" t="s">
        <v>6689</v>
      </c>
      <c r="C4270" s="181" t="s">
        <v>272</v>
      </c>
      <c r="D4270" s="190">
        <v>0.04</v>
      </c>
      <c r="E4270" s="204" t="s">
        <v>30</v>
      </c>
      <c r="F4270" s="204" t="s">
        <v>188</v>
      </c>
      <c r="G4270" s="175" t="s">
        <v>6690</v>
      </c>
      <c r="H4270" s="171"/>
    </row>
    <row r="4271" ht="14.25" spans="1:8">
      <c r="A4271" s="176">
        <v>135</v>
      </c>
      <c r="B4271" s="171" t="s">
        <v>6691</v>
      </c>
      <c r="C4271" s="181" t="s">
        <v>272</v>
      </c>
      <c r="D4271" s="190">
        <v>0.03</v>
      </c>
      <c r="E4271" s="204" t="s">
        <v>30</v>
      </c>
      <c r="F4271" s="204" t="s">
        <v>188</v>
      </c>
      <c r="G4271" s="175" t="s">
        <v>6692</v>
      </c>
      <c r="H4271" s="171"/>
    </row>
    <row r="4272" ht="14.25" spans="1:8">
      <c r="A4272" s="176">
        <v>136</v>
      </c>
      <c r="B4272" s="171" t="s">
        <v>6693</v>
      </c>
      <c r="C4272" s="181" t="s">
        <v>272</v>
      </c>
      <c r="D4272" s="190">
        <v>0.02</v>
      </c>
      <c r="E4272" s="204" t="s">
        <v>30</v>
      </c>
      <c r="F4272" s="204" t="s">
        <v>188</v>
      </c>
      <c r="G4272" s="175" t="s">
        <v>6694</v>
      </c>
      <c r="H4272" s="171"/>
    </row>
    <row r="4273" ht="14.25" spans="1:8">
      <c r="A4273" s="176">
        <v>137</v>
      </c>
      <c r="B4273" s="171" t="s">
        <v>6695</v>
      </c>
      <c r="C4273" s="181" t="s">
        <v>272</v>
      </c>
      <c r="D4273" s="190">
        <v>0.01</v>
      </c>
      <c r="E4273" s="204" t="s">
        <v>30</v>
      </c>
      <c r="F4273" s="204" t="s">
        <v>188</v>
      </c>
      <c r="G4273" s="175" t="s">
        <v>6696</v>
      </c>
      <c r="H4273" s="171"/>
    </row>
    <row r="4274" ht="14.25" spans="1:8">
      <c r="A4274" s="176">
        <v>138</v>
      </c>
      <c r="B4274" s="171" t="s">
        <v>6697</v>
      </c>
      <c r="C4274" s="181" t="s">
        <v>272</v>
      </c>
      <c r="D4274" s="190">
        <v>0.01</v>
      </c>
      <c r="E4274" s="204" t="s">
        <v>30</v>
      </c>
      <c r="F4274" s="204" t="s">
        <v>188</v>
      </c>
      <c r="G4274" s="175" t="s">
        <v>6698</v>
      </c>
      <c r="H4274" s="171"/>
    </row>
    <row r="4275" ht="14.25" spans="1:8">
      <c r="A4275" s="176">
        <v>139</v>
      </c>
      <c r="B4275" s="171" t="s">
        <v>6699</v>
      </c>
      <c r="C4275" s="181" t="s">
        <v>272</v>
      </c>
      <c r="D4275" s="190">
        <v>0.03</v>
      </c>
      <c r="E4275" s="204" t="s">
        <v>30</v>
      </c>
      <c r="F4275" s="204" t="s">
        <v>188</v>
      </c>
      <c r="G4275" s="175" t="s">
        <v>6700</v>
      </c>
      <c r="H4275" s="171"/>
    </row>
    <row r="4276" ht="14.25" spans="1:8">
      <c r="A4276" s="176">
        <v>140</v>
      </c>
      <c r="B4276" s="171" t="s">
        <v>6701</v>
      </c>
      <c r="C4276" s="181" t="s">
        <v>272</v>
      </c>
      <c r="D4276" s="190">
        <v>0.01</v>
      </c>
      <c r="E4276" s="204" t="s">
        <v>30</v>
      </c>
      <c r="F4276" s="204" t="s">
        <v>188</v>
      </c>
      <c r="G4276" s="175" t="s">
        <v>6702</v>
      </c>
      <c r="H4276" s="171"/>
    </row>
    <row r="4277" ht="14.25" spans="1:8">
      <c r="A4277" s="176">
        <v>141</v>
      </c>
      <c r="B4277" s="175" t="s">
        <v>6660</v>
      </c>
      <c r="C4277" s="181" t="s">
        <v>272</v>
      </c>
      <c r="D4277" s="173">
        <v>0.04</v>
      </c>
      <c r="E4277" s="204" t="s">
        <v>30</v>
      </c>
      <c r="F4277" s="204" t="s">
        <v>188</v>
      </c>
      <c r="G4277" s="175" t="s">
        <v>2030</v>
      </c>
      <c r="H4277" s="171"/>
    </row>
    <row r="4278" ht="14.25" spans="1:8">
      <c r="A4278" s="176">
        <v>142</v>
      </c>
      <c r="B4278" s="187" t="s">
        <v>6703</v>
      </c>
      <c r="C4278" s="181" t="s">
        <v>272</v>
      </c>
      <c r="D4278" s="190">
        <v>0.04</v>
      </c>
      <c r="E4278" s="204" t="s">
        <v>30</v>
      </c>
      <c r="F4278" s="204" t="s">
        <v>188</v>
      </c>
      <c r="G4278" s="181" t="s">
        <v>6704</v>
      </c>
      <c r="H4278" s="171"/>
    </row>
    <row r="4279" ht="14.25" spans="1:8">
      <c r="A4279" s="176">
        <v>143</v>
      </c>
      <c r="B4279" s="187" t="s">
        <v>6697</v>
      </c>
      <c r="C4279" s="181" t="s">
        <v>272</v>
      </c>
      <c r="D4279" s="190">
        <v>0.03</v>
      </c>
      <c r="E4279" s="204" t="s">
        <v>30</v>
      </c>
      <c r="F4279" s="204" t="s">
        <v>188</v>
      </c>
      <c r="G4279" s="181" t="s">
        <v>6705</v>
      </c>
      <c r="H4279" s="171"/>
    </row>
    <row r="4280" ht="14.25" spans="1:8">
      <c r="A4280" s="176">
        <v>144</v>
      </c>
      <c r="B4280" s="187" t="s">
        <v>6706</v>
      </c>
      <c r="C4280" s="181" t="s">
        <v>272</v>
      </c>
      <c r="D4280" s="190">
        <v>0.04</v>
      </c>
      <c r="E4280" s="204" t="s">
        <v>30</v>
      </c>
      <c r="F4280" s="204" t="s">
        <v>188</v>
      </c>
      <c r="G4280" s="181" t="s">
        <v>6707</v>
      </c>
      <c r="H4280" s="171"/>
    </row>
    <row r="4281" ht="14.25" spans="1:8">
      <c r="A4281" s="176">
        <v>145</v>
      </c>
      <c r="B4281" s="187" t="s">
        <v>6708</v>
      </c>
      <c r="C4281" s="181" t="s">
        <v>272</v>
      </c>
      <c r="D4281" s="190">
        <v>0.04</v>
      </c>
      <c r="E4281" s="204" t="s">
        <v>30</v>
      </c>
      <c r="F4281" s="204" t="s">
        <v>188</v>
      </c>
      <c r="G4281" s="181" t="s">
        <v>6709</v>
      </c>
      <c r="H4281" s="171"/>
    </row>
    <row r="4282" ht="14.25" spans="1:8">
      <c r="A4282" s="176">
        <v>146</v>
      </c>
      <c r="B4282" s="187" t="s">
        <v>6710</v>
      </c>
      <c r="C4282" s="181" t="s">
        <v>272</v>
      </c>
      <c r="D4282" s="190">
        <v>0.03</v>
      </c>
      <c r="E4282" s="204" t="s">
        <v>30</v>
      </c>
      <c r="F4282" s="204" t="s">
        <v>188</v>
      </c>
      <c r="G4282" s="181" t="s">
        <v>6711</v>
      </c>
      <c r="H4282" s="171"/>
    </row>
    <row r="4283" ht="14.25" spans="1:8">
      <c r="A4283" s="176">
        <v>147</v>
      </c>
      <c r="B4283" s="172" t="s">
        <v>6712</v>
      </c>
      <c r="C4283" s="181" t="s">
        <v>272</v>
      </c>
      <c r="D4283" s="190">
        <v>0.04</v>
      </c>
      <c r="E4283" s="204" t="s">
        <v>30</v>
      </c>
      <c r="F4283" s="204" t="s">
        <v>188</v>
      </c>
      <c r="G4283" s="181" t="s">
        <v>6713</v>
      </c>
      <c r="H4283" s="171"/>
    </row>
    <row r="4284" ht="14.25" spans="1:8">
      <c r="A4284" s="176">
        <v>148</v>
      </c>
      <c r="B4284" s="172" t="s">
        <v>6714</v>
      </c>
      <c r="C4284" s="181" t="s">
        <v>272</v>
      </c>
      <c r="D4284" s="190">
        <v>0.04</v>
      </c>
      <c r="E4284" s="204" t="s">
        <v>30</v>
      </c>
      <c r="F4284" s="204" t="s">
        <v>188</v>
      </c>
      <c r="G4284" s="181" t="s">
        <v>6715</v>
      </c>
      <c r="H4284" s="171"/>
    </row>
    <row r="4285" ht="14.25" spans="1:8">
      <c r="A4285" s="176">
        <v>149</v>
      </c>
      <c r="B4285" s="172" t="s">
        <v>6716</v>
      </c>
      <c r="C4285" s="181" t="s">
        <v>272</v>
      </c>
      <c r="D4285" s="190">
        <v>0.03</v>
      </c>
      <c r="E4285" s="204" t="s">
        <v>30</v>
      </c>
      <c r="F4285" s="204" t="s">
        <v>188</v>
      </c>
      <c r="G4285" s="181" t="s">
        <v>6717</v>
      </c>
      <c r="H4285" s="171"/>
    </row>
    <row r="4286" ht="14.25" spans="1:8">
      <c r="A4286" s="176">
        <v>150</v>
      </c>
      <c r="B4286" s="172" t="s">
        <v>6716</v>
      </c>
      <c r="C4286" s="181" t="s">
        <v>272</v>
      </c>
      <c r="D4286" s="190">
        <v>0.03</v>
      </c>
      <c r="E4286" s="204" t="s">
        <v>30</v>
      </c>
      <c r="F4286" s="204" t="s">
        <v>188</v>
      </c>
      <c r="G4286" s="181" t="s">
        <v>6718</v>
      </c>
      <c r="H4286" s="171"/>
    </row>
    <row r="4287" ht="14.25" spans="1:8">
      <c r="A4287" s="176">
        <v>151</v>
      </c>
      <c r="B4287" s="172" t="s">
        <v>6716</v>
      </c>
      <c r="C4287" s="181" t="s">
        <v>272</v>
      </c>
      <c r="D4287" s="190">
        <v>0.03</v>
      </c>
      <c r="E4287" s="204" t="s">
        <v>30</v>
      </c>
      <c r="F4287" s="204" t="s">
        <v>188</v>
      </c>
      <c r="G4287" s="181" t="s">
        <v>6719</v>
      </c>
      <c r="H4287" s="171"/>
    </row>
    <row r="4288" ht="14.25" spans="1:8">
      <c r="A4288" s="176">
        <v>152</v>
      </c>
      <c r="B4288" s="172" t="s">
        <v>6716</v>
      </c>
      <c r="C4288" s="181" t="s">
        <v>272</v>
      </c>
      <c r="D4288" s="190">
        <v>0.03</v>
      </c>
      <c r="E4288" s="204" t="s">
        <v>30</v>
      </c>
      <c r="F4288" s="204" t="s">
        <v>188</v>
      </c>
      <c r="G4288" s="181" t="s">
        <v>6720</v>
      </c>
      <c r="H4288" s="171"/>
    </row>
    <row r="4289" ht="14.25" spans="1:8">
      <c r="A4289" s="176">
        <v>153</v>
      </c>
      <c r="B4289" s="172" t="s">
        <v>6716</v>
      </c>
      <c r="C4289" s="181" t="s">
        <v>272</v>
      </c>
      <c r="D4289" s="190">
        <v>0.03</v>
      </c>
      <c r="E4289" s="204" t="s">
        <v>30</v>
      </c>
      <c r="F4289" s="204" t="s">
        <v>188</v>
      </c>
      <c r="G4289" s="181" t="s">
        <v>6721</v>
      </c>
      <c r="H4289" s="171"/>
    </row>
    <row r="4290" ht="14.25" spans="1:8">
      <c r="A4290" s="176">
        <v>154</v>
      </c>
      <c r="B4290" s="172" t="s">
        <v>6716</v>
      </c>
      <c r="C4290" s="181" t="s">
        <v>272</v>
      </c>
      <c r="D4290" s="190">
        <v>0.03</v>
      </c>
      <c r="E4290" s="204" t="s">
        <v>30</v>
      </c>
      <c r="F4290" s="204" t="s">
        <v>188</v>
      </c>
      <c r="G4290" s="181" t="s">
        <v>6722</v>
      </c>
      <c r="H4290" s="171"/>
    </row>
    <row r="4291" ht="14.25" spans="1:8">
      <c r="A4291" s="176">
        <v>155</v>
      </c>
      <c r="B4291" s="172" t="s">
        <v>6716</v>
      </c>
      <c r="C4291" s="181" t="s">
        <v>272</v>
      </c>
      <c r="D4291" s="190">
        <v>0.03</v>
      </c>
      <c r="E4291" s="204" t="s">
        <v>30</v>
      </c>
      <c r="F4291" s="204" t="s">
        <v>188</v>
      </c>
      <c r="G4291" s="181" t="s">
        <v>6723</v>
      </c>
      <c r="H4291" s="171"/>
    </row>
    <row r="4292" ht="14.25" spans="1:8">
      <c r="A4292" s="176">
        <v>156</v>
      </c>
      <c r="B4292" s="172" t="s">
        <v>6716</v>
      </c>
      <c r="C4292" s="181" t="s">
        <v>272</v>
      </c>
      <c r="D4292" s="190">
        <v>0.02</v>
      </c>
      <c r="E4292" s="204" t="s">
        <v>30</v>
      </c>
      <c r="F4292" s="204" t="s">
        <v>188</v>
      </c>
      <c r="G4292" s="181" t="s">
        <v>6724</v>
      </c>
      <c r="H4292" s="171"/>
    </row>
    <row r="4293" ht="14.25" spans="1:8">
      <c r="A4293" s="176">
        <v>157</v>
      </c>
      <c r="B4293" s="172" t="s">
        <v>6716</v>
      </c>
      <c r="C4293" s="181" t="s">
        <v>272</v>
      </c>
      <c r="D4293" s="190">
        <v>0.01</v>
      </c>
      <c r="E4293" s="204" t="s">
        <v>30</v>
      </c>
      <c r="F4293" s="204" t="s">
        <v>188</v>
      </c>
      <c r="G4293" s="181" t="s">
        <v>6725</v>
      </c>
      <c r="H4293" s="171"/>
    </row>
    <row r="4294" ht="14.25" spans="1:8">
      <c r="A4294" s="176">
        <v>158</v>
      </c>
      <c r="B4294" s="172" t="s">
        <v>6716</v>
      </c>
      <c r="C4294" s="181" t="s">
        <v>272</v>
      </c>
      <c r="D4294" s="190">
        <v>0.01</v>
      </c>
      <c r="E4294" s="204" t="s">
        <v>30</v>
      </c>
      <c r="F4294" s="204" t="s">
        <v>188</v>
      </c>
      <c r="G4294" s="181" t="s">
        <v>6726</v>
      </c>
      <c r="H4294" s="171"/>
    </row>
    <row r="4295" ht="14.25" spans="1:8">
      <c r="A4295" s="176">
        <v>159</v>
      </c>
      <c r="B4295" s="172" t="s">
        <v>6716</v>
      </c>
      <c r="C4295" s="181" t="s">
        <v>272</v>
      </c>
      <c r="D4295" s="190">
        <v>0.03</v>
      </c>
      <c r="E4295" s="204" t="s">
        <v>30</v>
      </c>
      <c r="F4295" s="204" t="s">
        <v>188</v>
      </c>
      <c r="G4295" s="181" t="s">
        <v>6727</v>
      </c>
      <c r="H4295" s="171"/>
    </row>
    <row r="4296" ht="14.25" spans="1:8">
      <c r="A4296" s="176">
        <v>160</v>
      </c>
      <c r="B4296" s="172" t="s">
        <v>4599</v>
      </c>
      <c r="C4296" s="181" t="s">
        <v>272</v>
      </c>
      <c r="D4296" s="190">
        <v>0.01</v>
      </c>
      <c r="E4296" s="204" t="s">
        <v>30</v>
      </c>
      <c r="F4296" s="204" t="s">
        <v>188</v>
      </c>
      <c r="G4296" s="181" t="s">
        <v>6728</v>
      </c>
      <c r="H4296" s="171"/>
    </row>
    <row r="4297" ht="14.25" spans="1:8">
      <c r="A4297" s="176">
        <v>161</v>
      </c>
      <c r="B4297" s="172" t="s">
        <v>4599</v>
      </c>
      <c r="C4297" s="181" t="s">
        <v>272</v>
      </c>
      <c r="D4297" s="190">
        <v>0.01</v>
      </c>
      <c r="E4297" s="204" t="s">
        <v>30</v>
      </c>
      <c r="F4297" s="204" t="s">
        <v>188</v>
      </c>
      <c r="G4297" s="181" t="s">
        <v>6729</v>
      </c>
      <c r="H4297" s="171"/>
    </row>
    <row r="4298" ht="14.25" spans="1:8">
      <c r="A4298" s="176">
        <v>162</v>
      </c>
      <c r="B4298" s="172" t="s">
        <v>4599</v>
      </c>
      <c r="C4298" s="181" t="s">
        <v>272</v>
      </c>
      <c r="D4298" s="190">
        <v>0.01</v>
      </c>
      <c r="E4298" s="204" t="s">
        <v>30</v>
      </c>
      <c r="F4298" s="204" t="s">
        <v>188</v>
      </c>
      <c r="G4298" s="181" t="s">
        <v>6730</v>
      </c>
      <c r="H4298" s="171"/>
    </row>
    <row r="4299" ht="14.25" spans="1:8">
      <c r="A4299" s="176">
        <v>163</v>
      </c>
      <c r="B4299" s="172" t="s">
        <v>4599</v>
      </c>
      <c r="C4299" s="181" t="s">
        <v>272</v>
      </c>
      <c r="D4299" s="190">
        <v>0.01</v>
      </c>
      <c r="E4299" s="204" t="s">
        <v>30</v>
      </c>
      <c r="F4299" s="204" t="s">
        <v>188</v>
      </c>
      <c r="G4299" s="181" t="s">
        <v>6731</v>
      </c>
      <c r="H4299" s="171"/>
    </row>
    <row r="4300" ht="14.25" spans="1:8">
      <c r="A4300" s="176">
        <v>164</v>
      </c>
      <c r="B4300" s="172" t="s">
        <v>4599</v>
      </c>
      <c r="C4300" s="181" t="s">
        <v>272</v>
      </c>
      <c r="D4300" s="190">
        <v>0.01</v>
      </c>
      <c r="E4300" s="204" t="s">
        <v>30</v>
      </c>
      <c r="F4300" s="204" t="s">
        <v>188</v>
      </c>
      <c r="G4300" s="181" t="s">
        <v>6732</v>
      </c>
      <c r="H4300" s="171"/>
    </row>
    <row r="4301" ht="14.25" spans="1:8">
      <c r="A4301" s="176">
        <v>165</v>
      </c>
      <c r="B4301" s="172" t="s">
        <v>4599</v>
      </c>
      <c r="C4301" s="181" t="s">
        <v>272</v>
      </c>
      <c r="D4301" s="190">
        <v>0.01</v>
      </c>
      <c r="E4301" s="204" t="s">
        <v>30</v>
      </c>
      <c r="F4301" s="204" t="s">
        <v>188</v>
      </c>
      <c r="G4301" s="181" t="s">
        <v>6733</v>
      </c>
      <c r="H4301" s="171"/>
    </row>
    <row r="4302" ht="14.25" spans="1:8">
      <c r="A4302" s="176">
        <v>166</v>
      </c>
      <c r="B4302" s="172" t="s">
        <v>4599</v>
      </c>
      <c r="C4302" s="181" t="s">
        <v>272</v>
      </c>
      <c r="D4302" s="190">
        <v>0.01</v>
      </c>
      <c r="E4302" s="204" t="s">
        <v>30</v>
      </c>
      <c r="F4302" s="204" t="s">
        <v>188</v>
      </c>
      <c r="G4302" s="181" t="s">
        <v>6734</v>
      </c>
      <c r="H4302" s="171"/>
    </row>
    <row r="4303" ht="14.25" spans="1:8">
      <c r="A4303" s="176">
        <v>167</v>
      </c>
      <c r="B4303" s="172" t="s">
        <v>4599</v>
      </c>
      <c r="C4303" s="181" t="s">
        <v>272</v>
      </c>
      <c r="D4303" s="190">
        <v>0.01</v>
      </c>
      <c r="E4303" s="204" t="s">
        <v>30</v>
      </c>
      <c r="F4303" s="204" t="s">
        <v>188</v>
      </c>
      <c r="G4303" s="181" t="s">
        <v>6735</v>
      </c>
      <c r="H4303" s="171"/>
    </row>
    <row r="4304" ht="25.5" spans="1:8">
      <c r="A4304" s="176">
        <v>168</v>
      </c>
      <c r="B4304" s="172" t="s">
        <v>6736</v>
      </c>
      <c r="C4304" s="181" t="s">
        <v>272</v>
      </c>
      <c r="D4304" s="190">
        <v>0.01</v>
      </c>
      <c r="E4304" s="204" t="s">
        <v>30</v>
      </c>
      <c r="F4304" s="204" t="s">
        <v>188</v>
      </c>
      <c r="G4304" s="181" t="s">
        <v>6737</v>
      </c>
      <c r="H4304" s="171"/>
    </row>
    <row r="4305" ht="14.25" spans="1:8">
      <c r="A4305" s="176">
        <v>169</v>
      </c>
      <c r="B4305" s="172" t="s">
        <v>4857</v>
      </c>
      <c r="C4305" s="181" t="s">
        <v>272</v>
      </c>
      <c r="D4305" s="190">
        <v>0.06</v>
      </c>
      <c r="E4305" s="204" t="s">
        <v>30</v>
      </c>
      <c r="F4305" s="204" t="s">
        <v>188</v>
      </c>
      <c r="G4305" s="181" t="s">
        <v>6738</v>
      </c>
      <c r="H4305" s="171"/>
    </row>
    <row r="4306" ht="14.25" spans="1:8">
      <c r="A4306" s="176">
        <v>170</v>
      </c>
      <c r="B4306" s="172" t="s">
        <v>6682</v>
      </c>
      <c r="C4306" s="181" t="s">
        <v>272</v>
      </c>
      <c r="D4306" s="190">
        <v>0.05</v>
      </c>
      <c r="E4306" s="204" t="s">
        <v>30</v>
      </c>
      <c r="F4306" s="204" t="s">
        <v>188</v>
      </c>
      <c r="G4306" s="181" t="s">
        <v>6683</v>
      </c>
      <c r="H4306" s="171"/>
    </row>
    <row r="4307" ht="14.25" spans="1:8">
      <c r="A4307" s="176">
        <v>171</v>
      </c>
      <c r="B4307" s="172" t="s">
        <v>6739</v>
      </c>
      <c r="C4307" s="181" t="s">
        <v>272</v>
      </c>
      <c r="D4307" s="190">
        <v>0.04</v>
      </c>
      <c r="E4307" s="204" t="s">
        <v>30</v>
      </c>
      <c r="F4307" s="204" t="s">
        <v>188</v>
      </c>
      <c r="G4307" s="181" t="s">
        <v>6740</v>
      </c>
      <c r="H4307" s="171"/>
    </row>
    <row r="4308" ht="14.25" spans="1:8">
      <c r="A4308" s="176">
        <v>172</v>
      </c>
      <c r="B4308" s="172" t="s">
        <v>6741</v>
      </c>
      <c r="C4308" s="181" t="s">
        <v>272</v>
      </c>
      <c r="D4308" s="190">
        <v>0.04</v>
      </c>
      <c r="E4308" s="204" t="s">
        <v>30</v>
      </c>
      <c r="F4308" s="204" t="s">
        <v>188</v>
      </c>
      <c r="G4308" s="181" t="s">
        <v>6742</v>
      </c>
      <c r="H4308" s="171"/>
    </row>
    <row r="4309" ht="14.25" spans="1:8">
      <c r="A4309" s="176">
        <v>173</v>
      </c>
      <c r="B4309" s="172" t="s">
        <v>6743</v>
      </c>
      <c r="C4309" s="181" t="s">
        <v>272</v>
      </c>
      <c r="D4309" s="190">
        <v>0.04</v>
      </c>
      <c r="E4309" s="204" t="s">
        <v>30</v>
      </c>
      <c r="F4309" s="204" t="s">
        <v>188</v>
      </c>
      <c r="G4309" s="181" t="s">
        <v>6744</v>
      </c>
      <c r="H4309" s="171"/>
    </row>
    <row r="4310" ht="14.25" spans="1:8">
      <c r="A4310" s="176">
        <v>174</v>
      </c>
      <c r="B4310" s="172" t="s">
        <v>6745</v>
      </c>
      <c r="C4310" s="181" t="s">
        <v>272</v>
      </c>
      <c r="D4310" s="190">
        <v>0.04</v>
      </c>
      <c r="E4310" s="204" t="s">
        <v>30</v>
      </c>
      <c r="F4310" s="204" t="s">
        <v>188</v>
      </c>
      <c r="G4310" s="181" t="s">
        <v>6746</v>
      </c>
      <c r="H4310" s="171"/>
    </row>
    <row r="4311" ht="14.25" spans="1:8">
      <c r="A4311" s="176">
        <v>175</v>
      </c>
      <c r="B4311" s="172" t="s">
        <v>4184</v>
      </c>
      <c r="C4311" s="181" t="s">
        <v>272</v>
      </c>
      <c r="D4311" s="190">
        <v>0.03</v>
      </c>
      <c r="E4311" s="204" t="s">
        <v>30</v>
      </c>
      <c r="F4311" s="204" t="s">
        <v>188</v>
      </c>
      <c r="G4311" s="181" t="s">
        <v>6747</v>
      </c>
      <c r="H4311" s="171"/>
    </row>
    <row r="4312" ht="14.25" spans="1:8">
      <c r="A4312" s="176">
        <v>176</v>
      </c>
      <c r="B4312" s="172" t="s">
        <v>6748</v>
      </c>
      <c r="C4312" s="181" t="s">
        <v>272</v>
      </c>
      <c r="D4312" s="190">
        <v>0.04</v>
      </c>
      <c r="E4312" s="204" t="s">
        <v>30</v>
      </c>
      <c r="F4312" s="204" t="s">
        <v>188</v>
      </c>
      <c r="G4312" s="181" t="s">
        <v>6749</v>
      </c>
      <c r="H4312" s="171"/>
    </row>
    <row r="4313" ht="14.25" spans="1:8">
      <c r="A4313" s="176">
        <v>177</v>
      </c>
      <c r="B4313" s="172" t="s">
        <v>6681</v>
      </c>
      <c r="C4313" s="181" t="s">
        <v>272</v>
      </c>
      <c r="D4313" s="190">
        <v>0.05</v>
      </c>
      <c r="E4313" s="204" t="s">
        <v>30</v>
      </c>
      <c r="F4313" s="204" t="s">
        <v>188</v>
      </c>
      <c r="G4313" s="181" t="s">
        <v>1644</v>
      </c>
      <c r="H4313" s="171"/>
    </row>
    <row r="4314" ht="14.25" spans="1:8">
      <c r="A4314" s="176">
        <v>178</v>
      </c>
      <c r="B4314" s="172" t="s">
        <v>6750</v>
      </c>
      <c r="C4314" s="181" t="s">
        <v>272</v>
      </c>
      <c r="D4314" s="190">
        <v>0.54</v>
      </c>
      <c r="E4314" s="204" t="s">
        <v>30</v>
      </c>
      <c r="F4314" s="204" t="s">
        <v>188</v>
      </c>
      <c r="G4314" s="181" t="s">
        <v>6751</v>
      </c>
      <c r="H4314" s="171"/>
    </row>
    <row r="4315" ht="14.25" spans="1:8">
      <c r="A4315" s="176">
        <v>179</v>
      </c>
      <c r="B4315" s="172" t="s">
        <v>6752</v>
      </c>
      <c r="C4315" s="181" t="s">
        <v>272</v>
      </c>
      <c r="D4315" s="190">
        <v>0.29</v>
      </c>
      <c r="E4315" s="204" t="s">
        <v>30</v>
      </c>
      <c r="F4315" s="204" t="s">
        <v>188</v>
      </c>
      <c r="G4315" s="181" t="s">
        <v>6753</v>
      </c>
      <c r="H4315" s="171"/>
    </row>
    <row r="4316" ht="14.25" spans="1:8">
      <c r="A4316" s="176">
        <v>180</v>
      </c>
      <c r="B4316" s="172" t="s">
        <v>4664</v>
      </c>
      <c r="C4316" s="181" t="s">
        <v>272</v>
      </c>
      <c r="D4316" s="190">
        <v>0.2</v>
      </c>
      <c r="E4316" s="204" t="s">
        <v>30</v>
      </c>
      <c r="F4316" s="204" t="s">
        <v>188</v>
      </c>
      <c r="G4316" s="181" t="s">
        <v>6737</v>
      </c>
      <c r="H4316" s="171"/>
    </row>
    <row r="4317" ht="14.25" spans="1:8">
      <c r="A4317" s="176">
        <v>181</v>
      </c>
      <c r="B4317" s="172" t="s">
        <v>6754</v>
      </c>
      <c r="C4317" s="181" t="s">
        <v>272</v>
      </c>
      <c r="D4317" s="190">
        <v>0.11</v>
      </c>
      <c r="E4317" s="204" t="s">
        <v>30</v>
      </c>
      <c r="F4317" s="204" t="s">
        <v>188</v>
      </c>
      <c r="G4317" s="181" t="s">
        <v>6755</v>
      </c>
      <c r="H4317" s="171"/>
    </row>
    <row r="4318" ht="14.25" spans="1:8">
      <c r="A4318" s="176">
        <v>182</v>
      </c>
      <c r="B4318" s="172" t="s">
        <v>6642</v>
      </c>
      <c r="C4318" s="181" t="s">
        <v>272</v>
      </c>
      <c r="D4318" s="190">
        <v>0.03</v>
      </c>
      <c r="E4318" s="204" t="s">
        <v>30</v>
      </c>
      <c r="F4318" s="204" t="s">
        <v>188</v>
      </c>
      <c r="G4318" s="181" t="s">
        <v>6756</v>
      </c>
      <c r="H4318" s="171"/>
    </row>
    <row r="4319" ht="14.25" spans="1:8">
      <c r="A4319" s="176">
        <v>183</v>
      </c>
      <c r="B4319" s="172" t="s">
        <v>6642</v>
      </c>
      <c r="C4319" s="181" t="s">
        <v>272</v>
      </c>
      <c r="D4319" s="190">
        <v>0.04</v>
      </c>
      <c r="E4319" s="204" t="s">
        <v>30</v>
      </c>
      <c r="F4319" s="204" t="s">
        <v>188</v>
      </c>
      <c r="G4319" s="181" t="s">
        <v>6524</v>
      </c>
      <c r="H4319" s="171"/>
    </row>
    <row r="4320" ht="14.25" spans="1:8">
      <c r="A4320" s="176">
        <v>184</v>
      </c>
      <c r="B4320" s="172" t="s">
        <v>6754</v>
      </c>
      <c r="C4320" s="181" t="s">
        <v>272</v>
      </c>
      <c r="D4320" s="190">
        <v>0.04</v>
      </c>
      <c r="E4320" s="204" t="s">
        <v>30</v>
      </c>
      <c r="F4320" s="204" t="s">
        <v>188</v>
      </c>
      <c r="G4320" s="181" t="s">
        <v>6757</v>
      </c>
      <c r="H4320" s="171"/>
    </row>
    <row r="4321" ht="14.25" spans="1:8">
      <c r="A4321" s="176">
        <v>185</v>
      </c>
      <c r="B4321" s="175" t="s">
        <v>6758</v>
      </c>
      <c r="C4321" s="181" t="s">
        <v>272</v>
      </c>
      <c r="D4321" s="190">
        <v>0.02</v>
      </c>
      <c r="E4321" s="204" t="s">
        <v>30</v>
      </c>
      <c r="F4321" s="204" t="s">
        <v>188</v>
      </c>
      <c r="G4321" s="181" t="s">
        <v>6759</v>
      </c>
      <c r="H4321" s="171"/>
    </row>
    <row r="4322" ht="14.25" spans="1:8">
      <c r="A4322" s="176">
        <v>186</v>
      </c>
      <c r="B4322" s="175" t="s">
        <v>6760</v>
      </c>
      <c r="C4322" s="181" t="s">
        <v>272</v>
      </c>
      <c r="D4322" s="190">
        <v>0.02</v>
      </c>
      <c r="E4322" s="204" t="s">
        <v>30</v>
      </c>
      <c r="F4322" s="204" t="s">
        <v>188</v>
      </c>
      <c r="G4322" s="181" t="s">
        <v>6617</v>
      </c>
      <c r="H4322" s="171"/>
    </row>
    <row r="4323" ht="14.25" spans="1:8">
      <c r="A4323" s="176">
        <v>187</v>
      </c>
      <c r="B4323" s="175" t="s">
        <v>6761</v>
      </c>
      <c r="C4323" s="181" t="s">
        <v>272</v>
      </c>
      <c r="D4323" s="190">
        <v>0.03</v>
      </c>
      <c r="E4323" s="204" t="s">
        <v>30</v>
      </c>
      <c r="F4323" s="204" t="s">
        <v>188</v>
      </c>
      <c r="G4323" s="181" t="s">
        <v>6762</v>
      </c>
      <c r="H4323" s="171"/>
    </row>
    <row r="4324" ht="14.25" spans="1:8">
      <c r="A4324" s="176">
        <v>188</v>
      </c>
      <c r="B4324" s="175" t="s">
        <v>6763</v>
      </c>
      <c r="C4324" s="181" t="s">
        <v>272</v>
      </c>
      <c r="D4324" s="190">
        <v>0.02</v>
      </c>
      <c r="E4324" s="204" t="s">
        <v>30</v>
      </c>
      <c r="F4324" s="204" t="s">
        <v>188</v>
      </c>
      <c r="G4324" s="181" t="s">
        <v>6764</v>
      </c>
      <c r="H4324" s="171"/>
    </row>
    <row r="4325" ht="14.25" spans="1:8">
      <c r="A4325" s="176">
        <v>189</v>
      </c>
      <c r="B4325" s="175" t="s">
        <v>6765</v>
      </c>
      <c r="C4325" s="181" t="s">
        <v>272</v>
      </c>
      <c r="D4325" s="190">
        <v>0.04</v>
      </c>
      <c r="E4325" s="204" t="s">
        <v>30</v>
      </c>
      <c r="F4325" s="204" t="s">
        <v>188</v>
      </c>
      <c r="G4325" s="181" t="s">
        <v>6766</v>
      </c>
      <c r="H4325" s="171"/>
    </row>
    <row r="4326" ht="14.25" spans="1:8">
      <c r="A4326" s="176">
        <v>190</v>
      </c>
      <c r="B4326" s="175" t="s">
        <v>6767</v>
      </c>
      <c r="C4326" s="181" t="s">
        <v>272</v>
      </c>
      <c r="D4326" s="190">
        <v>0.02</v>
      </c>
      <c r="E4326" s="204" t="s">
        <v>30</v>
      </c>
      <c r="F4326" s="204" t="s">
        <v>188</v>
      </c>
      <c r="G4326" s="181" t="s">
        <v>6768</v>
      </c>
      <c r="H4326" s="171"/>
    </row>
    <row r="4327" ht="14.25" spans="1:8">
      <c r="A4327" s="176">
        <v>191</v>
      </c>
      <c r="B4327" s="175" t="s">
        <v>3160</v>
      </c>
      <c r="C4327" s="181" t="s">
        <v>272</v>
      </c>
      <c r="D4327" s="190">
        <v>0.02</v>
      </c>
      <c r="E4327" s="204" t="s">
        <v>30</v>
      </c>
      <c r="F4327" s="204" t="s">
        <v>188</v>
      </c>
      <c r="G4327" s="181" t="s">
        <v>4284</v>
      </c>
      <c r="H4327" s="171"/>
    </row>
    <row r="4328" ht="14.25" spans="1:8">
      <c r="A4328" s="176">
        <v>192</v>
      </c>
      <c r="B4328" s="175" t="s">
        <v>6637</v>
      </c>
      <c r="C4328" s="181" t="s">
        <v>272</v>
      </c>
      <c r="D4328" s="190">
        <v>0.02</v>
      </c>
      <c r="E4328" s="204" t="s">
        <v>30</v>
      </c>
      <c r="F4328" s="204" t="s">
        <v>188</v>
      </c>
      <c r="G4328" s="181" t="s">
        <v>6769</v>
      </c>
      <c r="H4328" s="171"/>
    </row>
    <row r="4329" ht="14.25" spans="1:8">
      <c r="A4329" s="176">
        <v>193</v>
      </c>
      <c r="B4329" s="175" t="s">
        <v>6770</v>
      </c>
      <c r="C4329" s="181" t="s">
        <v>272</v>
      </c>
      <c r="D4329" s="190">
        <v>0.03</v>
      </c>
      <c r="E4329" s="204" t="s">
        <v>30</v>
      </c>
      <c r="F4329" s="204" t="s">
        <v>188</v>
      </c>
      <c r="G4329" s="181" t="s">
        <v>6771</v>
      </c>
      <c r="H4329" s="171"/>
    </row>
    <row r="4330" ht="14.25" spans="1:8">
      <c r="A4330" s="176">
        <v>194</v>
      </c>
      <c r="B4330" s="175" t="s">
        <v>6772</v>
      </c>
      <c r="C4330" s="181" t="s">
        <v>272</v>
      </c>
      <c r="D4330" s="190">
        <v>0.02</v>
      </c>
      <c r="E4330" s="204" t="s">
        <v>30</v>
      </c>
      <c r="F4330" s="204" t="s">
        <v>188</v>
      </c>
      <c r="G4330" s="181" t="s">
        <v>6773</v>
      </c>
      <c r="H4330" s="171"/>
    </row>
    <row r="4331" ht="14.25" spans="1:8">
      <c r="A4331" s="176">
        <v>195</v>
      </c>
      <c r="B4331" s="175" t="s">
        <v>6772</v>
      </c>
      <c r="C4331" s="181" t="s">
        <v>272</v>
      </c>
      <c r="D4331" s="190">
        <v>0.05</v>
      </c>
      <c r="E4331" s="204" t="s">
        <v>30</v>
      </c>
      <c r="F4331" s="204" t="s">
        <v>188</v>
      </c>
      <c r="G4331" s="181" t="s">
        <v>6774</v>
      </c>
      <c r="H4331" s="171"/>
    </row>
    <row r="4332" ht="14.25" spans="1:8">
      <c r="A4332" s="176">
        <v>196</v>
      </c>
      <c r="B4332" s="175" t="s">
        <v>6775</v>
      </c>
      <c r="C4332" s="181" t="s">
        <v>272</v>
      </c>
      <c r="D4332" s="190">
        <v>0.1</v>
      </c>
      <c r="E4332" s="204" t="s">
        <v>30</v>
      </c>
      <c r="F4332" s="204" t="s">
        <v>188</v>
      </c>
      <c r="G4332" s="181" t="s">
        <v>6776</v>
      </c>
      <c r="H4332" s="171"/>
    </row>
    <row r="4333" ht="14.25" spans="1:8">
      <c r="A4333" s="176">
        <v>197</v>
      </c>
      <c r="B4333" s="175" t="s">
        <v>6777</v>
      </c>
      <c r="C4333" s="181" t="s">
        <v>272</v>
      </c>
      <c r="D4333" s="190">
        <v>0.02</v>
      </c>
      <c r="E4333" s="204" t="s">
        <v>30</v>
      </c>
      <c r="F4333" s="204" t="s">
        <v>188</v>
      </c>
      <c r="G4333" s="181" t="s">
        <v>6778</v>
      </c>
      <c r="H4333" s="171"/>
    </row>
    <row r="4334" ht="14.25" spans="1:8">
      <c r="A4334" s="176">
        <v>198</v>
      </c>
      <c r="B4334" s="175" t="s">
        <v>5596</v>
      </c>
      <c r="C4334" s="181" t="s">
        <v>272</v>
      </c>
      <c r="D4334" s="190">
        <v>0.04</v>
      </c>
      <c r="E4334" s="204" t="s">
        <v>30</v>
      </c>
      <c r="F4334" s="204" t="s">
        <v>188</v>
      </c>
      <c r="G4334" s="181" t="s">
        <v>6779</v>
      </c>
      <c r="H4334" s="171"/>
    </row>
    <row r="4335" ht="14.25" spans="1:8">
      <c r="A4335" s="176">
        <v>199</v>
      </c>
      <c r="B4335" s="175" t="s">
        <v>6780</v>
      </c>
      <c r="C4335" s="181" t="s">
        <v>272</v>
      </c>
      <c r="D4335" s="190">
        <v>0.12</v>
      </c>
      <c r="E4335" s="204" t="s">
        <v>30</v>
      </c>
      <c r="F4335" s="204" t="s">
        <v>188</v>
      </c>
      <c r="G4335" s="181" t="s">
        <v>6781</v>
      </c>
      <c r="H4335" s="171"/>
    </row>
    <row r="4336" ht="14.25" spans="1:8">
      <c r="A4336" s="176">
        <v>200</v>
      </c>
      <c r="B4336" s="175" t="s">
        <v>6782</v>
      </c>
      <c r="C4336" s="181" t="s">
        <v>272</v>
      </c>
      <c r="D4336" s="190">
        <v>0.02</v>
      </c>
      <c r="E4336" s="204" t="s">
        <v>30</v>
      </c>
      <c r="F4336" s="204" t="s">
        <v>188</v>
      </c>
      <c r="G4336" s="181" t="s">
        <v>6783</v>
      </c>
      <c r="H4336" s="171"/>
    </row>
    <row r="4337" ht="14.25" spans="1:8">
      <c r="A4337" s="176">
        <v>201</v>
      </c>
      <c r="B4337" s="175" t="s">
        <v>6784</v>
      </c>
      <c r="C4337" s="181" t="s">
        <v>272</v>
      </c>
      <c r="D4337" s="190">
        <v>0.02</v>
      </c>
      <c r="E4337" s="204" t="s">
        <v>30</v>
      </c>
      <c r="F4337" s="204" t="s">
        <v>188</v>
      </c>
      <c r="G4337" s="181" t="s">
        <v>1970</v>
      </c>
      <c r="H4337" s="171"/>
    </row>
    <row r="4338" ht="25.5" spans="1:8">
      <c r="A4338" s="176">
        <v>202</v>
      </c>
      <c r="B4338" s="175" t="s">
        <v>6784</v>
      </c>
      <c r="C4338" s="181" t="s">
        <v>272</v>
      </c>
      <c r="D4338" s="190">
        <v>0.02</v>
      </c>
      <c r="E4338" s="204" t="s">
        <v>30</v>
      </c>
      <c r="F4338" s="204" t="s">
        <v>188</v>
      </c>
      <c r="G4338" s="181" t="s">
        <v>6785</v>
      </c>
      <c r="H4338" s="171"/>
    </row>
    <row r="4339" ht="14.25" spans="1:8">
      <c r="A4339" s="176">
        <v>203</v>
      </c>
      <c r="B4339" s="175" t="s">
        <v>6786</v>
      </c>
      <c r="C4339" s="181" t="s">
        <v>272</v>
      </c>
      <c r="D4339" s="190">
        <v>0.04</v>
      </c>
      <c r="E4339" s="204" t="s">
        <v>30</v>
      </c>
      <c r="F4339" s="204" t="s">
        <v>188</v>
      </c>
      <c r="G4339" s="181" t="s">
        <v>6787</v>
      </c>
      <c r="H4339" s="171"/>
    </row>
    <row r="4340" ht="14.25" spans="1:8">
      <c r="A4340" s="176">
        <v>204</v>
      </c>
      <c r="B4340" s="175" t="s">
        <v>6788</v>
      </c>
      <c r="C4340" s="181" t="s">
        <v>272</v>
      </c>
      <c r="D4340" s="190">
        <v>0.04</v>
      </c>
      <c r="E4340" s="204" t="s">
        <v>30</v>
      </c>
      <c r="F4340" s="204" t="s">
        <v>188</v>
      </c>
      <c r="G4340" s="181" t="s">
        <v>6789</v>
      </c>
      <c r="H4340" s="171"/>
    </row>
    <row r="4341" ht="14.25" spans="1:8">
      <c r="A4341" s="176">
        <v>205</v>
      </c>
      <c r="B4341" s="175" t="s">
        <v>6788</v>
      </c>
      <c r="C4341" s="181" t="s">
        <v>272</v>
      </c>
      <c r="D4341" s="190">
        <v>0.02</v>
      </c>
      <c r="E4341" s="204" t="s">
        <v>30</v>
      </c>
      <c r="F4341" s="204" t="s">
        <v>188</v>
      </c>
      <c r="G4341" s="181" t="s">
        <v>6790</v>
      </c>
      <c r="H4341" s="171"/>
    </row>
    <row r="4342" ht="14.25" spans="1:8">
      <c r="A4342" s="176">
        <v>206</v>
      </c>
      <c r="B4342" s="175" t="s">
        <v>382</v>
      </c>
      <c r="C4342" s="181" t="s">
        <v>272</v>
      </c>
      <c r="D4342" s="190">
        <v>0.01</v>
      </c>
      <c r="E4342" s="204" t="s">
        <v>30</v>
      </c>
      <c r="F4342" s="204" t="s">
        <v>188</v>
      </c>
      <c r="G4342" s="181" t="s">
        <v>6791</v>
      </c>
      <c r="H4342" s="171"/>
    </row>
    <row r="4343" ht="14.25" spans="1:8">
      <c r="A4343" s="176">
        <v>207</v>
      </c>
      <c r="B4343" s="175" t="s">
        <v>6792</v>
      </c>
      <c r="C4343" s="181" t="s">
        <v>272</v>
      </c>
      <c r="D4343" s="190">
        <v>0.04</v>
      </c>
      <c r="E4343" s="204" t="s">
        <v>30</v>
      </c>
      <c r="F4343" s="204" t="s">
        <v>188</v>
      </c>
      <c r="G4343" s="181" t="s">
        <v>6793</v>
      </c>
      <c r="H4343" s="171"/>
    </row>
    <row r="4344" ht="14.25" spans="1:8">
      <c r="A4344" s="176">
        <v>208</v>
      </c>
      <c r="B4344" s="175" t="s">
        <v>6792</v>
      </c>
      <c r="C4344" s="181" t="s">
        <v>272</v>
      </c>
      <c r="D4344" s="190">
        <v>0.04</v>
      </c>
      <c r="E4344" s="204" t="s">
        <v>30</v>
      </c>
      <c r="F4344" s="204" t="s">
        <v>188</v>
      </c>
      <c r="G4344" s="181" t="s">
        <v>6794</v>
      </c>
      <c r="H4344" s="171"/>
    </row>
    <row r="4345" ht="14.25" spans="1:8">
      <c r="A4345" s="176">
        <v>209</v>
      </c>
      <c r="B4345" s="175" t="s">
        <v>6600</v>
      </c>
      <c r="C4345" s="181" t="s">
        <v>272</v>
      </c>
      <c r="D4345" s="190">
        <v>0.04</v>
      </c>
      <c r="E4345" s="204" t="s">
        <v>30</v>
      </c>
      <c r="F4345" s="204" t="s">
        <v>188</v>
      </c>
      <c r="G4345" s="181" t="s">
        <v>6795</v>
      </c>
      <c r="H4345" s="171"/>
    </row>
    <row r="4346" ht="14.25" spans="1:8">
      <c r="A4346" s="176">
        <v>210</v>
      </c>
      <c r="B4346" s="175" t="s">
        <v>6796</v>
      </c>
      <c r="C4346" s="181" t="s">
        <v>272</v>
      </c>
      <c r="D4346" s="190">
        <v>0.04</v>
      </c>
      <c r="E4346" s="204" t="s">
        <v>30</v>
      </c>
      <c r="F4346" s="204" t="s">
        <v>188</v>
      </c>
      <c r="G4346" s="181" t="s">
        <v>6797</v>
      </c>
      <c r="H4346" s="171"/>
    </row>
    <row r="4347" ht="14.25" spans="1:8">
      <c r="A4347" s="176">
        <v>211</v>
      </c>
      <c r="B4347" s="175" t="s">
        <v>6796</v>
      </c>
      <c r="C4347" s="181" t="s">
        <v>272</v>
      </c>
      <c r="D4347" s="190">
        <v>0.04</v>
      </c>
      <c r="E4347" s="204" t="s">
        <v>30</v>
      </c>
      <c r="F4347" s="204" t="s">
        <v>188</v>
      </c>
      <c r="G4347" s="181" t="s">
        <v>519</v>
      </c>
      <c r="H4347" s="171"/>
    </row>
    <row r="4348" ht="14.25" spans="1:8">
      <c r="A4348" s="176">
        <v>212</v>
      </c>
      <c r="B4348" s="175" t="s">
        <v>6798</v>
      </c>
      <c r="C4348" s="181" t="s">
        <v>272</v>
      </c>
      <c r="D4348" s="190">
        <v>0.02</v>
      </c>
      <c r="E4348" s="204" t="s">
        <v>30</v>
      </c>
      <c r="F4348" s="204" t="s">
        <v>188</v>
      </c>
      <c r="G4348" s="181" t="s">
        <v>6799</v>
      </c>
      <c r="H4348" s="171"/>
    </row>
    <row r="4349" ht="14.25" spans="1:8">
      <c r="A4349" s="176">
        <v>213</v>
      </c>
      <c r="B4349" s="175" t="s">
        <v>6800</v>
      </c>
      <c r="C4349" s="181" t="s">
        <v>272</v>
      </c>
      <c r="D4349" s="190">
        <v>0.04</v>
      </c>
      <c r="E4349" s="204" t="s">
        <v>30</v>
      </c>
      <c r="F4349" s="204" t="s">
        <v>188</v>
      </c>
      <c r="G4349" s="181" t="s">
        <v>6801</v>
      </c>
      <c r="H4349" s="171"/>
    </row>
    <row r="4350" ht="14.25" spans="1:8">
      <c r="A4350" s="176">
        <v>214</v>
      </c>
      <c r="B4350" s="175" t="s">
        <v>6802</v>
      </c>
      <c r="C4350" s="181" t="s">
        <v>272</v>
      </c>
      <c r="D4350" s="190">
        <v>0.02</v>
      </c>
      <c r="E4350" s="204" t="s">
        <v>30</v>
      </c>
      <c r="F4350" s="204" t="s">
        <v>188</v>
      </c>
      <c r="G4350" s="181" t="s">
        <v>6803</v>
      </c>
      <c r="H4350" s="171"/>
    </row>
    <row r="4351" ht="14.25" spans="1:8">
      <c r="A4351" s="176">
        <v>215</v>
      </c>
      <c r="B4351" s="175" t="s">
        <v>6804</v>
      </c>
      <c r="C4351" s="181" t="s">
        <v>272</v>
      </c>
      <c r="D4351" s="190">
        <v>0.005</v>
      </c>
      <c r="E4351" s="204" t="s">
        <v>30</v>
      </c>
      <c r="F4351" s="204" t="s">
        <v>188</v>
      </c>
      <c r="G4351" s="181" t="s">
        <v>6805</v>
      </c>
      <c r="H4351" s="171"/>
    </row>
    <row r="4352" ht="14.25" spans="1:8">
      <c r="A4352" s="176">
        <v>216</v>
      </c>
      <c r="B4352" s="175" t="s">
        <v>6806</v>
      </c>
      <c r="C4352" s="181" t="s">
        <v>272</v>
      </c>
      <c r="D4352" s="190">
        <v>0.04</v>
      </c>
      <c r="E4352" s="204" t="s">
        <v>30</v>
      </c>
      <c r="F4352" s="204" t="s">
        <v>188</v>
      </c>
      <c r="G4352" s="181" t="s">
        <v>6807</v>
      </c>
      <c r="H4352" s="171"/>
    </row>
    <row r="4353" ht="14.25" spans="1:8">
      <c r="A4353" s="176">
        <v>217</v>
      </c>
      <c r="B4353" s="175" t="s">
        <v>3534</v>
      </c>
      <c r="C4353" s="181" t="s">
        <v>272</v>
      </c>
      <c r="D4353" s="190">
        <v>0.02</v>
      </c>
      <c r="E4353" s="204" t="s">
        <v>30</v>
      </c>
      <c r="F4353" s="204" t="s">
        <v>188</v>
      </c>
      <c r="G4353" s="181" t="s">
        <v>6808</v>
      </c>
      <c r="H4353" s="171"/>
    </row>
    <row r="4354" ht="14.25" spans="1:8">
      <c r="A4354" s="176">
        <v>218</v>
      </c>
      <c r="B4354" s="175" t="s">
        <v>6758</v>
      </c>
      <c r="C4354" s="181" t="s">
        <v>272</v>
      </c>
      <c r="D4354" s="190">
        <v>0.02</v>
      </c>
      <c r="E4354" s="204" t="s">
        <v>30</v>
      </c>
      <c r="F4354" s="204" t="s">
        <v>188</v>
      </c>
      <c r="G4354" s="181" t="s">
        <v>6809</v>
      </c>
      <c r="H4354" s="171"/>
    </row>
    <row r="4355" ht="14.25" spans="1:8">
      <c r="A4355" s="176">
        <v>219</v>
      </c>
      <c r="B4355" s="175" t="s">
        <v>6810</v>
      </c>
      <c r="C4355" s="181" t="s">
        <v>272</v>
      </c>
      <c r="D4355" s="190">
        <v>0.04</v>
      </c>
      <c r="E4355" s="204" t="s">
        <v>30</v>
      </c>
      <c r="F4355" s="204" t="s">
        <v>188</v>
      </c>
      <c r="G4355" s="181" t="s">
        <v>6811</v>
      </c>
      <c r="H4355" s="171"/>
    </row>
    <row r="4356" ht="14.25" spans="1:8">
      <c r="A4356" s="176">
        <v>220</v>
      </c>
      <c r="B4356" s="175" t="s">
        <v>6812</v>
      </c>
      <c r="C4356" s="181" t="s">
        <v>272</v>
      </c>
      <c r="D4356" s="190">
        <v>0.04</v>
      </c>
      <c r="E4356" s="204" t="s">
        <v>30</v>
      </c>
      <c r="F4356" s="204" t="s">
        <v>188</v>
      </c>
      <c r="G4356" s="181" t="s">
        <v>6813</v>
      </c>
      <c r="H4356" s="171"/>
    </row>
    <row r="4357" ht="14.25" spans="1:8">
      <c r="A4357" s="176">
        <v>221</v>
      </c>
      <c r="B4357" s="175" t="s">
        <v>6814</v>
      </c>
      <c r="C4357" s="181" t="s">
        <v>272</v>
      </c>
      <c r="D4357" s="190">
        <v>0.2</v>
      </c>
      <c r="E4357" s="204" t="s">
        <v>30</v>
      </c>
      <c r="F4357" s="204" t="s">
        <v>188</v>
      </c>
      <c r="G4357" s="181" t="s">
        <v>6815</v>
      </c>
      <c r="H4357" s="171"/>
    </row>
    <row r="4358" ht="25.5" spans="1:8">
      <c r="A4358" s="176">
        <v>222</v>
      </c>
      <c r="B4358" s="175" t="s">
        <v>6816</v>
      </c>
      <c r="C4358" s="181" t="s">
        <v>272</v>
      </c>
      <c r="D4358" s="190">
        <v>0.06</v>
      </c>
      <c r="E4358" s="204" t="s">
        <v>30</v>
      </c>
      <c r="F4358" s="204" t="s">
        <v>188</v>
      </c>
      <c r="G4358" s="181" t="s">
        <v>3440</v>
      </c>
      <c r="H4358" s="171"/>
    </row>
    <row r="4359" ht="14.25" spans="1:8">
      <c r="A4359" s="176">
        <v>223</v>
      </c>
      <c r="B4359" s="175" t="s">
        <v>6817</v>
      </c>
      <c r="C4359" s="181" t="s">
        <v>272</v>
      </c>
      <c r="D4359" s="190">
        <v>0.03</v>
      </c>
      <c r="E4359" s="204" t="s">
        <v>30</v>
      </c>
      <c r="F4359" s="204" t="s">
        <v>188</v>
      </c>
      <c r="G4359" s="181" t="s">
        <v>2734</v>
      </c>
      <c r="H4359" s="171"/>
    </row>
    <row r="4360" ht="14.25" spans="1:8">
      <c r="A4360" s="176">
        <v>224</v>
      </c>
      <c r="B4360" s="175" t="s">
        <v>6818</v>
      </c>
      <c r="C4360" s="181" t="s">
        <v>272</v>
      </c>
      <c r="D4360" s="190">
        <v>0.03</v>
      </c>
      <c r="E4360" s="204" t="s">
        <v>30</v>
      </c>
      <c r="F4360" s="204" t="s">
        <v>188</v>
      </c>
      <c r="G4360" s="181" t="s">
        <v>6819</v>
      </c>
      <c r="H4360" s="171"/>
    </row>
    <row r="4361" ht="14.25" spans="1:8">
      <c r="A4361" s="176">
        <v>225</v>
      </c>
      <c r="B4361" s="175" t="s">
        <v>6547</v>
      </c>
      <c r="C4361" s="181" t="s">
        <v>272</v>
      </c>
      <c r="D4361" s="190">
        <v>0.3</v>
      </c>
      <c r="E4361" s="204" t="s">
        <v>30</v>
      </c>
      <c r="F4361" s="204" t="s">
        <v>204</v>
      </c>
      <c r="G4361" s="181" t="s">
        <v>6548</v>
      </c>
      <c r="H4361" s="171"/>
    </row>
    <row r="4362" ht="14.25" spans="1:8">
      <c r="A4362" s="176">
        <v>226</v>
      </c>
      <c r="B4362" s="175" t="s">
        <v>6547</v>
      </c>
      <c r="C4362" s="181" t="s">
        <v>272</v>
      </c>
      <c r="D4362" s="190">
        <v>0.02</v>
      </c>
      <c r="E4362" s="204" t="s">
        <v>30</v>
      </c>
      <c r="F4362" s="204" t="s">
        <v>188</v>
      </c>
      <c r="G4362" s="181" t="s">
        <v>6548</v>
      </c>
      <c r="H4362" s="171"/>
    </row>
    <row r="4363" ht="14.25" spans="1:8">
      <c r="A4363" s="176">
        <v>227</v>
      </c>
      <c r="B4363" s="175" t="s">
        <v>6804</v>
      </c>
      <c r="C4363" s="181" t="s">
        <v>272</v>
      </c>
      <c r="D4363" s="190">
        <v>0.04</v>
      </c>
      <c r="E4363" s="204" t="s">
        <v>30</v>
      </c>
      <c r="F4363" s="204" t="s">
        <v>188</v>
      </c>
      <c r="G4363" s="181" t="s">
        <v>6805</v>
      </c>
      <c r="H4363" s="171"/>
    </row>
    <row r="4364" ht="14.25" spans="1:8">
      <c r="A4364" s="176">
        <v>228</v>
      </c>
      <c r="B4364" s="175" t="s">
        <v>6820</v>
      </c>
      <c r="C4364" s="181" t="s">
        <v>272</v>
      </c>
      <c r="D4364" s="190">
        <v>0.05</v>
      </c>
      <c r="E4364" s="204" t="s">
        <v>30</v>
      </c>
      <c r="F4364" s="204" t="s">
        <v>188</v>
      </c>
      <c r="G4364" s="181" t="s">
        <v>6821</v>
      </c>
      <c r="H4364" s="171"/>
    </row>
    <row r="4365" ht="14.25" spans="1:8">
      <c r="A4365" s="176">
        <v>229</v>
      </c>
      <c r="B4365" s="175" t="s">
        <v>6822</v>
      </c>
      <c r="C4365" s="181" t="s">
        <v>272</v>
      </c>
      <c r="D4365" s="190">
        <v>0.04</v>
      </c>
      <c r="E4365" s="204" t="s">
        <v>30</v>
      </c>
      <c r="F4365" s="204" t="s">
        <v>188</v>
      </c>
      <c r="G4365" s="181" t="s">
        <v>6823</v>
      </c>
      <c r="H4365" s="171"/>
    </row>
    <row r="4366" ht="25.5" spans="1:8">
      <c r="A4366" s="176">
        <v>230</v>
      </c>
      <c r="B4366" s="175" t="s">
        <v>6824</v>
      </c>
      <c r="C4366" s="181" t="s">
        <v>272</v>
      </c>
      <c r="D4366" s="190">
        <v>0.01</v>
      </c>
      <c r="E4366" s="204" t="s">
        <v>30</v>
      </c>
      <c r="F4366" s="204" t="s">
        <v>188</v>
      </c>
      <c r="G4366" s="181" t="s">
        <v>6825</v>
      </c>
      <c r="H4366" s="171"/>
    </row>
    <row r="4367" ht="14.25" spans="1:8">
      <c r="A4367" s="176">
        <v>231</v>
      </c>
      <c r="B4367" s="175" t="s">
        <v>6826</v>
      </c>
      <c r="C4367" s="181" t="s">
        <v>272</v>
      </c>
      <c r="D4367" s="190">
        <v>0.04</v>
      </c>
      <c r="E4367" s="204" t="s">
        <v>30</v>
      </c>
      <c r="F4367" s="204" t="s">
        <v>188</v>
      </c>
      <c r="G4367" s="181" t="s">
        <v>6827</v>
      </c>
      <c r="H4367" s="171"/>
    </row>
    <row r="4368" ht="14.25" spans="1:8">
      <c r="A4368" s="176">
        <v>232</v>
      </c>
      <c r="B4368" s="175" t="s">
        <v>6822</v>
      </c>
      <c r="C4368" s="181" t="s">
        <v>272</v>
      </c>
      <c r="D4368" s="190">
        <v>0.02</v>
      </c>
      <c r="E4368" s="204" t="s">
        <v>30</v>
      </c>
      <c r="F4368" s="204" t="s">
        <v>188</v>
      </c>
      <c r="G4368" s="181" t="s">
        <v>6828</v>
      </c>
      <c r="H4368" s="171"/>
    </row>
    <row r="4369" ht="14.25" spans="1:8">
      <c r="A4369" s="176">
        <v>233</v>
      </c>
      <c r="B4369" s="175" t="s">
        <v>6829</v>
      </c>
      <c r="C4369" s="181" t="s">
        <v>272</v>
      </c>
      <c r="D4369" s="190">
        <v>0.04</v>
      </c>
      <c r="E4369" s="204" t="s">
        <v>30</v>
      </c>
      <c r="F4369" s="204" t="s">
        <v>188</v>
      </c>
      <c r="G4369" s="181" t="s">
        <v>6830</v>
      </c>
      <c r="H4369" s="171"/>
    </row>
    <row r="4370" ht="14.25" spans="1:8">
      <c r="A4370" s="176">
        <v>234</v>
      </c>
      <c r="B4370" s="175" t="s">
        <v>6831</v>
      </c>
      <c r="C4370" s="181" t="s">
        <v>272</v>
      </c>
      <c r="D4370" s="190">
        <v>0.04</v>
      </c>
      <c r="E4370" s="204" t="s">
        <v>30</v>
      </c>
      <c r="F4370" s="204" t="s">
        <v>188</v>
      </c>
      <c r="G4370" s="181" t="s">
        <v>6832</v>
      </c>
      <c r="H4370" s="171"/>
    </row>
    <row r="4371" ht="14.25" spans="1:8">
      <c r="A4371" s="176">
        <v>235</v>
      </c>
      <c r="B4371" s="175" t="s">
        <v>6796</v>
      </c>
      <c r="C4371" s="181" t="s">
        <v>272</v>
      </c>
      <c r="D4371" s="190">
        <v>2</v>
      </c>
      <c r="E4371" s="204" t="s">
        <v>30</v>
      </c>
      <c r="F4371" s="204" t="s">
        <v>204</v>
      </c>
      <c r="G4371" s="181" t="s">
        <v>519</v>
      </c>
      <c r="H4371" s="171"/>
    </row>
    <row r="4372" ht="14.25" spans="1:8">
      <c r="A4372" s="176">
        <v>236</v>
      </c>
      <c r="B4372" s="175" t="s">
        <v>6833</v>
      </c>
      <c r="C4372" s="181" t="s">
        <v>272</v>
      </c>
      <c r="D4372" s="190">
        <v>0.04</v>
      </c>
      <c r="E4372" s="204" t="s">
        <v>30</v>
      </c>
      <c r="F4372" s="204" t="s">
        <v>188</v>
      </c>
      <c r="G4372" s="181" t="s">
        <v>6834</v>
      </c>
      <c r="H4372" s="171"/>
    </row>
    <row r="4373" ht="14.25" spans="1:8">
      <c r="A4373" s="176">
        <v>237</v>
      </c>
      <c r="B4373" s="175" t="s">
        <v>5052</v>
      </c>
      <c r="C4373" s="181" t="s">
        <v>272</v>
      </c>
      <c r="D4373" s="190">
        <v>0.04</v>
      </c>
      <c r="E4373" s="204" t="s">
        <v>30</v>
      </c>
      <c r="F4373" s="204" t="s">
        <v>188</v>
      </c>
      <c r="G4373" s="181" t="s">
        <v>6835</v>
      </c>
      <c r="H4373" s="171"/>
    </row>
    <row r="4374" ht="14.25" spans="1:8">
      <c r="A4374" s="176">
        <v>238</v>
      </c>
      <c r="B4374" s="175" t="s">
        <v>6822</v>
      </c>
      <c r="C4374" s="181" t="s">
        <v>272</v>
      </c>
      <c r="D4374" s="190">
        <v>0.02</v>
      </c>
      <c r="E4374" s="204" t="s">
        <v>30</v>
      </c>
      <c r="F4374" s="204" t="s">
        <v>188</v>
      </c>
      <c r="G4374" s="181" t="s">
        <v>6836</v>
      </c>
      <c r="H4374" s="171"/>
    </row>
    <row r="4375" ht="14.25" spans="1:8">
      <c r="A4375" s="176">
        <v>239</v>
      </c>
      <c r="B4375" s="175" t="s">
        <v>6837</v>
      </c>
      <c r="C4375" s="181" t="s">
        <v>272</v>
      </c>
      <c r="D4375" s="190">
        <v>0.03</v>
      </c>
      <c r="E4375" s="204" t="s">
        <v>30</v>
      </c>
      <c r="F4375" s="204" t="s">
        <v>188</v>
      </c>
      <c r="G4375" s="181" t="s">
        <v>6838</v>
      </c>
      <c r="H4375" s="171"/>
    </row>
    <row r="4376" ht="14.25" spans="1:8">
      <c r="A4376" s="176">
        <v>240</v>
      </c>
      <c r="B4376" s="175" t="s">
        <v>6750</v>
      </c>
      <c r="C4376" s="181" t="s">
        <v>272</v>
      </c>
      <c r="D4376" s="190">
        <v>0.06</v>
      </c>
      <c r="E4376" s="204" t="s">
        <v>30</v>
      </c>
      <c r="F4376" s="204" t="s">
        <v>188</v>
      </c>
      <c r="G4376" s="181" t="s">
        <v>6751</v>
      </c>
      <c r="H4376" s="171"/>
    </row>
    <row r="4377" ht="14.25" spans="1:8">
      <c r="A4377" s="176">
        <v>241</v>
      </c>
      <c r="B4377" s="175" t="s">
        <v>1871</v>
      </c>
      <c r="C4377" s="181" t="s">
        <v>272</v>
      </c>
      <c r="D4377" s="190">
        <v>0.02</v>
      </c>
      <c r="E4377" s="204" t="s">
        <v>30</v>
      </c>
      <c r="F4377" s="204" t="s">
        <v>188</v>
      </c>
      <c r="G4377" s="181" t="s">
        <v>6839</v>
      </c>
      <c r="H4377" s="171"/>
    </row>
    <row r="4378" ht="14.25" spans="1:8">
      <c r="A4378" s="176">
        <v>242</v>
      </c>
      <c r="B4378" s="175" t="s">
        <v>6840</v>
      </c>
      <c r="C4378" s="181" t="s">
        <v>272</v>
      </c>
      <c r="D4378" s="190">
        <v>0.4</v>
      </c>
      <c r="E4378" s="204" t="s">
        <v>30</v>
      </c>
      <c r="F4378" s="204" t="s">
        <v>188</v>
      </c>
      <c r="G4378" s="181" t="s">
        <v>6841</v>
      </c>
      <c r="H4378" s="171"/>
    </row>
    <row r="4379" ht="14.25" spans="1:8">
      <c r="A4379" s="176">
        <v>243</v>
      </c>
      <c r="B4379" s="175" t="s">
        <v>6842</v>
      </c>
      <c r="C4379" s="181" t="s">
        <v>272</v>
      </c>
      <c r="D4379" s="190">
        <v>0.01</v>
      </c>
      <c r="E4379" s="204" t="s">
        <v>30</v>
      </c>
      <c r="F4379" s="204" t="s">
        <v>188</v>
      </c>
      <c r="G4379" s="181" t="s">
        <v>6843</v>
      </c>
      <c r="H4379" s="171"/>
    </row>
    <row r="4380" ht="14.25" spans="1:8">
      <c r="A4380" s="176">
        <v>244</v>
      </c>
      <c r="B4380" s="175" t="s">
        <v>6689</v>
      </c>
      <c r="C4380" s="181" t="s">
        <v>272</v>
      </c>
      <c r="D4380" s="190">
        <v>0.4</v>
      </c>
      <c r="E4380" s="204" t="s">
        <v>30</v>
      </c>
      <c r="F4380" s="204" t="s">
        <v>188</v>
      </c>
      <c r="G4380" s="181" t="s">
        <v>6844</v>
      </c>
      <c r="H4380" s="171"/>
    </row>
    <row r="4381" ht="14.25" spans="1:8">
      <c r="A4381" s="176">
        <v>245</v>
      </c>
      <c r="B4381" s="175" t="s">
        <v>6845</v>
      </c>
      <c r="C4381" s="181" t="s">
        <v>272</v>
      </c>
      <c r="D4381" s="190">
        <v>0.06</v>
      </c>
      <c r="E4381" s="204" t="s">
        <v>30</v>
      </c>
      <c r="F4381" s="204" t="s">
        <v>188</v>
      </c>
      <c r="G4381" s="181" t="s">
        <v>6846</v>
      </c>
      <c r="H4381" s="171"/>
    </row>
    <row r="4382" ht="14.25" spans="1:8">
      <c r="A4382" s="176">
        <v>246</v>
      </c>
      <c r="B4382" s="175" t="s">
        <v>2417</v>
      </c>
      <c r="C4382" s="181" t="s">
        <v>272</v>
      </c>
      <c r="D4382" s="190">
        <v>0.01</v>
      </c>
      <c r="E4382" s="204" t="s">
        <v>30</v>
      </c>
      <c r="F4382" s="204" t="s">
        <v>188</v>
      </c>
      <c r="G4382" s="181" t="s">
        <v>6847</v>
      </c>
      <c r="H4382" s="171"/>
    </row>
    <row r="4383" ht="14.25" spans="1:8">
      <c r="A4383" s="176">
        <v>247</v>
      </c>
      <c r="B4383" s="175" t="s">
        <v>4732</v>
      </c>
      <c r="C4383" s="181" t="s">
        <v>272</v>
      </c>
      <c r="D4383" s="190">
        <v>0.06</v>
      </c>
      <c r="E4383" s="204" t="s">
        <v>30</v>
      </c>
      <c r="F4383" s="204" t="s">
        <v>188</v>
      </c>
      <c r="G4383" s="181" t="s">
        <v>6848</v>
      </c>
      <c r="H4383" s="171"/>
    </row>
    <row r="4384" ht="14.25" spans="1:8">
      <c r="A4384" s="176">
        <v>248</v>
      </c>
      <c r="B4384" s="175" t="s">
        <v>6849</v>
      </c>
      <c r="C4384" s="181" t="s">
        <v>272</v>
      </c>
      <c r="D4384" s="190">
        <v>0.01</v>
      </c>
      <c r="E4384" s="204" t="s">
        <v>30</v>
      </c>
      <c r="F4384" s="204" t="s">
        <v>188</v>
      </c>
      <c r="G4384" s="181" t="s">
        <v>6850</v>
      </c>
      <c r="H4384" s="171"/>
    </row>
    <row r="4385" ht="14.25" spans="1:8">
      <c r="A4385" s="176">
        <v>249</v>
      </c>
      <c r="B4385" s="175" t="s">
        <v>6849</v>
      </c>
      <c r="C4385" s="181" t="s">
        <v>272</v>
      </c>
      <c r="D4385" s="190">
        <v>0.01</v>
      </c>
      <c r="E4385" s="204" t="s">
        <v>30</v>
      </c>
      <c r="F4385" s="204" t="s">
        <v>188</v>
      </c>
      <c r="G4385" s="181" t="s">
        <v>6851</v>
      </c>
      <c r="H4385" s="171"/>
    </row>
    <row r="4386" ht="14.25" spans="1:8">
      <c r="A4386" s="176">
        <v>250</v>
      </c>
      <c r="B4386" s="265" t="s">
        <v>6852</v>
      </c>
      <c r="C4386" s="181" t="s">
        <v>272</v>
      </c>
      <c r="D4386" s="190">
        <v>0.11</v>
      </c>
      <c r="E4386" s="204" t="s">
        <v>30</v>
      </c>
      <c r="F4386" s="204" t="s">
        <v>188</v>
      </c>
      <c r="G4386" s="181" t="s">
        <v>6853</v>
      </c>
      <c r="H4386" s="171"/>
    </row>
    <row r="4387" ht="14.25" spans="1:8">
      <c r="A4387" s="176">
        <v>251</v>
      </c>
      <c r="B4387" s="265" t="s">
        <v>897</v>
      </c>
      <c r="C4387" s="181" t="s">
        <v>272</v>
      </c>
      <c r="D4387" s="190">
        <v>0.2</v>
      </c>
      <c r="E4387" s="204" t="s">
        <v>30</v>
      </c>
      <c r="F4387" s="204" t="s">
        <v>188</v>
      </c>
      <c r="G4387" s="181" t="s">
        <v>6854</v>
      </c>
      <c r="H4387" s="171"/>
    </row>
    <row r="4388" ht="14.25" spans="1:8">
      <c r="A4388" s="176">
        <v>252</v>
      </c>
      <c r="B4388" s="265" t="s">
        <v>1346</v>
      </c>
      <c r="C4388" s="181" t="s">
        <v>272</v>
      </c>
      <c r="D4388" s="190">
        <v>0.1</v>
      </c>
      <c r="E4388" s="204" t="s">
        <v>30</v>
      </c>
      <c r="F4388" s="204" t="s">
        <v>188</v>
      </c>
      <c r="G4388" s="181" t="s">
        <v>3894</v>
      </c>
      <c r="H4388" s="171"/>
    </row>
    <row r="4389" ht="14.25" spans="1:8">
      <c r="A4389" s="176">
        <v>253</v>
      </c>
      <c r="B4389" s="265" t="s">
        <v>4788</v>
      </c>
      <c r="C4389" s="181" t="s">
        <v>272</v>
      </c>
      <c r="D4389" s="190">
        <v>0.26</v>
      </c>
      <c r="E4389" s="204" t="s">
        <v>30</v>
      </c>
      <c r="F4389" s="204" t="s">
        <v>188</v>
      </c>
      <c r="G4389" s="181" t="s">
        <v>6855</v>
      </c>
      <c r="H4389" s="171"/>
    </row>
    <row r="4390" ht="14.25" spans="1:8">
      <c r="A4390" s="176">
        <v>254</v>
      </c>
      <c r="B4390" s="177" t="s">
        <v>6856</v>
      </c>
      <c r="C4390" s="181" t="s">
        <v>272</v>
      </c>
      <c r="D4390" s="190">
        <v>0.02</v>
      </c>
      <c r="E4390" s="204" t="s">
        <v>30</v>
      </c>
      <c r="F4390" s="204" t="s">
        <v>188</v>
      </c>
      <c r="G4390" s="181" t="s">
        <v>6857</v>
      </c>
      <c r="H4390" s="171"/>
    </row>
    <row r="4391" ht="14.25" spans="1:8">
      <c r="A4391" s="176">
        <v>255</v>
      </c>
      <c r="B4391" s="177" t="s">
        <v>6858</v>
      </c>
      <c r="C4391" s="181" t="s">
        <v>272</v>
      </c>
      <c r="D4391" s="190">
        <v>0.1</v>
      </c>
      <c r="E4391" s="204" t="s">
        <v>30</v>
      </c>
      <c r="F4391" s="204" t="s">
        <v>188</v>
      </c>
      <c r="G4391" s="181" t="s">
        <v>3942</v>
      </c>
      <c r="H4391" s="171"/>
    </row>
    <row r="4392" ht="14.25" spans="1:8">
      <c r="A4392" s="176">
        <v>256</v>
      </c>
      <c r="B4392" s="177" t="s">
        <v>998</v>
      </c>
      <c r="C4392" s="181" t="s">
        <v>272</v>
      </c>
      <c r="D4392" s="190">
        <v>0.03</v>
      </c>
      <c r="E4392" s="204" t="s">
        <v>30</v>
      </c>
      <c r="F4392" s="204" t="s">
        <v>188</v>
      </c>
      <c r="G4392" s="181" t="s">
        <v>999</v>
      </c>
      <c r="H4392" s="171"/>
    </row>
    <row r="4393" ht="14.25" spans="1:8">
      <c r="A4393" s="176">
        <v>257</v>
      </c>
      <c r="B4393" s="175" t="s">
        <v>6859</v>
      </c>
      <c r="C4393" s="181" t="s">
        <v>272</v>
      </c>
      <c r="D4393" s="190">
        <v>0.3</v>
      </c>
      <c r="E4393" s="204" t="s">
        <v>30</v>
      </c>
      <c r="F4393" s="204" t="s">
        <v>553</v>
      </c>
      <c r="G4393" s="181" t="s">
        <v>6860</v>
      </c>
      <c r="H4393" s="171"/>
    </row>
    <row r="4394" ht="14.25" spans="1:8">
      <c r="A4394" s="176">
        <v>258</v>
      </c>
      <c r="B4394" s="175" t="s">
        <v>6859</v>
      </c>
      <c r="C4394" s="181" t="s">
        <v>272</v>
      </c>
      <c r="D4394" s="190">
        <v>0.05</v>
      </c>
      <c r="E4394" s="204" t="s">
        <v>30</v>
      </c>
      <c r="F4394" s="204" t="s">
        <v>59</v>
      </c>
      <c r="G4394" s="181" t="s">
        <v>6860</v>
      </c>
      <c r="H4394" s="171"/>
    </row>
    <row r="4395" ht="14.25" spans="1:8">
      <c r="A4395" s="176">
        <v>259</v>
      </c>
      <c r="B4395" s="175" t="s">
        <v>6861</v>
      </c>
      <c r="C4395" s="181" t="s">
        <v>272</v>
      </c>
      <c r="D4395" s="190">
        <v>0.15</v>
      </c>
      <c r="E4395" s="204" t="s">
        <v>30</v>
      </c>
      <c r="F4395" s="204" t="s">
        <v>188</v>
      </c>
      <c r="G4395" s="181" t="s">
        <v>6862</v>
      </c>
      <c r="H4395" s="171"/>
    </row>
    <row r="4396" ht="14.25" spans="1:8">
      <c r="A4396" s="176">
        <v>260</v>
      </c>
      <c r="B4396" s="175" t="s">
        <v>6840</v>
      </c>
      <c r="C4396" s="181" t="s">
        <v>272</v>
      </c>
      <c r="D4396" s="190">
        <v>0.2</v>
      </c>
      <c r="E4396" s="204" t="s">
        <v>30</v>
      </c>
      <c r="F4396" s="204" t="s">
        <v>188</v>
      </c>
      <c r="G4396" s="181" t="s">
        <v>6841</v>
      </c>
      <c r="H4396" s="171"/>
    </row>
    <row r="4397" ht="14.25" spans="1:8">
      <c r="A4397" s="176">
        <v>261</v>
      </c>
      <c r="B4397" s="187" t="s">
        <v>6863</v>
      </c>
      <c r="C4397" s="181" t="s">
        <v>272</v>
      </c>
      <c r="D4397" s="190">
        <v>0.04</v>
      </c>
      <c r="E4397" s="204" t="s">
        <v>30</v>
      </c>
      <c r="F4397" s="204" t="s">
        <v>188</v>
      </c>
      <c r="G4397" s="181" t="s">
        <v>6864</v>
      </c>
      <c r="H4397" s="171"/>
    </row>
    <row r="4398" ht="14.25" spans="1:8">
      <c r="A4398" s="176">
        <v>262</v>
      </c>
      <c r="B4398" s="187" t="s">
        <v>6865</v>
      </c>
      <c r="C4398" s="181" t="s">
        <v>272</v>
      </c>
      <c r="D4398" s="190">
        <v>0.04</v>
      </c>
      <c r="E4398" s="204" t="s">
        <v>30</v>
      </c>
      <c r="F4398" s="204" t="s">
        <v>188</v>
      </c>
      <c r="G4398" s="181" t="s">
        <v>6866</v>
      </c>
      <c r="H4398" s="171"/>
    </row>
    <row r="4399" ht="14.25" spans="1:8">
      <c r="A4399" s="176">
        <v>263</v>
      </c>
      <c r="B4399" s="187" t="s">
        <v>1484</v>
      </c>
      <c r="C4399" s="181" t="s">
        <v>272</v>
      </c>
      <c r="D4399" s="190">
        <v>0.04</v>
      </c>
      <c r="E4399" s="204" t="s">
        <v>30</v>
      </c>
      <c r="F4399" s="204" t="s">
        <v>188</v>
      </c>
      <c r="G4399" s="181" t="s">
        <v>6867</v>
      </c>
      <c r="H4399" s="171"/>
    </row>
    <row r="4400" ht="14.25" spans="1:8">
      <c r="A4400" s="176">
        <v>264</v>
      </c>
      <c r="B4400" s="187" t="s">
        <v>6868</v>
      </c>
      <c r="C4400" s="181" t="s">
        <v>272</v>
      </c>
      <c r="D4400" s="190">
        <v>0.04</v>
      </c>
      <c r="E4400" s="204" t="s">
        <v>30</v>
      </c>
      <c r="F4400" s="204" t="s">
        <v>188</v>
      </c>
      <c r="G4400" s="181" t="s">
        <v>6869</v>
      </c>
      <c r="H4400" s="171"/>
    </row>
    <row r="4401" ht="14.25" spans="1:8">
      <c r="A4401" s="176">
        <v>265</v>
      </c>
      <c r="B4401" s="187" t="s">
        <v>6703</v>
      </c>
      <c r="C4401" s="181" t="s">
        <v>272</v>
      </c>
      <c r="D4401" s="190">
        <v>0.04</v>
      </c>
      <c r="E4401" s="204" t="s">
        <v>30</v>
      </c>
      <c r="F4401" s="204" t="s">
        <v>188</v>
      </c>
      <c r="G4401" s="181" t="s">
        <v>6704</v>
      </c>
      <c r="H4401" s="171"/>
    </row>
    <row r="4402" ht="14.25" spans="1:8">
      <c r="A4402" s="176">
        <v>266</v>
      </c>
      <c r="B4402" s="172" t="s">
        <v>6870</v>
      </c>
      <c r="C4402" s="181" t="s">
        <v>272</v>
      </c>
      <c r="D4402" s="190">
        <v>0.04</v>
      </c>
      <c r="E4402" s="204" t="s">
        <v>30</v>
      </c>
      <c r="F4402" s="204" t="s">
        <v>188</v>
      </c>
      <c r="G4402" s="181" t="s">
        <v>6871</v>
      </c>
      <c r="H4402" s="171"/>
    </row>
    <row r="4403" ht="25.5" spans="1:8">
      <c r="A4403" s="176">
        <v>267</v>
      </c>
      <c r="B4403" s="172" t="s">
        <v>512</v>
      </c>
      <c r="C4403" s="181" t="s">
        <v>272</v>
      </c>
      <c r="D4403" s="190">
        <v>0.12</v>
      </c>
      <c r="E4403" s="204" t="s">
        <v>30</v>
      </c>
      <c r="F4403" s="204" t="s">
        <v>188</v>
      </c>
      <c r="G4403" s="181" t="s">
        <v>3894</v>
      </c>
      <c r="H4403" s="171" t="s">
        <v>1472</v>
      </c>
    </row>
    <row r="4404" ht="14.25" spans="1:8">
      <c r="A4404" s="176">
        <v>268</v>
      </c>
      <c r="B4404" s="172" t="s">
        <v>6872</v>
      </c>
      <c r="C4404" s="181" t="s">
        <v>272</v>
      </c>
      <c r="D4404" s="190">
        <v>0.6</v>
      </c>
      <c r="E4404" s="204" t="s">
        <v>30</v>
      </c>
      <c r="F4404" s="204" t="s">
        <v>188</v>
      </c>
      <c r="G4404" s="181" t="s">
        <v>6873</v>
      </c>
      <c r="H4404" s="171"/>
    </row>
    <row r="4405" ht="14.25" spans="1:8">
      <c r="A4405" s="176">
        <v>269</v>
      </c>
      <c r="B4405" s="172" t="s">
        <v>6750</v>
      </c>
      <c r="C4405" s="181" t="s">
        <v>272</v>
      </c>
      <c r="D4405" s="190">
        <v>0.1</v>
      </c>
      <c r="E4405" s="204" t="s">
        <v>30</v>
      </c>
      <c r="F4405" s="204" t="s">
        <v>188</v>
      </c>
      <c r="G4405" s="181" t="s">
        <v>6751</v>
      </c>
      <c r="H4405" s="171"/>
    </row>
    <row r="4406" ht="14.25" spans="1:8">
      <c r="A4406" s="176">
        <v>270</v>
      </c>
      <c r="B4406" s="172" t="s">
        <v>6874</v>
      </c>
      <c r="C4406" s="181" t="s">
        <v>272</v>
      </c>
      <c r="D4406" s="190">
        <v>0.08</v>
      </c>
      <c r="E4406" s="204" t="s">
        <v>30</v>
      </c>
      <c r="F4406" s="204" t="s">
        <v>188</v>
      </c>
      <c r="G4406" s="181" t="s">
        <v>6875</v>
      </c>
      <c r="H4406" s="171"/>
    </row>
    <row r="4407" ht="14.25" spans="1:8">
      <c r="A4407" s="176">
        <v>271</v>
      </c>
      <c r="B4407" s="172" t="s">
        <v>3928</v>
      </c>
      <c r="C4407" s="181" t="s">
        <v>272</v>
      </c>
      <c r="D4407" s="190">
        <v>0.1</v>
      </c>
      <c r="E4407" s="204" t="s">
        <v>30</v>
      </c>
      <c r="F4407" s="204" t="s">
        <v>188</v>
      </c>
      <c r="G4407" s="181" t="s">
        <v>6876</v>
      </c>
      <c r="H4407" s="171"/>
    </row>
    <row r="4408" ht="14.25" spans="1:8">
      <c r="A4408" s="176">
        <v>272</v>
      </c>
      <c r="B4408" s="172" t="s">
        <v>6877</v>
      </c>
      <c r="C4408" s="181" t="s">
        <v>272</v>
      </c>
      <c r="D4408" s="190">
        <v>0.06</v>
      </c>
      <c r="E4408" s="204" t="s">
        <v>30</v>
      </c>
      <c r="F4408" s="204" t="s">
        <v>188</v>
      </c>
      <c r="G4408" s="181" t="s">
        <v>6878</v>
      </c>
      <c r="H4408" s="171"/>
    </row>
    <row r="4409" ht="14.25" spans="1:8">
      <c r="A4409" s="176">
        <v>273</v>
      </c>
      <c r="B4409" s="172" t="s">
        <v>6879</v>
      </c>
      <c r="C4409" s="181" t="s">
        <v>272</v>
      </c>
      <c r="D4409" s="190">
        <v>0.06</v>
      </c>
      <c r="E4409" s="204" t="s">
        <v>30</v>
      </c>
      <c r="F4409" s="204" t="s">
        <v>188</v>
      </c>
      <c r="G4409" s="181" t="s">
        <v>6880</v>
      </c>
      <c r="H4409" s="171"/>
    </row>
    <row r="4410" ht="14.25" spans="1:8">
      <c r="A4410" s="176">
        <v>274</v>
      </c>
      <c r="B4410" s="175" t="s">
        <v>5638</v>
      </c>
      <c r="C4410" s="181" t="s">
        <v>272</v>
      </c>
      <c r="D4410" s="190">
        <v>0.02</v>
      </c>
      <c r="E4410" s="204" t="s">
        <v>30</v>
      </c>
      <c r="F4410" s="204" t="s">
        <v>188</v>
      </c>
      <c r="G4410" s="181" t="s">
        <v>6881</v>
      </c>
      <c r="H4410" s="171"/>
    </row>
    <row r="4411" ht="14.25" spans="1:8">
      <c r="A4411" s="176">
        <v>275</v>
      </c>
      <c r="B4411" s="175" t="s">
        <v>6800</v>
      </c>
      <c r="C4411" s="181" t="s">
        <v>272</v>
      </c>
      <c r="D4411" s="190">
        <v>0.02</v>
      </c>
      <c r="E4411" s="204" t="s">
        <v>30</v>
      </c>
      <c r="F4411" s="204" t="s">
        <v>188</v>
      </c>
      <c r="G4411" s="181" t="s">
        <v>6882</v>
      </c>
      <c r="H4411" s="171"/>
    </row>
    <row r="4412" ht="14.25" spans="1:8">
      <c r="A4412" s="176">
        <v>276</v>
      </c>
      <c r="B4412" s="175" t="s">
        <v>6883</v>
      </c>
      <c r="C4412" s="181" t="s">
        <v>272</v>
      </c>
      <c r="D4412" s="190">
        <v>0.02</v>
      </c>
      <c r="E4412" s="204" t="s">
        <v>30</v>
      </c>
      <c r="F4412" s="204" t="s">
        <v>188</v>
      </c>
      <c r="G4412" s="181" t="s">
        <v>6884</v>
      </c>
      <c r="H4412" s="171"/>
    </row>
    <row r="4413" ht="14.25" spans="1:8">
      <c r="A4413" s="176">
        <v>277</v>
      </c>
      <c r="B4413" s="175" t="s">
        <v>753</v>
      </c>
      <c r="C4413" s="181" t="s">
        <v>272</v>
      </c>
      <c r="D4413" s="190">
        <v>0.04</v>
      </c>
      <c r="E4413" s="204" t="s">
        <v>30</v>
      </c>
      <c r="F4413" s="204" t="s">
        <v>188</v>
      </c>
      <c r="G4413" s="181" t="s">
        <v>6885</v>
      </c>
      <c r="H4413" s="171"/>
    </row>
    <row r="4414" ht="14.25" spans="1:8">
      <c r="A4414" s="176">
        <v>278</v>
      </c>
      <c r="B4414" s="175" t="s">
        <v>6886</v>
      </c>
      <c r="C4414" s="181" t="s">
        <v>272</v>
      </c>
      <c r="D4414" s="190">
        <v>0.02</v>
      </c>
      <c r="E4414" s="204" t="s">
        <v>30</v>
      </c>
      <c r="F4414" s="204" t="s">
        <v>188</v>
      </c>
      <c r="G4414" s="181" t="s">
        <v>6887</v>
      </c>
      <c r="H4414" s="171"/>
    </row>
    <row r="4415" ht="14.25" spans="1:8">
      <c r="A4415" s="176">
        <v>279</v>
      </c>
      <c r="B4415" s="175" t="s">
        <v>6587</v>
      </c>
      <c r="C4415" s="181" t="s">
        <v>272</v>
      </c>
      <c r="D4415" s="190">
        <v>0.02</v>
      </c>
      <c r="E4415" s="204" t="s">
        <v>30</v>
      </c>
      <c r="F4415" s="204" t="s">
        <v>188</v>
      </c>
      <c r="G4415" s="181" t="s">
        <v>6674</v>
      </c>
      <c r="H4415" s="171"/>
    </row>
    <row r="4416" ht="14.25" spans="1:8">
      <c r="A4416" s="176">
        <v>280</v>
      </c>
      <c r="B4416" s="175" t="s">
        <v>6798</v>
      </c>
      <c r="C4416" s="181" t="s">
        <v>272</v>
      </c>
      <c r="D4416" s="190">
        <v>0.04</v>
      </c>
      <c r="E4416" s="204" t="s">
        <v>30</v>
      </c>
      <c r="F4416" s="204" t="s">
        <v>188</v>
      </c>
      <c r="G4416" s="181" t="s">
        <v>6799</v>
      </c>
      <c r="H4416" s="171"/>
    </row>
    <row r="4417" ht="14.25" spans="1:8">
      <c r="A4417" s="176">
        <v>281</v>
      </c>
      <c r="B4417" s="175" t="s">
        <v>6888</v>
      </c>
      <c r="C4417" s="181" t="s">
        <v>272</v>
      </c>
      <c r="D4417" s="190">
        <v>0.01</v>
      </c>
      <c r="E4417" s="204" t="s">
        <v>30</v>
      </c>
      <c r="F4417" s="204" t="s">
        <v>188</v>
      </c>
      <c r="G4417" s="181" t="s">
        <v>6889</v>
      </c>
      <c r="H4417" s="171"/>
    </row>
    <row r="4418" ht="14.25" spans="1:8">
      <c r="A4418" s="176">
        <v>282</v>
      </c>
      <c r="B4418" s="175" t="s">
        <v>6888</v>
      </c>
      <c r="C4418" s="181" t="s">
        <v>272</v>
      </c>
      <c r="D4418" s="190">
        <v>0.01</v>
      </c>
      <c r="E4418" s="204" t="s">
        <v>30</v>
      </c>
      <c r="F4418" s="204" t="s">
        <v>188</v>
      </c>
      <c r="G4418" s="181" t="s">
        <v>6890</v>
      </c>
      <c r="H4418" s="171"/>
    </row>
    <row r="4419" ht="14.25" spans="1:8">
      <c r="A4419" s="176">
        <v>283</v>
      </c>
      <c r="B4419" s="175" t="s">
        <v>6888</v>
      </c>
      <c r="C4419" s="181" t="s">
        <v>272</v>
      </c>
      <c r="D4419" s="190">
        <v>0.01</v>
      </c>
      <c r="E4419" s="204" t="s">
        <v>30</v>
      </c>
      <c r="F4419" s="204" t="s">
        <v>188</v>
      </c>
      <c r="G4419" s="181" t="s">
        <v>6891</v>
      </c>
      <c r="H4419" s="171"/>
    </row>
    <row r="4420" ht="14.25" spans="1:8">
      <c r="A4420" s="176">
        <v>284</v>
      </c>
      <c r="B4420" s="175" t="s">
        <v>6892</v>
      </c>
      <c r="C4420" s="181" t="s">
        <v>272</v>
      </c>
      <c r="D4420" s="190">
        <v>0.03</v>
      </c>
      <c r="E4420" s="204" t="s">
        <v>30</v>
      </c>
      <c r="F4420" s="204" t="s">
        <v>188</v>
      </c>
      <c r="G4420" s="181" t="s">
        <v>6893</v>
      </c>
      <c r="H4420" s="171"/>
    </row>
    <row r="4421" ht="14.25" spans="1:8">
      <c r="A4421" s="176">
        <v>285</v>
      </c>
      <c r="B4421" s="175" t="s">
        <v>6894</v>
      </c>
      <c r="C4421" s="181" t="s">
        <v>272</v>
      </c>
      <c r="D4421" s="190">
        <v>0.07</v>
      </c>
      <c r="E4421" s="204" t="s">
        <v>30</v>
      </c>
      <c r="F4421" s="204" t="s">
        <v>188</v>
      </c>
      <c r="G4421" s="181" t="s">
        <v>6895</v>
      </c>
      <c r="H4421" s="171"/>
    </row>
    <row r="4422" ht="25.5" spans="1:8">
      <c r="A4422" s="176">
        <v>286</v>
      </c>
      <c r="B4422" s="175" t="s">
        <v>6896</v>
      </c>
      <c r="C4422" s="181" t="s">
        <v>272</v>
      </c>
      <c r="D4422" s="190">
        <v>0.02</v>
      </c>
      <c r="E4422" s="204" t="s">
        <v>30</v>
      </c>
      <c r="F4422" s="204" t="s">
        <v>188</v>
      </c>
      <c r="G4422" s="181" t="s">
        <v>6897</v>
      </c>
      <c r="H4422" s="171"/>
    </row>
    <row r="4423" ht="14.25" spans="1:8">
      <c r="A4423" s="176">
        <v>287</v>
      </c>
      <c r="B4423" s="175" t="s">
        <v>6898</v>
      </c>
      <c r="C4423" s="181" t="s">
        <v>272</v>
      </c>
      <c r="D4423" s="190">
        <v>0.02</v>
      </c>
      <c r="E4423" s="204" t="s">
        <v>30</v>
      </c>
      <c r="F4423" s="204" t="s">
        <v>188</v>
      </c>
      <c r="G4423" s="181" t="s">
        <v>6899</v>
      </c>
      <c r="H4423" s="171"/>
    </row>
    <row r="4424" ht="14.25" spans="1:8">
      <c r="A4424" s="176">
        <v>288</v>
      </c>
      <c r="B4424" s="175" t="s">
        <v>6900</v>
      </c>
      <c r="C4424" s="181" t="s">
        <v>272</v>
      </c>
      <c r="D4424" s="190">
        <v>0.01</v>
      </c>
      <c r="E4424" s="204" t="s">
        <v>30</v>
      </c>
      <c r="F4424" s="204" t="s">
        <v>188</v>
      </c>
      <c r="G4424" s="181" t="s">
        <v>6901</v>
      </c>
      <c r="H4424" s="171"/>
    </row>
    <row r="4425" ht="14.25" spans="1:8">
      <c r="A4425" s="176">
        <v>289</v>
      </c>
      <c r="B4425" s="175" t="s">
        <v>6765</v>
      </c>
      <c r="C4425" s="181" t="s">
        <v>272</v>
      </c>
      <c r="D4425" s="190">
        <v>0.05</v>
      </c>
      <c r="E4425" s="204" t="s">
        <v>30</v>
      </c>
      <c r="F4425" s="204" t="s">
        <v>188</v>
      </c>
      <c r="G4425" s="181" t="s">
        <v>6766</v>
      </c>
      <c r="H4425" s="171"/>
    </row>
    <row r="4426" ht="25.5" spans="1:8">
      <c r="A4426" s="176">
        <v>290</v>
      </c>
      <c r="B4426" s="175" t="s">
        <v>6902</v>
      </c>
      <c r="C4426" s="181" t="s">
        <v>272</v>
      </c>
      <c r="D4426" s="190">
        <v>0.04</v>
      </c>
      <c r="E4426" s="204" t="s">
        <v>30</v>
      </c>
      <c r="F4426" s="204" t="s">
        <v>188</v>
      </c>
      <c r="G4426" s="181" t="s">
        <v>1087</v>
      </c>
      <c r="H4426" s="171" t="s">
        <v>1883</v>
      </c>
    </row>
    <row r="4427" ht="14.25" spans="1:8">
      <c r="A4427" s="176">
        <v>291</v>
      </c>
      <c r="B4427" s="175" t="s">
        <v>2154</v>
      </c>
      <c r="C4427" s="181" t="s">
        <v>272</v>
      </c>
      <c r="D4427" s="190">
        <v>0.01</v>
      </c>
      <c r="E4427" s="204" t="s">
        <v>30</v>
      </c>
      <c r="F4427" s="204" t="s">
        <v>188</v>
      </c>
      <c r="G4427" s="181" t="s">
        <v>6903</v>
      </c>
      <c r="H4427" s="171"/>
    </row>
    <row r="4428" ht="14.25" spans="1:8">
      <c r="A4428" s="176">
        <v>292</v>
      </c>
      <c r="B4428" s="175" t="s">
        <v>6904</v>
      </c>
      <c r="C4428" s="181" t="s">
        <v>272</v>
      </c>
      <c r="D4428" s="190">
        <v>0.11</v>
      </c>
      <c r="E4428" s="204" t="s">
        <v>30</v>
      </c>
      <c r="F4428" s="204" t="s">
        <v>188</v>
      </c>
      <c r="G4428" s="181" t="s">
        <v>2055</v>
      </c>
      <c r="H4428" s="171" t="s">
        <v>672</v>
      </c>
    </row>
    <row r="4429" ht="14.25" spans="1:8">
      <c r="A4429" s="176">
        <v>293</v>
      </c>
      <c r="B4429" s="175" t="s">
        <v>6905</v>
      </c>
      <c r="C4429" s="181" t="s">
        <v>272</v>
      </c>
      <c r="D4429" s="190">
        <v>0.04</v>
      </c>
      <c r="E4429" s="204" t="s">
        <v>30</v>
      </c>
      <c r="F4429" s="204" t="s">
        <v>188</v>
      </c>
      <c r="G4429" s="181" t="s">
        <v>6906</v>
      </c>
      <c r="H4429" s="171"/>
    </row>
    <row r="4430" ht="14.25" spans="1:8">
      <c r="A4430" s="176">
        <v>294</v>
      </c>
      <c r="B4430" s="175" t="s">
        <v>6907</v>
      </c>
      <c r="C4430" s="181" t="s">
        <v>272</v>
      </c>
      <c r="D4430" s="190">
        <v>0.02</v>
      </c>
      <c r="E4430" s="204" t="s">
        <v>30</v>
      </c>
      <c r="F4430" s="204" t="s">
        <v>188</v>
      </c>
      <c r="G4430" s="181" t="s">
        <v>6908</v>
      </c>
      <c r="H4430" s="171"/>
    </row>
    <row r="4431" ht="14.25" spans="1:8">
      <c r="A4431" s="176">
        <v>295</v>
      </c>
      <c r="B4431" s="175" t="s">
        <v>6909</v>
      </c>
      <c r="C4431" s="181" t="s">
        <v>272</v>
      </c>
      <c r="D4431" s="190">
        <v>0.01</v>
      </c>
      <c r="E4431" s="204" t="s">
        <v>30</v>
      </c>
      <c r="F4431" s="204" t="s">
        <v>188</v>
      </c>
      <c r="G4431" s="181" t="s">
        <v>4293</v>
      </c>
      <c r="H4431" s="171"/>
    </row>
    <row r="4432" ht="14.25" spans="1:8">
      <c r="A4432" s="176">
        <v>296</v>
      </c>
      <c r="B4432" s="175" t="s">
        <v>6910</v>
      </c>
      <c r="C4432" s="181" t="s">
        <v>272</v>
      </c>
      <c r="D4432" s="190">
        <v>0.02</v>
      </c>
      <c r="E4432" s="204" t="s">
        <v>30</v>
      </c>
      <c r="F4432" s="204" t="s">
        <v>188</v>
      </c>
      <c r="G4432" s="181" t="s">
        <v>6911</v>
      </c>
      <c r="H4432" s="171"/>
    </row>
    <row r="4433" ht="14.25" spans="1:8">
      <c r="A4433" s="176">
        <v>297</v>
      </c>
      <c r="B4433" s="175" t="s">
        <v>6912</v>
      </c>
      <c r="C4433" s="181" t="s">
        <v>272</v>
      </c>
      <c r="D4433" s="190">
        <v>0.04</v>
      </c>
      <c r="E4433" s="204" t="s">
        <v>30</v>
      </c>
      <c r="F4433" s="204" t="s">
        <v>188</v>
      </c>
      <c r="G4433" s="181" t="s">
        <v>6913</v>
      </c>
      <c r="H4433" s="171"/>
    </row>
    <row r="4434" ht="14.25" spans="1:8">
      <c r="A4434" s="176">
        <v>298</v>
      </c>
      <c r="B4434" s="175" t="s">
        <v>6914</v>
      </c>
      <c r="C4434" s="181" t="s">
        <v>272</v>
      </c>
      <c r="D4434" s="190">
        <v>0.02</v>
      </c>
      <c r="E4434" s="204" t="s">
        <v>30</v>
      </c>
      <c r="F4434" s="204" t="s">
        <v>188</v>
      </c>
      <c r="G4434" s="181" t="s">
        <v>6915</v>
      </c>
      <c r="H4434" s="171"/>
    </row>
    <row r="4435" ht="14.25" spans="1:8">
      <c r="A4435" s="176">
        <v>299</v>
      </c>
      <c r="B4435" s="175" t="s">
        <v>6916</v>
      </c>
      <c r="C4435" s="181" t="s">
        <v>272</v>
      </c>
      <c r="D4435" s="190">
        <v>0.02</v>
      </c>
      <c r="E4435" s="204" t="s">
        <v>30</v>
      </c>
      <c r="F4435" s="204" t="s">
        <v>188</v>
      </c>
      <c r="G4435" s="181" t="s">
        <v>6917</v>
      </c>
      <c r="H4435" s="171"/>
    </row>
    <row r="4436" ht="14.25" spans="1:8">
      <c r="A4436" s="176">
        <v>300</v>
      </c>
      <c r="B4436" s="175" t="s">
        <v>6918</v>
      </c>
      <c r="C4436" s="181" t="s">
        <v>272</v>
      </c>
      <c r="D4436" s="190">
        <v>0.1</v>
      </c>
      <c r="E4436" s="204" t="s">
        <v>30</v>
      </c>
      <c r="F4436" s="204" t="s">
        <v>188</v>
      </c>
      <c r="G4436" s="181" t="s">
        <v>6919</v>
      </c>
      <c r="H4436" s="171"/>
    </row>
    <row r="4437" ht="14.25" spans="1:8">
      <c r="A4437" s="176">
        <v>301</v>
      </c>
      <c r="B4437" s="175" t="s">
        <v>6920</v>
      </c>
      <c r="C4437" s="181" t="s">
        <v>272</v>
      </c>
      <c r="D4437" s="190">
        <v>0.02</v>
      </c>
      <c r="E4437" s="204" t="s">
        <v>30</v>
      </c>
      <c r="F4437" s="204" t="s">
        <v>188</v>
      </c>
      <c r="G4437" s="181" t="s">
        <v>6921</v>
      </c>
      <c r="H4437" s="171"/>
    </row>
    <row r="4438" ht="14.25" spans="1:8">
      <c r="A4438" s="176">
        <v>302</v>
      </c>
      <c r="B4438" s="175" t="s">
        <v>6922</v>
      </c>
      <c r="C4438" s="181" t="s">
        <v>272</v>
      </c>
      <c r="D4438" s="190">
        <v>0.01</v>
      </c>
      <c r="E4438" s="204" t="s">
        <v>30</v>
      </c>
      <c r="F4438" s="204" t="s">
        <v>188</v>
      </c>
      <c r="G4438" s="181" t="s">
        <v>6923</v>
      </c>
      <c r="H4438" s="171"/>
    </row>
    <row r="4439" ht="14.25" spans="1:8">
      <c r="A4439" s="176">
        <v>303</v>
      </c>
      <c r="B4439" s="175" t="s">
        <v>6924</v>
      </c>
      <c r="C4439" s="181" t="s">
        <v>272</v>
      </c>
      <c r="D4439" s="190">
        <v>0.04</v>
      </c>
      <c r="E4439" s="204" t="s">
        <v>30</v>
      </c>
      <c r="F4439" s="204" t="s">
        <v>188</v>
      </c>
      <c r="G4439" s="181" t="s">
        <v>6925</v>
      </c>
      <c r="H4439" s="171"/>
    </row>
    <row r="4440" ht="14.25" spans="1:8">
      <c r="A4440" s="176">
        <v>304</v>
      </c>
      <c r="B4440" s="175" t="s">
        <v>6926</v>
      </c>
      <c r="C4440" s="181" t="s">
        <v>272</v>
      </c>
      <c r="D4440" s="190">
        <v>0.01</v>
      </c>
      <c r="E4440" s="204" t="s">
        <v>30</v>
      </c>
      <c r="F4440" s="204" t="s">
        <v>188</v>
      </c>
      <c r="G4440" s="181" t="s">
        <v>6927</v>
      </c>
      <c r="H4440" s="171"/>
    </row>
    <row r="4441" ht="14.25" spans="1:8">
      <c r="A4441" s="176">
        <v>305</v>
      </c>
      <c r="B4441" s="175" t="s">
        <v>6924</v>
      </c>
      <c r="C4441" s="181" t="s">
        <v>272</v>
      </c>
      <c r="D4441" s="190">
        <v>0.04</v>
      </c>
      <c r="E4441" s="204" t="s">
        <v>30</v>
      </c>
      <c r="F4441" s="204" t="s">
        <v>188</v>
      </c>
      <c r="G4441" s="181" t="s">
        <v>6928</v>
      </c>
      <c r="H4441" s="171"/>
    </row>
    <row r="4442" ht="14.25" spans="1:8">
      <c r="A4442" s="176">
        <v>306</v>
      </c>
      <c r="B4442" s="175" t="s">
        <v>6929</v>
      </c>
      <c r="C4442" s="181" t="s">
        <v>272</v>
      </c>
      <c r="D4442" s="190">
        <v>0.03</v>
      </c>
      <c r="E4442" s="204" t="s">
        <v>30</v>
      </c>
      <c r="F4442" s="204" t="s">
        <v>188</v>
      </c>
      <c r="G4442" s="181" t="s">
        <v>6930</v>
      </c>
      <c r="H4442" s="171"/>
    </row>
    <row r="4443" ht="14.25" spans="1:8">
      <c r="A4443" s="176">
        <v>307</v>
      </c>
      <c r="B4443" s="175" t="s">
        <v>6931</v>
      </c>
      <c r="C4443" s="181" t="s">
        <v>272</v>
      </c>
      <c r="D4443" s="190">
        <v>0.02</v>
      </c>
      <c r="E4443" s="204" t="s">
        <v>30</v>
      </c>
      <c r="F4443" s="204" t="s">
        <v>188</v>
      </c>
      <c r="G4443" s="181" t="s">
        <v>6932</v>
      </c>
      <c r="H4443" s="171"/>
    </row>
    <row r="4444" ht="14.25" spans="1:8">
      <c r="A4444" s="176">
        <v>308</v>
      </c>
      <c r="B4444" s="175" t="s">
        <v>6569</v>
      </c>
      <c r="C4444" s="181" t="s">
        <v>272</v>
      </c>
      <c r="D4444" s="190">
        <v>0.03</v>
      </c>
      <c r="E4444" s="204" t="s">
        <v>30</v>
      </c>
      <c r="F4444" s="204" t="s">
        <v>188</v>
      </c>
      <c r="G4444" s="181" t="s">
        <v>6933</v>
      </c>
      <c r="H4444" s="171"/>
    </row>
    <row r="4445" ht="14.25" spans="1:8">
      <c r="A4445" s="176">
        <v>309</v>
      </c>
      <c r="B4445" s="175" t="s">
        <v>6934</v>
      </c>
      <c r="C4445" s="181" t="s">
        <v>272</v>
      </c>
      <c r="D4445" s="190">
        <v>0.03</v>
      </c>
      <c r="E4445" s="204" t="s">
        <v>30</v>
      </c>
      <c r="F4445" s="204" t="s">
        <v>188</v>
      </c>
      <c r="G4445" s="181" t="s">
        <v>6935</v>
      </c>
      <c r="H4445" s="171"/>
    </row>
    <row r="4446" ht="14.25" spans="1:8">
      <c r="A4446" s="176">
        <v>310</v>
      </c>
      <c r="B4446" s="175" t="s">
        <v>6936</v>
      </c>
      <c r="C4446" s="181" t="s">
        <v>272</v>
      </c>
      <c r="D4446" s="190">
        <v>0.2</v>
      </c>
      <c r="E4446" s="204" t="s">
        <v>30</v>
      </c>
      <c r="F4446" s="204" t="s">
        <v>188</v>
      </c>
      <c r="G4446" s="181" t="s">
        <v>6937</v>
      </c>
      <c r="H4446" s="171"/>
    </row>
    <row r="4447" ht="14.25" spans="1:8">
      <c r="A4447" s="176">
        <v>311</v>
      </c>
      <c r="B4447" s="175" t="s">
        <v>6936</v>
      </c>
      <c r="C4447" s="181" t="s">
        <v>272</v>
      </c>
      <c r="D4447" s="190">
        <v>0.03</v>
      </c>
      <c r="E4447" s="204" t="s">
        <v>30</v>
      </c>
      <c r="F4447" s="204" t="s">
        <v>188</v>
      </c>
      <c r="G4447" s="181" t="s">
        <v>6938</v>
      </c>
      <c r="H4447" s="171"/>
    </row>
    <row r="4448" ht="14.25" spans="1:8">
      <c r="A4448" s="176">
        <v>312</v>
      </c>
      <c r="B4448" s="175" t="s">
        <v>6939</v>
      </c>
      <c r="C4448" s="181" t="s">
        <v>272</v>
      </c>
      <c r="D4448" s="190">
        <v>0.05</v>
      </c>
      <c r="E4448" s="204" t="s">
        <v>30</v>
      </c>
      <c r="F4448" s="204" t="s">
        <v>188</v>
      </c>
      <c r="G4448" s="181" t="s">
        <v>6940</v>
      </c>
      <c r="H4448" s="171"/>
    </row>
    <row r="4449" ht="14.25" spans="1:8">
      <c r="A4449" s="176">
        <v>313</v>
      </c>
      <c r="B4449" s="175" t="s">
        <v>6941</v>
      </c>
      <c r="C4449" s="181" t="s">
        <v>272</v>
      </c>
      <c r="D4449" s="190">
        <v>0.15</v>
      </c>
      <c r="E4449" s="204" t="s">
        <v>30</v>
      </c>
      <c r="F4449" s="204" t="s">
        <v>188</v>
      </c>
      <c r="G4449" s="181" t="s">
        <v>6942</v>
      </c>
      <c r="H4449" s="171"/>
    </row>
    <row r="4450" ht="25.5" spans="1:8">
      <c r="A4450" s="176">
        <v>314</v>
      </c>
      <c r="B4450" s="175" t="s">
        <v>6684</v>
      </c>
      <c r="C4450" s="181" t="s">
        <v>272</v>
      </c>
      <c r="D4450" s="190">
        <v>0.04</v>
      </c>
      <c r="E4450" s="204" t="s">
        <v>30</v>
      </c>
      <c r="F4450" s="204" t="s">
        <v>188</v>
      </c>
      <c r="G4450" s="181" t="s">
        <v>6685</v>
      </c>
      <c r="H4450" s="171" t="s">
        <v>701</v>
      </c>
    </row>
    <row r="4451" ht="14.25" spans="1:8">
      <c r="A4451" s="176">
        <v>315</v>
      </c>
      <c r="B4451" s="175" t="s">
        <v>4074</v>
      </c>
      <c r="C4451" s="181" t="s">
        <v>272</v>
      </c>
      <c r="D4451" s="190">
        <v>0.02</v>
      </c>
      <c r="E4451" s="204" t="s">
        <v>30</v>
      </c>
      <c r="F4451" s="204" t="s">
        <v>188</v>
      </c>
      <c r="G4451" s="181" t="s">
        <v>6943</v>
      </c>
      <c r="H4451" s="171"/>
    </row>
    <row r="4452" ht="14.25" spans="1:8">
      <c r="A4452" s="176">
        <v>316</v>
      </c>
      <c r="B4452" s="175" t="s">
        <v>6944</v>
      </c>
      <c r="C4452" s="181" t="s">
        <v>272</v>
      </c>
      <c r="D4452" s="190">
        <v>0.01</v>
      </c>
      <c r="E4452" s="204" t="s">
        <v>30</v>
      </c>
      <c r="F4452" s="204" t="s">
        <v>188</v>
      </c>
      <c r="G4452" s="181" t="s">
        <v>6945</v>
      </c>
      <c r="H4452" s="171"/>
    </row>
    <row r="4453" ht="14.25" spans="1:8">
      <c r="A4453" s="176">
        <v>317</v>
      </c>
      <c r="B4453" s="175" t="s">
        <v>5519</v>
      </c>
      <c r="C4453" s="181" t="s">
        <v>272</v>
      </c>
      <c r="D4453" s="190">
        <v>0.0165</v>
      </c>
      <c r="E4453" s="204" t="s">
        <v>30</v>
      </c>
      <c r="F4453" s="204" t="s">
        <v>188</v>
      </c>
      <c r="G4453" s="181" t="s">
        <v>6946</v>
      </c>
      <c r="H4453" s="171"/>
    </row>
    <row r="4454" ht="14.25" spans="1:8">
      <c r="A4454" s="176">
        <v>318</v>
      </c>
      <c r="B4454" s="175" t="s">
        <v>712</v>
      </c>
      <c r="C4454" s="181" t="s">
        <v>272</v>
      </c>
      <c r="D4454" s="190">
        <v>0.016</v>
      </c>
      <c r="E4454" s="204" t="s">
        <v>30</v>
      </c>
      <c r="F4454" s="204" t="s">
        <v>188</v>
      </c>
      <c r="G4454" s="181" t="s">
        <v>6947</v>
      </c>
      <c r="H4454" s="171"/>
    </row>
    <row r="4455" ht="14.25" spans="1:8">
      <c r="A4455" s="176">
        <v>319</v>
      </c>
      <c r="B4455" s="175" t="s">
        <v>6948</v>
      </c>
      <c r="C4455" s="181" t="s">
        <v>272</v>
      </c>
      <c r="D4455" s="190">
        <v>0.1</v>
      </c>
      <c r="E4455" s="204" t="s">
        <v>30</v>
      </c>
      <c r="F4455" s="204" t="s">
        <v>188</v>
      </c>
      <c r="G4455" s="181" t="s">
        <v>6949</v>
      </c>
      <c r="H4455" s="171"/>
    </row>
    <row r="4456" ht="14.25" spans="1:8">
      <c r="A4456" s="176">
        <v>320</v>
      </c>
      <c r="B4456" s="175" t="s">
        <v>6950</v>
      </c>
      <c r="C4456" s="181" t="s">
        <v>272</v>
      </c>
      <c r="D4456" s="190">
        <v>0.02</v>
      </c>
      <c r="E4456" s="204" t="s">
        <v>30</v>
      </c>
      <c r="F4456" s="204" t="s">
        <v>188</v>
      </c>
      <c r="G4456" s="181" t="s">
        <v>1528</v>
      </c>
      <c r="H4456" s="171"/>
    </row>
    <row r="4457" ht="14.25" spans="1:8">
      <c r="A4457" s="176">
        <v>321</v>
      </c>
      <c r="B4457" s="175" t="s">
        <v>6951</v>
      </c>
      <c r="C4457" s="181" t="s">
        <v>272</v>
      </c>
      <c r="D4457" s="190">
        <v>0.02</v>
      </c>
      <c r="E4457" s="204" t="s">
        <v>30</v>
      </c>
      <c r="F4457" s="204" t="s">
        <v>188</v>
      </c>
      <c r="G4457" s="181" t="s">
        <v>2815</v>
      </c>
      <c r="H4457" s="171"/>
    </row>
    <row r="4458" ht="14.25" spans="1:8">
      <c r="A4458" s="176">
        <v>322</v>
      </c>
      <c r="B4458" s="175" t="s">
        <v>2485</v>
      </c>
      <c r="C4458" s="181" t="s">
        <v>272</v>
      </c>
      <c r="D4458" s="190">
        <v>0.1</v>
      </c>
      <c r="E4458" s="204" t="s">
        <v>30</v>
      </c>
      <c r="F4458" s="204" t="s">
        <v>188</v>
      </c>
      <c r="G4458" s="181" t="s">
        <v>6952</v>
      </c>
      <c r="H4458" s="171"/>
    </row>
    <row r="4459" ht="14.25" spans="1:8">
      <c r="A4459" s="176">
        <v>323</v>
      </c>
      <c r="B4459" s="175" t="s">
        <v>4216</v>
      </c>
      <c r="C4459" s="181" t="s">
        <v>272</v>
      </c>
      <c r="D4459" s="190">
        <v>0.04</v>
      </c>
      <c r="E4459" s="204" t="s">
        <v>30</v>
      </c>
      <c r="F4459" s="204" t="s">
        <v>188</v>
      </c>
      <c r="G4459" s="181" t="s">
        <v>6953</v>
      </c>
      <c r="H4459" s="171" t="s">
        <v>672</v>
      </c>
    </row>
    <row r="4460" ht="14.25" spans="1:8">
      <c r="A4460" s="176">
        <v>324</v>
      </c>
      <c r="B4460" s="175" t="s">
        <v>6648</v>
      </c>
      <c r="C4460" s="181" t="s">
        <v>272</v>
      </c>
      <c r="D4460" s="190">
        <v>0.05</v>
      </c>
      <c r="E4460" s="204" t="s">
        <v>30</v>
      </c>
      <c r="F4460" s="204" t="s">
        <v>188</v>
      </c>
      <c r="G4460" s="181" t="s">
        <v>6954</v>
      </c>
      <c r="H4460" s="171"/>
    </row>
    <row r="4461" ht="14.25" spans="1:8">
      <c r="A4461" s="176">
        <v>325</v>
      </c>
      <c r="B4461" s="175" t="s">
        <v>6822</v>
      </c>
      <c r="C4461" s="181" t="s">
        <v>272</v>
      </c>
      <c r="D4461" s="190">
        <v>0.08</v>
      </c>
      <c r="E4461" s="204" t="s">
        <v>30</v>
      </c>
      <c r="F4461" s="204" t="s">
        <v>188</v>
      </c>
      <c r="G4461" s="181" t="s">
        <v>6643</v>
      </c>
      <c r="H4461" s="171"/>
    </row>
    <row r="4462" ht="14.25" spans="1:8">
      <c r="A4462" s="176">
        <v>326</v>
      </c>
      <c r="B4462" s="175" t="s">
        <v>6955</v>
      </c>
      <c r="C4462" s="181" t="s">
        <v>272</v>
      </c>
      <c r="D4462" s="190">
        <v>0.02</v>
      </c>
      <c r="E4462" s="204" t="s">
        <v>30</v>
      </c>
      <c r="F4462" s="204" t="s">
        <v>188</v>
      </c>
      <c r="G4462" s="181" t="s">
        <v>6956</v>
      </c>
      <c r="H4462" s="171"/>
    </row>
    <row r="4463" ht="25.5" spans="1:8">
      <c r="A4463" s="176">
        <v>327</v>
      </c>
      <c r="B4463" s="175" t="s">
        <v>6957</v>
      </c>
      <c r="C4463" s="181" t="s">
        <v>272</v>
      </c>
      <c r="D4463" s="190">
        <v>0.02</v>
      </c>
      <c r="E4463" s="204" t="s">
        <v>30</v>
      </c>
      <c r="F4463" s="204" t="s">
        <v>188</v>
      </c>
      <c r="G4463" s="181" t="s">
        <v>6958</v>
      </c>
      <c r="H4463" s="171" t="s">
        <v>1883</v>
      </c>
    </row>
    <row r="4464" ht="14.25" spans="1:8">
      <c r="A4464" s="176">
        <v>328</v>
      </c>
      <c r="B4464" s="175" t="s">
        <v>6959</v>
      </c>
      <c r="C4464" s="181" t="s">
        <v>272</v>
      </c>
      <c r="D4464" s="190">
        <v>0.01</v>
      </c>
      <c r="E4464" s="204" t="s">
        <v>30</v>
      </c>
      <c r="F4464" s="204" t="s">
        <v>188</v>
      </c>
      <c r="G4464" s="181" t="s">
        <v>6960</v>
      </c>
      <c r="H4464" s="171"/>
    </row>
    <row r="4465" ht="14.25" spans="1:8">
      <c r="A4465" s="176">
        <v>329</v>
      </c>
      <c r="B4465" s="175" t="s">
        <v>6695</v>
      </c>
      <c r="C4465" s="181" t="s">
        <v>272</v>
      </c>
      <c r="D4465" s="190">
        <v>0.04</v>
      </c>
      <c r="E4465" s="204" t="s">
        <v>30</v>
      </c>
      <c r="F4465" s="204" t="s">
        <v>188</v>
      </c>
      <c r="G4465" s="181" t="s">
        <v>892</v>
      </c>
      <c r="H4465" s="171"/>
    </row>
    <row r="4466" ht="14.25" spans="1:8">
      <c r="A4466" s="176">
        <v>330</v>
      </c>
      <c r="B4466" s="175" t="s">
        <v>869</v>
      </c>
      <c r="C4466" s="181" t="s">
        <v>272</v>
      </c>
      <c r="D4466" s="190">
        <v>0.02</v>
      </c>
      <c r="E4466" s="204" t="s">
        <v>30</v>
      </c>
      <c r="F4466" s="204" t="s">
        <v>188</v>
      </c>
      <c r="G4466" s="181" t="s">
        <v>6608</v>
      </c>
      <c r="H4466" s="171"/>
    </row>
    <row r="4467" ht="25.5" spans="1:8">
      <c r="A4467" s="176">
        <v>331</v>
      </c>
      <c r="B4467" s="175" t="s">
        <v>6961</v>
      </c>
      <c r="C4467" s="181" t="s">
        <v>272</v>
      </c>
      <c r="D4467" s="190">
        <v>0.01</v>
      </c>
      <c r="E4467" s="204" t="s">
        <v>30</v>
      </c>
      <c r="F4467" s="204" t="s">
        <v>188</v>
      </c>
      <c r="G4467" s="181" t="s">
        <v>6962</v>
      </c>
      <c r="H4467" s="171"/>
    </row>
    <row r="4468" ht="14.25" spans="1:8">
      <c r="A4468" s="176">
        <v>332</v>
      </c>
      <c r="B4468" s="175" t="s">
        <v>6963</v>
      </c>
      <c r="C4468" s="181" t="s">
        <v>272</v>
      </c>
      <c r="D4468" s="190">
        <v>0.01</v>
      </c>
      <c r="E4468" s="204" t="s">
        <v>30</v>
      </c>
      <c r="F4468" s="204" t="s">
        <v>188</v>
      </c>
      <c r="G4468" s="181" t="s">
        <v>6964</v>
      </c>
      <c r="H4468" s="171"/>
    </row>
    <row r="4469" ht="14.25" spans="1:8">
      <c r="A4469" s="176">
        <v>333</v>
      </c>
      <c r="B4469" s="175" t="s">
        <v>6965</v>
      </c>
      <c r="C4469" s="181" t="s">
        <v>272</v>
      </c>
      <c r="D4469" s="190">
        <v>0.02</v>
      </c>
      <c r="E4469" s="204" t="s">
        <v>30</v>
      </c>
      <c r="F4469" s="204" t="s">
        <v>188</v>
      </c>
      <c r="G4469" s="181" t="s">
        <v>6966</v>
      </c>
      <c r="H4469" s="171"/>
    </row>
    <row r="4470" ht="14.25" spans="1:8">
      <c r="A4470" s="176">
        <v>334</v>
      </c>
      <c r="B4470" s="175" t="s">
        <v>6967</v>
      </c>
      <c r="C4470" s="181" t="s">
        <v>272</v>
      </c>
      <c r="D4470" s="190">
        <v>0.04</v>
      </c>
      <c r="E4470" s="204" t="s">
        <v>30</v>
      </c>
      <c r="F4470" s="204" t="s">
        <v>188</v>
      </c>
      <c r="G4470" s="181" t="s">
        <v>6968</v>
      </c>
      <c r="H4470" s="171"/>
    </row>
    <row r="4471" ht="14.25" spans="1:8">
      <c r="A4471" s="176">
        <v>335</v>
      </c>
      <c r="B4471" s="175" t="s">
        <v>6969</v>
      </c>
      <c r="C4471" s="181" t="s">
        <v>272</v>
      </c>
      <c r="D4471" s="190">
        <v>0.04</v>
      </c>
      <c r="E4471" s="204" t="s">
        <v>30</v>
      </c>
      <c r="F4471" s="204" t="s">
        <v>188</v>
      </c>
      <c r="G4471" s="181" t="s">
        <v>6970</v>
      </c>
      <c r="H4471" s="171"/>
    </row>
    <row r="4472" ht="14.25" spans="1:8">
      <c r="A4472" s="176">
        <v>336</v>
      </c>
      <c r="B4472" s="175" t="s">
        <v>6971</v>
      </c>
      <c r="C4472" s="181" t="s">
        <v>272</v>
      </c>
      <c r="D4472" s="190">
        <v>0.02</v>
      </c>
      <c r="E4472" s="204" t="s">
        <v>30</v>
      </c>
      <c r="F4472" s="204" t="s">
        <v>188</v>
      </c>
      <c r="G4472" s="181" t="s">
        <v>6972</v>
      </c>
      <c r="H4472" s="171"/>
    </row>
    <row r="4473" ht="14.25" spans="1:8">
      <c r="A4473" s="176">
        <v>337</v>
      </c>
      <c r="B4473" s="175" t="s">
        <v>6971</v>
      </c>
      <c r="C4473" s="181" t="s">
        <v>272</v>
      </c>
      <c r="D4473" s="190">
        <v>0.02</v>
      </c>
      <c r="E4473" s="204" t="s">
        <v>30</v>
      </c>
      <c r="F4473" s="204" t="s">
        <v>188</v>
      </c>
      <c r="G4473" s="181" t="s">
        <v>6973</v>
      </c>
      <c r="H4473" s="171"/>
    </row>
    <row r="4474" ht="14.25" spans="1:8">
      <c r="A4474" s="176">
        <v>338</v>
      </c>
      <c r="B4474" s="175" t="s">
        <v>6786</v>
      </c>
      <c r="C4474" s="181" t="s">
        <v>272</v>
      </c>
      <c r="D4474" s="190">
        <v>0.4</v>
      </c>
      <c r="E4474" s="204" t="s">
        <v>30</v>
      </c>
      <c r="F4474" s="204" t="s">
        <v>188</v>
      </c>
      <c r="G4474" s="181" t="s">
        <v>6974</v>
      </c>
      <c r="H4474" s="171"/>
    </row>
    <row r="4475" ht="25.5" spans="1:8">
      <c r="A4475" s="176">
        <v>339</v>
      </c>
      <c r="B4475" s="175" t="s">
        <v>1309</v>
      </c>
      <c r="C4475" s="181" t="s">
        <v>272</v>
      </c>
      <c r="D4475" s="190">
        <v>0.16</v>
      </c>
      <c r="E4475" s="204" t="s">
        <v>30</v>
      </c>
      <c r="F4475" s="204" t="s">
        <v>188</v>
      </c>
      <c r="G4475" s="181" t="s">
        <v>6975</v>
      </c>
      <c r="H4475" s="171" t="s">
        <v>672</v>
      </c>
    </row>
    <row r="4476" ht="25.5" spans="1:8">
      <c r="A4476" s="176">
        <v>340</v>
      </c>
      <c r="B4476" s="175" t="s">
        <v>1309</v>
      </c>
      <c r="C4476" s="181" t="s">
        <v>272</v>
      </c>
      <c r="D4476" s="190">
        <v>0.25</v>
      </c>
      <c r="E4476" s="204" t="s">
        <v>30</v>
      </c>
      <c r="F4476" s="204" t="s">
        <v>188</v>
      </c>
      <c r="G4476" s="181" t="s">
        <v>6976</v>
      </c>
      <c r="H4476" s="171" t="s">
        <v>682</v>
      </c>
    </row>
    <row r="4477" ht="14.25" spans="1:8">
      <c r="A4477" s="176">
        <v>341</v>
      </c>
      <c r="B4477" s="175" t="s">
        <v>6977</v>
      </c>
      <c r="C4477" s="181" t="s">
        <v>272</v>
      </c>
      <c r="D4477" s="190">
        <v>0.08</v>
      </c>
      <c r="E4477" s="204" t="s">
        <v>30</v>
      </c>
      <c r="F4477" s="204" t="s">
        <v>188</v>
      </c>
      <c r="G4477" s="181" t="s">
        <v>6978</v>
      </c>
      <c r="H4477" s="171" t="s">
        <v>672</v>
      </c>
    </row>
    <row r="4478" ht="14.25" spans="1:8">
      <c r="A4478" s="176">
        <v>342</v>
      </c>
      <c r="B4478" s="175" t="s">
        <v>6979</v>
      </c>
      <c r="C4478" s="181" t="s">
        <v>272</v>
      </c>
      <c r="D4478" s="190">
        <v>0.02</v>
      </c>
      <c r="E4478" s="204" t="s">
        <v>30</v>
      </c>
      <c r="F4478" s="204" t="s">
        <v>188</v>
      </c>
      <c r="G4478" s="181" t="s">
        <v>6980</v>
      </c>
      <c r="H4478" s="171"/>
    </row>
    <row r="4479" ht="14.25" spans="1:8">
      <c r="A4479" s="176">
        <v>343</v>
      </c>
      <c r="B4479" s="175" t="s">
        <v>6981</v>
      </c>
      <c r="C4479" s="181" t="s">
        <v>272</v>
      </c>
      <c r="D4479" s="190">
        <v>0.02</v>
      </c>
      <c r="E4479" s="204" t="s">
        <v>30</v>
      </c>
      <c r="F4479" s="204" t="s">
        <v>188</v>
      </c>
      <c r="G4479" s="181" t="s">
        <v>6982</v>
      </c>
      <c r="H4479" s="171"/>
    </row>
    <row r="4480" ht="14.25" spans="1:8">
      <c r="A4480" s="176">
        <v>344</v>
      </c>
      <c r="B4480" s="175" t="s">
        <v>6983</v>
      </c>
      <c r="C4480" s="181" t="s">
        <v>272</v>
      </c>
      <c r="D4480" s="190">
        <v>0.04</v>
      </c>
      <c r="E4480" s="204" t="s">
        <v>30</v>
      </c>
      <c r="F4480" s="204" t="s">
        <v>188</v>
      </c>
      <c r="G4480" s="181" t="s">
        <v>6124</v>
      </c>
      <c r="H4480" s="171"/>
    </row>
    <row r="4481" ht="14.25" spans="1:8">
      <c r="A4481" s="176">
        <v>345</v>
      </c>
      <c r="B4481" s="175" t="s">
        <v>6984</v>
      </c>
      <c r="C4481" s="181" t="s">
        <v>272</v>
      </c>
      <c r="D4481" s="190">
        <v>0.02</v>
      </c>
      <c r="E4481" s="204" t="s">
        <v>30</v>
      </c>
      <c r="F4481" s="204" t="s">
        <v>188</v>
      </c>
      <c r="G4481" s="181" t="s">
        <v>6985</v>
      </c>
      <c r="H4481" s="171" t="s">
        <v>672</v>
      </c>
    </row>
    <row r="4482" ht="14.25" spans="1:8">
      <c r="A4482" s="176">
        <v>346</v>
      </c>
      <c r="B4482" s="175" t="s">
        <v>4373</v>
      </c>
      <c r="C4482" s="181" t="s">
        <v>272</v>
      </c>
      <c r="D4482" s="190">
        <v>0.05</v>
      </c>
      <c r="E4482" s="204" t="s">
        <v>30</v>
      </c>
      <c r="F4482" s="204" t="s">
        <v>188</v>
      </c>
      <c r="G4482" s="181" t="s">
        <v>6986</v>
      </c>
      <c r="H4482" s="171"/>
    </row>
    <row r="4483" ht="14.25" spans="1:8">
      <c r="A4483" s="176">
        <v>347</v>
      </c>
      <c r="B4483" s="175" t="s">
        <v>6987</v>
      </c>
      <c r="C4483" s="181" t="s">
        <v>272</v>
      </c>
      <c r="D4483" s="190">
        <v>0.03</v>
      </c>
      <c r="E4483" s="204" t="s">
        <v>30</v>
      </c>
      <c r="F4483" s="204" t="s">
        <v>188</v>
      </c>
      <c r="G4483" s="181" t="s">
        <v>6838</v>
      </c>
      <c r="H4483" s="171"/>
    </row>
    <row r="4484" ht="14.25" spans="1:8">
      <c r="A4484" s="176">
        <v>348</v>
      </c>
      <c r="B4484" s="175" t="s">
        <v>6988</v>
      </c>
      <c r="C4484" s="181" t="s">
        <v>272</v>
      </c>
      <c r="D4484" s="190">
        <v>0.01</v>
      </c>
      <c r="E4484" s="204" t="s">
        <v>30</v>
      </c>
      <c r="F4484" s="204" t="s">
        <v>188</v>
      </c>
      <c r="G4484" s="181" t="s">
        <v>6989</v>
      </c>
      <c r="H4484" s="171"/>
    </row>
    <row r="4485" ht="14.25" spans="1:8">
      <c r="A4485" s="176">
        <v>349</v>
      </c>
      <c r="B4485" s="175" t="s">
        <v>6990</v>
      </c>
      <c r="C4485" s="181" t="s">
        <v>272</v>
      </c>
      <c r="D4485" s="190">
        <v>0.1</v>
      </c>
      <c r="E4485" s="204" t="s">
        <v>30</v>
      </c>
      <c r="F4485" s="204" t="s">
        <v>188</v>
      </c>
      <c r="G4485" s="181" t="s">
        <v>6991</v>
      </c>
      <c r="H4485" s="171"/>
    </row>
    <row r="4486" ht="14.25" spans="1:8">
      <c r="A4486" s="176">
        <v>350</v>
      </c>
      <c r="B4486" s="175" t="s">
        <v>6992</v>
      </c>
      <c r="C4486" s="181" t="s">
        <v>272</v>
      </c>
      <c r="D4486" s="190">
        <v>0.04</v>
      </c>
      <c r="E4486" s="204" t="s">
        <v>30</v>
      </c>
      <c r="F4486" s="204" t="s">
        <v>188</v>
      </c>
      <c r="G4486" s="181" t="s">
        <v>6993</v>
      </c>
      <c r="H4486" s="171"/>
    </row>
    <row r="4487" ht="14.25" spans="1:8">
      <c r="A4487" s="176">
        <v>351</v>
      </c>
      <c r="B4487" s="175" t="s">
        <v>6994</v>
      </c>
      <c r="C4487" s="181" t="s">
        <v>272</v>
      </c>
      <c r="D4487" s="190">
        <v>0.04</v>
      </c>
      <c r="E4487" s="204" t="s">
        <v>30</v>
      </c>
      <c r="F4487" s="204" t="s">
        <v>188</v>
      </c>
      <c r="G4487" s="181" t="s">
        <v>6995</v>
      </c>
      <c r="H4487" s="171"/>
    </row>
    <row r="4488" ht="14.25" spans="1:8">
      <c r="A4488" s="176">
        <v>352</v>
      </c>
      <c r="B4488" s="175" t="s">
        <v>6822</v>
      </c>
      <c r="C4488" s="181" t="s">
        <v>272</v>
      </c>
      <c r="D4488" s="190">
        <v>0.06</v>
      </c>
      <c r="E4488" s="204" t="s">
        <v>30</v>
      </c>
      <c r="F4488" s="204" t="s">
        <v>188</v>
      </c>
      <c r="G4488" s="181" t="s">
        <v>6996</v>
      </c>
      <c r="H4488" s="171"/>
    </row>
    <row r="4489" ht="25.5" spans="1:8">
      <c r="A4489" s="176">
        <v>353</v>
      </c>
      <c r="B4489" s="175" t="s">
        <v>6997</v>
      </c>
      <c r="C4489" s="181" t="s">
        <v>272</v>
      </c>
      <c r="D4489" s="190">
        <v>0.7</v>
      </c>
      <c r="E4489" s="204" t="s">
        <v>30</v>
      </c>
      <c r="F4489" s="204" t="s">
        <v>188</v>
      </c>
      <c r="G4489" s="181" t="s">
        <v>6998</v>
      </c>
      <c r="H4489" s="171" t="s">
        <v>6999</v>
      </c>
    </row>
    <row r="4490" ht="14.25" spans="1:8">
      <c r="A4490" s="176">
        <v>354</v>
      </c>
      <c r="B4490" s="175" t="s">
        <v>4373</v>
      </c>
      <c r="C4490" s="181" t="s">
        <v>272</v>
      </c>
      <c r="D4490" s="190">
        <v>0.4</v>
      </c>
      <c r="E4490" s="204" t="s">
        <v>30</v>
      </c>
      <c r="F4490" s="204" t="s">
        <v>188</v>
      </c>
      <c r="G4490" s="181" t="s">
        <v>7000</v>
      </c>
      <c r="H4490" s="171"/>
    </row>
    <row r="4491" ht="14.25" spans="1:8">
      <c r="A4491" s="176">
        <v>355</v>
      </c>
      <c r="B4491" s="175" t="s">
        <v>6955</v>
      </c>
      <c r="C4491" s="181" t="s">
        <v>272</v>
      </c>
      <c r="D4491" s="190">
        <v>0.02</v>
      </c>
      <c r="E4491" s="204" t="s">
        <v>30</v>
      </c>
      <c r="F4491" s="204" t="s">
        <v>188</v>
      </c>
      <c r="G4491" s="181" t="s">
        <v>7001</v>
      </c>
      <c r="H4491" s="171"/>
    </row>
    <row r="4492" ht="14.25" spans="1:8">
      <c r="A4492" s="176">
        <v>356</v>
      </c>
      <c r="B4492" s="175" t="s">
        <v>7002</v>
      </c>
      <c r="C4492" s="181" t="s">
        <v>272</v>
      </c>
      <c r="D4492" s="190">
        <v>0.02</v>
      </c>
      <c r="E4492" s="204" t="s">
        <v>30</v>
      </c>
      <c r="F4492" s="204" t="s">
        <v>188</v>
      </c>
      <c r="G4492" s="181" t="s">
        <v>6653</v>
      </c>
      <c r="H4492" s="171"/>
    </row>
    <row r="4493" ht="14.25" spans="1:8">
      <c r="A4493" s="176">
        <v>357</v>
      </c>
      <c r="B4493" s="175" t="s">
        <v>7003</v>
      </c>
      <c r="C4493" s="181" t="s">
        <v>272</v>
      </c>
      <c r="D4493" s="190">
        <v>0.04</v>
      </c>
      <c r="E4493" s="204" t="s">
        <v>30</v>
      </c>
      <c r="F4493" s="204" t="s">
        <v>188</v>
      </c>
      <c r="G4493" s="181" t="s">
        <v>1751</v>
      </c>
      <c r="H4493" s="171"/>
    </row>
    <row r="4494" ht="14.25" spans="1:8">
      <c r="A4494" s="176">
        <v>358</v>
      </c>
      <c r="B4494" s="175" t="s">
        <v>6786</v>
      </c>
      <c r="C4494" s="181" t="s">
        <v>272</v>
      </c>
      <c r="D4494" s="190">
        <v>0.55</v>
      </c>
      <c r="E4494" s="204" t="s">
        <v>30</v>
      </c>
      <c r="F4494" s="204" t="s">
        <v>188</v>
      </c>
      <c r="G4494" s="181" t="s">
        <v>7004</v>
      </c>
      <c r="H4494" s="171"/>
    </row>
    <row r="4495" ht="14.25" spans="1:8">
      <c r="A4495" s="176">
        <v>359</v>
      </c>
      <c r="B4495" s="175" t="s">
        <v>7005</v>
      </c>
      <c r="C4495" s="181" t="s">
        <v>272</v>
      </c>
      <c r="D4495" s="190">
        <v>0.03</v>
      </c>
      <c r="E4495" s="204" t="s">
        <v>30</v>
      </c>
      <c r="F4495" s="204" t="s">
        <v>188</v>
      </c>
      <c r="G4495" s="181" t="s">
        <v>7006</v>
      </c>
      <c r="H4495" s="171"/>
    </row>
    <row r="4496" ht="25.5" spans="1:8">
      <c r="A4496" s="176">
        <v>360</v>
      </c>
      <c r="B4496" s="175" t="s">
        <v>7007</v>
      </c>
      <c r="C4496" s="181" t="s">
        <v>272</v>
      </c>
      <c r="D4496" s="190">
        <v>0.3</v>
      </c>
      <c r="E4496" s="204" t="s">
        <v>30</v>
      </c>
      <c r="F4496" s="204" t="s">
        <v>188</v>
      </c>
      <c r="G4496" s="181" t="s">
        <v>7008</v>
      </c>
      <c r="H4496" s="171" t="s">
        <v>674</v>
      </c>
    </row>
    <row r="4497" ht="14.25" spans="1:8">
      <c r="A4497" s="176">
        <v>361</v>
      </c>
      <c r="B4497" s="175" t="s">
        <v>7009</v>
      </c>
      <c r="C4497" s="181" t="s">
        <v>272</v>
      </c>
      <c r="D4497" s="190">
        <v>0.08</v>
      </c>
      <c r="E4497" s="204" t="s">
        <v>30</v>
      </c>
      <c r="F4497" s="204" t="s">
        <v>188</v>
      </c>
      <c r="G4497" s="181" t="s">
        <v>7010</v>
      </c>
      <c r="H4497" s="171"/>
    </row>
    <row r="4498" ht="14.25" spans="1:8">
      <c r="A4498" s="176">
        <v>362</v>
      </c>
      <c r="B4498" s="175" t="s">
        <v>7011</v>
      </c>
      <c r="C4498" s="181" t="s">
        <v>272</v>
      </c>
      <c r="D4498" s="190">
        <v>0.05</v>
      </c>
      <c r="E4498" s="204" t="s">
        <v>30</v>
      </c>
      <c r="F4498" s="204" t="s">
        <v>188</v>
      </c>
      <c r="G4498" s="181" t="s">
        <v>2880</v>
      </c>
      <c r="H4498" s="171"/>
    </row>
    <row r="4499" ht="14.25" spans="1:8">
      <c r="A4499" s="176">
        <v>363</v>
      </c>
      <c r="B4499" s="175" t="s">
        <v>7012</v>
      </c>
      <c r="C4499" s="181" t="s">
        <v>272</v>
      </c>
      <c r="D4499" s="190">
        <v>0.03</v>
      </c>
      <c r="E4499" s="204" t="s">
        <v>30</v>
      </c>
      <c r="F4499" s="204" t="s">
        <v>188</v>
      </c>
      <c r="G4499" s="181" t="s">
        <v>2878</v>
      </c>
      <c r="H4499" s="171"/>
    </row>
    <row r="4500" ht="14.25" spans="1:8">
      <c r="A4500" s="176">
        <v>364</v>
      </c>
      <c r="B4500" s="175" t="s">
        <v>1879</v>
      </c>
      <c r="C4500" s="181" t="s">
        <v>272</v>
      </c>
      <c r="D4500" s="190">
        <v>0.04</v>
      </c>
      <c r="E4500" s="204" t="s">
        <v>30</v>
      </c>
      <c r="F4500" s="204" t="s">
        <v>188</v>
      </c>
      <c r="G4500" s="181" t="s">
        <v>7013</v>
      </c>
      <c r="H4500" s="171" t="s">
        <v>672</v>
      </c>
    </row>
    <row r="4501" ht="14.25" spans="1:8">
      <c r="A4501" s="176">
        <v>365</v>
      </c>
      <c r="B4501" s="175" t="s">
        <v>6859</v>
      </c>
      <c r="C4501" s="181" t="s">
        <v>272</v>
      </c>
      <c r="D4501" s="190">
        <v>0.4</v>
      </c>
      <c r="E4501" s="204" t="s">
        <v>30</v>
      </c>
      <c r="F4501" s="204" t="s">
        <v>188</v>
      </c>
      <c r="G4501" s="181" t="s">
        <v>7014</v>
      </c>
      <c r="H4501" s="171"/>
    </row>
    <row r="4502" ht="14.25" spans="1:8">
      <c r="A4502" s="176">
        <v>366</v>
      </c>
      <c r="B4502" s="175" t="s">
        <v>6829</v>
      </c>
      <c r="C4502" s="181" t="s">
        <v>272</v>
      </c>
      <c r="D4502" s="190">
        <v>0.03</v>
      </c>
      <c r="E4502" s="204" t="s">
        <v>30</v>
      </c>
      <c r="F4502" s="204" t="s">
        <v>188</v>
      </c>
      <c r="G4502" s="181" t="s">
        <v>7015</v>
      </c>
      <c r="H4502" s="171"/>
    </row>
    <row r="4503" ht="14.25" spans="1:8">
      <c r="A4503" s="176">
        <v>367</v>
      </c>
      <c r="B4503" s="175" t="s">
        <v>7016</v>
      </c>
      <c r="C4503" s="181" t="s">
        <v>272</v>
      </c>
      <c r="D4503" s="190">
        <v>0.02</v>
      </c>
      <c r="E4503" s="204" t="s">
        <v>30</v>
      </c>
      <c r="F4503" s="204" t="s">
        <v>188</v>
      </c>
      <c r="G4503" s="181" t="s">
        <v>7017</v>
      </c>
      <c r="H4503" s="171"/>
    </row>
    <row r="4504" ht="14.25" spans="1:8">
      <c r="A4504" s="176">
        <v>368</v>
      </c>
      <c r="B4504" s="175" t="s">
        <v>1879</v>
      </c>
      <c r="C4504" s="181" t="s">
        <v>272</v>
      </c>
      <c r="D4504" s="190">
        <v>0.04</v>
      </c>
      <c r="E4504" s="204" t="s">
        <v>30</v>
      </c>
      <c r="F4504" s="204" t="s">
        <v>188</v>
      </c>
      <c r="G4504" s="181" t="s">
        <v>7018</v>
      </c>
      <c r="H4504" s="171" t="s">
        <v>672</v>
      </c>
    </row>
    <row r="4505" ht="14.25" spans="1:8">
      <c r="A4505" s="176">
        <v>369</v>
      </c>
      <c r="B4505" s="175" t="s">
        <v>6622</v>
      </c>
      <c r="C4505" s="181" t="s">
        <v>272</v>
      </c>
      <c r="D4505" s="190">
        <v>0.04</v>
      </c>
      <c r="E4505" s="204" t="s">
        <v>30</v>
      </c>
      <c r="F4505" s="204" t="s">
        <v>188</v>
      </c>
      <c r="G4505" s="181" t="s">
        <v>6635</v>
      </c>
      <c r="H4505" s="171"/>
    </row>
    <row r="4506" ht="25.5" spans="1:8">
      <c r="A4506" s="176">
        <v>370</v>
      </c>
      <c r="B4506" s="175" t="s">
        <v>6969</v>
      </c>
      <c r="C4506" s="181" t="s">
        <v>272</v>
      </c>
      <c r="D4506" s="190">
        <v>0.05</v>
      </c>
      <c r="E4506" s="204" t="s">
        <v>30</v>
      </c>
      <c r="F4506" s="204" t="s">
        <v>188</v>
      </c>
      <c r="G4506" s="181" t="s">
        <v>7019</v>
      </c>
      <c r="H4506" s="171"/>
    </row>
    <row r="4507" ht="14.25" spans="1:8">
      <c r="A4507" s="176">
        <v>371</v>
      </c>
      <c r="B4507" s="175" t="s">
        <v>7020</v>
      </c>
      <c r="C4507" s="181" t="s">
        <v>272</v>
      </c>
      <c r="D4507" s="190">
        <v>0.5</v>
      </c>
      <c r="E4507" s="204" t="s">
        <v>30</v>
      </c>
      <c r="F4507" s="204" t="s">
        <v>188</v>
      </c>
      <c r="G4507" s="181" t="s">
        <v>7021</v>
      </c>
      <c r="H4507" s="171"/>
    </row>
    <row r="4508" ht="14.25" spans="1:8">
      <c r="A4508" s="176">
        <v>372</v>
      </c>
      <c r="B4508" s="175" t="s">
        <v>1879</v>
      </c>
      <c r="C4508" s="181" t="s">
        <v>272</v>
      </c>
      <c r="D4508" s="190">
        <v>0.04</v>
      </c>
      <c r="E4508" s="204" t="s">
        <v>30</v>
      </c>
      <c r="F4508" s="204" t="s">
        <v>188</v>
      </c>
      <c r="G4508" s="181" t="s">
        <v>7022</v>
      </c>
      <c r="H4508" s="171" t="s">
        <v>672</v>
      </c>
    </row>
    <row r="4509" ht="25.5" spans="1:8">
      <c r="A4509" s="176">
        <v>373</v>
      </c>
      <c r="B4509" s="175" t="s">
        <v>7023</v>
      </c>
      <c r="C4509" s="181" t="s">
        <v>272</v>
      </c>
      <c r="D4509" s="190">
        <v>0.1</v>
      </c>
      <c r="E4509" s="204" t="s">
        <v>30</v>
      </c>
      <c r="F4509" s="204" t="s">
        <v>188</v>
      </c>
      <c r="G4509" s="181" t="s">
        <v>7024</v>
      </c>
      <c r="H4509" s="171"/>
    </row>
    <row r="4510" ht="25.5" spans="1:8">
      <c r="A4510" s="176">
        <v>374</v>
      </c>
      <c r="B4510" s="175" t="s">
        <v>7025</v>
      </c>
      <c r="C4510" s="181" t="s">
        <v>272</v>
      </c>
      <c r="D4510" s="190">
        <v>0.04</v>
      </c>
      <c r="E4510" s="204" t="s">
        <v>30</v>
      </c>
      <c r="F4510" s="204" t="s">
        <v>188</v>
      </c>
      <c r="G4510" s="181" t="s">
        <v>7026</v>
      </c>
      <c r="H4510" s="171"/>
    </row>
    <row r="4511" ht="25.5" spans="1:8">
      <c r="A4511" s="176">
        <v>375</v>
      </c>
      <c r="B4511" s="175" t="s">
        <v>7027</v>
      </c>
      <c r="C4511" s="181" t="s">
        <v>272</v>
      </c>
      <c r="D4511" s="190">
        <v>0.02</v>
      </c>
      <c r="E4511" s="204" t="s">
        <v>30</v>
      </c>
      <c r="F4511" s="204" t="s">
        <v>188</v>
      </c>
      <c r="G4511" s="181" t="s">
        <v>7028</v>
      </c>
      <c r="H4511" s="171"/>
    </row>
    <row r="4512" ht="25.5" spans="1:8">
      <c r="A4512" s="176">
        <v>376</v>
      </c>
      <c r="B4512" s="175" t="s">
        <v>7025</v>
      </c>
      <c r="C4512" s="181" t="s">
        <v>272</v>
      </c>
      <c r="D4512" s="190">
        <v>0.02</v>
      </c>
      <c r="E4512" s="204" t="s">
        <v>30</v>
      </c>
      <c r="F4512" s="204" t="s">
        <v>188</v>
      </c>
      <c r="G4512" s="181" t="s">
        <v>7029</v>
      </c>
      <c r="H4512" s="171"/>
    </row>
    <row r="4513" ht="25.5" spans="1:8">
      <c r="A4513" s="176">
        <v>377</v>
      </c>
      <c r="B4513" s="175" t="s">
        <v>3660</v>
      </c>
      <c r="C4513" s="181" t="s">
        <v>272</v>
      </c>
      <c r="D4513" s="190">
        <v>0.04</v>
      </c>
      <c r="E4513" s="204" t="s">
        <v>30</v>
      </c>
      <c r="F4513" s="204" t="s">
        <v>188</v>
      </c>
      <c r="G4513" s="181" t="s">
        <v>7030</v>
      </c>
      <c r="H4513" s="171"/>
    </row>
    <row r="4514" ht="14.25" spans="1:8">
      <c r="A4514" s="176">
        <v>378</v>
      </c>
      <c r="B4514" s="175" t="s">
        <v>1879</v>
      </c>
      <c r="C4514" s="181" t="s">
        <v>272</v>
      </c>
      <c r="D4514" s="190">
        <v>0.04</v>
      </c>
      <c r="E4514" s="204" t="s">
        <v>30</v>
      </c>
      <c r="F4514" s="204" t="s">
        <v>188</v>
      </c>
      <c r="G4514" s="181" t="s">
        <v>7031</v>
      </c>
      <c r="H4514" s="171" t="s">
        <v>672</v>
      </c>
    </row>
    <row r="4515" ht="14.25" spans="1:8">
      <c r="A4515" s="176">
        <v>379</v>
      </c>
      <c r="B4515" s="175" t="s">
        <v>712</v>
      </c>
      <c r="C4515" s="181" t="s">
        <v>272</v>
      </c>
      <c r="D4515" s="190">
        <v>0.02</v>
      </c>
      <c r="E4515" s="204" t="s">
        <v>30</v>
      </c>
      <c r="F4515" s="204" t="s">
        <v>188</v>
      </c>
      <c r="G4515" s="181" t="s">
        <v>7032</v>
      </c>
      <c r="H4515" s="171"/>
    </row>
    <row r="4516" ht="14.25" spans="1:8">
      <c r="A4516" s="176">
        <v>380</v>
      </c>
      <c r="B4516" s="175" t="s">
        <v>7033</v>
      </c>
      <c r="C4516" s="181" t="s">
        <v>272</v>
      </c>
      <c r="D4516" s="190">
        <v>0.04</v>
      </c>
      <c r="E4516" s="204" t="s">
        <v>30</v>
      </c>
      <c r="F4516" s="204" t="s">
        <v>188</v>
      </c>
      <c r="G4516" s="181" t="s">
        <v>7034</v>
      </c>
      <c r="H4516" s="171"/>
    </row>
    <row r="4517" ht="25.5" spans="1:8">
      <c r="A4517" s="176">
        <v>381</v>
      </c>
      <c r="B4517" s="175" t="s">
        <v>7033</v>
      </c>
      <c r="C4517" s="181" t="s">
        <v>272</v>
      </c>
      <c r="D4517" s="190">
        <v>0.02</v>
      </c>
      <c r="E4517" s="204" t="s">
        <v>30</v>
      </c>
      <c r="F4517" s="204" t="s">
        <v>188</v>
      </c>
      <c r="G4517" s="181" t="s">
        <v>7035</v>
      </c>
      <c r="H4517" s="171"/>
    </row>
    <row r="4518" ht="14.25" spans="1:8">
      <c r="A4518" s="176">
        <v>382</v>
      </c>
      <c r="B4518" s="175" t="s">
        <v>1879</v>
      </c>
      <c r="C4518" s="181" t="s">
        <v>272</v>
      </c>
      <c r="D4518" s="190">
        <v>0.04</v>
      </c>
      <c r="E4518" s="204" t="s">
        <v>30</v>
      </c>
      <c r="F4518" s="204" t="s">
        <v>188</v>
      </c>
      <c r="G4518" s="181" t="s">
        <v>7036</v>
      </c>
      <c r="H4518" s="171" t="s">
        <v>593</v>
      </c>
    </row>
    <row r="4519" ht="14.25" spans="1:8">
      <c r="A4519" s="176">
        <v>383</v>
      </c>
      <c r="B4519" s="175" t="s">
        <v>7037</v>
      </c>
      <c r="C4519" s="181" t="s">
        <v>272</v>
      </c>
      <c r="D4519" s="190">
        <v>0.02</v>
      </c>
      <c r="E4519" s="204" t="s">
        <v>30</v>
      </c>
      <c r="F4519" s="204" t="s">
        <v>188</v>
      </c>
      <c r="G4519" s="181" t="s">
        <v>7038</v>
      </c>
      <c r="H4519" s="171"/>
    </row>
    <row r="4520" ht="14.25" spans="1:8">
      <c r="A4520" s="176">
        <v>384</v>
      </c>
      <c r="B4520" s="175" t="s">
        <v>7039</v>
      </c>
      <c r="C4520" s="181" t="s">
        <v>272</v>
      </c>
      <c r="D4520" s="190">
        <v>0.04</v>
      </c>
      <c r="E4520" s="204" t="s">
        <v>30</v>
      </c>
      <c r="F4520" s="204" t="s">
        <v>188</v>
      </c>
      <c r="G4520" s="181" t="s">
        <v>7040</v>
      </c>
      <c r="H4520" s="171"/>
    </row>
    <row r="4521" ht="14.25" spans="1:8">
      <c r="A4521" s="176">
        <v>385</v>
      </c>
      <c r="B4521" s="175" t="s">
        <v>7039</v>
      </c>
      <c r="C4521" s="181" t="s">
        <v>272</v>
      </c>
      <c r="D4521" s="190">
        <v>0.03</v>
      </c>
      <c r="E4521" s="204" t="s">
        <v>30</v>
      </c>
      <c r="F4521" s="204" t="s">
        <v>188</v>
      </c>
      <c r="G4521" s="181" t="s">
        <v>7041</v>
      </c>
      <c r="H4521" s="171"/>
    </row>
    <row r="4522" ht="14.25" spans="1:8">
      <c r="A4522" s="176">
        <v>386</v>
      </c>
      <c r="B4522" s="175" t="s">
        <v>1879</v>
      </c>
      <c r="C4522" s="181" t="s">
        <v>272</v>
      </c>
      <c r="D4522" s="190">
        <v>0.04</v>
      </c>
      <c r="E4522" s="204" t="s">
        <v>30</v>
      </c>
      <c r="F4522" s="204" t="s">
        <v>188</v>
      </c>
      <c r="G4522" s="181" t="s">
        <v>7042</v>
      </c>
      <c r="H4522" s="171" t="s">
        <v>672</v>
      </c>
    </row>
    <row r="4523" ht="25.5" spans="1:8">
      <c r="A4523" s="176">
        <v>387</v>
      </c>
      <c r="B4523" s="175" t="s">
        <v>7043</v>
      </c>
      <c r="C4523" s="181" t="s">
        <v>272</v>
      </c>
      <c r="D4523" s="190">
        <v>0.48</v>
      </c>
      <c r="E4523" s="204" t="s">
        <v>30</v>
      </c>
      <c r="F4523" s="204" t="s">
        <v>188</v>
      </c>
      <c r="G4523" s="181" t="s">
        <v>7044</v>
      </c>
      <c r="H4523" s="171"/>
    </row>
    <row r="4524" ht="14.25" spans="1:8">
      <c r="A4524" s="176">
        <v>388</v>
      </c>
      <c r="B4524" s="175" t="s">
        <v>7045</v>
      </c>
      <c r="C4524" s="181" t="s">
        <v>272</v>
      </c>
      <c r="D4524" s="190">
        <v>0.02</v>
      </c>
      <c r="E4524" s="204" t="s">
        <v>30</v>
      </c>
      <c r="F4524" s="204" t="s">
        <v>188</v>
      </c>
      <c r="G4524" s="181" t="s">
        <v>7046</v>
      </c>
      <c r="H4524" s="171"/>
    </row>
    <row r="4525" ht="14.25" spans="1:8">
      <c r="A4525" s="176">
        <v>389</v>
      </c>
      <c r="B4525" s="175" t="s">
        <v>7047</v>
      </c>
      <c r="C4525" s="181" t="s">
        <v>272</v>
      </c>
      <c r="D4525" s="190">
        <v>0.01</v>
      </c>
      <c r="E4525" s="204" t="s">
        <v>30</v>
      </c>
      <c r="F4525" s="204" t="s">
        <v>188</v>
      </c>
      <c r="G4525" s="181" t="s">
        <v>3916</v>
      </c>
      <c r="H4525" s="171"/>
    </row>
    <row r="4526" ht="14.25" spans="1:8">
      <c r="A4526" s="176">
        <v>390</v>
      </c>
      <c r="B4526" s="175" t="s">
        <v>7048</v>
      </c>
      <c r="C4526" s="181" t="s">
        <v>272</v>
      </c>
      <c r="D4526" s="190">
        <v>0.02</v>
      </c>
      <c r="E4526" s="204" t="s">
        <v>30</v>
      </c>
      <c r="F4526" s="204" t="s">
        <v>188</v>
      </c>
      <c r="G4526" s="181" t="s">
        <v>7049</v>
      </c>
      <c r="H4526" s="171"/>
    </row>
    <row r="4527" ht="14.25" spans="1:8">
      <c r="A4527" s="176">
        <v>391</v>
      </c>
      <c r="B4527" s="175" t="s">
        <v>1879</v>
      </c>
      <c r="C4527" s="181" t="s">
        <v>272</v>
      </c>
      <c r="D4527" s="190">
        <v>0.04</v>
      </c>
      <c r="E4527" s="204" t="s">
        <v>30</v>
      </c>
      <c r="F4527" s="204" t="s">
        <v>188</v>
      </c>
      <c r="G4527" s="181" t="s">
        <v>7050</v>
      </c>
      <c r="H4527" s="171" t="s">
        <v>672</v>
      </c>
    </row>
    <row r="4528" ht="14.25" spans="1:8">
      <c r="A4528" s="176">
        <v>392</v>
      </c>
      <c r="B4528" s="175" t="s">
        <v>7051</v>
      </c>
      <c r="C4528" s="181" t="s">
        <v>272</v>
      </c>
      <c r="D4528" s="190">
        <v>0.04</v>
      </c>
      <c r="E4528" s="204" t="s">
        <v>30</v>
      </c>
      <c r="F4528" s="204" t="s">
        <v>188</v>
      </c>
      <c r="G4528" s="181" t="s">
        <v>7052</v>
      </c>
      <c r="H4528" s="171"/>
    </row>
    <row r="4529" ht="14.25" spans="1:8">
      <c r="A4529" s="176">
        <v>393</v>
      </c>
      <c r="B4529" s="175" t="s">
        <v>7053</v>
      </c>
      <c r="C4529" s="181" t="s">
        <v>272</v>
      </c>
      <c r="D4529" s="190">
        <v>0.02</v>
      </c>
      <c r="E4529" s="204" t="s">
        <v>30</v>
      </c>
      <c r="F4529" s="204" t="s">
        <v>188</v>
      </c>
      <c r="G4529" s="181" t="s">
        <v>7054</v>
      </c>
      <c r="H4529" s="171"/>
    </row>
    <row r="4530" ht="14.25" spans="1:8">
      <c r="A4530" s="176">
        <v>394</v>
      </c>
      <c r="B4530" s="175" t="s">
        <v>6948</v>
      </c>
      <c r="C4530" s="181" t="s">
        <v>272</v>
      </c>
      <c r="D4530" s="190">
        <v>0.1</v>
      </c>
      <c r="E4530" s="204" t="s">
        <v>30</v>
      </c>
      <c r="F4530" s="204" t="s">
        <v>188</v>
      </c>
      <c r="G4530" s="181" t="s">
        <v>6949</v>
      </c>
      <c r="H4530" s="171"/>
    </row>
    <row r="4531" ht="14.25" spans="1:8">
      <c r="A4531" s="176">
        <v>395</v>
      </c>
      <c r="B4531" s="175" t="s">
        <v>5257</v>
      </c>
      <c r="C4531" s="181" t="s">
        <v>272</v>
      </c>
      <c r="D4531" s="190">
        <v>0.03</v>
      </c>
      <c r="E4531" s="204" t="s">
        <v>30</v>
      </c>
      <c r="F4531" s="204" t="s">
        <v>188</v>
      </c>
      <c r="G4531" s="181" t="s">
        <v>4308</v>
      </c>
      <c r="H4531" s="171"/>
    </row>
    <row r="4532" ht="25.5" spans="1:8">
      <c r="A4532" s="176">
        <v>396</v>
      </c>
      <c r="B4532" s="175" t="s">
        <v>7055</v>
      </c>
      <c r="C4532" s="181" t="s">
        <v>272</v>
      </c>
      <c r="D4532" s="190">
        <v>0.06</v>
      </c>
      <c r="E4532" s="204" t="s">
        <v>30</v>
      </c>
      <c r="F4532" s="204" t="s">
        <v>188</v>
      </c>
      <c r="G4532" s="181" t="s">
        <v>7056</v>
      </c>
      <c r="H4532" s="171"/>
    </row>
    <row r="4533" ht="14.25" spans="1:8">
      <c r="A4533" s="176">
        <v>397</v>
      </c>
      <c r="B4533" s="175" t="s">
        <v>1879</v>
      </c>
      <c r="C4533" s="181" t="s">
        <v>272</v>
      </c>
      <c r="D4533" s="190">
        <v>0.04</v>
      </c>
      <c r="E4533" s="204" t="s">
        <v>30</v>
      </c>
      <c r="F4533" s="204" t="s">
        <v>188</v>
      </c>
      <c r="G4533" s="181" t="s">
        <v>7057</v>
      </c>
      <c r="H4533" s="171" t="s">
        <v>672</v>
      </c>
    </row>
    <row r="4534" ht="25.5" spans="1:8">
      <c r="A4534" s="176">
        <v>398</v>
      </c>
      <c r="B4534" s="175" t="s">
        <v>7055</v>
      </c>
      <c r="C4534" s="181" t="s">
        <v>272</v>
      </c>
      <c r="D4534" s="190">
        <v>0.02</v>
      </c>
      <c r="E4534" s="204" t="s">
        <v>30</v>
      </c>
      <c r="F4534" s="204" t="s">
        <v>188</v>
      </c>
      <c r="G4534" s="181" t="s">
        <v>7058</v>
      </c>
      <c r="H4534" s="171"/>
    </row>
    <row r="4535" ht="25.5" spans="1:8">
      <c r="A4535" s="176">
        <v>399</v>
      </c>
      <c r="B4535" s="175" t="s">
        <v>7059</v>
      </c>
      <c r="C4535" s="181" t="s">
        <v>272</v>
      </c>
      <c r="D4535" s="190">
        <v>0.23</v>
      </c>
      <c r="E4535" s="204" t="s">
        <v>30</v>
      </c>
      <c r="F4535" s="204" t="s">
        <v>188</v>
      </c>
      <c r="G4535" s="181" t="s">
        <v>7060</v>
      </c>
      <c r="H4535" s="171"/>
    </row>
    <row r="4536" ht="14.25" spans="1:8">
      <c r="A4536" s="176">
        <v>400</v>
      </c>
      <c r="B4536" s="175" t="s">
        <v>6826</v>
      </c>
      <c r="C4536" s="181" t="s">
        <v>272</v>
      </c>
      <c r="D4536" s="190">
        <v>0.03</v>
      </c>
      <c r="E4536" s="204" t="s">
        <v>30</v>
      </c>
      <c r="F4536" s="204" t="s">
        <v>188</v>
      </c>
      <c r="G4536" s="181" t="s">
        <v>7061</v>
      </c>
      <c r="H4536" s="171"/>
    </row>
    <row r="4537" ht="14.25" spans="1:8">
      <c r="A4537" s="176">
        <v>401</v>
      </c>
      <c r="B4537" s="175" t="s">
        <v>6826</v>
      </c>
      <c r="C4537" s="181" t="s">
        <v>272</v>
      </c>
      <c r="D4537" s="190">
        <v>0.03</v>
      </c>
      <c r="E4537" s="204" t="s">
        <v>30</v>
      </c>
      <c r="F4537" s="204" t="s">
        <v>188</v>
      </c>
      <c r="G4537" s="181" t="s">
        <v>7062</v>
      </c>
      <c r="H4537" s="171"/>
    </row>
    <row r="4538" ht="14.25" spans="1:8">
      <c r="A4538" s="176">
        <v>402</v>
      </c>
      <c r="B4538" s="175" t="s">
        <v>1879</v>
      </c>
      <c r="C4538" s="181" t="s">
        <v>272</v>
      </c>
      <c r="D4538" s="190">
        <v>0.04</v>
      </c>
      <c r="E4538" s="204" t="s">
        <v>30</v>
      </c>
      <c r="F4538" s="204" t="s">
        <v>188</v>
      </c>
      <c r="G4538" s="181" t="s">
        <v>7063</v>
      </c>
      <c r="H4538" s="171" t="s">
        <v>672</v>
      </c>
    </row>
    <row r="4539" ht="14.25" spans="1:8">
      <c r="A4539" s="176">
        <v>403</v>
      </c>
      <c r="B4539" s="175" t="s">
        <v>7064</v>
      </c>
      <c r="C4539" s="181" t="s">
        <v>272</v>
      </c>
      <c r="D4539" s="190">
        <v>0.01</v>
      </c>
      <c r="E4539" s="204" t="s">
        <v>30</v>
      </c>
      <c r="F4539" s="204" t="s">
        <v>188</v>
      </c>
      <c r="G4539" s="181" t="s">
        <v>7065</v>
      </c>
      <c r="H4539" s="171"/>
    </row>
    <row r="4540" ht="25.5" spans="1:8">
      <c r="A4540" s="176">
        <v>404</v>
      </c>
      <c r="B4540" s="175" t="s">
        <v>7066</v>
      </c>
      <c r="C4540" s="181" t="s">
        <v>272</v>
      </c>
      <c r="D4540" s="190">
        <v>0.02</v>
      </c>
      <c r="E4540" s="204" t="s">
        <v>30</v>
      </c>
      <c r="F4540" s="204" t="s">
        <v>188</v>
      </c>
      <c r="G4540" s="181" t="s">
        <v>7067</v>
      </c>
      <c r="H4540" s="171"/>
    </row>
    <row r="4541" ht="14.25" spans="1:8">
      <c r="A4541" s="176">
        <v>405</v>
      </c>
      <c r="B4541" s="175" t="s">
        <v>6666</v>
      </c>
      <c r="C4541" s="181" t="s">
        <v>272</v>
      </c>
      <c r="D4541" s="190">
        <v>0.03</v>
      </c>
      <c r="E4541" s="204" t="s">
        <v>30</v>
      </c>
      <c r="F4541" s="204" t="s">
        <v>188</v>
      </c>
      <c r="G4541" s="181" t="s">
        <v>7068</v>
      </c>
      <c r="H4541" s="171"/>
    </row>
    <row r="4542" ht="25.5" spans="1:8">
      <c r="A4542" s="176">
        <v>406</v>
      </c>
      <c r="B4542" s="175" t="s">
        <v>7069</v>
      </c>
      <c r="C4542" s="181" t="s">
        <v>272</v>
      </c>
      <c r="D4542" s="190">
        <v>0.02</v>
      </c>
      <c r="E4542" s="204" t="s">
        <v>30</v>
      </c>
      <c r="F4542" s="204" t="s">
        <v>188</v>
      </c>
      <c r="G4542" s="181" t="s">
        <v>7070</v>
      </c>
      <c r="H4542" s="171"/>
    </row>
    <row r="4543" ht="14.25" spans="1:8">
      <c r="A4543" s="176">
        <v>407</v>
      </c>
      <c r="B4543" s="175" t="s">
        <v>1879</v>
      </c>
      <c r="C4543" s="181" t="s">
        <v>272</v>
      </c>
      <c r="D4543" s="190">
        <v>0.04</v>
      </c>
      <c r="E4543" s="204" t="s">
        <v>30</v>
      </c>
      <c r="F4543" s="204" t="s">
        <v>188</v>
      </c>
      <c r="G4543" s="181" t="s">
        <v>7071</v>
      </c>
      <c r="H4543" s="171" t="s">
        <v>672</v>
      </c>
    </row>
    <row r="4544" ht="14.25" spans="1:8">
      <c r="A4544" s="176">
        <v>408</v>
      </c>
      <c r="B4544" s="182" t="s">
        <v>7072</v>
      </c>
      <c r="C4544" s="181" t="s">
        <v>272</v>
      </c>
      <c r="D4544" s="190">
        <v>0.03</v>
      </c>
      <c r="E4544" s="204" t="s">
        <v>30</v>
      </c>
      <c r="F4544" s="204" t="s">
        <v>188</v>
      </c>
      <c r="G4544" s="181" t="s">
        <v>7073</v>
      </c>
      <c r="H4544" s="171"/>
    </row>
    <row r="4545" ht="14.25" spans="1:8">
      <c r="A4545" s="176">
        <v>409</v>
      </c>
      <c r="B4545" s="182" t="s">
        <v>7074</v>
      </c>
      <c r="C4545" s="181" t="s">
        <v>272</v>
      </c>
      <c r="D4545" s="190">
        <v>0.05</v>
      </c>
      <c r="E4545" s="204" t="s">
        <v>30</v>
      </c>
      <c r="F4545" s="204" t="s">
        <v>188</v>
      </c>
      <c r="G4545" s="181" t="s">
        <v>7075</v>
      </c>
      <c r="H4545" s="171"/>
    </row>
    <row r="4546" ht="14.25" spans="1:8">
      <c r="A4546" s="176">
        <v>410</v>
      </c>
      <c r="B4546" s="182" t="s">
        <v>7074</v>
      </c>
      <c r="C4546" s="181" t="s">
        <v>272</v>
      </c>
      <c r="D4546" s="190">
        <v>0.05</v>
      </c>
      <c r="E4546" s="204" t="s">
        <v>30</v>
      </c>
      <c r="F4546" s="204" t="s">
        <v>188</v>
      </c>
      <c r="G4546" s="181" t="s">
        <v>7076</v>
      </c>
      <c r="H4546" s="171"/>
    </row>
    <row r="4547" ht="14.25" spans="1:8">
      <c r="A4547" s="176">
        <v>411</v>
      </c>
      <c r="B4547" s="182" t="s">
        <v>397</v>
      </c>
      <c r="C4547" s="181" t="s">
        <v>272</v>
      </c>
      <c r="D4547" s="190">
        <v>0.05</v>
      </c>
      <c r="E4547" s="204" t="s">
        <v>30</v>
      </c>
      <c r="F4547" s="204" t="s">
        <v>188</v>
      </c>
      <c r="G4547" s="181" t="s">
        <v>7077</v>
      </c>
      <c r="H4547" s="171"/>
    </row>
    <row r="4548" ht="14.25" spans="1:8">
      <c r="A4548" s="176">
        <v>412</v>
      </c>
      <c r="B4548" s="182" t="s">
        <v>397</v>
      </c>
      <c r="C4548" s="181" t="s">
        <v>272</v>
      </c>
      <c r="D4548" s="190">
        <v>0.05</v>
      </c>
      <c r="E4548" s="204" t="s">
        <v>30</v>
      </c>
      <c r="F4548" s="204" t="s">
        <v>188</v>
      </c>
      <c r="G4548" s="181" t="s">
        <v>7078</v>
      </c>
      <c r="H4548" s="171"/>
    </row>
    <row r="4549" ht="14.25" spans="1:8">
      <c r="A4549" s="176">
        <v>413</v>
      </c>
      <c r="B4549" s="182" t="s">
        <v>7079</v>
      </c>
      <c r="C4549" s="181" t="s">
        <v>272</v>
      </c>
      <c r="D4549" s="190">
        <v>0.03</v>
      </c>
      <c r="E4549" s="204" t="s">
        <v>30</v>
      </c>
      <c r="F4549" s="204" t="s">
        <v>188</v>
      </c>
      <c r="G4549" s="181" t="s">
        <v>7080</v>
      </c>
      <c r="H4549" s="171"/>
    </row>
    <row r="4550" ht="25.5" spans="1:8">
      <c r="A4550" s="176">
        <v>414</v>
      </c>
      <c r="B4550" s="182" t="s">
        <v>7081</v>
      </c>
      <c r="C4550" s="181" t="s">
        <v>272</v>
      </c>
      <c r="D4550" s="190">
        <v>0.4</v>
      </c>
      <c r="E4550" s="204" t="s">
        <v>30</v>
      </c>
      <c r="F4550" s="204" t="s">
        <v>188</v>
      </c>
      <c r="G4550" s="181" t="s">
        <v>7082</v>
      </c>
      <c r="H4550" s="171"/>
    </row>
    <row r="4551" ht="14.25" spans="1:8">
      <c r="A4551" s="176">
        <v>415</v>
      </c>
      <c r="B4551" s="182" t="s">
        <v>7016</v>
      </c>
      <c r="C4551" s="181" t="s">
        <v>272</v>
      </c>
      <c r="D4551" s="190">
        <v>0.02</v>
      </c>
      <c r="E4551" s="204" t="s">
        <v>30</v>
      </c>
      <c r="F4551" s="204" t="s">
        <v>188</v>
      </c>
      <c r="G4551" s="181" t="s">
        <v>7017</v>
      </c>
      <c r="H4551" s="171"/>
    </row>
    <row r="4552" ht="14.25" spans="1:8">
      <c r="A4552" s="176">
        <v>416</v>
      </c>
      <c r="B4552" s="182" t="s">
        <v>7083</v>
      </c>
      <c r="C4552" s="181" t="s">
        <v>272</v>
      </c>
      <c r="D4552" s="190">
        <v>0.01</v>
      </c>
      <c r="E4552" s="204" t="s">
        <v>30</v>
      </c>
      <c r="F4552" s="204" t="s">
        <v>188</v>
      </c>
      <c r="G4552" s="181" t="s">
        <v>7084</v>
      </c>
      <c r="H4552" s="171"/>
    </row>
    <row r="4553" ht="14.25" spans="1:8">
      <c r="A4553" s="176">
        <v>417</v>
      </c>
      <c r="B4553" s="182" t="s">
        <v>7083</v>
      </c>
      <c r="C4553" s="181" t="s">
        <v>272</v>
      </c>
      <c r="D4553" s="190">
        <v>0.01</v>
      </c>
      <c r="E4553" s="204" t="s">
        <v>30</v>
      </c>
      <c r="F4553" s="204" t="s">
        <v>188</v>
      </c>
      <c r="G4553" s="181" t="s">
        <v>7085</v>
      </c>
      <c r="H4553" s="171"/>
    </row>
    <row r="4554" ht="14.25" spans="1:8">
      <c r="A4554" s="176">
        <v>418</v>
      </c>
      <c r="B4554" s="182" t="s">
        <v>7083</v>
      </c>
      <c r="C4554" s="181" t="s">
        <v>272</v>
      </c>
      <c r="D4554" s="190">
        <v>0.01</v>
      </c>
      <c r="E4554" s="204" t="s">
        <v>30</v>
      </c>
      <c r="F4554" s="204" t="s">
        <v>188</v>
      </c>
      <c r="G4554" s="181" t="s">
        <v>7086</v>
      </c>
      <c r="H4554" s="171"/>
    </row>
    <row r="4555" ht="14.25" spans="1:8">
      <c r="A4555" s="176">
        <v>419</v>
      </c>
      <c r="B4555" s="182" t="s">
        <v>7083</v>
      </c>
      <c r="C4555" s="181" t="s">
        <v>272</v>
      </c>
      <c r="D4555" s="190">
        <v>0.01</v>
      </c>
      <c r="E4555" s="204" t="s">
        <v>30</v>
      </c>
      <c r="F4555" s="204" t="s">
        <v>188</v>
      </c>
      <c r="G4555" s="181" t="s">
        <v>7087</v>
      </c>
      <c r="H4555" s="171"/>
    </row>
    <row r="4556" ht="14.25" spans="1:8">
      <c r="A4556" s="176">
        <v>420</v>
      </c>
      <c r="B4556" s="182" t="s">
        <v>7083</v>
      </c>
      <c r="C4556" s="181" t="s">
        <v>272</v>
      </c>
      <c r="D4556" s="190">
        <v>0.01</v>
      </c>
      <c r="E4556" s="204" t="s">
        <v>30</v>
      </c>
      <c r="F4556" s="204" t="s">
        <v>188</v>
      </c>
      <c r="G4556" s="181" t="s">
        <v>7088</v>
      </c>
      <c r="H4556" s="171"/>
    </row>
    <row r="4557" ht="14.25" spans="1:8">
      <c r="A4557" s="176">
        <v>421</v>
      </c>
      <c r="B4557" s="182" t="s">
        <v>7083</v>
      </c>
      <c r="C4557" s="181" t="s">
        <v>272</v>
      </c>
      <c r="D4557" s="190">
        <v>0.01</v>
      </c>
      <c r="E4557" s="204" t="s">
        <v>30</v>
      </c>
      <c r="F4557" s="204" t="s">
        <v>188</v>
      </c>
      <c r="G4557" s="181" t="s">
        <v>7089</v>
      </c>
      <c r="H4557" s="171"/>
    </row>
    <row r="4558" ht="14.25" spans="1:8">
      <c r="A4558" s="176">
        <v>422</v>
      </c>
      <c r="B4558" s="182" t="s">
        <v>7083</v>
      </c>
      <c r="C4558" s="181" t="s">
        <v>272</v>
      </c>
      <c r="D4558" s="190">
        <v>0.01</v>
      </c>
      <c r="E4558" s="204" t="s">
        <v>30</v>
      </c>
      <c r="F4558" s="204" t="s">
        <v>188</v>
      </c>
      <c r="G4558" s="181" t="s">
        <v>7090</v>
      </c>
      <c r="H4558" s="171"/>
    </row>
    <row r="4559" ht="14.25" spans="1:8">
      <c r="A4559" s="176">
        <v>423</v>
      </c>
      <c r="B4559" s="182" t="s">
        <v>7083</v>
      </c>
      <c r="C4559" s="181" t="s">
        <v>272</v>
      </c>
      <c r="D4559" s="190">
        <v>0.01</v>
      </c>
      <c r="E4559" s="204" t="s">
        <v>30</v>
      </c>
      <c r="F4559" s="204" t="s">
        <v>188</v>
      </c>
      <c r="G4559" s="181" t="s">
        <v>7091</v>
      </c>
      <c r="H4559" s="171"/>
    </row>
    <row r="4560" ht="14.25" spans="1:8">
      <c r="A4560" s="176">
        <v>424</v>
      </c>
      <c r="B4560" s="182" t="s">
        <v>7083</v>
      </c>
      <c r="C4560" s="181" t="s">
        <v>272</v>
      </c>
      <c r="D4560" s="190">
        <v>0.01</v>
      </c>
      <c r="E4560" s="204" t="s">
        <v>30</v>
      </c>
      <c r="F4560" s="204" t="s">
        <v>188</v>
      </c>
      <c r="G4560" s="181" t="s">
        <v>7092</v>
      </c>
      <c r="H4560" s="171"/>
    </row>
    <row r="4561" ht="14.25" spans="1:8">
      <c r="A4561" s="176">
        <v>425</v>
      </c>
      <c r="B4561" s="182" t="s">
        <v>7083</v>
      </c>
      <c r="C4561" s="181" t="s">
        <v>272</v>
      </c>
      <c r="D4561" s="190">
        <v>0.01</v>
      </c>
      <c r="E4561" s="204" t="s">
        <v>30</v>
      </c>
      <c r="F4561" s="204" t="s">
        <v>188</v>
      </c>
      <c r="G4561" s="181" t="s">
        <v>7093</v>
      </c>
      <c r="H4561" s="171"/>
    </row>
    <row r="4562" ht="14.25" spans="1:8">
      <c r="A4562" s="176">
        <v>426</v>
      </c>
      <c r="B4562" s="182" t="s">
        <v>7083</v>
      </c>
      <c r="C4562" s="181" t="s">
        <v>272</v>
      </c>
      <c r="D4562" s="190">
        <v>0.01</v>
      </c>
      <c r="E4562" s="204" t="s">
        <v>30</v>
      </c>
      <c r="F4562" s="204" t="s">
        <v>188</v>
      </c>
      <c r="G4562" s="181" t="s">
        <v>7094</v>
      </c>
      <c r="H4562" s="171"/>
    </row>
    <row r="4563" ht="14.25" spans="1:8">
      <c r="A4563" s="176">
        <v>427</v>
      </c>
      <c r="B4563" s="182" t="s">
        <v>7083</v>
      </c>
      <c r="C4563" s="181" t="s">
        <v>272</v>
      </c>
      <c r="D4563" s="190">
        <v>0.01</v>
      </c>
      <c r="E4563" s="204" t="s">
        <v>30</v>
      </c>
      <c r="F4563" s="204" t="s">
        <v>188</v>
      </c>
      <c r="G4563" s="181" t="s">
        <v>7095</v>
      </c>
      <c r="H4563" s="171"/>
    </row>
    <row r="4564" ht="25.5" spans="1:8">
      <c r="A4564" s="176">
        <v>428</v>
      </c>
      <c r="B4564" s="175" t="s">
        <v>6824</v>
      </c>
      <c r="C4564" s="181" t="s">
        <v>272</v>
      </c>
      <c r="D4564" s="190">
        <v>0.04</v>
      </c>
      <c r="E4564" s="204" t="s">
        <v>30</v>
      </c>
      <c r="F4564" s="204" t="s">
        <v>188</v>
      </c>
      <c r="G4564" s="181" t="s">
        <v>7096</v>
      </c>
      <c r="H4564" s="171"/>
    </row>
    <row r="4565" ht="14.25" spans="1:8">
      <c r="A4565" s="176">
        <v>429</v>
      </c>
      <c r="B4565" s="175" t="s">
        <v>512</v>
      </c>
      <c r="C4565" s="181" t="s">
        <v>272</v>
      </c>
      <c r="D4565" s="190">
        <v>0.02</v>
      </c>
      <c r="E4565" s="204" t="s">
        <v>30</v>
      </c>
      <c r="F4565" s="204" t="s">
        <v>188</v>
      </c>
      <c r="G4565" s="181" t="s">
        <v>7097</v>
      </c>
      <c r="H4565" s="171"/>
    </row>
    <row r="4566" ht="14.25" spans="1:8">
      <c r="A4566" s="176">
        <v>430</v>
      </c>
      <c r="B4566" s="175" t="s">
        <v>7098</v>
      </c>
      <c r="C4566" s="181" t="s">
        <v>272</v>
      </c>
      <c r="D4566" s="190">
        <v>0.01</v>
      </c>
      <c r="E4566" s="204" t="s">
        <v>30</v>
      </c>
      <c r="F4566" s="204" t="s">
        <v>188</v>
      </c>
      <c r="G4566" s="181" t="s">
        <v>7099</v>
      </c>
      <c r="H4566" s="171"/>
    </row>
    <row r="4567" ht="14.25" spans="1:8">
      <c r="A4567" s="176">
        <v>431</v>
      </c>
      <c r="B4567" s="175" t="s">
        <v>7100</v>
      </c>
      <c r="C4567" s="181" t="s">
        <v>272</v>
      </c>
      <c r="D4567" s="190">
        <v>0.02</v>
      </c>
      <c r="E4567" s="204" t="s">
        <v>30</v>
      </c>
      <c r="F4567" s="204" t="s">
        <v>188</v>
      </c>
      <c r="G4567" s="181" t="s">
        <v>7101</v>
      </c>
      <c r="H4567" s="171"/>
    </row>
    <row r="4568" ht="14.25" spans="1:8">
      <c r="A4568" s="176">
        <v>432</v>
      </c>
      <c r="B4568" s="175" t="s">
        <v>1765</v>
      </c>
      <c r="C4568" s="181" t="s">
        <v>272</v>
      </c>
      <c r="D4568" s="190">
        <v>0.04</v>
      </c>
      <c r="E4568" s="204" t="s">
        <v>30</v>
      </c>
      <c r="F4568" s="204" t="s">
        <v>188</v>
      </c>
      <c r="G4568" s="181" t="s">
        <v>7102</v>
      </c>
      <c r="H4568" s="171"/>
    </row>
    <row r="4569" ht="14.25" spans="1:8">
      <c r="A4569" s="176">
        <v>433</v>
      </c>
      <c r="B4569" s="175" t="s">
        <v>1785</v>
      </c>
      <c r="C4569" s="181" t="s">
        <v>272</v>
      </c>
      <c r="D4569" s="190">
        <v>0.04</v>
      </c>
      <c r="E4569" s="204" t="s">
        <v>30</v>
      </c>
      <c r="F4569" s="204" t="s">
        <v>188</v>
      </c>
      <c r="G4569" s="181" t="s">
        <v>7103</v>
      </c>
      <c r="H4569" s="171"/>
    </row>
    <row r="4570" ht="25.5" spans="1:8">
      <c r="A4570" s="176">
        <v>434</v>
      </c>
      <c r="B4570" s="175" t="s">
        <v>7098</v>
      </c>
      <c r="C4570" s="181" t="s">
        <v>272</v>
      </c>
      <c r="D4570" s="190">
        <v>0.02</v>
      </c>
      <c r="E4570" s="204" t="s">
        <v>30</v>
      </c>
      <c r="F4570" s="204" t="s">
        <v>188</v>
      </c>
      <c r="G4570" s="181" t="s">
        <v>7104</v>
      </c>
      <c r="H4570" s="171"/>
    </row>
    <row r="4571" ht="14.25" spans="1:8">
      <c r="A4571" s="176">
        <v>435</v>
      </c>
      <c r="B4571" s="175" t="s">
        <v>7105</v>
      </c>
      <c r="C4571" s="181" t="s">
        <v>272</v>
      </c>
      <c r="D4571" s="190">
        <v>0.02</v>
      </c>
      <c r="E4571" s="204" t="s">
        <v>30</v>
      </c>
      <c r="F4571" s="204" t="s">
        <v>188</v>
      </c>
      <c r="G4571" s="181" t="s">
        <v>6641</v>
      </c>
      <c r="H4571" s="171"/>
    </row>
    <row r="4572" ht="14.25" spans="1:8">
      <c r="A4572" s="176">
        <v>436</v>
      </c>
      <c r="B4572" s="175" t="s">
        <v>7105</v>
      </c>
      <c r="C4572" s="181" t="s">
        <v>272</v>
      </c>
      <c r="D4572" s="190">
        <v>0.02</v>
      </c>
      <c r="E4572" s="204" t="s">
        <v>30</v>
      </c>
      <c r="F4572" s="204" t="s">
        <v>188</v>
      </c>
      <c r="G4572" s="181" t="s">
        <v>6836</v>
      </c>
      <c r="H4572" s="171"/>
    </row>
    <row r="4573" ht="14.25" spans="1:8">
      <c r="A4573" s="176">
        <v>437</v>
      </c>
      <c r="B4573" s="175" t="s">
        <v>7106</v>
      </c>
      <c r="C4573" s="181" t="s">
        <v>272</v>
      </c>
      <c r="D4573" s="190">
        <v>0.03</v>
      </c>
      <c r="E4573" s="204" t="s">
        <v>30</v>
      </c>
      <c r="F4573" s="204" t="s">
        <v>188</v>
      </c>
      <c r="G4573" s="181" t="s">
        <v>7107</v>
      </c>
      <c r="H4573" s="171"/>
    </row>
    <row r="4574" ht="14.25" spans="1:8">
      <c r="A4574" s="176">
        <v>438</v>
      </c>
      <c r="B4574" s="175" t="s">
        <v>7108</v>
      </c>
      <c r="C4574" s="181" t="s">
        <v>272</v>
      </c>
      <c r="D4574" s="190">
        <v>0.01</v>
      </c>
      <c r="E4574" s="204" t="s">
        <v>30</v>
      </c>
      <c r="F4574" s="204" t="s">
        <v>188</v>
      </c>
      <c r="G4574" s="181" t="s">
        <v>7109</v>
      </c>
      <c r="H4574" s="171"/>
    </row>
    <row r="4575" ht="14.25" spans="1:8">
      <c r="A4575" s="176">
        <v>439</v>
      </c>
      <c r="B4575" s="175" t="s">
        <v>7110</v>
      </c>
      <c r="C4575" s="181" t="s">
        <v>272</v>
      </c>
      <c r="D4575" s="190">
        <v>0.01</v>
      </c>
      <c r="E4575" s="204" t="s">
        <v>30</v>
      </c>
      <c r="F4575" s="204" t="s">
        <v>188</v>
      </c>
      <c r="G4575" s="181" t="s">
        <v>7111</v>
      </c>
      <c r="H4575" s="171"/>
    </row>
    <row r="4576" ht="14.25" spans="1:8">
      <c r="A4576" s="176">
        <v>440</v>
      </c>
      <c r="B4576" s="175" t="s">
        <v>6861</v>
      </c>
      <c r="C4576" s="181" t="s">
        <v>272</v>
      </c>
      <c r="D4576" s="190">
        <v>0.02</v>
      </c>
      <c r="E4576" s="204" t="s">
        <v>30</v>
      </c>
      <c r="F4576" s="204" t="s">
        <v>188</v>
      </c>
      <c r="G4576" s="181" t="s">
        <v>7112</v>
      </c>
      <c r="H4576" s="171"/>
    </row>
    <row r="4577" ht="14.25" spans="1:8">
      <c r="A4577" s="176">
        <v>441</v>
      </c>
      <c r="B4577" s="175" t="s">
        <v>7113</v>
      </c>
      <c r="C4577" s="181" t="s">
        <v>272</v>
      </c>
      <c r="D4577" s="190">
        <v>0.02</v>
      </c>
      <c r="E4577" s="204" t="s">
        <v>30</v>
      </c>
      <c r="F4577" s="204" t="s">
        <v>188</v>
      </c>
      <c r="G4577" s="181" t="s">
        <v>7114</v>
      </c>
      <c r="H4577" s="171"/>
    </row>
    <row r="4578" ht="14.25" spans="1:8">
      <c r="A4578" s="176">
        <v>442</v>
      </c>
      <c r="B4578" s="175" t="s">
        <v>712</v>
      </c>
      <c r="C4578" s="181" t="s">
        <v>272</v>
      </c>
      <c r="D4578" s="190">
        <v>0.02</v>
      </c>
      <c r="E4578" s="204" t="s">
        <v>30</v>
      </c>
      <c r="F4578" s="204" t="s">
        <v>188</v>
      </c>
      <c r="G4578" s="181" t="s">
        <v>7115</v>
      </c>
      <c r="H4578" s="171"/>
    </row>
    <row r="4579" ht="14.25" spans="1:8">
      <c r="A4579" s="176">
        <v>443</v>
      </c>
      <c r="B4579" s="175" t="s">
        <v>7116</v>
      </c>
      <c r="C4579" s="181" t="s">
        <v>272</v>
      </c>
      <c r="D4579" s="190">
        <v>0.02</v>
      </c>
      <c r="E4579" s="204" t="s">
        <v>30</v>
      </c>
      <c r="F4579" s="204" t="s">
        <v>188</v>
      </c>
      <c r="G4579" s="181" t="s">
        <v>7117</v>
      </c>
      <c r="H4579" s="171"/>
    </row>
    <row r="4580" ht="14.25" spans="1:8">
      <c r="A4580" s="176">
        <v>444</v>
      </c>
      <c r="B4580" s="175" t="s">
        <v>2608</v>
      </c>
      <c r="C4580" s="181" t="s">
        <v>272</v>
      </c>
      <c r="D4580" s="190">
        <v>0.06</v>
      </c>
      <c r="E4580" s="204" t="s">
        <v>30</v>
      </c>
      <c r="F4580" s="204" t="s">
        <v>188</v>
      </c>
      <c r="G4580" s="181" t="s">
        <v>7118</v>
      </c>
      <c r="H4580" s="171"/>
    </row>
    <row r="4581" ht="14.25" spans="1:8">
      <c r="A4581" s="176">
        <v>445</v>
      </c>
      <c r="B4581" s="175" t="s">
        <v>2608</v>
      </c>
      <c r="C4581" s="181" t="s">
        <v>272</v>
      </c>
      <c r="D4581" s="190">
        <v>0.02</v>
      </c>
      <c r="E4581" s="204" t="s">
        <v>30</v>
      </c>
      <c r="F4581" s="204" t="s">
        <v>188</v>
      </c>
      <c r="G4581" s="181" t="s">
        <v>1491</v>
      </c>
      <c r="H4581" s="171"/>
    </row>
    <row r="4582" ht="14.25" spans="1:8">
      <c r="A4582" s="176">
        <v>446</v>
      </c>
      <c r="B4582" s="175" t="s">
        <v>2608</v>
      </c>
      <c r="C4582" s="181" t="s">
        <v>272</v>
      </c>
      <c r="D4582" s="190">
        <v>0.06</v>
      </c>
      <c r="E4582" s="204" t="s">
        <v>30</v>
      </c>
      <c r="F4582" s="204" t="s">
        <v>188</v>
      </c>
      <c r="G4582" s="181" t="s">
        <v>7119</v>
      </c>
      <c r="H4582" s="171"/>
    </row>
    <row r="4583" ht="14.25" spans="1:8">
      <c r="A4583" s="176">
        <v>447</v>
      </c>
      <c r="B4583" s="175" t="s">
        <v>2608</v>
      </c>
      <c r="C4583" s="181" t="s">
        <v>272</v>
      </c>
      <c r="D4583" s="190">
        <v>0.06</v>
      </c>
      <c r="E4583" s="204" t="s">
        <v>30</v>
      </c>
      <c r="F4583" s="204" t="s">
        <v>188</v>
      </c>
      <c r="G4583" s="181" t="s">
        <v>7120</v>
      </c>
      <c r="H4583" s="171"/>
    </row>
    <row r="4584" ht="14.25" spans="1:8">
      <c r="A4584" s="176">
        <v>448</v>
      </c>
      <c r="B4584" s="175" t="s">
        <v>6642</v>
      </c>
      <c r="C4584" s="181" t="s">
        <v>272</v>
      </c>
      <c r="D4584" s="190">
        <v>0.01</v>
      </c>
      <c r="E4584" s="204" t="s">
        <v>30</v>
      </c>
      <c r="F4584" s="204" t="s">
        <v>188</v>
      </c>
      <c r="G4584" s="181" t="s">
        <v>7121</v>
      </c>
      <c r="H4584" s="171"/>
    </row>
    <row r="4585" ht="14.25" spans="1:8">
      <c r="A4585" s="176">
        <v>449</v>
      </c>
      <c r="B4585" s="175" t="s">
        <v>6642</v>
      </c>
      <c r="C4585" s="181" t="s">
        <v>272</v>
      </c>
      <c r="D4585" s="190">
        <v>0.05</v>
      </c>
      <c r="E4585" s="204" t="s">
        <v>30</v>
      </c>
      <c r="F4585" s="204" t="s">
        <v>188</v>
      </c>
      <c r="G4585" s="181" t="s">
        <v>7122</v>
      </c>
      <c r="H4585" s="171"/>
    </row>
    <row r="4586" ht="14.25" spans="1:8">
      <c r="A4586" s="176">
        <v>450</v>
      </c>
      <c r="B4586" s="175" t="s">
        <v>4216</v>
      </c>
      <c r="C4586" s="181" t="s">
        <v>272</v>
      </c>
      <c r="D4586" s="190">
        <v>0.03</v>
      </c>
      <c r="E4586" s="204" t="s">
        <v>30</v>
      </c>
      <c r="F4586" s="204" t="s">
        <v>188</v>
      </c>
      <c r="G4586" s="181" t="s">
        <v>7123</v>
      </c>
      <c r="H4586" s="171"/>
    </row>
    <row r="4587" ht="14.25" spans="1:8">
      <c r="A4587" s="176">
        <v>451</v>
      </c>
      <c r="B4587" s="175" t="s">
        <v>7124</v>
      </c>
      <c r="C4587" s="181" t="s">
        <v>272</v>
      </c>
      <c r="D4587" s="190">
        <v>0.01</v>
      </c>
      <c r="E4587" s="204" t="s">
        <v>30</v>
      </c>
      <c r="F4587" s="204" t="s">
        <v>188</v>
      </c>
      <c r="G4587" s="181" t="s">
        <v>7125</v>
      </c>
      <c r="H4587" s="171"/>
    </row>
    <row r="4588" ht="14.25" spans="1:8">
      <c r="A4588" s="176">
        <v>452</v>
      </c>
      <c r="B4588" s="175" t="s">
        <v>6654</v>
      </c>
      <c r="C4588" s="181" t="s">
        <v>272</v>
      </c>
      <c r="D4588" s="190">
        <v>0.06</v>
      </c>
      <c r="E4588" s="204" t="s">
        <v>30</v>
      </c>
      <c r="F4588" s="204" t="s">
        <v>188</v>
      </c>
      <c r="G4588" s="181" t="s">
        <v>7126</v>
      </c>
      <c r="H4588" s="171"/>
    </row>
    <row r="4589" spans="1:10">
      <c r="A4589" s="176">
        <v>453</v>
      </c>
      <c r="B4589" s="175" t="s">
        <v>2251</v>
      </c>
      <c r="C4589" s="181" t="s">
        <v>272</v>
      </c>
      <c r="D4589" s="190">
        <v>0.01</v>
      </c>
      <c r="E4589" s="204" t="s">
        <v>30</v>
      </c>
      <c r="F4589" s="204" t="s">
        <v>188</v>
      </c>
      <c r="G4589" s="181" t="s">
        <v>7127</v>
      </c>
      <c r="H4589" s="171"/>
      <c r="J4589" s="148" t="s">
        <v>7128</v>
      </c>
    </row>
    <row r="4590" ht="14.25" spans="1:8">
      <c r="A4590" s="176">
        <v>454</v>
      </c>
      <c r="B4590" s="183" t="s">
        <v>7129</v>
      </c>
      <c r="C4590" s="181" t="s">
        <v>272</v>
      </c>
      <c r="D4590" s="190">
        <v>0.06</v>
      </c>
      <c r="E4590" s="204" t="s">
        <v>30</v>
      </c>
      <c r="F4590" s="204" t="s">
        <v>188</v>
      </c>
      <c r="G4590" s="181" t="s">
        <v>7130</v>
      </c>
      <c r="H4590" s="171"/>
    </row>
    <row r="4591" ht="14.25" spans="1:8">
      <c r="A4591" s="176">
        <v>455</v>
      </c>
      <c r="B4591" s="183" t="s">
        <v>7131</v>
      </c>
      <c r="C4591" s="181" t="s">
        <v>272</v>
      </c>
      <c r="D4591" s="190">
        <v>0.03</v>
      </c>
      <c r="E4591" s="204" t="s">
        <v>30</v>
      </c>
      <c r="F4591" s="204" t="s">
        <v>188</v>
      </c>
      <c r="G4591" s="181" t="s">
        <v>7132</v>
      </c>
      <c r="H4591" s="171"/>
    </row>
    <row r="4592" ht="14.25" spans="1:8">
      <c r="A4592" s="176">
        <v>456</v>
      </c>
      <c r="B4592" s="183" t="s">
        <v>7133</v>
      </c>
      <c r="C4592" s="181" t="s">
        <v>272</v>
      </c>
      <c r="D4592" s="190">
        <v>0.1</v>
      </c>
      <c r="E4592" s="204" t="s">
        <v>30</v>
      </c>
      <c r="F4592" s="204" t="s">
        <v>188</v>
      </c>
      <c r="G4592" s="181" t="s">
        <v>7134</v>
      </c>
      <c r="H4592" s="171"/>
    </row>
    <row r="4593" ht="14.25" spans="1:8">
      <c r="A4593" s="176">
        <v>457</v>
      </c>
      <c r="B4593" s="183" t="s">
        <v>6914</v>
      </c>
      <c r="C4593" s="181" t="s">
        <v>272</v>
      </c>
      <c r="D4593" s="190">
        <v>0.01</v>
      </c>
      <c r="E4593" s="204" t="s">
        <v>30</v>
      </c>
      <c r="F4593" s="204" t="s">
        <v>188</v>
      </c>
      <c r="G4593" s="181" t="s">
        <v>6915</v>
      </c>
      <c r="H4593" s="171"/>
    </row>
    <row r="4594" ht="14.25" spans="1:8">
      <c r="A4594" s="176">
        <v>458</v>
      </c>
      <c r="B4594" s="183" t="s">
        <v>3900</v>
      </c>
      <c r="C4594" s="181" t="s">
        <v>272</v>
      </c>
      <c r="D4594" s="190">
        <v>0.17</v>
      </c>
      <c r="E4594" s="204" t="s">
        <v>30</v>
      </c>
      <c r="F4594" s="204" t="s">
        <v>188</v>
      </c>
      <c r="G4594" s="181" t="s">
        <v>7135</v>
      </c>
      <c r="H4594" s="171"/>
    </row>
    <row r="4595" ht="14.25" spans="1:8">
      <c r="A4595" s="176">
        <v>459</v>
      </c>
      <c r="B4595" s="183" t="s">
        <v>7136</v>
      </c>
      <c r="C4595" s="181" t="s">
        <v>272</v>
      </c>
      <c r="D4595" s="190">
        <v>0.02</v>
      </c>
      <c r="E4595" s="204" t="s">
        <v>30</v>
      </c>
      <c r="F4595" s="204" t="s">
        <v>188</v>
      </c>
      <c r="G4595" s="181" t="s">
        <v>2574</v>
      </c>
      <c r="H4595" s="171"/>
    </row>
    <row r="4596" ht="14.25" spans="1:8">
      <c r="A4596" s="176">
        <v>460</v>
      </c>
      <c r="B4596" s="195" t="s">
        <v>4914</v>
      </c>
      <c r="C4596" s="181" t="s">
        <v>272</v>
      </c>
      <c r="D4596" s="190">
        <v>0.03</v>
      </c>
      <c r="E4596" s="204" t="s">
        <v>30</v>
      </c>
      <c r="F4596" s="204" t="s">
        <v>188</v>
      </c>
      <c r="G4596" s="181" t="s">
        <v>7137</v>
      </c>
      <c r="H4596" s="171"/>
    </row>
    <row r="4597" ht="14.25" spans="1:8">
      <c r="A4597" s="176">
        <v>461</v>
      </c>
      <c r="B4597" s="195" t="s">
        <v>4914</v>
      </c>
      <c r="C4597" s="181" t="s">
        <v>272</v>
      </c>
      <c r="D4597" s="190">
        <v>0.08</v>
      </c>
      <c r="E4597" s="204" t="s">
        <v>30</v>
      </c>
      <c r="F4597" s="204" t="s">
        <v>188</v>
      </c>
      <c r="G4597" s="181" t="s">
        <v>7138</v>
      </c>
      <c r="H4597" s="171"/>
    </row>
    <row r="4598" ht="14.25" spans="1:8">
      <c r="A4598" s="176">
        <v>462</v>
      </c>
      <c r="B4598" s="195" t="s">
        <v>4914</v>
      </c>
      <c r="C4598" s="181" t="s">
        <v>272</v>
      </c>
      <c r="D4598" s="190">
        <v>0.06</v>
      </c>
      <c r="E4598" s="204" t="s">
        <v>30</v>
      </c>
      <c r="F4598" s="204" t="s">
        <v>188</v>
      </c>
      <c r="G4598" s="181" t="s">
        <v>7139</v>
      </c>
      <c r="H4598" s="171"/>
    </row>
    <row r="4599" ht="14.25" spans="1:8">
      <c r="A4599" s="176">
        <v>463</v>
      </c>
      <c r="B4599" s="195" t="s">
        <v>4914</v>
      </c>
      <c r="C4599" s="181" t="s">
        <v>272</v>
      </c>
      <c r="D4599" s="190">
        <v>0.06</v>
      </c>
      <c r="E4599" s="204" t="s">
        <v>30</v>
      </c>
      <c r="F4599" s="204" t="s">
        <v>188</v>
      </c>
      <c r="G4599" s="181" t="s">
        <v>7140</v>
      </c>
      <c r="H4599" s="171"/>
    </row>
    <row r="4600" ht="14.25" spans="1:8">
      <c r="A4600" s="176">
        <v>464</v>
      </c>
      <c r="B4600" s="195" t="s">
        <v>4857</v>
      </c>
      <c r="C4600" s="181" t="s">
        <v>272</v>
      </c>
      <c r="D4600" s="190">
        <v>0.02</v>
      </c>
      <c r="E4600" s="204" t="s">
        <v>30</v>
      </c>
      <c r="F4600" s="204" t="s">
        <v>188</v>
      </c>
      <c r="G4600" s="181" t="s">
        <v>7141</v>
      </c>
      <c r="H4600" s="171"/>
    </row>
    <row r="4601" ht="14.25" spans="1:8">
      <c r="A4601" s="176">
        <v>465</v>
      </c>
      <c r="B4601" s="195" t="s">
        <v>1871</v>
      </c>
      <c r="C4601" s="181" t="s">
        <v>272</v>
      </c>
      <c r="D4601" s="190">
        <v>0.13</v>
      </c>
      <c r="E4601" s="204" t="s">
        <v>30</v>
      </c>
      <c r="F4601" s="204" t="s">
        <v>188</v>
      </c>
      <c r="G4601" s="181" t="s">
        <v>7142</v>
      </c>
      <c r="H4601" s="171"/>
    </row>
    <row r="4602" ht="14.25" spans="1:8">
      <c r="A4602" s="176">
        <v>466</v>
      </c>
      <c r="B4602" s="201" t="s">
        <v>3342</v>
      </c>
      <c r="C4602" s="195" t="s">
        <v>272</v>
      </c>
      <c r="D4602" s="173">
        <v>0.1</v>
      </c>
      <c r="E4602" s="199" t="s">
        <v>30</v>
      </c>
      <c r="F4602" s="199" t="s">
        <v>188</v>
      </c>
      <c r="G4602" s="201" t="s">
        <v>7143</v>
      </c>
      <c r="H4602" s="171"/>
    </row>
    <row r="4603" ht="14.25" spans="1:8">
      <c r="A4603" s="176">
        <v>467</v>
      </c>
      <c r="B4603" s="195" t="s">
        <v>7144</v>
      </c>
      <c r="C4603" s="181" t="s">
        <v>272</v>
      </c>
      <c r="D4603" s="190">
        <v>0.2</v>
      </c>
      <c r="E4603" s="204" t="s">
        <v>30</v>
      </c>
      <c r="F4603" s="204" t="s">
        <v>188</v>
      </c>
      <c r="G4603" s="181" t="s">
        <v>7145</v>
      </c>
      <c r="H4603" s="171"/>
    </row>
    <row r="4604" ht="14.25" spans="1:8">
      <c r="A4604" s="176">
        <v>468</v>
      </c>
      <c r="B4604" s="195" t="s">
        <v>6547</v>
      </c>
      <c r="C4604" s="181" t="s">
        <v>272</v>
      </c>
      <c r="D4604" s="190">
        <v>0.06</v>
      </c>
      <c r="E4604" s="204" t="s">
        <v>30</v>
      </c>
      <c r="F4604" s="204" t="s">
        <v>188</v>
      </c>
      <c r="G4604" s="181" t="s">
        <v>7146</v>
      </c>
      <c r="H4604" s="171"/>
    </row>
    <row r="4605" ht="14.25" spans="1:8">
      <c r="A4605" s="176">
        <v>469</v>
      </c>
      <c r="B4605" s="195" t="s">
        <v>6547</v>
      </c>
      <c r="C4605" s="181" t="s">
        <v>272</v>
      </c>
      <c r="D4605" s="190">
        <v>0.06</v>
      </c>
      <c r="E4605" s="204" t="s">
        <v>30</v>
      </c>
      <c r="F4605" s="204" t="s">
        <v>188</v>
      </c>
      <c r="G4605" s="181" t="s">
        <v>7147</v>
      </c>
      <c r="H4605" s="171"/>
    </row>
    <row r="4606" ht="14.25" spans="1:8">
      <c r="A4606" s="176">
        <v>470</v>
      </c>
      <c r="B4606" s="195" t="s">
        <v>6547</v>
      </c>
      <c r="C4606" s="181" t="s">
        <v>272</v>
      </c>
      <c r="D4606" s="190">
        <v>0.04</v>
      </c>
      <c r="E4606" s="204" t="s">
        <v>30</v>
      </c>
      <c r="F4606" s="204" t="s">
        <v>188</v>
      </c>
      <c r="G4606" s="181" t="s">
        <v>7148</v>
      </c>
      <c r="H4606" s="171"/>
    </row>
    <row r="4607" ht="14.25" spans="1:8">
      <c r="A4607" s="176">
        <v>471</v>
      </c>
      <c r="B4607" s="195" t="s">
        <v>7149</v>
      </c>
      <c r="C4607" s="181" t="s">
        <v>272</v>
      </c>
      <c r="D4607" s="190">
        <v>0.01</v>
      </c>
      <c r="E4607" s="204" t="s">
        <v>30</v>
      </c>
      <c r="F4607" s="204" t="s">
        <v>188</v>
      </c>
      <c r="G4607" s="181" t="s">
        <v>1502</v>
      </c>
      <c r="H4607" s="171"/>
    </row>
    <row r="4608" ht="14.25" spans="1:8">
      <c r="A4608" s="176">
        <v>472</v>
      </c>
      <c r="B4608" s="195" t="s">
        <v>6642</v>
      </c>
      <c r="C4608" s="181" t="s">
        <v>272</v>
      </c>
      <c r="D4608" s="190">
        <v>0.02</v>
      </c>
      <c r="E4608" s="204" t="s">
        <v>30</v>
      </c>
      <c r="F4608" s="204" t="s">
        <v>188</v>
      </c>
      <c r="G4608" s="181" t="s">
        <v>7150</v>
      </c>
      <c r="H4608" s="171"/>
    </row>
    <row r="4609" ht="14.25" spans="1:8">
      <c r="A4609" s="176">
        <v>473</v>
      </c>
      <c r="B4609" s="195" t="s">
        <v>7151</v>
      </c>
      <c r="C4609" s="181" t="s">
        <v>272</v>
      </c>
      <c r="D4609" s="190">
        <v>0.09</v>
      </c>
      <c r="E4609" s="204" t="s">
        <v>30</v>
      </c>
      <c r="F4609" s="204" t="s">
        <v>188</v>
      </c>
      <c r="G4609" s="181" t="s">
        <v>7152</v>
      </c>
      <c r="H4609" s="171"/>
    </row>
    <row r="4610" ht="14.25" spans="1:8">
      <c r="A4610" s="176">
        <v>474</v>
      </c>
      <c r="B4610" s="195" t="s">
        <v>7153</v>
      </c>
      <c r="C4610" s="181" t="s">
        <v>272</v>
      </c>
      <c r="D4610" s="190">
        <v>0.06</v>
      </c>
      <c r="E4610" s="204" t="s">
        <v>30</v>
      </c>
      <c r="F4610" s="204" t="s">
        <v>188</v>
      </c>
      <c r="G4610" s="181" t="s">
        <v>6753</v>
      </c>
      <c r="H4610" s="171"/>
    </row>
    <row r="4611" ht="14.25" spans="1:8">
      <c r="A4611" s="176">
        <v>475</v>
      </c>
      <c r="B4611" s="195" t="s">
        <v>7154</v>
      </c>
      <c r="C4611" s="181" t="s">
        <v>272</v>
      </c>
      <c r="D4611" s="190">
        <v>0.09</v>
      </c>
      <c r="E4611" s="204" t="s">
        <v>30</v>
      </c>
      <c r="F4611" s="204" t="s">
        <v>188</v>
      </c>
      <c r="G4611" s="181" t="s">
        <v>6361</v>
      </c>
      <c r="H4611" s="171"/>
    </row>
    <row r="4612" ht="14.25" spans="1:8">
      <c r="A4612" s="176">
        <v>476</v>
      </c>
      <c r="B4612" s="195" t="s">
        <v>6108</v>
      </c>
      <c r="C4612" s="181" t="s">
        <v>272</v>
      </c>
      <c r="D4612" s="190">
        <v>0.02</v>
      </c>
      <c r="E4612" s="204" t="s">
        <v>30</v>
      </c>
      <c r="F4612" s="204" t="s">
        <v>188</v>
      </c>
      <c r="G4612" s="181" t="s">
        <v>6555</v>
      </c>
      <c r="H4612" s="171"/>
    </row>
    <row r="4613" ht="14.25" spans="1:8">
      <c r="A4613" s="206" t="s">
        <v>7155</v>
      </c>
      <c r="B4613" s="230" t="s">
        <v>312</v>
      </c>
      <c r="C4613" s="181"/>
      <c r="D4613" s="207"/>
      <c r="E4613" s="212"/>
      <c r="F4613" s="231"/>
      <c r="G4613" s="175"/>
      <c r="H4613" s="213"/>
    </row>
    <row r="4614" ht="14.25" spans="1:8">
      <c r="A4614" s="176">
        <v>1</v>
      </c>
      <c r="B4614" s="175" t="s">
        <v>7156</v>
      </c>
      <c r="C4614" s="181" t="s">
        <v>81</v>
      </c>
      <c r="D4614" s="173">
        <v>0.01</v>
      </c>
      <c r="E4614" s="204" t="s">
        <v>30</v>
      </c>
      <c r="F4614" s="204" t="s">
        <v>188</v>
      </c>
      <c r="G4614" s="181" t="s">
        <v>7157</v>
      </c>
      <c r="H4614" s="171"/>
    </row>
    <row r="4615" ht="14.25" spans="1:8">
      <c r="A4615" s="176">
        <v>2</v>
      </c>
      <c r="B4615" s="175" t="s">
        <v>7158</v>
      </c>
      <c r="C4615" s="181" t="s">
        <v>81</v>
      </c>
      <c r="D4615" s="173">
        <v>0.02</v>
      </c>
      <c r="E4615" s="204" t="s">
        <v>30</v>
      </c>
      <c r="F4615" s="204" t="s">
        <v>188</v>
      </c>
      <c r="G4615" s="181" t="s">
        <v>7159</v>
      </c>
      <c r="H4615" s="171"/>
    </row>
    <row r="4616" ht="14.25" spans="1:8">
      <c r="A4616" s="176">
        <v>3</v>
      </c>
      <c r="B4616" s="175" t="s">
        <v>5107</v>
      </c>
      <c r="C4616" s="181" t="s">
        <v>81</v>
      </c>
      <c r="D4616" s="173">
        <v>0.01</v>
      </c>
      <c r="E4616" s="204" t="s">
        <v>30</v>
      </c>
      <c r="F4616" s="204" t="s">
        <v>188</v>
      </c>
      <c r="G4616" s="181" t="s">
        <v>7160</v>
      </c>
      <c r="H4616" s="171"/>
    </row>
    <row r="4617" ht="25.5" spans="1:8">
      <c r="A4617" s="176">
        <v>4</v>
      </c>
      <c r="B4617" s="175" t="s">
        <v>7161</v>
      </c>
      <c r="C4617" s="181" t="s">
        <v>81</v>
      </c>
      <c r="D4617" s="173">
        <v>0.01</v>
      </c>
      <c r="E4617" s="204" t="s">
        <v>30</v>
      </c>
      <c r="F4617" s="204" t="s">
        <v>188</v>
      </c>
      <c r="G4617" s="181" t="s">
        <v>7162</v>
      </c>
      <c r="H4617" s="171"/>
    </row>
    <row r="4618" ht="14.25" spans="1:8">
      <c r="A4618" s="176">
        <v>5</v>
      </c>
      <c r="B4618" s="175" t="s">
        <v>1252</v>
      </c>
      <c r="C4618" s="181" t="s">
        <v>81</v>
      </c>
      <c r="D4618" s="173">
        <v>0.01</v>
      </c>
      <c r="E4618" s="204" t="s">
        <v>30</v>
      </c>
      <c r="F4618" s="204" t="s">
        <v>188</v>
      </c>
      <c r="G4618" s="181" t="s">
        <v>7163</v>
      </c>
      <c r="H4618" s="171"/>
    </row>
    <row r="4619" ht="14.25" spans="1:8">
      <c r="A4619" s="176">
        <v>6</v>
      </c>
      <c r="B4619" s="175" t="s">
        <v>7164</v>
      </c>
      <c r="C4619" s="181" t="s">
        <v>81</v>
      </c>
      <c r="D4619" s="173">
        <v>0.04</v>
      </c>
      <c r="E4619" s="204" t="s">
        <v>30</v>
      </c>
      <c r="F4619" s="204" t="s">
        <v>188</v>
      </c>
      <c r="G4619" s="181" t="s">
        <v>7165</v>
      </c>
      <c r="H4619" s="171"/>
    </row>
    <row r="4620" ht="14.25" spans="1:8">
      <c r="A4620" s="176">
        <v>7</v>
      </c>
      <c r="B4620" s="175" t="s">
        <v>7166</v>
      </c>
      <c r="C4620" s="181" t="s">
        <v>81</v>
      </c>
      <c r="D4620" s="173">
        <v>0.01</v>
      </c>
      <c r="E4620" s="204" t="s">
        <v>30</v>
      </c>
      <c r="F4620" s="204" t="s">
        <v>188</v>
      </c>
      <c r="G4620" s="181" t="s">
        <v>7167</v>
      </c>
      <c r="H4620" s="171"/>
    </row>
    <row r="4621" ht="14.25" spans="1:8">
      <c r="A4621" s="176">
        <v>8</v>
      </c>
      <c r="B4621" s="175" t="s">
        <v>3642</v>
      </c>
      <c r="C4621" s="181" t="s">
        <v>81</v>
      </c>
      <c r="D4621" s="173">
        <v>0.05</v>
      </c>
      <c r="E4621" s="204" t="s">
        <v>30</v>
      </c>
      <c r="F4621" s="204" t="s">
        <v>188</v>
      </c>
      <c r="G4621" s="181" t="s">
        <v>7168</v>
      </c>
      <c r="H4621" s="171"/>
    </row>
    <row r="4622" ht="14.25" spans="1:8">
      <c r="A4622" s="176">
        <v>9</v>
      </c>
      <c r="B4622" s="175" t="s">
        <v>7169</v>
      </c>
      <c r="C4622" s="181" t="s">
        <v>81</v>
      </c>
      <c r="D4622" s="173">
        <v>0.01</v>
      </c>
      <c r="E4622" s="204" t="s">
        <v>30</v>
      </c>
      <c r="F4622" s="204" t="s">
        <v>188</v>
      </c>
      <c r="G4622" s="181" t="s">
        <v>7170</v>
      </c>
      <c r="H4622" s="171"/>
    </row>
    <row r="4623" ht="14.25" spans="1:8">
      <c r="A4623" s="176">
        <v>10</v>
      </c>
      <c r="B4623" s="175" t="s">
        <v>7171</v>
      </c>
      <c r="C4623" s="181" t="s">
        <v>81</v>
      </c>
      <c r="D4623" s="173">
        <v>0.06</v>
      </c>
      <c r="E4623" s="204" t="s">
        <v>30</v>
      </c>
      <c r="F4623" s="204" t="s">
        <v>188</v>
      </c>
      <c r="G4623" s="181" t="s">
        <v>7172</v>
      </c>
      <c r="H4623" s="171"/>
    </row>
    <row r="4624" ht="14.25" spans="1:8">
      <c r="A4624" s="176">
        <v>11</v>
      </c>
      <c r="B4624" s="175" t="s">
        <v>7173</v>
      </c>
      <c r="C4624" s="181" t="s">
        <v>81</v>
      </c>
      <c r="D4624" s="173">
        <v>0.02</v>
      </c>
      <c r="E4624" s="204" t="s">
        <v>30</v>
      </c>
      <c r="F4624" s="204" t="s">
        <v>188</v>
      </c>
      <c r="G4624" s="181" t="s">
        <v>7174</v>
      </c>
      <c r="H4624" s="171"/>
    </row>
    <row r="4625" ht="14.25" spans="1:8">
      <c r="A4625" s="176">
        <v>12</v>
      </c>
      <c r="B4625" s="175" t="s">
        <v>7175</v>
      </c>
      <c r="C4625" s="181" t="s">
        <v>81</v>
      </c>
      <c r="D4625" s="173">
        <v>0.02</v>
      </c>
      <c r="E4625" s="204" t="s">
        <v>30</v>
      </c>
      <c r="F4625" s="204" t="s">
        <v>188</v>
      </c>
      <c r="G4625" s="181" t="s">
        <v>7176</v>
      </c>
      <c r="H4625" s="171"/>
    </row>
    <row r="4626" ht="14.25" spans="1:8">
      <c r="A4626" s="176">
        <v>13</v>
      </c>
      <c r="B4626" s="175" t="s">
        <v>7177</v>
      </c>
      <c r="C4626" s="181" t="s">
        <v>81</v>
      </c>
      <c r="D4626" s="173">
        <v>0.01</v>
      </c>
      <c r="E4626" s="204" t="s">
        <v>30</v>
      </c>
      <c r="F4626" s="204" t="s">
        <v>188</v>
      </c>
      <c r="G4626" s="181" t="s">
        <v>7178</v>
      </c>
      <c r="H4626" s="171"/>
    </row>
    <row r="4627" ht="14.25" spans="1:8">
      <c r="A4627" s="176">
        <v>14</v>
      </c>
      <c r="B4627" s="175" t="s">
        <v>7179</v>
      </c>
      <c r="C4627" s="181" t="s">
        <v>81</v>
      </c>
      <c r="D4627" s="173">
        <v>0.02</v>
      </c>
      <c r="E4627" s="204" t="s">
        <v>30</v>
      </c>
      <c r="F4627" s="204" t="s">
        <v>188</v>
      </c>
      <c r="G4627" s="181" t="s">
        <v>7180</v>
      </c>
      <c r="H4627" s="171"/>
    </row>
    <row r="4628" ht="14.25" spans="1:8">
      <c r="A4628" s="176">
        <v>15</v>
      </c>
      <c r="B4628" s="175" t="s">
        <v>7181</v>
      </c>
      <c r="C4628" s="181" t="s">
        <v>81</v>
      </c>
      <c r="D4628" s="173">
        <v>0.03</v>
      </c>
      <c r="E4628" s="204" t="s">
        <v>30</v>
      </c>
      <c r="F4628" s="204" t="s">
        <v>188</v>
      </c>
      <c r="G4628" s="181" t="s">
        <v>7182</v>
      </c>
      <c r="H4628" s="171"/>
    </row>
    <row r="4629" ht="14.25" spans="1:8">
      <c r="A4629" s="176">
        <v>16</v>
      </c>
      <c r="B4629" s="175" t="s">
        <v>7183</v>
      </c>
      <c r="C4629" s="181" t="s">
        <v>81</v>
      </c>
      <c r="D4629" s="173">
        <v>0.02</v>
      </c>
      <c r="E4629" s="204" t="s">
        <v>30</v>
      </c>
      <c r="F4629" s="204" t="s">
        <v>188</v>
      </c>
      <c r="G4629" s="181" t="s">
        <v>7184</v>
      </c>
      <c r="H4629" s="171"/>
    </row>
    <row r="4630" ht="14.25" spans="1:8">
      <c r="A4630" s="176">
        <v>17</v>
      </c>
      <c r="B4630" s="175" t="s">
        <v>7185</v>
      </c>
      <c r="C4630" s="181" t="s">
        <v>81</v>
      </c>
      <c r="D4630" s="173">
        <v>0.06</v>
      </c>
      <c r="E4630" s="204" t="s">
        <v>30</v>
      </c>
      <c r="F4630" s="204" t="s">
        <v>204</v>
      </c>
      <c r="G4630" s="181" t="s">
        <v>7186</v>
      </c>
      <c r="H4630" s="171"/>
    </row>
    <row r="4631" ht="14.25" spans="1:8">
      <c r="A4631" s="176">
        <v>18</v>
      </c>
      <c r="B4631" s="175" t="s">
        <v>7187</v>
      </c>
      <c r="C4631" s="181" t="s">
        <v>81</v>
      </c>
      <c r="D4631" s="173">
        <v>0.01</v>
      </c>
      <c r="E4631" s="204" t="s">
        <v>30</v>
      </c>
      <c r="F4631" s="204" t="s">
        <v>188</v>
      </c>
      <c r="G4631" s="181" t="s">
        <v>7188</v>
      </c>
      <c r="H4631" s="171"/>
    </row>
    <row r="4632" ht="14.25" spans="1:8">
      <c r="A4632" s="176">
        <v>19</v>
      </c>
      <c r="B4632" s="175" t="s">
        <v>7189</v>
      </c>
      <c r="C4632" s="181" t="s">
        <v>81</v>
      </c>
      <c r="D4632" s="173">
        <v>0.02</v>
      </c>
      <c r="E4632" s="204" t="s">
        <v>30</v>
      </c>
      <c r="F4632" s="204" t="s">
        <v>188</v>
      </c>
      <c r="G4632" s="181" t="s">
        <v>7190</v>
      </c>
      <c r="H4632" s="171"/>
    </row>
    <row r="4633" ht="14.25" spans="1:8">
      <c r="A4633" s="176">
        <v>20</v>
      </c>
      <c r="B4633" s="175" t="s">
        <v>7191</v>
      </c>
      <c r="C4633" s="181" t="s">
        <v>81</v>
      </c>
      <c r="D4633" s="173">
        <v>0.04</v>
      </c>
      <c r="E4633" s="204" t="s">
        <v>30</v>
      </c>
      <c r="F4633" s="204" t="s">
        <v>188</v>
      </c>
      <c r="G4633" s="181" t="s">
        <v>7192</v>
      </c>
      <c r="H4633" s="171"/>
    </row>
    <row r="4634" ht="14.25" spans="1:8">
      <c r="A4634" s="176">
        <v>21</v>
      </c>
      <c r="B4634" s="175" t="s">
        <v>7193</v>
      </c>
      <c r="C4634" s="181" t="s">
        <v>81</v>
      </c>
      <c r="D4634" s="173">
        <v>0.02</v>
      </c>
      <c r="E4634" s="204" t="s">
        <v>30</v>
      </c>
      <c r="F4634" s="204" t="s">
        <v>188</v>
      </c>
      <c r="G4634" s="181" t="s">
        <v>7194</v>
      </c>
      <c r="H4634" s="171"/>
    </row>
    <row r="4635" ht="14.25" spans="1:8">
      <c r="A4635" s="176">
        <v>22</v>
      </c>
      <c r="B4635" s="175" t="s">
        <v>7195</v>
      </c>
      <c r="C4635" s="181" t="s">
        <v>81</v>
      </c>
      <c r="D4635" s="173">
        <v>0.02</v>
      </c>
      <c r="E4635" s="204" t="s">
        <v>30</v>
      </c>
      <c r="F4635" s="204" t="s">
        <v>188</v>
      </c>
      <c r="G4635" s="181" t="s">
        <v>7196</v>
      </c>
      <c r="H4635" s="171"/>
    </row>
    <row r="4636" ht="14.25" spans="1:8">
      <c r="A4636" s="176">
        <v>23</v>
      </c>
      <c r="B4636" s="175" t="s">
        <v>7197</v>
      </c>
      <c r="C4636" s="181" t="s">
        <v>81</v>
      </c>
      <c r="D4636" s="173">
        <v>0.03</v>
      </c>
      <c r="E4636" s="204" t="s">
        <v>30</v>
      </c>
      <c r="F4636" s="204" t="s">
        <v>188</v>
      </c>
      <c r="G4636" s="181" t="s">
        <v>7198</v>
      </c>
      <c r="H4636" s="171"/>
    </row>
    <row r="4637" ht="14.25" spans="1:8">
      <c r="A4637" s="176">
        <v>24</v>
      </c>
      <c r="B4637" s="175" t="s">
        <v>7199</v>
      </c>
      <c r="C4637" s="181" t="s">
        <v>81</v>
      </c>
      <c r="D4637" s="173">
        <v>0.06</v>
      </c>
      <c r="E4637" s="204" t="s">
        <v>30</v>
      </c>
      <c r="F4637" s="204" t="s">
        <v>188</v>
      </c>
      <c r="G4637" s="181" t="s">
        <v>7200</v>
      </c>
      <c r="H4637" s="171"/>
    </row>
    <row r="4638" ht="14.25" spans="1:8">
      <c r="A4638" s="176">
        <v>25</v>
      </c>
      <c r="B4638" s="175" t="s">
        <v>7201</v>
      </c>
      <c r="C4638" s="181" t="s">
        <v>81</v>
      </c>
      <c r="D4638" s="173">
        <v>0.05</v>
      </c>
      <c r="E4638" s="204" t="s">
        <v>30</v>
      </c>
      <c r="F4638" s="204" t="s">
        <v>188</v>
      </c>
      <c r="G4638" s="181" t="s">
        <v>7202</v>
      </c>
      <c r="H4638" s="171"/>
    </row>
    <row r="4639" ht="14.25" spans="1:8">
      <c r="A4639" s="176">
        <v>26</v>
      </c>
      <c r="B4639" s="175" t="s">
        <v>7201</v>
      </c>
      <c r="C4639" s="181" t="s">
        <v>81</v>
      </c>
      <c r="D4639" s="173">
        <v>0.05</v>
      </c>
      <c r="E4639" s="204" t="s">
        <v>30</v>
      </c>
      <c r="F4639" s="204" t="s">
        <v>188</v>
      </c>
      <c r="G4639" s="181" t="s">
        <v>7203</v>
      </c>
      <c r="H4639" s="171"/>
    </row>
    <row r="4640" ht="14.25" spans="1:8">
      <c r="A4640" s="176">
        <v>27</v>
      </c>
      <c r="B4640" s="175" t="s">
        <v>7204</v>
      </c>
      <c r="C4640" s="181" t="s">
        <v>81</v>
      </c>
      <c r="D4640" s="173">
        <v>0.04</v>
      </c>
      <c r="E4640" s="204" t="s">
        <v>30</v>
      </c>
      <c r="F4640" s="204" t="s">
        <v>188</v>
      </c>
      <c r="G4640" s="181" t="s">
        <v>7205</v>
      </c>
      <c r="H4640" s="171"/>
    </row>
    <row r="4641" ht="14.25" spans="1:8">
      <c r="A4641" s="176">
        <v>28</v>
      </c>
      <c r="B4641" s="175" t="s">
        <v>7206</v>
      </c>
      <c r="C4641" s="181" t="s">
        <v>81</v>
      </c>
      <c r="D4641" s="173">
        <v>0.02</v>
      </c>
      <c r="E4641" s="204" t="s">
        <v>30</v>
      </c>
      <c r="F4641" s="204" t="s">
        <v>188</v>
      </c>
      <c r="G4641" s="181" t="s">
        <v>7207</v>
      </c>
      <c r="H4641" s="171"/>
    </row>
    <row r="4642" ht="14.25" spans="1:8">
      <c r="A4642" s="176">
        <v>29</v>
      </c>
      <c r="B4642" s="175" t="s">
        <v>7208</v>
      </c>
      <c r="C4642" s="181" t="s">
        <v>81</v>
      </c>
      <c r="D4642" s="173">
        <v>0.01</v>
      </c>
      <c r="E4642" s="204" t="s">
        <v>30</v>
      </c>
      <c r="F4642" s="204" t="s">
        <v>188</v>
      </c>
      <c r="G4642" s="181" t="s">
        <v>7209</v>
      </c>
      <c r="H4642" s="171"/>
    </row>
    <row r="4643" ht="14.25" spans="1:8">
      <c r="A4643" s="176">
        <v>30</v>
      </c>
      <c r="B4643" s="181" t="s">
        <v>7210</v>
      </c>
      <c r="C4643" s="181" t="s">
        <v>81</v>
      </c>
      <c r="D4643" s="173">
        <v>0.02</v>
      </c>
      <c r="E4643" s="204" t="s">
        <v>30</v>
      </c>
      <c r="F4643" s="204" t="s">
        <v>188</v>
      </c>
      <c r="G4643" s="175" t="s">
        <v>7211</v>
      </c>
      <c r="H4643" s="171"/>
    </row>
    <row r="4644" ht="14.25" spans="1:8">
      <c r="A4644" s="176">
        <v>31</v>
      </c>
      <c r="B4644" s="181" t="s">
        <v>7212</v>
      </c>
      <c r="C4644" s="181" t="s">
        <v>81</v>
      </c>
      <c r="D4644" s="173">
        <v>0.01</v>
      </c>
      <c r="E4644" s="204" t="s">
        <v>30</v>
      </c>
      <c r="F4644" s="204" t="s">
        <v>188</v>
      </c>
      <c r="G4644" s="175" t="s">
        <v>7213</v>
      </c>
      <c r="H4644" s="171"/>
    </row>
    <row r="4645" ht="14.25" spans="1:8">
      <c r="A4645" s="176">
        <v>32</v>
      </c>
      <c r="B4645" s="181" t="s">
        <v>7214</v>
      </c>
      <c r="C4645" s="181" t="s">
        <v>81</v>
      </c>
      <c r="D4645" s="173">
        <v>0.01</v>
      </c>
      <c r="E4645" s="204" t="s">
        <v>30</v>
      </c>
      <c r="F4645" s="204" t="s">
        <v>188</v>
      </c>
      <c r="G4645" s="175" t="s">
        <v>7215</v>
      </c>
      <c r="H4645" s="171"/>
    </row>
    <row r="4646" ht="14.25" spans="1:8">
      <c r="A4646" s="176">
        <v>33</v>
      </c>
      <c r="B4646" s="181" t="s">
        <v>2579</v>
      </c>
      <c r="C4646" s="181" t="s">
        <v>81</v>
      </c>
      <c r="D4646" s="173">
        <v>0.03</v>
      </c>
      <c r="E4646" s="204" t="s">
        <v>30</v>
      </c>
      <c r="F4646" s="204" t="s">
        <v>188</v>
      </c>
      <c r="G4646" s="175" t="s">
        <v>7216</v>
      </c>
      <c r="H4646" s="171"/>
    </row>
    <row r="4647" ht="14.25" spans="1:8">
      <c r="A4647" s="176">
        <v>34</v>
      </c>
      <c r="B4647" s="181" t="s">
        <v>7217</v>
      </c>
      <c r="C4647" s="181" t="s">
        <v>81</v>
      </c>
      <c r="D4647" s="173">
        <v>0.02</v>
      </c>
      <c r="E4647" s="204" t="s">
        <v>30</v>
      </c>
      <c r="F4647" s="204" t="s">
        <v>188</v>
      </c>
      <c r="G4647" s="175" t="s">
        <v>7218</v>
      </c>
      <c r="H4647" s="171"/>
    </row>
    <row r="4648" ht="14.25" spans="1:8">
      <c r="A4648" s="176">
        <v>35</v>
      </c>
      <c r="B4648" s="181" t="s">
        <v>7219</v>
      </c>
      <c r="C4648" s="181" t="s">
        <v>81</v>
      </c>
      <c r="D4648" s="173">
        <v>0.03</v>
      </c>
      <c r="E4648" s="204" t="s">
        <v>30</v>
      </c>
      <c r="F4648" s="204" t="s">
        <v>188</v>
      </c>
      <c r="G4648" s="175" t="s">
        <v>7220</v>
      </c>
      <c r="H4648" s="171"/>
    </row>
    <row r="4649" ht="14.25" spans="1:8">
      <c r="A4649" s="176">
        <v>36</v>
      </c>
      <c r="B4649" s="181" t="s">
        <v>7221</v>
      </c>
      <c r="C4649" s="181" t="s">
        <v>81</v>
      </c>
      <c r="D4649" s="173">
        <v>0.01</v>
      </c>
      <c r="E4649" s="204" t="s">
        <v>30</v>
      </c>
      <c r="F4649" s="204" t="s">
        <v>188</v>
      </c>
      <c r="G4649" s="175" t="s">
        <v>7222</v>
      </c>
      <c r="H4649" s="171"/>
    </row>
    <row r="4650" ht="14.25" spans="1:8">
      <c r="A4650" s="176">
        <v>37</v>
      </c>
      <c r="B4650" s="181" t="s">
        <v>7223</v>
      </c>
      <c r="C4650" s="181" t="s">
        <v>81</v>
      </c>
      <c r="D4650" s="173">
        <v>0.02</v>
      </c>
      <c r="E4650" s="204" t="s">
        <v>30</v>
      </c>
      <c r="F4650" s="204" t="s">
        <v>188</v>
      </c>
      <c r="G4650" s="175" t="s">
        <v>7224</v>
      </c>
      <c r="H4650" s="171"/>
    </row>
    <row r="4651" ht="14.25" spans="1:8">
      <c r="A4651" s="176">
        <v>38</v>
      </c>
      <c r="B4651" s="181" t="s">
        <v>7225</v>
      </c>
      <c r="C4651" s="181" t="s">
        <v>81</v>
      </c>
      <c r="D4651" s="173">
        <v>0.01</v>
      </c>
      <c r="E4651" s="204" t="s">
        <v>30</v>
      </c>
      <c r="F4651" s="204" t="s">
        <v>188</v>
      </c>
      <c r="G4651" s="175" t="s">
        <v>7226</v>
      </c>
      <c r="H4651" s="171"/>
    </row>
    <row r="4652" ht="14.25" spans="1:8">
      <c r="A4652" s="176">
        <v>39</v>
      </c>
      <c r="B4652" s="181" t="s">
        <v>7193</v>
      </c>
      <c r="C4652" s="181" t="s">
        <v>81</v>
      </c>
      <c r="D4652" s="173">
        <v>0.04</v>
      </c>
      <c r="E4652" s="204" t="s">
        <v>30</v>
      </c>
      <c r="F4652" s="204" t="s">
        <v>188</v>
      </c>
      <c r="G4652" s="175" t="s">
        <v>7194</v>
      </c>
      <c r="H4652" s="171"/>
    </row>
    <row r="4653" ht="14.25" spans="1:8">
      <c r="A4653" s="176">
        <v>40</v>
      </c>
      <c r="B4653" s="181" t="s">
        <v>7227</v>
      </c>
      <c r="C4653" s="181" t="s">
        <v>81</v>
      </c>
      <c r="D4653" s="173">
        <v>0.01</v>
      </c>
      <c r="E4653" s="204" t="s">
        <v>30</v>
      </c>
      <c r="F4653" s="204" t="s">
        <v>188</v>
      </c>
      <c r="G4653" s="175" t="s">
        <v>7228</v>
      </c>
      <c r="H4653" s="171"/>
    </row>
    <row r="4654" ht="14.25" spans="1:8">
      <c r="A4654" s="176">
        <v>41</v>
      </c>
      <c r="B4654" s="181" t="s">
        <v>7229</v>
      </c>
      <c r="C4654" s="181" t="s">
        <v>81</v>
      </c>
      <c r="D4654" s="173">
        <v>0.01</v>
      </c>
      <c r="E4654" s="204" t="s">
        <v>30</v>
      </c>
      <c r="F4654" s="204" t="s">
        <v>188</v>
      </c>
      <c r="G4654" s="175" t="s">
        <v>7230</v>
      </c>
      <c r="H4654" s="171"/>
    </row>
    <row r="4655" ht="14.25" spans="1:8">
      <c r="A4655" s="176">
        <v>42</v>
      </c>
      <c r="B4655" s="181" t="s">
        <v>7231</v>
      </c>
      <c r="C4655" s="181" t="s">
        <v>81</v>
      </c>
      <c r="D4655" s="173">
        <v>0.03</v>
      </c>
      <c r="E4655" s="204" t="s">
        <v>30</v>
      </c>
      <c r="F4655" s="204" t="s">
        <v>188</v>
      </c>
      <c r="G4655" s="175" t="s">
        <v>7232</v>
      </c>
      <c r="H4655" s="171"/>
    </row>
    <row r="4656" ht="14.25" spans="1:8">
      <c r="A4656" s="176">
        <v>43</v>
      </c>
      <c r="B4656" s="181" t="s">
        <v>2615</v>
      </c>
      <c r="C4656" s="181" t="s">
        <v>81</v>
      </c>
      <c r="D4656" s="173">
        <v>0.01</v>
      </c>
      <c r="E4656" s="204" t="s">
        <v>30</v>
      </c>
      <c r="F4656" s="204" t="s">
        <v>188</v>
      </c>
      <c r="G4656" s="175" t="s">
        <v>7233</v>
      </c>
      <c r="H4656" s="171"/>
    </row>
    <row r="4657" ht="14.25" spans="1:8">
      <c r="A4657" s="176">
        <v>44</v>
      </c>
      <c r="B4657" s="181" t="s">
        <v>7234</v>
      </c>
      <c r="C4657" s="181" t="s">
        <v>81</v>
      </c>
      <c r="D4657" s="173">
        <v>0.01</v>
      </c>
      <c r="E4657" s="204" t="s">
        <v>30</v>
      </c>
      <c r="F4657" s="204" t="s">
        <v>188</v>
      </c>
      <c r="G4657" s="175" t="s">
        <v>7235</v>
      </c>
      <c r="H4657" s="171"/>
    </row>
    <row r="4658" ht="14.25" spans="1:8">
      <c r="A4658" s="176">
        <v>45</v>
      </c>
      <c r="B4658" s="181" t="s">
        <v>7236</v>
      </c>
      <c r="C4658" s="181" t="s">
        <v>81</v>
      </c>
      <c r="D4658" s="173">
        <v>0.005</v>
      </c>
      <c r="E4658" s="204" t="s">
        <v>30</v>
      </c>
      <c r="F4658" s="204" t="s">
        <v>188</v>
      </c>
      <c r="G4658" s="175" t="s">
        <v>7237</v>
      </c>
      <c r="H4658" s="171"/>
    </row>
    <row r="4659" ht="14.25" spans="1:8">
      <c r="A4659" s="176">
        <v>46</v>
      </c>
      <c r="B4659" s="181" t="s">
        <v>7238</v>
      </c>
      <c r="C4659" s="181" t="s">
        <v>81</v>
      </c>
      <c r="D4659" s="173">
        <v>0.02</v>
      </c>
      <c r="E4659" s="204" t="s">
        <v>30</v>
      </c>
      <c r="F4659" s="204" t="s">
        <v>188</v>
      </c>
      <c r="G4659" s="175" t="s">
        <v>7239</v>
      </c>
      <c r="H4659" s="171"/>
    </row>
    <row r="4660" ht="14.25" spans="1:8">
      <c r="A4660" s="176">
        <v>47</v>
      </c>
      <c r="B4660" s="181" t="s">
        <v>7240</v>
      </c>
      <c r="C4660" s="181" t="s">
        <v>81</v>
      </c>
      <c r="D4660" s="173">
        <v>0.01</v>
      </c>
      <c r="E4660" s="204" t="s">
        <v>30</v>
      </c>
      <c r="F4660" s="204" t="s">
        <v>188</v>
      </c>
      <c r="G4660" s="175" t="s">
        <v>7241</v>
      </c>
      <c r="H4660" s="171"/>
    </row>
    <row r="4661" ht="14.25" spans="1:8">
      <c r="A4661" s="176">
        <v>48</v>
      </c>
      <c r="B4661" s="181" t="s">
        <v>7242</v>
      </c>
      <c r="C4661" s="181" t="s">
        <v>81</v>
      </c>
      <c r="D4661" s="173">
        <v>0.01</v>
      </c>
      <c r="E4661" s="204" t="s">
        <v>30</v>
      </c>
      <c r="F4661" s="204" t="s">
        <v>188</v>
      </c>
      <c r="G4661" s="175" t="s">
        <v>7243</v>
      </c>
      <c r="H4661" s="171"/>
    </row>
    <row r="4662" ht="14.25" spans="1:8">
      <c r="A4662" s="176">
        <v>49</v>
      </c>
      <c r="B4662" s="181" t="s">
        <v>7244</v>
      </c>
      <c r="C4662" s="181" t="s">
        <v>81</v>
      </c>
      <c r="D4662" s="173">
        <v>0.01</v>
      </c>
      <c r="E4662" s="204" t="s">
        <v>30</v>
      </c>
      <c r="F4662" s="204" t="s">
        <v>188</v>
      </c>
      <c r="G4662" s="175" t="s">
        <v>7243</v>
      </c>
      <c r="H4662" s="171"/>
    </row>
    <row r="4663" ht="14.25" spans="1:8">
      <c r="A4663" s="176">
        <v>50</v>
      </c>
      <c r="B4663" s="181" t="s">
        <v>7245</v>
      </c>
      <c r="C4663" s="181" t="s">
        <v>81</v>
      </c>
      <c r="D4663" s="173">
        <v>0.03</v>
      </c>
      <c r="E4663" s="204" t="s">
        <v>30</v>
      </c>
      <c r="F4663" s="204" t="s">
        <v>188</v>
      </c>
      <c r="G4663" s="175" t="s">
        <v>7246</v>
      </c>
      <c r="H4663" s="171"/>
    </row>
    <row r="4664" ht="14.25" spans="1:8">
      <c r="A4664" s="176">
        <v>51</v>
      </c>
      <c r="B4664" s="181" t="s">
        <v>7247</v>
      </c>
      <c r="C4664" s="181" t="s">
        <v>81</v>
      </c>
      <c r="D4664" s="173">
        <v>0.02</v>
      </c>
      <c r="E4664" s="204" t="s">
        <v>30</v>
      </c>
      <c r="F4664" s="204" t="s">
        <v>188</v>
      </c>
      <c r="G4664" s="175" t="s">
        <v>7248</v>
      </c>
      <c r="H4664" s="171"/>
    </row>
    <row r="4665" ht="14.25" spans="1:8">
      <c r="A4665" s="176">
        <v>52</v>
      </c>
      <c r="B4665" s="181" t="s">
        <v>7249</v>
      </c>
      <c r="C4665" s="181" t="s">
        <v>81</v>
      </c>
      <c r="D4665" s="173">
        <v>0.04</v>
      </c>
      <c r="E4665" s="204" t="s">
        <v>30</v>
      </c>
      <c r="F4665" s="204" t="s">
        <v>188</v>
      </c>
      <c r="G4665" s="175" t="s">
        <v>7250</v>
      </c>
      <c r="H4665" s="171"/>
    </row>
    <row r="4666" ht="14.25" spans="1:8">
      <c r="A4666" s="176">
        <v>53</v>
      </c>
      <c r="B4666" s="181" t="s">
        <v>5135</v>
      </c>
      <c r="C4666" s="181" t="s">
        <v>81</v>
      </c>
      <c r="D4666" s="173">
        <v>0.02</v>
      </c>
      <c r="E4666" s="204" t="s">
        <v>30</v>
      </c>
      <c r="F4666" s="204" t="s">
        <v>188</v>
      </c>
      <c r="G4666" s="175" t="s">
        <v>7251</v>
      </c>
      <c r="H4666" s="171"/>
    </row>
    <row r="4667" ht="14.25" spans="1:8">
      <c r="A4667" s="176">
        <v>54</v>
      </c>
      <c r="B4667" s="181" t="s">
        <v>7252</v>
      </c>
      <c r="C4667" s="181" t="s">
        <v>81</v>
      </c>
      <c r="D4667" s="173">
        <v>0.02</v>
      </c>
      <c r="E4667" s="204" t="s">
        <v>30</v>
      </c>
      <c r="F4667" s="204" t="s">
        <v>188</v>
      </c>
      <c r="G4667" s="175" t="s">
        <v>7253</v>
      </c>
      <c r="H4667" s="171"/>
    </row>
    <row r="4668" ht="14.25" spans="1:8">
      <c r="A4668" s="176">
        <v>55</v>
      </c>
      <c r="B4668" s="181" t="s">
        <v>7254</v>
      </c>
      <c r="C4668" s="181" t="s">
        <v>81</v>
      </c>
      <c r="D4668" s="173">
        <v>0.01</v>
      </c>
      <c r="E4668" s="204" t="s">
        <v>30</v>
      </c>
      <c r="F4668" s="204" t="s">
        <v>188</v>
      </c>
      <c r="G4668" s="175" t="s">
        <v>7255</v>
      </c>
      <c r="H4668" s="171"/>
    </row>
    <row r="4669" ht="14.25" spans="1:8">
      <c r="A4669" s="176">
        <v>56</v>
      </c>
      <c r="B4669" s="181" t="s">
        <v>7175</v>
      </c>
      <c r="C4669" s="181" t="s">
        <v>81</v>
      </c>
      <c r="D4669" s="173">
        <v>0.04</v>
      </c>
      <c r="E4669" s="204" t="s">
        <v>30</v>
      </c>
      <c r="F4669" s="204" t="s">
        <v>188</v>
      </c>
      <c r="G4669" s="175" t="s">
        <v>7256</v>
      </c>
      <c r="H4669" s="171"/>
    </row>
    <row r="4670" ht="14.25" spans="1:8">
      <c r="A4670" s="176">
        <v>57</v>
      </c>
      <c r="B4670" s="181" t="s">
        <v>7257</v>
      </c>
      <c r="C4670" s="181" t="s">
        <v>81</v>
      </c>
      <c r="D4670" s="173">
        <v>0.01</v>
      </c>
      <c r="E4670" s="204" t="s">
        <v>30</v>
      </c>
      <c r="F4670" s="204" t="s">
        <v>188</v>
      </c>
      <c r="G4670" s="175" t="s">
        <v>7258</v>
      </c>
      <c r="H4670" s="171"/>
    </row>
    <row r="4671" ht="14.25" spans="1:8">
      <c r="A4671" s="176">
        <v>58</v>
      </c>
      <c r="B4671" s="181" t="s">
        <v>7158</v>
      </c>
      <c r="C4671" s="181" t="s">
        <v>81</v>
      </c>
      <c r="D4671" s="173">
        <v>0.02</v>
      </c>
      <c r="E4671" s="204" t="s">
        <v>30</v>
      </c>
      <c r="F4671" s="204" t="s">
        <v>188</v>
      </c>
      <c r="G4671" s="175" t="s">
        <v>7159</v>
      </c>
      <c r="H4671" s="171"/>
    </row>
    <row r="4672" ht="14.25" spans="1:8">
      <c r="A4672" s="176">
        <v>59</v>
      </c>
      <c r="B4672" s="181" t="s">
        <v>7259</v>
      </c>
      <c r="C4672" s="181" t="s">
        <v>81</v>
      </c>
      <c r="D4672" s="173">
        <v>0.02</v>
      </c>
      <c r="E4672" s="204" t="s">
        <v>30</v>
      </c>
      <c r="F4672" s="204" t="s">
        <v>188</v>
      </c>
      <c r="G4672" s="175" t="s">
        <v>7260</v>
      </c>
      <c r="H4672" s="171"/>
    </row>
    <row r="4673" ht="14.25" spans="1:8">
      <c r="A4673" s="176">
        <v>60</v>
      </c>
      <c r="B4673" s="181" t="s">
        <v>819</v>
      </c>
      <c r="C4673" s="181" t="s">
        <v>81</v>
      </c>
      <c r="D4673" s="173">
        <v>0.02</v>
      </c>
      <c r="E4673" s="204" t="s">
        <v>30</v>
      </c>
      <c r="F4673" s="204" t="s">
        <v>188</v>
      </c>
      <c r="G4673" s="175" t="s">
        <v>7261</v>
      </c>
      <c r="H4673" s="171"/>
    </row>
    <row r="4674" ht="14.25" spans="1:8">
      <c r="A4674" s="176">
        <v>61</v>
      </c>
      <c r="B4674" s="181" t="s">
        <v>7262</v>
      </c>
      <c r="C4674" s="181" t="s">
        <v>81</v>
      </c>
      <c r="D4674" s="173">
        <v>0.02</v>
      </c>
      <c r="E4674" s="204" t="s">
        <v>30</v>
      </c>
      <c r="F4674" s="204" t="s">
        <v>188</v>
      </c>
      <c r="G4674" s="175" t="s">
        <v>7263</v>
      </c>
      <c r="H4674" s="171"/>
    </row>
    <row r="4675" ht="14.25" spans="1:8">
      <c r="A4675" s="176">
        <v>62</v>
      </c>
      <c r="B4675" s="181" t="s">
        <v>7195</v>
      </c>
      <c r="C4675" s="181" t="s">
        <v>81</v>
      </c>
      <c r="D4675" s="173">
        <v>0.02</v>
      </c>
      <c r="E4675" s="204" t="s">
        <v>30</v>
      </c>
      <c r="F4675" s="204" t="s">
        <v>188</v>
      </c>
      <c r="G4675" s="175" t="s">
        <v>7264</v>
      </c>
      <c r="H4675" s="171"/>
    </row>
    <row r="4676" ht="14.25" spans="1:8">
      <c r="A4676" s="176">
        <v>63</v>
      </c>
      <c r="B4676" s="181" t="s">
        <v>7265</v>
      </c>
      <c r="C4676" s="181" t="s">
        <v>81</v>
      </c>
      <c r="D4676" s="173">
        <v>0.03</v>
      </c>
      <c r="E4676" s="204" t="s">
        <v>30</v>
      </c>
      <c r="F4676" s="204" t="s">
        <v>188</v>
      </c>
      <c r="G4676" s="175" t="s">
        <v>7266</v>
      </c>
      <c r="H4676" s="171"/>
    </row>
    <row r="4677" ht="14.25" spans="1:8">
      <c r="A4677" s="176">
        <v>64</v>
      </c>
      <c r="B4677" s="181" t="s">
        <v>7267</v>
      </c>
      <c r="C4677" s="181" t="s">
        <v>81</v>
      </c>
      <c r="D4677" s="173">
        <v>0.04</v>
      </c>
      <c r="E4677" s="204" t="s">
        <v>30</v>
      </c>
      <c r="F4677" s="204" t="s">
        <v>188</v>
      </c>
      <c r="G4677" s="175" t="s">
        <v>7250</v>
      </c>
      <c r="H4677" s="171"/>
    </row>
    <row r="4678" ht="14.25" spans="1:8">
      <c r="A4678" s="176">
        <v>65</v>
      </c>
      <c r="B4678" s="181" t="s">
        <v>5052</v>
      </c>
      <c r="C4678" s="181" t="s">
        <v>81</v>
      </c>
      <c r="D4678" s="173">
        <v>0.01</v>
      </c>
      <c r="E4678" s="204" t="s">
        <v>30</v>
      </c>
      <c r="F4678" s="204" t="s">
        <v>188</v>
      </c>
      <c r="G4678" s="175" t="s">
        <v>7268</v>
      </c>
      <c r="H4678" s="171"/>
    </row>
    <row r="4679" ht="14.25" spans="1:8">
      <c r="A4679" s="176">
        <v>66</v>
      </c>
      <c r="B4679" s="181" t="s">
        <v>7269</v>
      </c>
      <c r="C4679" s="181" t="s">
        <v>81</v>
      </c>
      <c r="D4679" s="173">
        <v>0.01</v>
      </c>
      <c r="E4679" s="204" t="s">
        <v>30</v>
      </c>
      <c r="F4679" s="204" t="s">
        <v>188</v>
      </c>
      <c r="G4679" s="175" t="s">
        <v>7270</v>
      </c>
      <c r="H4679" s="171"/>
    </row>
    <row r="4680" ht="14.25" spans="1:8">
      <c r="A4680" s="176">
        <v>67</v>
      </c>
      <c r="B4680" s="181" t="s">
        <v>7271</v>
      </c>
      <c r="C4680" s="181" t="s">
        <v>81</v>
      </c>
      <c r="D4680" s="173">
        <v>0.02</v>
      </c>
      <c r="E4680" s="204" t="s">
        <v>30</v>
      </c>
      <c r="F4680" s="204" t="s">
        <v>188</v>
      </c>
      <c r="G4680" s="175" t="s">
        <v>7272</v>
      </c>
      <c r="H4680" s="171"/>
    </row>
    <row r="4681" ht="14.25" spans="1:8">
      <c r="A4681" s="176">
        <v>68</v>
      </c>
      <c r="B4681" s="181" t="s">
        <v>7273</v>
      </c>
      <c r="C4681" s="181" t="s">
        <v>81</v>
      </c>
      <c r="D4681" s="173">
        <v>0.01</v>
      </c>
      <c r="E4681" s="204" t="s">
        <v>30</v>
      </c>
      <c r="F4681" s="204" t="s">
        <v>188</v>
      </c>
      <c r="G4681" s="175" t="s">
        <v>7274</v>
      </c>
      <c r="H4681" s="171"/>
    </row>
    <row r="4682" ht="14.25" spans="1:8">
      <c r="A4682" s="176">
        <v>69</v>
      </c>
      <c r="B4682" s="181" t="s">
        <v>7275</v>
      </c>
      <c r="C4682" s="181" t="s">
        <v>81</v>
      </c>
      <c r="D4682" s="173">
        <v>0.02</v>
      </c>
      <c r="E4682" s="204" t="s">
        <v>30</v>
      </c>
      <c r="F4682" s="204" t="s">
        <v>188</v>
      </c>
      <c r="G4682" s="175" t="s">
        <v>7276</v>
      </c>
      <c r="H4682" s="171"/>
    </row>
    <row r="4683" ht="14.25" spans="1:8">
      <c r="A4683" s="176">
        <v>70</v>
      </c>
      <c r="B4683" s="181" t="s">
        <v>3642</v>
      </c>
      <c r="C4683" s="181" t="s">
        <v>81</v>
      </c>
      <c r="D4683" s="173">
        <v>0.02</v>
      </c>
      <c r="E4683" s="204" t="s">
        <v>30</v>
      </c>
      <c r="F4683" s="204" t="s">
        <v>188</v>
      </c>
      <c r="G4683" s="175" t="s">
        <v>7277</v>
      </c>
      <c r="H4683" s="171"/>
    </row>
    <row r="4684" ht="14.25" spans="1:8">
      <c r="A4684" s="176">
        <v>71</v>
      </c>
      <c r="B4684" s="181" t="s">
        <v>6090</v>
      </c>
      <c r="C4684" s="181" t="s">
        <v>81</v>
      </c>
      <c r="D4684" s="173">
        <v>0.04</v>
      </c>
      <c r="E4684" s="204" t="s">
        <v>30</v>
      </c>
      <c r="F4684" s="204" t="s">
        <v>188</v>
      </c>
      <c r="G4684" s="175" t="s">
        <v>7278</v>
      </c>
      <c r="H4684" s="171"/>
    </row>
    <row r="4685" ht="14.25" spans="1:8">
      <c r="A4685" s="176">
        <v>72</v>
      </c>
      <c r="B4685" s="181" t="s">
        <v>7279</v>
      </c>
      <c r="C4685" s="181" t="s">
        <v>81</v>
      </c>
      <c r="D4685" s="173">
        <v>0.9</v>
      </c>
      <c r="E4685" s="204" t="s">
        <v>30</v>
      </c>
      <c r="F4685" s="204" t="s">
        <v>204</v>
      </c>
      <c r="G4685" s="175" t="s">
        <v>7280</v>
      </c>
      <c r="H4685" s="171"/>
    </row>
    <row r="4686" ht="14.25" spans="1:8">
      <c r="A4686" s="176">
        <v>73</v>
      </c>
      <c r="B4686" s="181" t="s">
        <v>7281</v>
      </c>
      <c r="C4686" s="181" t="s">
        <v>81</v>
      </c>
      <c r="D4686" s="173">
        <v>0.02</v>
      </c>
      <c r="E4686" s="204" t="s">
        <v>30</v>
      </c>
      <c r="F4686" s="204" t="s">
        <v>188</v>
      </c>
      <c r="G4686" s="175" t="s">
        <v>7282</v>
      </c>
      <c r="H4686" s="171"/>
    </row>
    <row r="4687" ht="14.25" spans="1:8">
      <c r="A4687" s="176">
        <v>74</v>
      </c>
      <c r="B4687" s="181" t="s">
        <v>7283</v>
      </c>
      <c r="C4687" s="181" t="s">
        <v>81</v>
      </c>
      <c r="D4687" s="173">
        <v>0.04</v>
      </c>
      <c r="E4687" s="204" t="s">
        <v>30</v>
      </c>
      <c r="F4687" s="204" t="s">
        <v>188</v>
      </c>
      <c r="G4687" s="175" t="s">
        <v>2480</v>
      </c>
      <c r="H4687" s="171"/>
    </row>
    <row r="4688" ht="14.25" spans="1:8">
      <c r="A4688" s="176">
        <v>75</v>
      </c>
      <c r="B4688" s="181" t="s">
        <v>7284</v>
      </c>
      <c r="C4688" s="181" t="s">
        <v>81</v>
      </c>
      <c r="D4688" s="173">
        <v>0.09</v>
      </c>
      <c r="E4688" s="204" t="s">
        <v>30</v>
      </c>
      <c r="F4688" s="204" t="s">
        <v>188</v>
      </c>
      <c r="G4688" s="175" t="s">
        <v>7285</v>
      </c>
      <c r="H4688" s="171"/>
    </row>
    <row r="4689" ht="14.25" spans="1:8">
      <c r="A4689" s="176">
        <v>76</v>
      </c>
      <c r="B4689" s="181" t="s">
        <v>405</v>
      </c>
      <c r="C4689" s="181" t="s">
        <v>81</v>
      </c>
      <c r="D4689" s="173">
        <v>0.03</v>
      </c>
      <c r="E4689" s="204" t="s">
        <v>30</v>
      </c>
      <c r="F4689" s="204" t="s">
        <v>188</v>
      </c>
      <c r="G4689" s="175" t="s">
        <v>7192</v>
      </c>
      <c r="H4689" s="171"/>
    </row>
    <row r="4690" ht="14.25" spans="1:8">
      <c r="A4690" s="176">
        <v>77</v>
      </c>
      <c r="B4690" s="181" t="s">
        <v>7286</v>
      </c>
      <c r="C4690" s="181" t="s">
        <v>81</v>
      </c>
      <c r="D4690" s="173">
        <v>0.48</v>
      </c>
      <c r="E4690" s="204" t="s">
        <v>30</v>
      </c>
      <c r="F4690" s="204" t="s">
        <v>188</v>
      </c>
      <c r="G4690" s="175" t="s">
        <v>7287</v>
      </c>
      <c r="H4690" s="171"/>
    </row>
    <row r="4691" ht="14.25" spans="1:8">
      <c r="A4691" s="176">
        <v>78</v>
      </c>
      <c r="B4691" s="181" t="s">
        <v>7288</v>
      </c>
      <c r="C4691" s="181" t="s">
        <v>81</v>
      </c>
      <c r="D4691" s="173">
        <v>0.1</v>
      </c>
      <c r="E4691" s="204" t="s">
        <v>30</v>
      </c>
      <c r="F4691" s="204" t="s">
        <v>188</v>
      </c>
      <c r="G4691" s="175" t="s">
        <v>7289</v>
      </c>
      <c r="H4691" s="171"/>
    </row>
    <row r="4692" ht="14.25" spans="1:8">
      <c r="A4692" s="176">
        <v>79</v>
      </c>
      <c r="B4692" s="171" t="s">
        <v>7290</v>
      </c>
      <c r="C4692" s="181" t="s">
        <v>81</v>
      </c>
      <c r="D4692" s="173">
        <v>0.01</v>
      </c>
      <c r="E4692" s="204" t="s">
        <v>30</v>
      </c>
      <c r="F4692" s="204" t="s">
        <v>188</v>
      </c>
      <c r="G4692" s="175" t="s">
        <v>7291</v>
      </c>
      <c r="H4692" s="171"/>
    </row>
    <row r="4693" ht="14.25" spans="1:8">
      <c r="A4693" s="176">
        <v>80</v>
      </c>
      <c r="B4693" s="171" t="s">
        <v>7292</v>
      </c>
      <c r="C4693" s="181" t="s">
        <v>81</v>
      </c>
      <c r="D4693" s="173">
        <v>0.02</v>
      </c>
      <c r="E4693" s="204" t="s">
        <v>30</v>
      </c>
      <c r="F4693" s="204" t="s">
        <v>188</v>
      </c>
      <c r="G4693" s="175" t="s">
        <v>7293</v>
      </c>
      <c r="H4693" s="171"/>
    </row>
    <row r="4694" ht="14.25" spans="1:8">
      <c r="A4694" s="176">
        <v>81</v>
      </c>
      <c r="B4694" s="171" t="s">
        <v>7294</v>
      </c>
      <c r="C4694" s="181" t="s">
        <v>81</v>
      </c>
      <c r="D4694" s="173">
        <v>0.01</v>
      </c>
      <c r="E4694" s="204" t="s">
        <v>30</v>
      </c>
      <c r="F4694" s="204" t="s">
        <v>188</v>
      </c>
      <c r="G4694" s="175" t="s">
        <v>7295</v>
      </c>
      <c r="H4694" s="171"/>
    </row>
    <row r="4695" ht="14.25" spans="1:8">
      <c r="A4695" s="176">
        <v>82</v>
      </c>
      <c r="B4695" s="171" t="s">
        <v>7296</v>
      </c>
      <c r="C4695" s="181" t="s">
        <v>81</v>
      </c>
      <c r="D4695" s="173">
        <v>0.01</v>
      </c>
      <c r="E4695" s="204" t="s">
        <v>30</v>
      </c>
      <c r="F4695" s="204" t="s">
        <v>188</v>
      </c>
      <c r="G4695" s="175" t="s">
        <v>7297</v>
      </c>
      <c r="H4695" s="171"/>
    </row>
    <row r="4696" ht="14.25" spans="1:8">
      <c r="A4696" s="176">
        <v>83</v>
      </c>
      <c r="B4696" s="171" t="s">
        <v>7298</v>
      </c>
      <c r="C4696" s="181" t="s">
        <v>81</v>
      </c>
      <c r="D4696" s="173">
        <v>0.02</v>
      </c>
      <c r="E4696" s="204" t="s">
        <v>30</v>
      </c>
      <c r="F4696" s="204" t="s">
        <v>188</v>
      </c>
      <c r="G4696" s="175" t="s">
        <v>7299</v>
      </c>
      <c r="H4696" s="171"/>
    </row>
    <row r="4697" ht="14.25" spans="1:8">
      <c r="A4697" s="176">
        <v>84</v>
      </c>
      <c r="B4697" s="171" t="s">
        <v>7300</v>
      </c>
      <c r="C4697" s="181" t="s">
        <v>81</v>
      </c>
      <c r="D4697" s="173">
        <v>0.02</v>
      </c>
      <c r="E4697" s="204" t="s">
        <v>30</v>
      </c>
      <c r="F4697" s="204" t="s">
        <v>188</v>
      </c>
      <c r="G4697" s="175" t="s">
        <v>7301</v>
      </c>
      <c r="H4697" s="171"/>
    </row>
    <row r="4698" ht="14.25" spans="1:8">
      <c r="A4698" s="176">
        <v>85</v>
      </c>
      <c r="B4698" s="171" t="s">
        <v>7302</v>
      </c>
      <c r="C4698" s="181" t="s">
        <v>81</v>
      </c>
      <c r="D4698" s="173">
        <v>0.04</v>
      </c>
      <c r="E4698" s="204" t="s">
        <v>30</v>
      </c>
      <c r="F4698" s="204" t="s">
        <v>188</v>
      </c>
      <c r="G4698" s="175" t="s">
        <v>7303</v>
      </c>
      <c r="H4698" s="171"/>
    </row>
    <row r="4699" ht="14.25" spans="1:8">
      <c r="A4699" s="176">
        <v>86</v>
      </c>
      <c r="B4699" s="171" t="s">
        <v>2485</v>
      </c>
      <c r="C4699" s="181" t="s">
        <v>81</v>
      </c>
      <c r="D4699" s="173">
        <v>0.01</v>
      </c>
      <c r="E4699" s="204" t="s">
        <v>30</v>
      </c>
      <c r="F4699" s="204" t="s">
        <v>188</v>
      </c>
      <c r="G4699" s="175" t="s">
        <v>7304</v>
      </c>
      <c r="H4699" s="171"/>
    </row>
    <row r="4700" ht="14.25" spans="1:8">
      <c r="A4700" s="176">
        <v>87</v>
      </c>
      <c r="B4700" s="171" t="s">
        <v>7305</v>
      </c>
      <c r="C4700" s="181" t="s">
        <v>81</v>
      </c>
      <c r="D4700" s="173">
        <v>0.02</v>
      </c>
      <c r="E4700" s="204" t="s">
        <v>30</v>
      </c>
      <c r="F4700" s="204" t="s">
        <v>188</v>
      </c>
      <c r="G4700" s="175" t="s">
        <v>7306</v>
      </c>
      <c r="H4700" s="171"/>
    </row>
    <row r="4701" ht="14.25" spans="1:8">
      <c r="A4701" s="176">
        <v>88</v>
      </c>
      <c r="B4701" s="171" t="s">
        <v>7307</v>
      </c>
      <c r="C4701" s="181" t="s">
        <v>81</v>
      </c>
      <c r="D4701" s="173">
        <v>0.01</v>
      </c>
      <c r="E4701" s="204" t="s">
        <v>30</v>
      </c>
      <c r="F4701" s="204" t="s">
        <v>188</v>
      </c>
      <c r="G4701" s="175" t="s">
        <v>7308</v>
      </c>
      <c r="H4701" s="171"/>
    </row>
    <row r="4702" ht="14.25" spans="1:8">
      <c r="A4702" s="176">
        <v>89</v>
      </c>
      <c r="B4702" s="171" t="s">
        <v>7309</v>
      </c>
      <c r="C4702" s="181" t="s">
        <v>81</v>
      </c>
      <c r="D4702" s="173">
        <v>0.02</v>
      </c>
      <c r="E4702" s="204" t="s">
        <v>30</v>
      </c>
      <c r="F4702" s="204" t="s">
        <v>188</v>
      </c>
      <c r="G4702" s="175" t="s">
        <v>7310</v>
      </c>
      <c r="H4702" s="171"/>
    </row>
    <row r="4703" ht="14.25" spans="1:8">
      <c r="A4703" s="176">
        <v>90</v>
      </c>
      <c r="B4703" s="171" t="s">
        <v>7311</v>
      </c>
      <c r="C4703" s="181" t="s">
        <v>81</v>
      </c>
      <c r="D4703" s="173">
        <v>0.02</v>
      </c>
      <c r="E4703" s="204" t="s">
        <v>30</v>
      </c>
      <c r="F4703" s="204" t="s">
        <v>188</v>
      </c>
      <c r="G4703" s="175" t="s">
        <v>7312</v>
      </c>
      <c r="H4703" s="171"/>
    </row>
    <row r="4704" ht="14.25" spans="1:8">
      <c r="A4704" s="176">
        <v>91</v>
      </c>
      <c r="B4704" s="171" t="s">
        <v>7313</v>
      </c>
      <c r="C4704" s="181" t="s">
        <v>81</v>
      </c>
      <c r="D4704" s="173">
        <v>0.02</v>
      </c>
      <c r="E4704" s="204" t="s">
        <v>30</v>
      </c>
      <c r="F4704" s="204" t="s">
        <v>188</v>
      </c>
      <c r="G4704" s="175" t="s">
        <v>7314</v>
      </c>
      <c r="H4704" s="171"/>
    </row>
    <row r="4705" ht="14.25" spans="1:8">
      <c r="A4705" s="176">
        <v>92</v>
      </c>
      <c r="B4705" s="171" t="s">
        <v>7315</v>
      </c>
      <c r="C4705" s="181" t="s">
        <v>81</v>
      </c>
      <c r="D4705" s="173">
        <v>0.02</v>
      </c>
      <c r="E4705" s="204" t="s">
        <v>30</v>
      </c>
      <c r="F4705" s="204" t="s">
        <v>188</v>
      </c>
      <c r="G4705" s="175" t="s">
        <v>7316</v>
      </c>
      <c r="H4705" s="171"/>
    </row>
    <row r="4706" ht="14.25" spans="1:8">
      <c r="A4706" s="176">
        <v>93</v>
      </c>
      <c r="B4706" s="171" t="s">
        <v>7317</v>
      </c>
      <c r="C4706" s="181" t="s">
        <v>81</v>
      </c>
      <c r="D4706" s="173">
        <v>0.02</v>
      </c>
      <c r="E4706" s="204" t="s">
        <v>30</v>
      </c>
      <c r="F4706" s="204" t="s">
        <v>188</v>
      </c>
      <c r="G4706" s="175" t="s">
        <v>7318</v>
      </c>
      <c r="H4706" s="171"/>
    </row>
    <row r="4707" ht="14.25" spans="1:8">
      <c r="A4707" s="176">
        <v>94</v>
      </c>
      <c r="B4707" s="171" t="s">
        <v>7252</v>
      </c>
      <c r="C4707" s="181" t="s">
        <v>81</v>
      </c>
      <c r="D4707" s="173">
        <v>0.02</v>
      </c>
      <c r="E4707" s="204" t="s">
        <v>30</v>
      </c>
      <c r="F4707" s="204" t="s">
        <v>188</v>
      </c>
      <c r="G4707" s="175" t="s">
        <v>7253</v>
      </c>
      <c r="H4707" s="171"/>
    </row>
    <row r="4708" ht="14.25" spans="1:8">
      <c r="A4708" s="176">
        <v>95</v>
      </c>
      <c r="B4708" s="171" t="s">
        <v>7319</v>
      </c>
      <c r="C4708" s="181" t="s">
        <v>81</v>
      </c>
      <c r="D4708" s="173">
        <v>0.01</v>
      </c>
      <c r="E4708" s="204" t="s">
        <v>30</v>
      </c>
      <c r="F4708" s="204" t="s">
        <v>188</v>
      </c>
      <c r="G4708" s="175" t="s">
        <v>7320</v>
      </c>
      <c r="H4708" s="171"/>
    </row>
    <row r="4709" ht="14.25" spans="1:8">
      <c r="A4709" s="176">
        <v>96</v>
      </c>
      <c r="B4709" s="171" t="s">
        <v>7321</v>
      </c>
      <c r="C4709" s="181" t="s">
        <v>81</v>
      </c>
      <c r="D4709" s="173">
        <v>0.01</v>
      </c>
      <c r="E4709" s="204" t="s">
        <v>30</v>
      </c>
      <c r="F4709" s="204" t="s">
        <v>188</v>
      </c>
      <c r="G4709" s="175" t="s">
        <v>7322</v>
      </c>
      <c r="H4709" s="171"/>
    </row>
    <row r="4710" ht="14.25" spans="1:8">
      <c r="A4710" s="176">
        <v>97</v>
      </c>
      <c r="B4710" s="171" t="s">
        <v>7323</v>
      </c>
      <c r="C4710" s="181" t="s">
        <v>81</v>
      </c>
      <c r="D4710" s="173">
        <v>0.01</v>
      </c>
      <c r="E4710" s="204" t="s">
        <v>30</v>
      </c>
      <c r="F4710" s="204" t="s">
        <v>188</v>
      </c>
      <c r="G4710" s="175" t="s">
        <v>7324</v>
      </c>
      <c r="H4710" s="171"/>
    </row>
    <row r="4711" ht="14.25" spans="1:8">
      <c r="A4711" s="176">
        <v>98</v>
      </c>
      <c r="B4711" s="171" t="s">
        <v>7325</v>
      </c>
      <c r="C4711" s="181" t="s">
        <v>81</v>
      </c>
      <c r="D4711" s="173">
        <v>0.02</v>
      </c>
      <c r="E4711" s="204" t="s">
        <v>30</v>
      </c>
      <c r="F4711" s="204" t="s">
        <v>188</v>
      </c>
      <c r="G4711" s="175" t="s">
        <v>7326</v>
      </c>
      <c r="H4711" s="171"/>
    </row>
    <row r="4712" ht="14.25" spans="1:8">
      <c r="A4712" s="176">
        <v>99</v>
      </c>
      <c r="B4712" s="171" t="s">
        <v>6119</v>
      </c>
      <c r="C4712" s="181" t="s">
        <v>81</v>
      </c>
      <c r="D4712" s="173">
        <v>0.02</v>
      </c>
      <c r="E4712" s="204" t="s">
        <v>30</v>
      </c>
      <c r="F4712" s="204" t="s">
        <v>188</v>
      </c>
      <c r="G4712" s="175" t="s">
        <v>7327</v>
      </c>
      <c r="H4712" s="171"/>
    </row>
    <row r="4713" ht="14.25" spans="1:8">
      <c r="A4713" s="176">
        <v>100</v>
      </c>
      <c r="B4713" s="171" t="s">
        <v>3687</v>
      </c>
      <c r="C4713" s="181" t="s">
        <v>81</v>
      </c>
      <c r="D4713" s="173">
        <v>0.01</v>
      </c>
      <c r="E4713" s="204" t="s">
        <v>30</v>
      </c>
      <c r="F4713" s="204" t="s">
        <v>188</v>
      </c>
      <c r="G4713" s="175" t="s">
        <v>7328</v>
      </c>
      <c r="H4713" s="171"/>
    </row>
    <row r="4714" ht="14.25" spans="1:8">
      <c r="A4714" s="176">
        <v>101</v>
      </c>
      <c r="B4714" s="171" t="s">
        <v>7329</v>
      </c>
      <c r="C4714" s="181" t="s">
        <v>81</v>
      </c>
      <c r="D4714" s="173">
        <v>0.01</v>
      </c>
      <c r="E4714" s="204" t="s">
        <v>30</v>
      </c>
      <c r="F4714" s="204" t="s">
        <v>188</v>
      </c>
      <c r="G4714" s="175" t="s">
        <v>7330</v>
      </c>
      <c r="H4714" s="171"/>
    </row>
    <row r="4715" ht="14.25" spans="1:8">
      <c r="A4715" s="176">
        <v>102</v>
      </c>
      <c r="B4715" s="171" t="s">
        <v>7331</v>
      </c>
      <c r="C4715" s="181" t="s">
        <v>81</v>
      </c>
      <c r="D4715" s="173">
        <v>0.02</v>
      </c>
      <c r="E4715" s="204" t="s">
        <v>30</v>
      </c>
      <c r="F4715" s="204" t="s">
        <v>188</v>
      </c>
      <c r="G4715" s="175" t="s">
        <v>5706</v>
      </c>
      <c r="H4715" s="171"/>
    </row>
    <row r="4716" ht="14.25" spans="1:8">
      <c r="A4716" s="176">
        <v>103</v>
      </c>
      <c r="B4716" s="171" t="s">
        <v>7332</v>
      </c>
      <c r="C4716" s="181" t="s">
        <v>81</v>
      </c>
      <c r="D4716" s="173">
        <v>0.04</v>
      </c>
      <c r="E4716" s="204" t="s">
        <v>30</v>
      </c>
      <c r="F4716" s="204" t="s">
        <v>188</v>
      </c>
      <c r="G4716" s="175" t="s">
        <v>7333</v>
      </c>
      <c r="H4716" s="171"/>
    </row>
    <row r="4717" ht="14.25" spans="1:8">
      <c r="A4717" s="176">
        <v>104</v>
      </c>
      <c r="B4717" s="171" t="s">
        <v>7334</v>
      </c>
      <c r="C4717" s="181" t="s">
        <v>81</v>
      </c>
      <c r="D4717" s="173">
        <v>0.02</v>
      </c>
      <c r="E4717" s="204" t="s">
        <v>30</v>
      </c>
      <c r="F4717" s="204" t="s">
        <v>188</v>
      </c>
      <c r="G4717" s="175" t="s">
        <v>7335</v>
      </c>
      <c r="H4717" s="171"/>
    </row>
    <row r="4718" ht="14.25" spans="1:8">
      <c r="A4718" s="176">
        <v>105</v>
      </c>
      <c r="B4718" s="171" t="s">
        <v>7336</v>
      </c>
      <c r="C4718" s="181" t="s">
        <v>81</v>
      </c>
      <c r="D4718" s="173">
        <v>0.01</v>
      </c>
      <c r="E4718" s="204" t="s">
        <v>30</v>
      </c>
      <c r="F4718" s="204" t="s">
        <v>188</v>
      </c>
      <c r="G4718" s="175" t="s">
        <v>7337</v>
      </c>
      <c r="H4718" s="171"/>
    </row>
    <row r="4719" ht="14.25" spans="1:8">
      <c r="A4719" s="176">
        <v>106</v>
      </c>
      <c r="B4719" s="171" t="s">
        <v>7338</v>
      </c>
      <c r="C4719" s="181" t="s">
        <v>81</v>
      </c>
      <c r="D4719" s="173">
        <v>0.04</v>
      </c>
      <c r="E4719" s="204" t="s">
        <v>30</v>
      </c>
      <c r="F4719" s="204" t="s">
        <v>188</v>
      </c>
      <c r="G4719" s="175" t="s">
        <v>7339</v>
      </c>
      <c r="H4719" s="171"/>
    </row>
    <row r="4720" ht="14.25" spans="1:8">
      <c r="A4720" s="176">
        <v>107</v>
      </c>
      <c r="B4720" s="171" t="s">
        <v>7340</v>
      </c>
      <c r="C4720" s="181" t="s">
        <v>81</v>
      </c>
      <c r="D4720" s="173">
        <v>0.01</v>
      </c>
      <c r="E4720" s="204" t="s">
        <v>30</v>
      </c>
      <c r="F4720" s="204" t="s">
        <v>188</v>
      </c>
      <c r="G4720" s="175" t="s">
        <v>7341</v>
      </c>
      <c r="H4720" s="171"/>
    </row>
    <row r="4721" ht="14.25" spans="1:8">
      <c r="A4721" s="176">
        <v>108</v>
      </c>
      <c r="B4721" s="171" t="s">
        <v>7342</v>
      </c>
      <c r="C4721" s="181" t="s">
        <v>81</v>
      </c>
      <c r="D4721" s="173">
        <v>0.05</v>
      </c>
      <c r="E4721" s="204" t="s">
        <v>30</v>
      </c>
      <c r="F4721" s="204" t="s">
        <v>188</v>
      </c>
      <c r="G4721" s="175" t="s">
        <v>7343</v>
      </c>
      <c r="H4721" s="171"/>
    </row>
    <row r="4722" ht="14.25" spans="1:8">
      <c r="A4722" s="176">
        <v>109</v>
      </c>
      <c r="B4722" s="171" t="s">
        <v>7344</v>
      </c>
      <c r="C4722" s="181" t="s">
        <v>81</v>
      </c>
      <c r="D4722" s="173">
        <v>0.03</v>
      </c>
      <c r="E4722" s="204" t="s">
        <v>30</v>
      </c>
      <c r="F4722" s="204" t="s">
        <v>188</v>
      </c>
      <c r="G4722" s="175" t="s">
        <v>7345</v>
      </c>
      <c r="H4722" s="171"/>
    </row>
    <row r="4723" ht="14.25" spans="1:8">
      <c r="A4723" s="176">
        <v>110</v>
      </c>
      <c r="B4723" s="171" t="s">
        <v>3737</v>
      </c>
      <c r="C4723" s="181" t="s">
        <v>81</v>
      </c>
      <c r="D4723" s="173">
        <v>0.05</v>
      </c>
      <c r="E4723" s="204" t="s">
        <v>30</v>
      </c>
      <c r="F4723" s="204" t="s">
        <v>188</v>
      </c>
      <c r="G4723" s="175" t="s">
        <v>7346</v>
      </c>
      <c r="H4723" s="171"/>
    </row>
    <row r="4724" ht="14.25" spans="1:8">
      <c r="A4724" s="176">
        <v>111</v>
      </c>
      <c r="B4724" s="171" t="s">
        <v>7347</v>
      </c>
      <c r="C4724" s="181" t="s">
        <v>81</v>
      </c>
      <c r="D4724" s="173">
        <v>0.05</v>
      </c>
      <c r="E4724" s="204" t="s">
        <v>30</v>
      </c>
      <c r="F4724" s="204" t="s">
        <v>188</v>
      </c>
      <c r="G4724" s="175" t="s">
        <v>3392</v>
      </c>
      <c r="H4724" s="171"/>
    </row>
    <row r="4725" ht="14.25" spans="1:8">
      <c r="A4725" s="176">
        <v>112</v>
      </c>
      <c r="B4725" s="171" t="s">
        <v>7348</v>
      </c>
      <c r="C4725" s="181" t="s">
        <v>81</v>
      </c>
      <c r="D4725" s="173">
        <v>0.05</v>
      </c>
      <c r="E4725" s="204" t="s">
        <v>30</v>
      </c>
      <c r="F4725" s="204" t="s">
        <v>188</v>
      </c>
      <c r="G4725" s="175" t="s">
        <v>7349</v>
      </c>
      <c r="H4725" s="171"/>
    </row>
    <row r="4726" ht="14.25" spans="1:8">
      <c r="A4726" s="176">
        <v>113</v>
      </c>
      <c r="B4726" s="171" t="s">
        <v>7350</v>
      </c>
      <c r="C4726" s="181" t="s">
        <v>81</v>
      </c>
      <c r="D4726" s="173">
        <v>0.02</v>
      </c>
      <c r="E4726" s="204" t="s">
        <v>30</v>
      </c>
      <c r="F4726" s="204" t="s">
        <v>188</v>
      </c>
      <c r="G4726" s="175" t="s">
        <v>7351</v>
      </c>
      <c r="H4726" s="171"/>
    </row>
    <row r="4727" ht="14.25" spans="1:8">
      <c r="A4727" s="176">
        <v>114</v>
      </c>
      <c r="B4727" s="171" t="s">
        <v>7352</v>
      </c>
      <c r="C4727" s="181" t="s">
        <v>81</v>
      </c>
      <c r="D4727" s="173">
        <v>0.01</v>
      </c>
      <c r="E4727" s="204" t="s">
        <v>30</v>
      </c>
      <c r="F4727" s="204" t="s">
        <v>188</v>
      </c>
      <c r="G4727" s="175" t="s">
        <v>7353</v>
      </c>
      <c r="H4727" s="171"/>
    </row>
    <row r="4728" ht="14.25" spans="1:8">
      <c r="A4728" s="176">
        <v>115</v>
      </c>
      <c r="B4728" s="171" t="s">
        <v>7354</v>
      </c>
      <c r="C4728" s="181" t="s">
        <v>81</v>
      </c>
      <c r="D4728" s="173">
        <v>0.01</v>
      </c>
      <c r="E4728" s="204" t="s">
        <v>30</v>
      </c>
      <c r="F4728" s="204" t="s">
        <v>188</v>
      </c>
      <c r="G4728" s="175" t="s">
        <v>7355</v>
      </c>
      <c r="H4728" s="171"/>
    </row>
    <row r="4729" ht="14.25" spans="1:8">
      <c r="A4729" s="176">
        <v>116</v>
      </c>
      <c r="B4729" s="171" t="s">
        <v>7356</v>
      </c>
      <c r="C4729" s="181" t="s">
        <v>81</v>
      </c>
      <c r="D4729" s="173">
        <v>0.01</v>
      </c>
      <c r="E4729" s="204" t="s">
        <v>30</v>
      </c>
      <c r="F4729" s="204" t="s">
        <v>188</v>
      </c>
      <c r="G4729" s="175" t="s">
        <v>7357</v>
      </c>
      <c r="H4729" s="171"/>
    </row>
    <row r="4730" ht="14.25" spans="1:8">
      <c r="A4730" s="176">
        <v>117</v>
      </c>
      <c r="B4730" s="171" t="s">
        <v>7358</v>
      </c>
      <c r="C4730" s="181" t="s">
        <v>81</v>
      </c>
      <c r="D4730" s="173">
        <v>0.02</v>
      </c>
      <c r="E4730" s="204" t="s">
        <v>30</v>
      </c>
      <c r="F4730" s="204" t="s">
        <v>188</v>
      </c>
      <c r="G4730" s="175" t="s">
        <v>7359</v>
      </c>
      <c r="H4730" s="171"/>
    </row>
    <row r="4731" ht="14.25" spans="1:8">
      <c r="A4731" s="176">
        <v>118</v>
      </c>
      <c r="B4731" s="171" t="s">
        <v>7360</v>
      </c>
      <c r="C4731" s="181" t="s">
        <v>81</v>
      </c>
      <c r="D4731" s="173">
        <v>0.05</v>
      </c>
      <c r="E4731" s="204" t="s">
        <v>30</v>
      </c>
      <c r="F4731" s="204" t="s">
        <v>188</v>
      </c>
      <c r="G4731" s="175" t="s">
        <v>7361</v>
      </c>
      <c r="H4731" s="171"/>
    </row>
    <row r="4732" ht="14.25" spans="1:8">
      <c r="A4732" s="176">
        <v>119</v>
      </c>
      <c r="B4732" s="171" t="s">
        <v>7223</v>
      </c>
      <c r="C4732" s="181" t="s">
        <v>81</v>
      </c>
      <c r="D4732" s="173">
        <v>0.02</v>
      </c>
      <c r="E4732" s="204" t="s">
        <v>30</v>
      </c>
      <c r="F4732" s="204" t="s">
        <v>188</v>
      </c>
      <c r="G4732" s="175" t="s">
        <v>7224</v>
      </c>
      <c r="H4732" s="171"/>
    </row>
    <row r="4733" ht="14.25" spans="1:8">
      <c r="A4733" s="176">
        <v>120</v>
      </c>
      <c r="B4733" s="171" t="s">
        <v>7362</v>
      </c>
      <c r="C4733" s="181" t="s">
        <v>81</v>
      </c>
      <c r="D4733" s="173">
        <v>0.02</v>
      </c>
      <c r="E4733" s="204" t="s">
        <v>30</v>
      </c>
      <c r="F4733" s="204" t="s">
        <v>188</v>
      </c>
      <c r="G4733" s="175" t="s">
        <v>7363</v>
      </c>
      <c r="H4733" s="171"/>
    </row>
    <row r="4734" ht="14.25" spans="1:8">
      <c r="A4734" s="176">
        <v>121</v>
      </c>
      <c r="B4734" s="171" t="s">
        <v>7364</v>
      </c>
      <c r="C4734" s="181" t="s">
        <v>81</v>
      </c>
      <c r="D4734" s="173">
        <v>0.03</v>
      </c>
      <c r="E4734" s="204" t="s">
        <v>30</v>
      </c>
      <c r="F4734" s="204" t="s">
        <v>188</v>
      </c>
      <c r="G4734" s="175" t="s">
        <v>7365</v>
      </c>
      <c r="H4734" s="171"/>
    </row>
    <row r="4735" ht="14.25" spans="1:8">
      <c r="A4735" s="176">
        <v>122</v>
      </c>
      <c r="B4735" s="171" t="s">
        <v>5731</v>
      </c>
      <c r="C4735" s="181" t="s">
        <v>81</v>
      </c>
      <c r="D4735" s="173">
        <v>0.03</v>
      </c>
      <c r="E4735" s="204" t="s">
        <v>30</v>
      </c>
      <c r="F4735" s="204" t="s">
        <v>188</v>
      </c>
      <c r="G4735" s="175" t="s">
        <v>7366</v>
      </c>
      <c r="H4735" s="171"/>
    </row>
    <row r="4736" ht="14.25" spans="1:8">
      <c r="A4736" s="176">
        <v>123</v>
      </c>
      <c r="B4736" s="171" t="s">
        <v>7367</v>
      </c>
      <c r="C4736" s="181" t="s">
        <v>81</v>
      </c>
      <c r="D4736" s="173">
        <v>0.01</v>
      </c>
      <c r="E4736" s="204" t="s">
        <v>30</v>
      </c>
      <c r="F4736" s="204" t="s">
        <v>188</v>
      </c>
      <c r="G4736" s="175" t="s">
        <v>7368</v>
      </c>
      <c r="H4736" s="171"/>
    </row>
    <row r="4737" ht="14.25" spans="1:8">
      <c r="A4737" s="176">
        <v>124</v>
      </c>
      <c r="B4737" s="171" t="s">
        <v>7369</v>
      </c>
      <c r="C4737" s="181" t="s">
        <v>81</v>
      </c>
      <c r="D4737" s="173">
        <v>0.01</v>
      </c>
      <c r="E4737" s="204" t="s">
        <v>30</v>
      </c>
      <c r="F4737" s="204" t="s">
        <v>188</v>
      </c>
      <c r="G4737" s="175" t="s">
        <v>7370</v>
      </c>
      <c r="H4737" s="171"/>
    </row>
    <row r="4738" ht="14.25" spans="1:8">
      <c r="A4738" s="176">
        <v>125</v>
      </c>
      <c r="B4738" s="171" t="s">
        <v>7369</v>
      </c>
      <c r="C4738" s="181" t="s">
        <v>81</v>
      </c>
      <c r="D4738" s="173">
        <v>0.01</v>
      </c>
      <c r="E4738" s="204" t="s">
        <v>30</v>
      </c>
      <c r="F4738" s="204" t="s">
        <v>188</v>
      </c>
      <c r="G4738" s="175" t="s">
        <v>7371</v>
      </c>
      <c r="H4738" s="171"/>
    </row>
    <row r="4739" ht="14.25" spans="1:8">
      <c r="A4739" s="176">
        <v>126</v>
      </c>
      <c r="B4739" s="171" t="s">
        <v>7372</v>
      </c>
      <c r="C4739" s="181" t="s">
        <v>81</v>
      </c>
      <c r="D4739" s="173">
        <v>0.05</v>
      </c>
      <c r="E4739" s="204" t="s">
        <v>30</v>
      </c>
      <c r="F4739" s="204" t="s">
        <v>188</v>
      </c>
      <c r="G4739" s="175" t="s">
        <v>7373</v>
      </c>
      <c r="H4739" s="171"/>
    </row>
    <row r="4740" ht="14.25" spans="1:8">
      <c r="A4740" s="176">
        <v>127</v>
      </c>
      <c r="B4740" s="171" t="s">
        <v>7374</v>
      </c>
      <c r="C4740" s="181" t="s">
        <v>81</v>
      </c>
      <c r="D4740" s="173">
        <v>0.02</v>
      </c>
      <c r="E4740" s="204" t="s">
        <v>30</v>
      </c>
      <c r="F4740" s="204" t="s">
        <v>188</v>
      </c>
      <c r="G4740" s="175" t="s">
        <v>7375</v>
      </c>
      <c r="H4740" s="171"/>
    </row>
    <row r="4741" ht="14.25" spans="1:8">
      <c r="A4741" s="176">
        <v>128</v>
      </c>
      <c r="B4741" s="171" t="s">
        <v>7376</v>
      </c>
      <c r="C4741" s="181" t="s">
        <v>81</v>
      </c>
      <c r="D4741" s="173">
        <v>0.02</v>
      </c>
      <c r="E4741" s="204" t="s">
        <v>30</v>
      </c>
      <c r="F4741" s="204" t="s">
        <v>188</v>
      </c>
      <c r="G4741" s="175" t="s">
        <v>7377</v>
      </c>
      <c r="H4741" s="171"/>
    </row>
    <row r="4742" ht="14.25" spans="1:8">
      <c r="A4742" s="176">
        <v>129</v>
      </c>
      <c r="B4742" s="171" t="s">
        <v>7378</v>
      </c>
      <c r="C4742" s="181" t="s">
        <v>81</v>
      </c>
      <c r="D4742" s="173">
        <v>0.01</v>
      </c>
      <c r="E4742" s="204" t="s">
        <v>30</v>
      </c>
      <c r="F4742" s="204" t="s">
        <v>188</v>
      </c>
      <c r="G4742" s="175" t="s">
        <v>7379</v>
      </c>
      <c r="H4742" s="171"/>
    </row>
    <row r="4743" ht="14.25" spans="1:8">
      <c r="A4743" s="176">
        <v>130</v>
      </c>
      <c r="B4743" s="171" t="s">
        <v>7380</v>
      </c>
      <c r="C4743" s="181" t="s">
        <v>81</v>
      </c>
      <c r="D4743" s="173">
        <v>0.01</v>
      </c>
      <c r="E4743" s="204" t="s">
        <v>30</v>
      </c>
      <c r="F4743" s="204" t="s">
        <v>188</v>
      </c>
      <c r="G4743" s="175" t="s">
        <v>7381</v>
      </c>
      <c r="H4743" s="171"/>
    </row>
    <row r="4744" ht="14.25" spans="1:8">
      <c r="A4744" s="176">
        <v>131</v>
      </c>
      <c r="B4744" s="181" t="s">
        <v>7382</v>
      </c>
      <c r="C4744" s="181" t="s">
        <v>81</v>
      </c>
      <c r="D4744" s="173">
        <v>0.02</v>
      </c>
      <c r="E4744" s="204" t="s">
        <v>30</v>
      </c>
      <c r="F4744" s="204" t="s">
        <v>188</v>
      </c>
      <c r="G4744" s="175" t="s">
        <v>7383</v>
      </c>
      <c r="H4744" s="171"/>
    </row>
    <row r="4745" ht="14.25" spans="1:8">
      <c r="A4745" s="176">
        <v>132</v>
      </c>
      <c r="B4745" s="181" t="s">
        <v>7384</v>
      </c>
      <c r="C4745" s="181" t="s">
        <v>81</v>
      </c>
      <c r="D4745" s="173">
        <v>0.02</v>
      </c>
      <c r="E4745" s="204" t="s">
        <v>30</v>
      </c>
      <c r="F4745" s="204" t="s">
        <v>188</v>
      </c>
      <c r="G4745" s="175" t="s">
        <v>7385</v>
      </c>
      <c r="H4745" s="171"/>
    </row>
    <row r="4746" ht="14.25" spans="1:8">
      <c r="A4746" s="176">
        <v>133</v>
      </c>
      <c r="B4746" s="181" t="s">
        <v>7386</v>
      </c>
      <c r="C4746" s="181" t="s">
        <v>81</v>
      </c>
      <c r="D4746" s="173">
        <v>0.06</v>
      </c>
      <c r="E4746" s="204" t="s">
        <v>30</v>
      </c>
      <c r="F4746" s="204" t="s">
        <v>188</v>
      </c>
      <c r="G4746" s="175" t="s">
        <v>7387</v>
      </c>
      <c r="H4746" s="171"/>
    </row>
    <row r="4747" ht="14.25" spans="1:8">
      <c r="A4747" s="176">
        <v>134</v>
      </c>
      <c r="B4747" s="181" t="s">
        <v>7388</v>
      </c>
      <c r="C4747" s="181" t="s">
        <v>81</v>
      </c>
      <c r="D4747" s="173">
        <v>0.01</v>
      </c>
      <c r="E4747" s="204" t="s">
        <v>30</v>
      </c>
      <c r="F4747" s="204" t="s">
        <v>188</v>
      </c>
      <c r="G4747" s="175" t="s">
        <v>7389</v>
      </c>
      <c r="H4747" s="171"/>
    </row>
    <row r="4748" ht="14.25" spans="1:8">
      <c r="A4748" s="176">
        <v>135</v>
      </c>
      <c r="B4748" s="181" t="s">
        <v>405</v>
      </c>
      <c r="C4748" s="181" t="s">
        <v>81</v>
      </c>
      <c r="D4748" s="173">
        <v>0.01</v>
      </c>
      <c r="E4748" s="204" t="s">
        <v>30</v>
      </c>
      <c r="F4748" s="204" t="s">
        <v>188</v>
      </c>
      <c r="G4748" s="175" t="s">
        <v>7390</v>
      </c>
      <c r="H4748" s="171"/>
    </row>
    <row r="4749" ht="14.25" spans="1:8">
      <c r="A4749" s="176">
        <v>136</v>
      </c>
      <c r="B4749" s="181" t="s">
        <v>1030</v>
      </c>
      <c r="C4749" s="181" t="s">
        <v>81</v>
      </c>
      <c r="D4749" s="173">
        <v>0.02</v>
      </c>
      <c r="E4749" s="204" t="s">
        <v>30</v>
      </c>
      <c r="F4749" s="204" t="s">
        <v>188</v>
      </c>
      <c r="G4749" s="175" t="s">
        <v>7391</v>
      </c>
      <c r="H4749" s="171"/>
    </row>
    <row r="4750" ht="25.5" spans="1:8">
      <c r="A4750" s="176">
        <v>137</v>
      </c>
      <c r="B4750" s="181" t="s">
        <v>7392</v>
      </c>
      <c r="C4750" s="181" t="s">
        <v>81</v>
      </c>
      <c r="D4750" s="173">
        <v>0.01</v>
      </c>
      <c r="E4750" s="204" t="s">
        <v>30</v>
      </c>
      <c r="F4750" s="204" t="s">
        <v>188</v>
      </c>
      <c r="G4750" s="175" t="s">
        <v>7328</v>
      </c>
      <c r="H4750" s="171"/>
    </row>
    <row r="4751" ht="14.25" spans="1:8">
      <c r="A4751" s="176">
        <v>138</v>
      </c>
      <c r="B4751" s="181" t="s">
        <v>7393</v>
      </c>
      <c r="C4751" s="181" t="s">
        <v>81</v>
      </c>
      <c r="D4751" s="173">
        <v>0.09</v>
      </c>
      <c r="E4751" s="204" t="s">
        <v>30</v>
      </c>
      <c r="F4751" s="204" t="s">
        <v>188</v>
      </c>
      <c r="G4751" s="175" t="s">
        <v>7394</v>
      </c>
      <c r="H4751" s="171"/>
    </row>
    <row r="4752" ht="14.25" spans="1:8">
      <c r="A4752" s="176">
        <v>139</v>
      </c>
      <c r="B4752" s="181" t="s">
        <v>7395</v>
      </c>
      <c r="C4752" s="181" t="s">
        <v>81</v>
      </c>
      <c r="D4752" s="173">
        <v>0.04</v>
      </c>
      <c r="E4752" s="204" t="s">
        <v>30</v>
      </c>
      <c r="F4752" s="204" t="s">
        <v>188</v>
      </c>
      <c r="G4752" s="175" t="s">
        <v>7396</v>
      </c>
      <c r="H4752" s="171"/>
    </row>
    <row r="4753" ht="14.25" spans="1:8">
      <c r="A4753" s="176">
        <v>140</v>
      </c>
      <c r="B4753" s="181" t="s">
        <v>7397</v>
      </c>
      <c r="C4753" s="181" t="s">
        <v>81</v>
      </c>
      <c r="D4753" s="173">
        <v>0.02</v>
      </c>
      <c r="E4753" s="204" t="s">
        <v>30</v>
      </c>
      <c r="F4753" s="204" t="s">
        <v>188</v>
      </c>
      <c r="G4753" s="175" t="s">
        <v>7398</v>
      </c>
      <c r="H4753" s="171"/>
    </row>
    <row r="4754" ht="14.25" spans="1:8">
      <c r="A4754" s="176">
        <v>141</v>
      </c>
      <c r="B4754" s="181" t="s">
        <v>4555</v>
      </c>
      <c r="C4754" s="181" t="s">
        <v>81</v>
      </c>
      <c r="D4754" s="173">
        <v>0.02</v>
      </c>
      <c r="E4754" s="204" t="s">
        <v>30</v>
      </c>
      <c r="F4754" s="204" t="s">
        <v>188</v>
      </c>
      <c r="G4754" s="175" t="s">
        <v>7399</v>
      </c>
      <c r="H4754" s="171"/>
    </row>
    <row r="4755" ht="14.25" spans="1:8">
      <c r="A4755" s="176">
        <v>142</v>
      </c>
      <c r="B4755" s="181" t="s">
        <v>7400</v>
      </c>
      <c r="C4755" s="181" t="s">
        <v>81</v>
      </c>
      <c r="D4755" s="173">
        <v>0.04</v>
      </c>
      <c r="E4755" s="204" t="s">
        <v>30</v>
      </c>
      <c r="F4755" s="204" t="s">
        <v>188</v>
      </c>
      <c r="G4755" s="175" t="s">
        <v>7401</v>
      </c>
      <c r="H4755" s="171"/>
    </row>
    <row r="4756" ht="14.25" spans="1:8">
      <c r="A4756" s="176">
        <v>143</v>
      </c>
      <c r="B4756" s="181" t="s">
        <v>6268</v>
      </c>
      <c r="C4756" s="181" t="s">
        <v>81</v>
      </c>
      <c r="D4756" s="173">
        <v>0.01</v>
      </c>
      <c r="E4756" s="204" t="s">
        <v>30</v>
      </c>
      <c r="F4756" s="204" t="s">
        <v>188</v>
      </c>
      <c r="G4756" s="175" t="s">
        <v>7402</v>
      </c>
      <c r="H4756" s="171"/>
    </row>
    <row r="4757" ht="14.25" spans="1:8">
      <c r="A4757" s="176">
        <v>144</v>
      </c>
      <c r="B4757" s="181" t="s">
        <v>6268</v>
      </c>
      <c r="C4757" s="181" t="s">
        <v>81</v>
      </c>
      <c r="D4757" s="173">
        <v>0.02</v>
      </c>
      <c r="E4757" s="204" t="s">
        <v>30</v>
      </c>
      <c r="F4757" s="204" t="s">
        <v>188</v>
      </c>
      <c r="G4757" s="175" t="s">
        <v>7403</v>
      </c>
      <c r="H4757" s="171"/>
    </row>
    <row r="4758" ht="14.25" spans="1:8">
      <c r="A4758" s="176">
        <v>145</v>
      </c>
      <c r="B4758" s="181" t="s">
        <v>6268</v>
      </c>
      <c r="C4758" s="181" t="s">
        <v>81</v>
      </c>
      <c r="D4758" s="173">
        <v>0.01</v>
      </c>
      <c r="E4758" s="204" t="s">
        <v>30</v>
      </c>
      <c r="F4758" s="204" t="s">
        <v>188</v>
      </c>
      <c r="G4758" s="175" t="s">
        <v>7404</v>
      </c>
      <c r="H4758" s="171"/>
    </row>
    <row r="4759" ht="14.25" spans="1:8">
      <c r="A4759" s="176">
        <v>146</v>
      </c>
      <c r="B4759" s="181" t="s">
        <v>6268</v>
      </c>
      <c r="C4759" s="181" t="s">
        <v>81</v>
      </c>
      <c r="D4759" s="173">
        <v>0.01</v>
      </c>
      <c r="E4759" s="204" t="s">
        <v>30</v>
      </c>
      <c r="F4759" s="204" t="s">
        <v>188</v>
      </c>
      <c r="G4759" s="175" t="s">
        <v>7405</v>
      </c>
      <c r="H4759" s="171"/>
    </row>
    <row r="4760" ht="14.25" spans="1:8">
      <c r="A4760" s="176">
        <v>147</v>
      </c>
      <c r="B4760" s="181" t="s">
        <v>6268</v>
      </c>
      <c r="C4760" s="181" t="s">
        <v>81</v>
      </c>
      <c r="D4760" s="173">
        <v>0.01</v>
      </c>
      <c r="E4760" s="204" t="s">
        <v>30</v>
      </c>
      <c r="F4760" s="204" t="s">
        <v>188</v>
      </c>
      <c r="G4760" s="175" t="s">
        <v>7406</v>
      </c>
      <c r="H4760" s="171"/>
    </row>
    <row r="4761" ht="14.25" spans="1:8">
      <c r="A4761" s="176">
        <v>148</v>
      </c>
      <c r="B4761" s="249" t="s">
        <v>7407</v>
      </c>
      <c r="C4761" s="181" t="s">
        <v>81</v>
      </c>
      <c r="D4761" s="173">
        <v>0.01</v>
      </c>
      <c r="E4761" s="170" t="s">
        <v>30</v>
      </c>
      <c r="F4761" s="170" t="s">
        <v>188</v>
      </c>
      <c r="G4761" s="175" t="s">
        <v>3384</v>
      </c>
      <c r="H4761" s="171"/>
    </row>
    <row r="4762" ht="14.25" spans="1:8">
      <c r="A4762" s="176">
        <v>149</v>
      </c>
      <c r="B4762" s="249" t="s">
        <v>7408</v>
      </c>
      <c r="C4762" s="181" t="s">
        <v>81</v>
      </c>
      <c r="D4762" s="173">
        <v>0.04</v>
      </c>
      <c r="E4762" s="170" t="s">
        <v>30</v>
      </c>
      <c r="F4762" s="170" t="s">
        <v>188</v>
      </c>
      <c r="G4762" s="175" t="s">
        <v>7409</v>
      </c>
      <c r="H4762" s="171"/>
    </row>
    <row r="4763" ht="14.25" spans="1:8">
      <c r="A4763" s="176">
        <v>150</v>
      </c>
      <c r="B4763" s="249" t="s">
        <v>7352</v>
      </c>
      <c r="C4763" s="181" t="s">
        <v>81</v>
      </c>
      <c r="D4763" s="173">
        <v>0.01</v>
      </c>
      <c r="E4763" s="170" t="s">
        <v>30</v>
      </c>
      <c r="F4763" s="170" t="s">
        <v>188</v>
      </c>
      <c r="G4763" s="175" t="s">
        <v>7410</v>
      </c>
      <c r="H4763" s="171"/>
    </row>
    <row r="4764" ht="14.25" spans="1:8">
      <c r="A4764" s="176">
        <v>151</v>
      </c>
      <c r="B4764" s="249" t="s">
        <v>437</v>
      </c>
      <c r="C4764" s="181" t="s">
        <v>81</v>
      </c>
      <c r="D4764" s="173">
        <v>0.02</v>
      </c>
      <c r="E4764" s="170" t="s">
        <v>30</v>
      </c>
      <c r="F4764" s="170" t="s">
        <v>188</v>
      </c>
      <c r="G4764" s="175" t="s">
        <v>2021</v>
      </c>
      <c r="H4764" s="171"/>
    </row>
    <row r="4765" ht="14.25" spans="1:8">
      <c r="A4765" s="176">
        <v>152</v>
      </c>
      <c r="B4765" s="249" t="s">
        <v>7411</v>
      </c>
      <c r="C4765" s="181" t="s">
        <v>81</v>
      </c>
      <c r="D4765" s="173">
        <v>0.02</v>
      </c>
      <c r="E4765" s="170" t="s">
        <v>30</v>
      </c>
      <c r="F4765" s="170" t="s">
        <v>188</v>
      </c>
      <c r="G4765" s="175" t="s">
        <v>7412</v>
      </c>
      <c r="H4765" s="171"/>
    </row>
    <row r="4766" ht="14.25" spans="1:8">
      <c r="A4766" s="176">
        <v>153</v>
      </c>
      <c r="B4766" s="249" t="s">
        <v>7413</v>
      </c>
      <c r="C4766" s="181" t="s">
        <v>81</v>
      </c>
      <c r="D4766" s="173">
        <v>0.03</v>
      </c>
      <c r="E4766" s="170" t="s">
        <v>30</v>
      </c>
      <c r="F4766" s="170" t="s">
        <v>188</v>
      </c>
      <c r="G4766" s="175" t="s">
        <v>7414</v>
      </c>
      <c r="H4766" s="171"/>
    </row>
    <row r="4767" ht="14.25" spans="1:8">
      <c r="A4767" s="176">
        <v>154</v>
      </c>
      <c r="B4767" s="249" t="s">
        <v>7415</v>
      </c>
      <c r="C4767" s="181" t="s">
        <v>81</v>
      </c>
      <c r="D4767" s="173">
        <v>0.03</v>
      </c>
      <c r="E4767" s="170" t="s">
        <v>30</v>
      </c>
      <c r="F4767" s="170" t="s">
        <v>188</v>
      </c>
      <c r="G4767" s="175" t="s">
        <v>7416</v>
      </c>
      <c r="H4767" s="171"/>
    </row>
    <row r="4768" ht="14.25" spans="1:8">
      <c r="A4768" s="176">
        <v>155</v>
      </c>
      <c r="B4768" s="249" t="s">
        <v>7397</v>
      </c>
      <c r="C4768" s="181" t="s">
        <v>81</v>
      </c>
      <c r="D4768" s="173">
        <v>0.02</v>
      </c>
      <c r="E4768" s="170" t="s">
        <v>30</v>
      </c>
      <c r="F4768" s="170" t="s">
        <v>188</v>
      </c>
      <c r="G4768" s="175" t="s">
        <v>7417</v>
      </c>
      <c r="H4768" s="171"/>
    </row>
    <row r="4769" ht="14.25" spans="1:8">
      <c r="A4769" s="176">
        <v>156</v>
      </c>
      <c r="B4769" s="249" t="s">
        <v>7418</v>
      </c>
      <c r="C4769" s="181" t="s">
        <v>81</v>
      </c>
      <c r="D4769" s="173">
        <v>0.02</v>
      </c>
      <c r="E4769" s="170" t="s">
        <v>30</v>
      </c>
      <c r="F4769" s="170" t="s">
        <v>188</v>
      </c>
      <c r="G4769" s="175" t="s">
        <v>7159</v>
      </c>
      <c r="H4769" s="171"/>
    </row>
    <row r="4770" ht="14.25" spans="1:8">
      <c r="A4770" s="176">
        <v>157</v>
      </c>
      <c r="B4770" s="249" t="s">
        <v>7419</v>
      </c>
      <c r="C4770" s="181" t="s">
        <v>81</v>
      </c>
      <c r="D4770" s="173">
        <v>0.01</v>
      </c>
      <c r="E4770" s="170" t="s">
        <v>30</v>
      </c>
      <c r="F4770" s="170" t="s">
        <v>188</v>
      </c>
      <c r="G4770" s="175" t="s">
        <v>7420</v>
      </c>
      <c r="H4770" s="171"/>
    </row>
    <row r="4771" ht="14.25" spans="1:8">
      <c r="A4771" s="176">
        <v>158</v>
      </c>
      <c r="B4771" s="249" t="s">
        <v>7421</v>
      </c>
      <c r="C4771" s="181" t="s">
        <v>81</v>
      </c>
      <c r="D4771" s="173">
        <v>0.02</v>
      </c>
      <c r="E4771" s="170" t="s">
        <v>30</v>
      </c>
      <c r="F4771" s="170" t="s">
        <v>188</v>
      </c>
      <c r="G4771" s="175" t="s">
        <v>7422</v>
      </c>
      <c r="H4771" s="171"/>
    </row>
    <row r="4772" ht="14.25" spans="1:8">
      <c r="A4772" s="176">
        <v>159</v>
      </c>
      <c r="B4772" s="249" t="s">
        <v>7423</v>
      </c>
      <c r="C4772" s="181" t="s">
        <v>81</v>
      </c>
      <c r="D4772" s="173">
        <v>0.01</v>
      </c>
      <c r="E4772" s="170" t="s">
        <v>30</v>
      </c>
      <c r="F4772" s="170" t="s">
        <v>188</v>
      </c>
      <c r="G4772" s="175" t="s">
        <v>7424</v>
      </c>
      <c r="H4772" s="171"/>
    </row>
    <row r="4773" ht="14.25" spans="1:8">
      <c r="A4773" s="176">
        <v>160</v>
      </c>
      <c r="B4773" s="249" t="s">
        <v>7380</v>
      </c>
      <c r="C4773" s="181" t="s">
        <v>81</v>
      </c>
      <c r="D4773" s="173">
        <v>0.01</v>
      </c>
      <c r="E4773" s="170" t="s">
        <v>30</v>
      </c>
      <c r="F4773" s="170" t="s">
        <v>188</v>
      </c>
      <c r="G4773" s="175" t="s">
        <v>7381</v>
      </c>
      <c r="H4773" s="171"/>
    </row>
    <row r="4774" ht="14.25" spans="1:8">
      <c r="A4774" s="176">
        <v>161</v>
      </c>
      <c r="B4774" s="249" t="s">
        <v>7294</v>
      </c>
      <c r="C4774" s="181" t="s">
        <v>81</v>
      </c>
      <c r="D4774" s="173">
        <v>0.01</v>
      </c>
      <c r="E4774" s="170" t="s">
        <v>30</v>
      </c>
      <c r="F4774" s="170" t="s">
        <v>188</v>
      </c>
      <c r="G4774" s="175" t="s">
        <v>7295</v>
      </c>
      <c r="H4774" s="171"/>
    </row>
    <row r="4775" ht="14.25" spans="1:8">
      <c r="A4775" s="176">
        <v>162</v>
      </c>
      <c r="B4775" s="249" t="s">
        <v>7425</v>
      </c>
      <c r="C4775" s="181" t="s">
        <v>81</v>
      </c>
      <c r="D4775" s="173">
        <v>0.01</v>
      </c>
      <c r="E4775" s="170" t="s">
        <v>30</v>
      </c>
      <c r="F4775" s="170" t="s">
        <v>188</v>
      </c>
      <c r="G4775" s="175" t="s">
        <v>7426</v>
      </c>
      <c r="H4775" s="171"/>
    </row>
    <row r="4776" ht="14.25" spans="1:8">
      <c r="A4776" s="176">
        <v>163</v>
      </c>
      <c r="B4776" s="249" t="s">
        <v>1219</v>
      </c>
      <c r="C4776" s="181" t="s">
        <v>81</v>
      </c>
      <c r="D4776" s="173">
        <v>0.01</v>
      </c>
      <c r="E4776" s="170" t="s">
        <v>30</v>
      </c>
      <c r="F4776" s="170" t="s">
        <v>188</v>
      </c>
      <c r="G4776" s="175" t="s">
        <v>7427</v>
      </c>
      <c r="H4776" s="171"/>
    </row>
    <row r="4777" ht="14.25" spans="1:8">
      <c r="A4777" s="176">
        <v>164</v>
      </c>
      <c r="B4777" s="249" t="s">
        <v>3571</v>
      </c>
      <c r="C4777" s="181" t="s">
        <v>81</v>
      </c>
      <c r="D4777" s="173">
        <v>0.02</v>
      </c>
      <c r="E4777" s="170" t="s">
        <v>30</v>
      </c>
      <c r="F4777" s="170" t="s">
        <v>188</v>
      </c>
      <c r="G4777" s="175" t="s">
        <v>7428</v>
      </c>
      <c r="H4777" s="171"/>
    </row>
    <row r="4778" ht="14.25" spans="1:8">
      <c r="A4778" s="176">
        <v>165</v>
      </c>
      <c r="B4778" s="249" t="s">
        <v>7429</v>
      </c>
      <c r="C4778" s="181" t="s">
        <v>81</v>
      </c>
      <c r="D4778" s="173">
        <v>0.01</v>
      </c>
      <c r="E4778" s="170" t="s">
        <v>30</v>
      </c>
      <c r="F4778" s="170" t="s">
        <v>188</v>
      </c>
      <c r="G4778" s="175" t="s">
        <v>7430</v>
      </c>
      <c r="H4778" s="171"/>
    </row>
    <row r="4779" ht="14.25" spans="1:8">
      <c r="A4779" s="176">
        <v>166</v>
      </c>
      <c r="B4779" s="249" t="s">
        <v>7431</v>
      </c>
      <c r="C4779" s="181" t="s">
        <v>81</v>
      </c>
      <c r="D4779" s="173">
        <v>0.02</v>
      </c>
      <c r="E4779" s="170" t="s">
        <v>30</v>
      </c>
      <c r="F4779" s="170" t="s">
        <v>188</v>
      </c>
      <c r="G4779" s="175" t="s">
        <v>7432</v>
      </c>
      <c r="H4779" s="171"/>
    </row>
    <row r="4780" ht="14.25" spans="1:8">
      <c r="A4780" s="176">
        <v>167</v>
      </c>
      <c r="B4780" s="249" t="s">
        <v>7433</v>
      </c>
      <c r="C4780" s="181" t="s">
        <v>81</v>
      </c>
      <c r="D4780" s="173">
        <v>0.01</v>
      </c>
      <c r="E4780" s="170" t="s">
        <v>30</v>
      </c>
      <c r="F4780" s="170" t="s">
        <v>188</v>
      </c>
      <c r="G4780" s="175" t="s">
        <v>7434</v>
      </c>
      <c r="H4780" s="171"/>
    </row>
    <row r="4781" ht="14.25" spans="1:8">
      <c r="A4781" s="176">
        <v>168</v>
      </c>
      <c r="B4781" s="249" t="s">
        <v>7435</v>
      </c>
      <c r="C4781" s="181" t="s">
        <v>81</v>
      </c>
      <c r="D4781" s="173">
        <v>0.02</v>
      </c>
      <c r="E4781" s="170" t="s">
        <v>30</v>
      </c>
      <c r="F4781" s="170" t="s">
        <v>188</v>
      </c>
      <c r="G4781" s="175" t="s">
        <v>7436</v>
      </c>
      <c r="H4781" s="171"/>
    </row>
    <row r="4782" ht="14.25" spans="1:8">
      <c r="A4782" s="176">
        <v>169</v>
      </c>
      <c r="B4782" s="249" t="s">
        <v>7437</v>
      </c>
      <c r="C4782" s="181" t="s">
        <v>81</v>
      </c>
      <c r="D4782" s="173">
        <v>0.03</v>
      </c>
      <c r="E4782" s="170" t="s">
        <v>30</v>
      </c>
      <c r="F4782" s="170" t="s">
        <v>188</v>
      </c>
      <c r="G4782" s="175" t="s">
        <v>7438</v>
      </c>
      <c r="H4782" s="171"/>
    </row>
    <row r="4783" ht="14.25" spans="1:8">
      <c r="A4783" s="176">
        <v>170</v>
      </c>
      <c r="B4783" s="249" t="s">
        <v>7439</v>
      </c>
      <c r="C4783" s="181" t="s">
        <v>81</v>
      </c>
      <c r="D4783" s="173">
        <v>0.05</v>
      </c>
      <c r="E4783" s="170" t="s">
        <v>30</v>
      </c>
      <c r="F4783" s="170" t="s">
        <v>188</v>
      </c>
      <c r="G4783" s="175" t="s">
        <v>7440</v>
      </c>
      <c r="H4783" s="171"/>
    </row>
    <row r="4784" ht="14.25" spans="1:8">
      <c r="A4784" s="176">
        <v>171</v>
      </c>
      <c r="B4784" s="249" t="s">
        <v>7441</v>
      </c>
      <c r="C4784" s="181" t="s">
        <v>81</v>
      </c>
      <c r="D4784" s="173">
        <v>0.01</v>
      </c>
      <c r="E4784" s="170" t="s">
        <v>30</v>
      </c>
      <c r="F4784" s="170" t="s">
        <v>188</v>
      </c>
      <c r="G4784" s="175" t="s">
        <v>7442</v>
      </c>
      <c r="H4784" s="171"/>
    </row>
    <row r="4785" ht="14.25" spans="1:8">
      <c r="A4785" s="176">
        <v>172</v>
      </c>
      <c r="B4785" s="249" t="s">
        <v>7443</v>
      </c>
      <c r="C4785" s="181" t="s">
        <v>81</v>
      </c>
      <c r="D4785" s="173">
        <v>0.05</v>
      </c>
      <c r="E4785" s="170" t="s">
        <v>30</v>
      </c>
      <c r="F4785" s="170" t="s">
        <v>188</v>
      </c>
      <c r="G4785" s="175" t="s">
        <v>7444</v>
      </c>
      <c r="H4785" s="171"/>
    </row>
    <row r="4786" ht="14.25" spans="1:8">
      <c r="A4786" s="176">
        <v>173</v>
      </c>
      <c r="B4786" s="249" t="s">
        <v>7445</v>
      </c>
      <c r="C4786" s="181" t="s">
        <v>81</v>
      </c>
      <c r="D4786" s="173">
        <v>0.01</v>
      </c>
      <c r="E4786" s="170" t="s">
        <v>30</v>
      </c>
      <c r="F4786" s="170" t="s">
        <v>188</v>
      </c>
      <c r="G4786" s="175" t="s">
        <v>7446</v>
      </c>
      <c r="H4786" s="171"/>
    </row>
    <row r="4787" ht="14.25" spans="1:8">
      <c r="A4787" s="176">
        <v>174</v>
      </c>
      <c r="B4787" s="249" t="s">
        <v>7447</v>
      </c>
      <c r="C4787" s="181" t="s">
        <v>81</v>
      </c>
      <c r="D4787" s="173">
        <v>0.02</v>
      </c>
      <c r="E4787" s="170" t="s">
        <v>30</v>
      </c>
      <c r="F4787" s="170" t="s">
        <v>188</v>
      </c>
      <c r="G4787" s="175" t="s">
        <v>7448</v>
      </c>
      <c r="H4787" s="171"/>
    </row>
    <row r="4788" ht="14.25" spans="1:8">
      <c r="A4788" s="176">
        <v>175</v>
      </c>
      <c r="B4788" s="249" t="s">
        <v>7449</v>
      </c>
      <c r="C4788" s="181" t="s">
        <v>81</v>
      </c>
      <c r="D4788" s="173">
        <v>0.02</v>
      </c>
      <c r="E4788" s="170" t="s">
        <v>30</v>
      </c>
      <c r="F4788" s="170" t="s">
        <v>188</v>
      </c>
      <c r="G4788" s="175" t="s">
        <v>3839</v>
      </c>
      <c r="H4788" s="171"/>
    </row>
    <row r="4789" ht="14.25" spans="1:8">
      <c r="A4789" s="176">
        <v>176</v>
      </c>
      <c r="B4789" s="249" t="s">
        <v>2251</v>
      </c>
      <c r="C4789" s="181" t="s">
        <v>81</v>
      </c>
      <c r="D4789" s="173">
        <v>0.01</v>
      </c>
      <c r="E4789" s="170" t="s">
        <v>30</v>
      </c>
      <c r="F4789" s="170" t="s">
        <v>188</v>
      </c>
      <c r="G4789" s="175" t="s">
        <v>7450</v>
      </c>
      <c r="H4789" s="171"/>
    </row>
    <row r="4790" ht="14.25" spans="1:8">
      <c r="A4790" s="176">
        <v>177</v>
      </c>
      <c r="B4790" s="249" t="s">
        <v>7451</v>
      </c>
      <c r="C4790" s="181" t="s">
        <v>81</v>
      </c>
      <c r="D4790" s="173">
        <v>0.02</v>
      </c>
      <c r="E4790" s="170" t="s">
        <v>30</v>
      </c>
      <c r="F4790" s="170" t="s">
        <v>188</v>
      </c>
      <c r="G4790" s="175" t="s">
        <v>7452</v>
      </c>
      <c r="H4790" s="171"/>
    </row>
    <row r="4791" ht="14.25" spans="1:8">
      <c r="A4791" s="176">
        <v>178</v>
      </c>
      <c r="B4791" s="249" t="s">
        <v>7453</v>
      </c>
      <c r="C4791" s="181" t="s">
        <v>81</v>
      </c>
      <c r="D4791" s="173">
        <v>0.02</v>
      </c>
      <c r="E4791" s="170" t="s">
        <v>30</v>
      </c>
      <c r="F4791" s="170" t="s">
        <v>188</v>
      </c>
      <c r="G4791" s="175" t="s">
        <v>896</v>
      </c>
      <c r="H4791" s="171"/>
    </row>
    <row r="4792" ht="14.25" spans="1:8">
      <c r="A4792" s="176">
        <v>179</v>
      </c>
      <c r="B4792" s="249" t="s">
        <v>4361</v>
      </c>
      <c r="C4792" s="181" t="s">
        <v>81</v>
      </c>
      <c r="D4792" s="173">
        <v>0.01</v>
      </c>
      <c r="E4792" s="170" t="s">
        <v>30</v>
      </c>
      <c r="F4792" s="170" t="s">
        <v>188</v>
      </c>
      <c r="G4792" s="175" t="s">
        <v>7454</v>
      </c>
      <c r="H4792" s="171"/>
    </row>
    <row r="4793" ht="14.25" spans="1:8">
      <c r="A4793" s="176">
        <v>180</v>
      </c>
      <c r="B4793" s="249" t="s">
        <v>7455</v>
      </c>
      <c r="C4793" s="181" t="s">
        <v>81</v>
      </c>
      <c r="D4793" s="173">
        <v>0.02</v>
      </c>
      <c r="E4793" s="170" t="s">
        <v>30</v>
      </c>
      <c r="F4793" s="170" t="s">
        <v>188</v>
      </c>
      <c r="G4793" s="175" t="s">
        <v>7456</v>
      </c>
      <c r="H4793" s="171"/>
    </row>
    <row r="4794" ht="14.25" spans="1:8">
      <c r="A4794" s="176">
        <v>181</v>
      </c>
      <c r="B4794" s="249" t="s">
        <v>7457</v>
      </c>
      <c r="C4794" s="181" t="s">
        <v>81</v>
      </c>
      <c r="D4794" s="173">
        <v>0.03</v>
      </c>
      <c r="E4794" s="170" t="s">
        <v>30</v>
      </c>
      <c r="F4794" s="170" t="s">
        <v>188</v>
      </c>
      <c r="G4794" s="175" t="s">
        <v>7458</v>
      </c>
      <c r="H4794" s="171"/>
    </row>
    <row r="4795" ht="14.25" spans="1:8">
      <c r="A4795" s="176">
        <v>182</v>
      </c>
      <c r="B4795" s="249" t="s">
        <v>2485</v>
      </c>
      <c r="C4795" s="181" t="s">
        <v>81</v>
      </c>
      <c r="D4795" s="173">
        <v>0.02</v>
      </c>
      <c r="E4795" s="170" t="s">
        <v>30</v>
      </c>
      <c r="F4795" s="170" t="s">
        <v>188</v>
      </c>
      <c r="G4795" s="175" t="s">
        <v>7304</v>
      </c>
      <c r="H4795" s="171"/>
    </row>
    <row r="4796" ht="14.25" spans="1:8">
      <c r="A4796" s="176">
        <v>183</v>
      </c>
      <c r="B4796" s="249" t="s">
        <v>7459</v>
      </c>
      <c r="C4796" s="181" t="s">
        <v>81</v>
      </c>
      <c r="D4796" s="173">
        <v>0.02</v>
      </c>
      <c r="E4796" s="170" t="s">
        <v>30</v>
      </c>
      <c r="F4796" s="170" t="s">
        <v>188</v>
      </c>
      <c r="G4796" s="175" t="s">
        <v>2794</v>
      </c>
      <c r="H4796" s="171"/>
    </row>
    <row r="4797" ht="14.25" spans="1:8">
      <c r="A4797" s="176">
        <v>184</v>
      </c>
      <c r="B4797" s="249" t="s">
        <v>7175</v>
      </c>
      <c r="C4797" s="181" t="s">
        <v>81</v>
      </c>
      <c r="D4797" s="173">
        <v>0.01</v>
      </c>
      <c r="E4797" s="170" t="s">
        <v>30</v>
      </c>
      <c r="F4797" s="170" t="s">
        <v>188</v>
      </c>
      <c r="G4797" s="175" t="s">
        <v>7176</v>
      </c>
      <c r="H4797" s="171"/>
    </row>
    <row r="4798" ht="14.25" spans="1:8">
      <c r="A4798" s="176">
        <v>185</v>
      </c>
      <c r="B4798" s="249" t="s">
        <v>7460</v>
      </c>
      <c r="C4798" s="181" t="s">
        <v>81</v>
      </c>
      <c r="D4798" s="173">
        <v>0.03</v>
      </c>
      <c r="E4798" s="170" t="s">
        <v>30</v>
      </c>
      <c r="F4798" s="170" t="s">
        <v>188</v>
      </c>
      <c r="G4798" s="175" t="s">
        <v>7461</v>
      </c>
      <c r="H4798" s="171"/>
    </row>
    <row r="4799" ht="14.25" spans="1:8">
      <c r="A4799" s="176">
        <v>186</v>
      </c>
      <c r="B4799" s="249" t="s">
        <v>7462</v>
      </c>
      <c r="C4799" s="181" t="s">
        <v>81</v>
      </c>
      <c r="D4799" s="173">
        <v>0.02</v>
      </c>
      <c r="E4799" s="170" t="s">
        <v>30</v>
      </c>
      <c r="F4799" s="170" t="s">
        <v>188</v>
      </c>
      <c r="G4799" s="175" t="s">
        <v>7463</v>
      </c>
      <c r="H4799" s="171"/>
    </row>
    <row r="4800" ht="14.25" spans="1:8">
      <c r="A4800" s="176">
        <v>187</v>
      </c>
      <c r="B4800" s="249" t="s">
        <v>7464</v>
      </c>
      <c r="C4800" s="181" t="s">
        <v>81</v>
      </c>
      <c r="D4800" s="173">
        <v>0.04</v>
      </c>
      <c r="E4800" s="170" t="s">
        <v>30</v>
      </c>
      <c r="F4800" s="170" t="s">
        <v>188</v>
      </c>
      <c r="G4800" s="175" t="s">
        <v>7465</v>
      </c>
      <c r="H4800" s="171"/>
    </row>
    <row r="4801" ht="14.25" spans="1:8">
      <c r="A4801" s="176">
        <v>188</v>
      </c>
      <c r="B4801" s="249" t="s">
        <v>7466</v>
      </c>
      <c r="C4801" s="181" t="s">
        <v>81</v>
      </c>
      <c r="D4801" s="173">
        <v>0.03</v>
      </c>
      <c r="E4801" s="170" t="s">
        <v>30</v>
      </c>
      <c r="F4801" s="170" t="s">
        <v>188</v>
      </c>
      <c r="G4801" s="175" t="s">
        <v>7467</v>
      </c>
      <c r="H4801" s="171"/>
    </row>
    <row r="4802" ht="14.25" spans="1:8">
      <c r="A4802" s="176">
        <v>189</v>
      </c>
      <c r="B4802" s="249" t="s">
        <v>7468</v>
      </c>
      <c r="C4802" s="181" t="s">
        <v>81</v>
      </c>
      <c r="D4802" s="173">
        <v>0.25</v>
      </c>
      <c r="E4802" s="170" t="s">
        <v>30</v>
      </c>
      <c r="F4802" s="170" t="s">
        <v>204</v>
      </c>
      <c r="G4802" s="175" t="s">
        <v>7469</v>
      </c>
      <c r="H4802" s="171"/>
    </row>
    <row r="4803" ht="14.25" spans="1:8">
      <c r="A4803" s="176">
        <v>190</v>
      </c>
      <c r="B4803" s="249" t="s">
        <v>7468</v>
      </c>
      <c r="C4803" s="181" t="s">
        <v>81</v>
      </c>
      <c r="D4803" s="173">
        <v>0.5</v>
      </c>
      <c r="E4803" s="170" t="s">
        <v>30</v>
      </c>
      <c r="F4803" s="170" t="s">
        <v>204</v>
      </c>
      <c r="G4803" s="175" t="s">
        <v>7470</v>
      </c>
      <c r="H4803" s="171"/>
    </row>
    <row r="4804" ht="14.25" spans="1:8">
      <c r="A4804" s="176">
        <v>191</v>
      </c>
      <c r="B4804" s="249" t="s">
        <v>7471</v>
      </c>
      <c r="C4804" s="181" t="s">
        <v>81</v>
      </c>
      <c r="D4804" s="173">
        <v>0.01</v>
      </c>
      <c r="E4804" s="170" t="s">
        <v>30</v>
      </c>
      <c r="F4804" s="170" t="s">
        <v>188</v>
      </c>
      <c r="G4804" s="175" t="s">
        <v>1690</v>
      </c>
      <c r="H4804" s="171"/>
    </row>
    <row r="4805" ht="14.25" spans="1:8">
      <c r="A4805" s="176">
        <v>192</v>
      </c>
      <c r="B4805" s="249" t="s">
        <v>7472</v>
      </c>
      <c r="C4805" s="181" t="s">
        <v>81</v>
      </c>
      <c r="D4805" s="173">
        <v>0.1</v>
      </c>
      <c r="E4805" s="170" t="s">
        <v>30</v>
      </c>
      <c r="F4805" s="170" t="s">
        <v>188</v>
      </c>
      <c r="G4805" s="175" t="s">
        <v>7473</v>
      </c>
      <c r="H4805" s="171"/>
    </row>
    <row r="4806" ht="14.25" spans="1:8">
      <c r="A4806" s="176">
        <v>193</v>
      </c>
      <c r="B4806" s="266" t="s">
        <v>7474</v>
      </c>
      <c r="C4806" s="181" t="s">
        <v>81</v>
      </c>
      <c r="D4806" s="173">
        <v>0.04</v>
      </c>
      <c r="E4806" s="267" t="s">
        <v>30</v>
      </c>
      <c r="F4806" s="267" t="s">
        <v>188</v>
      </c>
      <c r="G4806" s="268" t="s">
        <v>7475</v>
      </c>
      <c r="H4806" s="171"/>
    </row>
    <row r="4807" ht="14.25" spans="1:8">
      <c r="A4807" s="176">
        <v>194</v>
      </c>
      <c r="B4807" s="266" t="s">
        <v>7181</v>
      </c>
      <c r="C4807" s="181" t="s">
        <v>81</v>
      </c>
      <c r="D4807" s="173">
        <v>0.03</v>
      </c>
      <c r="E4807" s="267" t="s">
        <v>30</v>
      </c>
      <c r="F4807" s="267" t="s">
        <v>188</v>
      </c>
      <c r="G4807" s="268" t="s">
        <v>7476</v>
      </c>
      <c r="H4807" s="171"/>
    </row>
    <row r="4808" ht="14.25" spans="1:8">
      <c r="A4808" s="176">
        <v>195</v>
      </c>
      <c r="B4808" s="266" t="s">
        <v>783</v>
      </c>
      <c r="C4808" s="181" t="s">
        <v>81</v>
      </c>
      <c r="D4808" s="173">
        <v>0.04</v>
      </c>
      <c r="E4808" s="267" t="s">
        <v>30</v>
      </c>
      <c r="F4808" s="267" t="s">
        <v>188</v>
      </c>
      <c r="G4808" s="268" t="s">
        <v>7477</v>
      </c>
      <c r="H4808" s="171"/>
    </row>
    <row r="4809" ht="14.25" spans="1:8">
      <c r="A4809" s="176">
        <v>196</v>
      </c>
      <c r="B4809" s="266" t="s">
        <v>7478</v>
      </c>
      <c r="C4809" s="181" t="s">
        <v>81</v>
      </c>
      <c r="D4809" s="173">
        <v>0.04</v>
      </c>
      <c r="E4809" s="267" t="s">
        <v>30</v>
      </c>
      <c r="F4809" s="267" t="s">
        <v>188</v>
      </c>
      <c r="G4809" s="268" t="s">
        <v>1495</v>
      </c>
      <c r="H4809" s="171"/>
    </row>
    <row r="4810" ht="14.25" spans="1:8">
      <c r="A4810" s="176">
        <v>197</v>
      </c>
      <c r="B4810" s="266" t="s">
        <v>7479</v>
      </c>
      <c r="C4810" s="181" t="s">
        <v>81</v>
      </c>
      <c r="D4810" s="173">
        <v>0.01</v>
      </c>
      <c r="E4810" s="267" t="s">
        <v>30</v>
      </c>
      <c r="F4810" s="267" t="s">
        <v>188</v>
      </c>
      <c r="G4810" s="268" t="s">
        <v>7480</v>
      </c>
      <c r="H4810" s="171"/>
    </row>
    <row r="4811" ht="14.25" spans="1:8">
      <c r="A4811" s="176">
        <v>198</v>
      </c>
      <c r="B4811" s="266" t="s">
        <v>7481</v>
      </c>
      <c r="C4811" s="181" t="s">
        <v>81</v>
      </c>
      <c r="D4811" s="173">
        <v>0.01</v>
      </c>
      <c r="E4811" s="267" t="s">
        <v>30</v>
      </c>
      <c r="F4811" s="267" t="s">
        <v>188</v>
      </c>
      <c r="G4811" s="268" t="s">
        <v>7482</v>
      </c>
      <c r="H4811" s="171"/>
    </row>
    <row r="4812" ht="14.25" spans="1:8">
      <c r="A4812" s="176">
        <v>199</v>
      </c>
      <c r="B4812" s="266" t="s">
        <v>7466</v>
      </c>
      <c r="C4812" s="181" t="s">
        <v>81</v>
      </c>
      <c r="D4812" s="173">
        <v>0.04</v>
      </c>
      <c r="E4812" s="267" t="s">
        <v>30</v>
      </c>
      <c r="F4812" s="267" t="s">
        <v>188</v>
      </c>
      <c r="G4812" s="268" t="s">
        <v>7483</v>
      </c>
      <c r="H4812" s="171"/>
    </row>
    <row r="4813" ht="14.25" spans="1:8">
      <c r="A4813" s="176">
        <v>200</v>
      </c>
      <c r="B4813" s="266" t="s">
        <v>7484</v>
      </c>
      <c r="C4813" s="181" t="s">
        <v>81</v>
      </c>
      <c r="D4813" s="173">
        <v>0.02</v>
      </c>
      <c r="E4813" s="267" t="s">
        <v>30</v>
      </c>
      <c r="F4813" s="267" t="s">
        <v>188</v>
      </c>
      <c r="G4813" s="268" t="s">
        <v>7485</v>
      </c>
      <c r="H4813" s="171"/>
    </row>
    <row r="4814" ht="14.25" spans="1:8">
      <c r="A4814" s="176">
        <v>201</v>
      </c>
      <c r="B4814" s="266" t="s">
        <v>7484</v>
      </c>
      <c r="C4814" s="181" t="s">
        <v>81</v>
      </c>
      <c r="D4814" s="173">
        <v>0.02</v>
      </c>
      <c r="E4814" s="267" t="s">
        <v>30</v>
      </c>
      <c r="F4814" s="267" t="s">
        <v>188</v>
      </c>
      <c r="G4814" s="268" t="s">
        <v>7486</v>
      </c>
      <c r="H4814" s="171"/>
    </row>
    <row r="4815" ht="14.25" spans="1:8">
      <c r="A4815" s="176">
        <v>202</v>
      </c>
      <c r="B4815" s="266" t="s">
        <v>7484</v>
      </c>
      <c r="C4815" s="181" t="s">
        <v>81</v>
      </c>
      <c r="D4815" s="173">
        <v>0.02</v>
      </c>
      <c r="E4815" s="267" t="s">
        <v>30</v>
      </c>
      <c r="F4815" s="267" t="s">
        <v>188</v>
      </c>
      <c r="G4815" s="268" t="s">
        <v>7487</v>
      </c>
      <c r="H4815" s="171"/>
    </row>
    <row r="4816" ht="14.25" spans="1:8">
      <c r="A4816" s="176">
        <v>203</v>
      </c>
      <c r="B4816" s="266" t="s">
        <v>7488</v>
      </c>
      <c r="C4816" s="181" t="s">
        <v>81</v>
      </c>
      <c r="D4816" s="173">
        <v>0.02</v>
      </c>
      <c r="E4816" s="267" t="s">
        <v>30</v>
      </c>
      <c r="F4816" s="267" t="s">
        <v>188</v>
      </c>
      <c r="G4816" s="268" t="s">
        <v>7489</v>
      </c>
      <c r="H4816" s="171"/>
    </row>
    <row r="4817" ht="14.25" spans="1:8">
      <c r="A4817" s="176">
        <v>204</v>
      </c>
      <c r="B4817" s="266" t="s">
        <v>2965</v>
      </c>
      <c r="C4817" s="181" t="s">
        <v>81</v>
      </c>
      <c r="D4817" s="173">
        <v>0.04</v>
      </c>
      <c r="E4817" s="267" t="s">
        <v>30</v>
      </c>
      <c r="F4817" s="267" t="s">
        <v>188</v>
      </c>
      <c r="G4817" s="268" t="s">
        <v>7490</v>
      </c>
      <c r="H4817" s="171"/>
    </row>
    <row r="4818" ht="14.25" spans="1:8">
      <c r="A4818" s="176">
        <v>205</v>
      </c>
      <c r="B4818" s="266" t="s">
        <v>7393</v>
      </c>
      <c r="C4818" s="181" t="s">
        <v>81</v>
      </c>
      <c r="D4818" s="173">
        <v>0.04</v>
      </c>
      <c r="E4818" s="267" t="s">
        <v>30</v>
      </c>
      <c r="F4818" s="267" t="s">
        <v>188</v>
      </c>
      <c r="G4818" s="268" t="s">
        <v>7491</v>
      </c>
      <c r="H4818" s="171"/>
    </row>
    <row r="4819" ht="14.25" spans="1:8">
      <c r="A4819" s="176">
        <v>206</v>
      </c>
      <c r="B4819" s="266" t="s">
        <v>7492</v>
      </c>
      <c r="C4819" s="181" t="s">
        <v>81</v>
      </c>
      <c r="D4819" s="173">
        <v>0.04</v>
      </c>
      <c r="E4819" s="267" t="s">
        <v>30</v>
      </c>
      <c r="F4819" s="267" t="s">
        <v>188</v>
      </c>
      <c r="G4819" s="268" t="s">
        <v>7493</v>
      </c>
      <c r="H4819" s="171"/>
    </row>
    <row r="4820" ht="14.25" spans="1:8">
      <c r="A4820" s="176">
        <v>207</v>
      </c>
      <c r="B4820" s="266" t="s">
        <v>7492</v>
      </c>
      <c r="C4820" s="181" t="s">
        <v>81</v>
      </c>
      <c r="D4820" s="173">
        <v>0.04</v>
      </c>
      <c r="E4820" s="267" t="s">
        <v>30</v>
      </c>
      <c r="F4820" s="267" t="s">
        <v>188</v>
      </c>
      <c r="G4820" s="268" t="s">
        <v>7494</v>
      </c>
      <c r="H4820" s="171"/>
    </row>
    <row r="4821" ht="14.25" spans="1:8">
      <c r="A4821" s="176">
        <v>208</v>
      </c>
      <c r="B4821" s="266" t="s">
        <v>4558</v>
      </c>
      <c r="C4821" s="181" t="s">
        <v>81</v>
      </c>
      <c r="D4821" s="173">
        <v>0.02</v>
      </c>
      <c r="E4821" s="267" t="s">
        <v>30</v>
      </c>
      <c r="F4821" s="267" t="s">
        <v>188</v>
      </c>
      <c r="G4821" s="268" t="s">
        <v>7495</v>
      </c>
      <c r="H4821" s="171"/>
    </row>
    <row r="4822" ht="14.25" spans="1:8">
      <c r="A4822" s="176">
        <v>209</v>
      </c>
      <c r="B4822" s="269" t="s">
        <v>7496</v>
      </c>
      <c r="C4822" s="181" t="s">
        <v>81</v>
      </c>
      <c r="D4822" s="173">
        <v>0.04</v>
      </c>
      <c r="E4822" s="267" t="s">
        <v>30</v>
      </c>
      <c r="F4822" s="267" t="s">
        <v>188</v>
      </c>
      <c r="G4822" s="268" t="s">
        <v>7497</v>
      </c>
      <c r="H4822" s="171"/>
    </row>
    <row r="4823" ht="14.25" spans="1:8">
      <c r="A4823" s="176">
        <v>210</v>
      </c>
      <c r="B4823" s="269" t="s">
        <v>7498</v>
      </c>
      <c r="C4823" s="181" t="s">
        <v>81</v>
      </c>
      <c r="D4823" s="173">
        <v>0.03</v>
      </c>
      <c r="E4823" s="267" t="s">
        <v>30</v>
      </c>
      <c r="F4823" s="267" t="s">
        <v>188</v>
      </c>
      <c r="G4823" s="268" t="s">
        <v>7499</v>
      </c>
      <c r="H4823" s="171"/>
    </row>
    <row r="4824" ht="14.25" spans="1:8">
      <c r="A4824" s="176">
        <v>211</v>
      </c>
      <c r="B4824" s="269" t="s">
        <v>7281</v>
      </c>
      <c r="C4824" s="181" t="s">
        <v>81</v>
      </c>
      <c r="D4824" s="173">
        <v>0.02</v>
      </c>
      <c r="E4824" s="267" t="s">
        <v>30</v>
      </c>
      <c r="F4824" s="267" t="s">
        <v>188</v>
      </c>
      <c r="G4824" s="268" t="s">
        <v>7500</v>
      </c>
      <c r="H4824" s="171"/>
    </row>
    <row r="4825" ht="14.25" spans="1:8">
      <c r="A4825" s="176">
        <v>212</v>
      </c>
      <c r="B4825" s="269" t="s">
        <v>2965</v>
      </c>
      <c r="C4825" s="181" t="s">
        <v>81</v>
      </c>
      <c r="D4825" s="173">
        <v>0.01</v>
      </c>
      <c r="E4825" s="267" t="s">
        <v>30</v>
      </c>
      <c r="F4825" s="267" t="s">
        <v>188</v>
      </c>
      <c r="G4825" s="268" t="s">
        <v>7501</v>
      </c>
      <c r="H4825" s="171"/>
    </row>
    <row r="4826" ht="14.25" spans="1:8">
      <c r="A4826" s="176">
        <v>213</v>
      </c>
      <c r="B4826" s="269" t="s">
        <v>751</v>
      </c>
      <c r="C4826" s="181" t="s">
        <v>81</v>
      </c>
      <c r="D4826" s="173">
        <v>0.02</v>
      </c>
      <c r="E4826" s="267" t="s">
        <v>30</v>
      </c>
      <c r="F4826" s="267" t="s">
        <v>188</v>
      </c>
      <c r="G4826" s="268" t="s">
        <v>7502</v>
      </c>
      <c r="H4826" s="171"/>
    </row>
    <row r="4827" ht="14.25" spans="1:8">
      <c r="A4827" s="176">
        <v>214</v>
      </c>
      <c r="B4827" s="269" t="s">
        <v>7503</v>
      </c>
      <c r="C4827" s="181" t="s">
        <v>81</v>
      </c>
      <c r="D4827" s="173">
        <v>0.04</v>
      </c>
      <c r="E4827" s="267" t="s">
        <v>30</v>
      </c>
      <c r="F4827" s="267" t="s">
        <v>188</v>
      </c>
      <c r="G4827" s="268" t="s">
        <v>7504</v>
      </c>
      <c r="H4827" s="171"/>
    </row>
    <row r="4828" ht="14.25" spans="1:8">
      <c r="A4828" s="176">
        <v>215</v>
      </c>
      <c r="B4828" s="269" t="s">
        <v>7505</v>
      </c>
      <c r="C4828" s="181" t="s">
        <v>81</v>
      </c>
      <c r="D4828" s="173">
        <v>0.02</v>
      </c>
      <c r="E4828" s="267" t="s">
        <v>30</v>
      </c>
      <c r="F4828" s="267" t="s">
        <v>188</v>
      </c>
      <c r="G4828" s="268" t="s">
        <v>7506</v>
      </c>
      <c r="H4828" s="171"/>
    </row>
    <row r="4829" ht="14.25" spans="1:8">
      <c r="A4829" s="176">
        <v>216</v>
      </c>
      <c r="B4829" s="269" t="s">
        <v>7507</v>
      </c>
      <c r="C4829" s="181" t="s">
        <v>81</v>
      </c>
      <c r="D4829" s="173">
        <v>0.02</v>
      </c>
      <c r="E4829" s="267" t="s">
        <v>30</v>
      </c>
      <c r="F4829" s="267" t="s">
        <v>188</v>
      </c>
      <c r="G4829" s="268" t="s">
        <v>7508</v>
      </c>
      <c r="H4829" s="171"/>
    </row>
    <row r="4830" ht="14.25" spans="1:8">
      <c r="A4830" s="176">
        <v>217</v>
      </c>
      <c r="B4830" s="269" t="s">
        <v>7509</v>
      </c>
      <c r="C4830" s="181" t="s">
        <v>81</v>
      </c>
      <c r="D4830" s="173">
        <v>0.01</v>
      </c>
      <c r="E4830" s="267" t="s">
        <v>30</v>
      </c>
      <c r="F4830" s="267" t="s">
        <v>188</v>
      </c>
      <c r="G4830" s="268" t="s">
        <v>7510</v>
      </c>
      <c r="H4830" s="171"/>
    </row>
    <row r="4831" ht="14.25" spans="1:8">
      <c r="A4831" s="176">
        <v>218</v>
      </c>
      <c r="B4831" s="269" t="s">
        <v>2321</v>
      </c>
      <c r="C4831" s="181" t="s">
        <v>81</v>
      </c>
      <c r="D4831" s="173">
        <v>0.02</v>
      </c>
      <c r="E4831" s="267" t="s">
        <v>30</v>
      </c>
      <c r="F4831" s="267" t="s">
        <v>188</v>
      </c>
      <c r="G4831" s="268" t="s">
        <v>7511</v>
      </c>
      <c r="H4831" s="171"/>
    </row>
    <row r="4832" ht="14.25" spans="1:8">
      <c r="A4832" s="176">
        <v>219</v>
      </c>
      <c r="B4832" s="269" t="s">
        <v>7512</v>
      </c>
      <c r="C4832" s="181" t="s">
        <v>81</v>
      </c>
      <c r="D4832" s="173">
        <v>0.01</v>
      </c>
      <c r="E4832" s="267" t="s">
        <v>30</v>
      </c>
      <c r="F4832" s="267" t="s">
        <v>188</v>
      </c>
      <c r="G4832" s="268" t="s">
        <v>7513</v>
      </c>
      <c r="H4832" s="171"/>
    </row>
    <row r="4833" ht="14.25" spans="1:8">
      <c r="A4833" s="176">
        <v>220</v>
      </c>
      <c r="B4833" s="269" t="s">
        <v>7514</v>
      </c>
      <c r="C4833" s="181" t="s">
        <v>81</v>
      </c>
      <c r="D4833" s="173">
        <v>0.02</v>
      </c>
      <c r="E4833" s="267" t="s">
        <v>30</v>
      </c>
      <c r="F4833" s="267" t="s">
        <v>188</v>
      </c>
      <c r="G4833" s="268" t="s">
        <v>7515</v>
      </c>
      <c r="H4833" s="171"/>
    </row>
    <row r="4834" ht="14.25" spans="1:8">
      <c r="A4834" s="176">
        <v>221</v>
      </c>
      <c r="B4834" s="269" t="s">
        <v>7516</v>
      </c>
      <c r="C4834" s="181" t="s">
        <v>81</v>
      </c>
      <c r="D4834" s="173">
        <v>0.02</v>
      </c>
      <c r="E4834" s="267" t="s">
        <v>30</v>
      </c>
      <c r="F4834" s="267" t="s">
        <v>188</v>
      </c>
      <c r="G4834" s="268" t="s">
        <v>7517</v>
      </c>
      <c r="H4834" s="171"/>
    </row>
    <row r="4835" ht="14.25" spans="1:8">
      <c r="A4835" s="176">
        <v>222</v>
      </c>
      <c r="B4835" s="269" t="s">
        <v>7518</v>
      </c>
      <c r="C4835" s="181" t="s">
        <v>81</v>
      </c>
      <c r="D4835" s="173">
        <v>0.02</v>
      </c>
      <c r="E4835" s="267" t="s">
        <v>30</v>
      </c>
      <c r="F4835" s="267" t="s">
        <v>188</v>
      </c>
      <c r="G4835" s="268" t="s">
        <v>7519</v>
      </c>
      <c r="H4835" s="171"/>
    </row>
    <row r="4836" ht="14.25" spans="1:8">
      <c r="A4836" s="176">
        <v>223</v>
      </c>
      <c r="B4836" s="269" t="s">
        <v>7437</v>
      </c>
      <c r="C4836" s="181" t="s">
        <v>81</v>
      </c>
      <c r="D4836" s="173">
        <v>0.02</v>
      </c>
      <c r="E4836" s="267" t="s">
        <v>30</v>
      </c>
      <c r="F4836" s="267" t="s">
        <v>188</v>
      </c>
      <c r="G4836" s="268" t="s">
        <v>7520</v>
      </c>
      <c r="H4836" s="171"/>
    </row>
    <row r="4837" ht="14.25" spans="1:8">
      <c r="A4837" s="176">
        <v>224</v>
      </c>
      <c r="B4837" s="269" t="s">
        <v>7521</v>
      </c>
      <c r="C4837" s="181" t="s">
        <v>81</v>
      </c>
      <c r="D4837" s="173">
        <v>0.01</v>
      </c>
      <c r="E4837" s="267" t="s">
        <v>30</v>
      </c>
      <c r="F4837" s="267" t="s">
        <v>188</v>
      </c>
      <c r="G4837" s="268" t="s">
        <v>7522</v>
      </c>
      <c r="H4837" s="171"/>
    </row>
    <row r="4838" ht="14.25" spans="1:8">
      <c r="A4838" s="176">
        <v>225</v>
      </c>
      <c r="B4838" s="269" t="s">
        <v>7478</v>
      </c>
      <c r="C4838" s="181" t="s">
        <v>81</v>
      </c>
      <c r="D4838" s="173">
        <v>0.04</v>
      </c>
      <c r="E4838" s="267" t="s">
        <v>30</v>
      </c>
      <c r="F4838" s="267" t="s">
        <v>188</v>
      </c>
      <c r="G4838" s="268" t="s">
        <v>462</v>
      </c>
      <c r="H4838" s="171"/>
    </row>
    <row r="4839" ht="14.25" spans="1:8">
      <c r="A4839" s="176">
        <v>226</v>
      </c>
      <c r="B4839" s="269" t="s">
        <v>7523</v>
      </c>
      <c r="C4839" s="181" t="s">
        <v>81</v>
      </c>
      <c r="D4839" s="173">
        <v>0.04</v>
      </c>
      <c r="E4839" s="267" t="s">
        <v>30</v>
      </c>
      <c r="F4839" s="267" t="s">
        <v>188</v>
      </c>
      <c r="G4839" s="268" t="s">
        <v>7524</v>
      </c>
      <c r="H4839" s="171"/>
    </row>
    <row r="4840" ht="14.25" spans="1:8">
      <c r="A4840" s="176">
        <v>227</v>
      </c>
      <c r="B4840" s="269" t="s">
        <v>7521</v>
      </c>
      <c r="C4840" s="181" t="s">
        <v>81</v>
      </c>
      <c r="D4840" s="173">
        <v>0.04</v>
      </c>
      <c r="E4840" s="267" t="s">
        <v>30</v>
      </c>
      <c r="F4840" s="267" t="s">
        <v>188</v>
      </c>
      <c r="G4840" s="268" t="s">
        <v>7525</v>
      </c>
      <c r="H4840" s="171"/>
    </row>
    <row r="4841" ht="14.25" spans="1:8">
      <c r="A4841" s="176">
        <v>228</v>
      </c>
      <c r="B4841" s="269" t="s">
        <v>7521</v>
      </c>
      <c r="C4841" s="181" t="s">
        <v>81</v>
      </c>
      <c r="D4841" s="173">
        <v>0.04</v>
      </c>
      <c r="E4841" s="267" t="s">
        <v>30</v>
      </c>
      <c r="F4841" s="267" t="s">
        <v>188</v>
      </c>
      <c r="G4841" s="268" t="s">
        <v>7526</v>
      </c>
      <c r="H4841" s="171"/>
    </row>
    <row r="4842" ht="14.25" spans="1:8">
      <c r="A4842" s="176">
        <v>229</v>
      </c>
      <c r="B4842" s="269" t="s">
        <v>7527</v>
      </c>
      <c r="C4842" s="181" t="s">
        <v>81</v>
      </c>
      <c r="D4842" s="173">
        <v>0.04</v>
      </c>
      <c r="E4842" s="267" t="s">
        <v>30</v>
      </c>
      <c r="F4842" s="267" t="s">
        <v>188</v>
      </c>
      <c r="G4842" s="268" t="s">
        <v>7528</v>
      </c>
      <c r="H4842" s="171"/>
    </row>
    <row r="4843" ht="14.25" spans="1:8">
      <c r="A4843" s="176">
        <v>230</v>
      </c>
      <c r="B4843" s="269" t="s">
        <v>7352</v>
      </c>
      <c r="C4843" s="181" t="s">
        <v>81</v>
      </c>
      <c r="D4843" s="173">
        <v>0.04</v>
      </c>
      <c r="E4843" s="267" t="s">
        <v>30</v>
      </c>
      <c r="F4843" s="267" t="s">
        <v>188</v>
      </c>
      <c r="G4843" s="268" t="s">
        <v>7353</v>
      </c>
      <c r="H4843" s="171"/>
    </row>
    <row r="4844" ht="14.25" spans="1:8">
      <c r="A4844" s="176">
        <v>231</v>
      </c>
      <c r="B4844" s="175" t="s">
        <v>7529</v>
      </c>
      <c r="C4844" s="181" t="s">
        <v>81</v>
      </c>
      <c r="D4844" s="173">
        <v>0.04</v>
      </c>
      <c r="E4844" s="170" t="s">
        <v>30</v>
      </c>
      <c r="F4844" s="170" t="s">
        <v>188</v>
      </c>
      <c r="G4844" s="175" t="s">
        <v>7530</v>
      </c>
      <c r="H4844" s="171"/>
    </row>
    <row r="4845" ht="25.5" spans="1:8">
      <c r="A4845" s="176">
        <v>232</v>
      </c>
      <c r="B4845" s="181" t="s">
        <v>7468</v>
      </c>
      <c r="C4845" s="181" t="s">
        <v>81</v>
      </c>
      <c r="D4845" s="173">
        <v>0.25</v>
      </c>
      <c r="E4845" s="204" t="s">
        <v>30</v>
      </c>
      <c r="F4845" s="204" t="s">
        <v>188</v>
      </c>
      <c r="G4845" s="175" t="s">
        <v>7469</v>
      </c>
      <c r="H4845" s="171" t="s">
        <v>7531</v>
      </c>
    </row>
    <row r="4846" ht="25.5" spans="1:8">
      <c r="A4846" s="176">
        <v>233</v>
      </c>
      <c r="B4846" s="181" t="s">
        <v>7468</v>
      </c>
      <c r="C4846" s="181" t="s">
        <v>81</v>
      </c>
      <c r="D4846" s="173">
        <v>0.5</v>
      </c>
      <c r="E4846" s="204" t="s">
        <v>30</v>
      </c>
      <c r="F4846" s="204" t="s">
        <v>188</v>
      </c>
      <c r="G4846" s="175" t="s">
        <v>7470</v>
      </c>
      <c r="H4846" s="171" t="s">
        <v>7532</v>
      </c>
    </row>
    <row r="4847" ht="14.25" spans="1:8">
      <c r="A4847" s="176">
        <v>234</v>
      </c>
      <c r="B4847" s="175" t="s">
        <v>1379</v>
      </c>
      <c r="C4847" s="181" t="s">
        <v>81</v>
      </c>
      <c r="D4847" s="173">
        <v>0.04</v>
      </c>
      <c r="E4847" s="204" t="s">
        <v>30</v>
      </c>
      <c r="F4847" s="204" t="s">
        <v>188</v>
      </c>
      <c r="G4847" s="175" t="s">
        <v>7533</v>
      </c>
      <c r="H4847" s="171"/>
    </row>
    <row r="4848" ht="14.25" spans="1:8">
      <c r="A4848" s="176">
        <v>235</v>
      </c>
      <c r="B4848" s="181" t="s">
        <v>7534</v>
      </c>
      <c r="C4848" s="181" t="s">
        <v>81</v>
      </c>
      <c r="D4848" s="173">
        <v>0.02</v>
      </c>
      <c r="E4848" s="204" t="s">
        <v>30</v>
      </c>
      <c r="F4848" s="204" t="s">
        <v>188</v>
      </c>
      <c r="G4848" s="175" t="s">
        <v>7535</v>
      </c>
      <c r="H4848" s="171"/>
    </row>
    <row r="4849" ht="14.25" spans="1:8">
      <c r="A4849" s="176">
        <v>236</v>
      </c>
      <c r="B4849" s="181" t="s">
        <v>7503</v>
      </c>
      <c r="C4849" s="181" t="s">
        <v>81</v>
      </c>
      <c r="D4849" s="173">
        <v>0.05</v>
      </c>
      <c r="E4849" s="204" t="s">
        <v>30</v>
      </c>
      <c r="F4849" s="204" t="s">
        <v>188</v>
      </c>
      <c r="G4849" s="175" t="s">
        <v>3776</v>
      </c>
      <c r="H4849" s="171"/>
    </row>
    <row r="4850" ht="14.25" spans="1:8">
      <c r="A4850" s="176">
        <v>237</v>
      </c>
      <c r="B4850" s="181" t="s">
        <v>7536</v>
      </c>
      <c r="C4850" s="181" t="s">
        <v>81</v>
      </c>
      <c r="D4850" s="173">
        <v>0.01</v>
      </c>
      <c r="E4850" s="204" t="s">
        <v>30</v>
      </c>
      <c r="F4850" s="204" t="s">
        <v>188</v>
      </c>
      <c r="G4850" s="175" t="s">
        <v>7537</v>
      </c>
      <c r="H4850" s="171"/>
    </row>
    <row r="4851" ht="14.25" spans="1:8">
      <c r="A4851" s="176">
        <v>238</v>
      </c>
      <c r="B4851" s="181" t="s">
        <v>7538</v>
      </c>
      <c r="C4851" s="181" t="s">
        <v>81</v>
      </c>
      <c r="D4851" s="173">
        <v>0.02</v>
      </c>
      <c r="E4851" s="204" t="s">
        <v>30</v>
      </c>
      <c r="F4851" s="204" t="s">
        <v>188</v>
      </c>
      <c r="G4851" s="175" t="s">
        <v>7539</v>
      </c>
      <c r="H4851" s="171"/>
    </row>
    <row r="4852" ht="14.25" spans="1:8">
      <c r="A4852" s="176">
        <v>239</v>
      </c>
      <c r="B4852" s="181" t="s">
        <v>7332</v>
      </c>
      <c r="C4852" s="181" t="s">
        <v>81</v>
      </c>
      <c r="D4852" s="173">
        <v>0.04</v>
      </c>
      <c r="E4852" s="204" t="s">
        <v>30</v>
      </c>
      <c r="F4852" s="204" t="s">
        <v>188</v>
      </c>
      <c r="G4852" s="175" t="s">
        <v>7540</v>
      </c>
      <c r="H4852" s="171"/>
    </row>
    <row r="4853" ht="14.25" spans="1:8">
      <c r="A4853" s="176">
        <v>240</v>
      </c>
      <c r="B4853" s="181" t="s">
        <v>7541</v>
      </c>
      <c r="C4853" s="181" t="s">
        <v>81</v>
      </c>
      <c r="D4853" s="173">
        <v>0.03</v>
      </c>
      <c r="E4853" s="204" t="s">
        <v>30</v>
      </c>
      <c r="F4853" s="204" t="s">
        <v>188</v>
      </c>
      <c r="G4853" s="175" t="s">
        <v>7542</v>
      </c>
      <c r="H4853" s="171"/>
    </row>
    <row r="4854" ht="14.25" spans="1:8">
      <c r="A4854" s="176">
        <v>241</v>
      </c>
      <c r="B4854" s="181" t="s">
        <v>7543</v>
      </c>
      <c r="C4854" s="181" t="s">
        <v>81</v>
      </c>
      <c r="D4854" s="173">
        <v>0.02</v>
      </c>
      <c r="E4854" s="204" t="s">
        <v>30</v>
      </c>
      <c r="F4854" s="204" t="s">
        <v>188</v>
      </c>
      <c r="G4854" s="175" t="s">
        <v>7544</v>
      </c>
      <c r="H4854" s="171"/>
    </row>
    <row r="4855" ht="14.25" spans="1:8">
      <c r="A4855" s="176">
        <v>242</v>
      </c>
      <c r="B4855" s="181" t="s">
        <v>7545</v>
      </c>
      <c r="C4855" s="181" t="s">
        <v>81</v>
      </c>
      <c r="D4855" s="173">
        <v>0.02</v>
      </c>
      <c r="E4855" s="204" t="s">
        <v>30</v>
      </c>
      <c r="F4855" s="204" t="s">
        <v>188</v>
      </c>
      <c r="G4855" s="175" t="s">
        <v>7546</v>
      </c>
      <c r="H4855" s="171"/>
    </row>
    <row r="4856" ht="14.25" spans="1:8">
      <c r="A4856" s="176">
        <v>243</v>
      </c>
      <c r="B4856" s="181" t="s">
        <v>7547</v>
      </c>
      <c r="C4856" s="181" t="s">
        <v>81</v>
      </c>
      <c r="D4856" s="173">
        <v>0.02</v>
      </c>
      <c r="E4856" s="204" t="s">
        <v>30</v>
      </c>
      <c r="F4856" s="204" t="s">
        <v>188</v>
      </c>
      <c r="G4856" s="175" t="s">
        <v>7548</v>
      </c>
      <c r="H4856" s="171"/>
    </row>
    <row r="4857" ht="14.25" spans="1:8">
      <c r="A4857" s="176">
        <v>244</v>
      </c>
      <c r="B4857" s="181" t="s">
        <v>7547</v>
      </c>
      <c r="C4857" s="181" t="s">
        <v>81</v>
      </c>
      <c r="D4857" s="173">
        <v>0.02</v>
      </c>
      <c r="E4857" s="204" t="s">
        <v>30</v>
      </c>
      <c r="F4857" s="204" t="s">
        <v>188</v>
      </c>
      <c r="G4857" s="175" t="s">
        <v>7549</v>
      </c>
      <c r="H4857" s="171"/>
    </row>
    <row r="4858" ht="14.25" spans="1:8">
      <c r="A4858" s="176">
        <v>245</v>
      </c>
      <c r="B4858" s="181" t="s">
        <v>4981</v>
      </c>
      <c r="C4858" s="181" t="s">
        <v>81</v>
      </c>
      <c r="D4858" s="173">
        <v>0.01</v>
      </c>
      <c r="E4858" s="204" t="s">
        <v>30</v>
      </c>
      <c r="F4858" s="204" t="s">
        <v>188</v>
      </c>
      <c r="G4858" s="175" t="s">
        <v>7550</v>
      </c>
      <c r="H4858" s="171" t="s">
        <v>672</v>
      </c>
    </row>
    <row r="4859" ht="14.25" spans="1:8">
      <c r="A4859" s="176">
        <v>246</v>
      </c>
      <c r="B4859" s="181" t="s">
        <v>7551</v>
      </c>
      <c r="C4859" s="181" t="s">
        <v>81</v>
      </c>
      <c r="D4859" s="173">
        <v>0.03</v>
      </c>
      <c r="E4859" s="204" t="s">
        <v>30</v>
      </c>
      <c r="F4859" s="204" t="s">
        <v>188</v>
      </c>
      <c r="G4859" s="175" t="s">
        <v>2289</v>
      </c>
      <c r="H4859" s="171"/>
    </row>
    <row r="4860" ht="14.25" spans="1:8">
      <c r="A4860" s="176">
        <v>247</v>
      </c>
      <c r="B4860" s="181" t="s">
        <v>7551</v>
      </c>
      <c r="C4860" s="181" t="s">
        <v>81</v>
      </c>
      <c r="D4860" s="173">
        <v>0.03</v>
      </c>
      <c r="E4860" s="204" t="s">
        <v>30</v>
      </c>
      <c r="F4860" s="204" t="s">
        <v>188</v>
      </c>
      <c r="G4860" s="175" t="s">
        <v>7552</v>
      </c>
      <c r="H4860" s="171"/>
    </row>
    <row r="4861" ht="14.25" spans="1:8">
      <c r="A4861" s="176">
        <v>248</v>
      </c>
      <c r="B4861" s="181" t="s">
        <v>7551</v>
      </c>
      <c r="C4861" s="181" t="s">
        <v>81</v>
      </c>
      <c r="D4861" s="173">
        <v>0.03</v>
      </c>
      <c r="E4861" s="204" t="s">
        <v>30</v>
      </c>
      <c r="F4861" s="204" t="s">
        <v>188</v>
      </c>
      <c r="G4861" s="175" t="s">
        <v>7553</v>
      </c>
      <c r="H4861" s="171"/>
    </row>
    <row r="4862" ht="14.25" spans="1:8">
      <c r="A4862" s="176">
        <v>249</v>
      </c>
      <c r="B4862" s="181" t="s">
        <v>7554</v>
      </c>
      <c r="C4862" s="181" t="s">
        <v>81</v>
      </c>
      <c r="D4862" s="173">
        <v>0.02</v>
      </c>
      <c r="E4862" s="204" t="s">
        <v>30</v>
      </c>
      <c r="F4862" s="204" t="s">
        <v>188</v>
      </c>
      <c r="G4862" s="175" t="s">
        <v>7555</v>
      </c>
      <c r="H4862" s="171"/>
    </row>
    <row r="4863" ht="14.25" spans="1:8">
      <c r="A4863" s="176">
        <v>250</v>
      </c>
      <c r="B4863" s="181" t="s">
        <v>7556</v>
      </c>
      <c r="C4863" s="181" t="s">
        <v>81</v>
      </c>
      <c r="D4863" s="173">
        <v>0.03</v>
      </c>
      <c r="E4863" s="204" t="s">
        <v>30</v>
      </c>
      <c r="F4863" s="204" t="s">
        <v>188</v>
      </c>
      <c r="G4863" s="175" t="s">
        <v>1487</v>
      </c>
      <c r="H4863" s="171"/>
    </row>
    <row r="4864" ht="25.5" spans="1:8">
      <c r="A4864" s="176">
        <v>251</v>
      </c>
      <c r="B4864" s="181" t="s">
        <v>3144</v>
      </c>
      <c r="C4864" s="181" t="s">
        <v>81</v>
      </c>
      <c r="D4864" s="173">
        <v>0.03</v>
      </c>
      <c r="E4864" s="204" t="s">
        <v>30</v>
      </c>
      <c r="F4864" s="204" t="s">
        <v>188</v>
      </c>
      <c r="G4864" s="175" t="s">
        <v>3381</v>
      </c>
      <c r="H4864" s="171" t="s">
        <v>634</v>
      </c>
    </row>
    <row r="4865" ht="14.25" spans="1:8">
      <c r="A4865" s="176">
        <v>252</v>
      </c>
      <c r="B4865" s="181" t="s">
        <v>7557</v>
      </c>
      <c r="C4865" s="181" t="s">
        <v>81</v>
      </c>
      <c r="D4865" s="173">
        <v>0.01</v>
      </c>
      <c r="E4865" s="204" t="s">
        <v>30</v>
      </c>
      <c r="F4865" s="204" t="s">
        <v>188</v>
      </c>
      <c r="G4865" s="175" t="s">
        <v>7558</v>
      </c>
      <c r="H4865" s="171" t="s">
        <v>672</v>
      </c>
    </row>
    <row r="4866" ht="14.25" spans="1:8">
      <c r="A4866" s="176">
        <v>253</v>
      </c>
      <c r="B4866" s="181" t="s">
        <v>7559</v>
      </c>
      <c r="C4866" s="181" t="s">
        <v>81</v>
      </c>
      <c r="D4866" s="173">
        <v>0.02</v>
      </c>
      <c r="E4866" s="204" t="s">
        <v>30</v>
      </c>
      <c r="F4866" s="204" t="s">
        <v>188</v>
      </c>
      <c r="G4866" s="175" t="s">
        <v>7560</v>
      </c>
      <c r="H4866" s="171"/>
    </row>
    <row r="4867" ht="14.25" spans="1:8">
      <c r="A4867" s="176">
        <v>254</v>
      </c>
      <c r="B4867" s="181" t="s">
        <v>7561</v>
      </c>
      <c r="C4867" s="181" t="s">
        <v>81</v>
      </c>
      <c r="D4867" s="173">
        <v>0.04</v>
      </c>
      <c r="E4867" s="204" t="s">
        <v>30</v>
      </c>
      <c r="F4867" s="204" t="s">
        <v>188</v>
      </c>
      <c r="G4867" s="175" t="s">
        <v>7562</v>
      </c>
      <c r="H4867" s="171"/>
    </row>
    <row r="4868" ht="14.25" spans="1:8">
      <c r="A4868" s="176">
        <v>255</v>
      </c>
      <c r="B4868" s="181" t="s">
        <v>7563</v>
      </c>
      <c r="C4868" s="181" t="s">
        <v>81</v>
      </c>
      <c r="D4868" s="173">
        <v>0.02</v>
      </c>
      <c r="E4868" s="204" t="s">
        <v>30</v>
      </c>
      <c r="F4868" s="204" t="s">
        <v>188</v>
      </c>
      <c r="G4868" s="175" t="s">
        <v>7564</v>
      </c>
      <c r="H4868" s="171"/>
    </row>
    <row r="4869" ht="14.25" spans="1:8">
      <c r="A4869" s="176">
        <v>256</v>
      </c>
      <c r="B4869" s="181" t="s">
        <v>7565</v>
      </c>
      <c r="C4869" s="181" t="s">
        <v>81</v>
      </c>
      <c r="D4869" s="173">
        <v>0.02</v>
      </c>
      <c r="E4869" s="204" t="s">
        <v>30</v>
      </c>
      <c r="F4869" s="204" t="s">
        <v>188</v>
      </c>
      <c r="G4869" s="175" t="s">
        <v>7566</v>
      </c>
      <c r="H4869" s="171"/>
    </row>
    <row r="4870" ht="14.25" spans="1:8">
      <c r="A4870" s="176">
        <v>257</v>
      </c>
      <c r="B4870" s="181" t="s">
        <v>7567</v>
      </c>
      <c r="C4870" s="181" t="s">
        <v>81</v>
      </c>
      <c r="D4870" s="173">
        <v>0.02</v>
      </c>
      <c r="E4870" s="204" t="s">
        <v>30</v>
      </c>
      <c r="F4870" s="204" t="s">
        <v>188</v>
      </c>
      <c r="G4870" s="175" t="s">
        <v>7568</v>
      </c>
      <c r="H4870" s="171"/>
    </row>
    <row r="4871" ht="14.25" spans="1:8">
      <c r="A4871" s="176">
        <v>258</v>
      </c>
      <c r="B4871" s="181" t="s">
        <v>7569</v>
      </c>
      <c r="C4871" s="181" t="s">
        <v>81</v>
      </c>
      <c r="D4871" s="173">
        <v>0.02</v>
      </c>
      <c r="E4871" s="204" t="s">
        <v>30</v>
      </c>
      <c r="F4871" s="204" t="s">
        <v>188</v>
      </c>
      <c r="G4871" s="175" t="s">
        <v>7570</v>
      </c>
      <c r="H4871" s="171"/>
    </row>
    <row r="4872" ht="14.25" spans="1:8">
      <c r="A4872" s="176">
        <v>259</v>
      </c>
      <c r="B4872" s="181" t="s">
        <v>6714</v>
      </c>
      <c r="C4872" s="181" t="s">
        <v>81</v>
      </c>
      <c r="D4872" s="173">
        <v>0.02</v>
      </c>
      <c r="E4872" s="204" t="s">
        <v>30</v>
      </c>
      <c r="F4872" s="204" t="s">
        <v>188</v>
      </c>
      <c r="G4872" s="175" t="s">
        <v>7571</v>
      </c>
      <c r="H4872" s="171"/>
    </row>
    <row r="4873" ht="14.25" spans="1:8">
      <c r="A4873" s="176">
        <v>260</v>
      </c>
      <c r="B4873" s="181" t="s">
        <v>7572</v>
      </c>
      <c r="C4873" s="181" t="s">
        <v>81</v>
      </c>
      <c r="D4873" s="173">
        <v>0.04</v>
      </c>
      <c r="E4873" s="204" t="s">
        <v>30</v>
      </c>
      <c r="F4873" s="204" t="s">
        <v>188</v>
      </c>
      <c r="G4873" s="175" t="s">
        <v>7573</v>
      </c>
      <c r="H4873" s="171"/>
    </row>
    <row r="4874" ht="14.25" spans="1:8">
      <c r="A4874" s="176">
        <v>261</v>
      </c>
      <c r="B4874" s="181" t="s">
        <v>7574</v>
      </c>
      <c r="C4874" s="181" t="s">
        <v>81</v>
      </c>
      <c r="D4874" s="173">
        <v>0.02</v>
      </c>
      <c r="E4874" s="204" t="s">
        <v>30</v>
      </c>
      <c r="F4874" s="204" t="s">
        <v>188</v>
      </c>
      <c r="G4874" s="175" t="s">
        <v>3400</v>
      </c>
      <c r="H4874" s="171"/>
    </row>
    <row r="4875" ht="14.25" spans="1:8">
      <c r="A4875" s="176">
        <v>262</v>
      </c>
      <c r="B4875" s="181" t="s">
        <v>7575</v>
      </c>
      <c r="C4875" s="181" t="s">
        <v>81</v>
      </c>
      <c r="D4875" s="173">
        <v>0.01</v>
      </c>
      <c r="E4875" s="204" t="s">
        <v>30</v>
      </c>
      <c r="F4875" s="204" t="s">
        <v>188</v>
      </c>
      <c r="G4875" s="175" t="s">
        <v>7576</v>
      </c>
      <c r="H4875" s="171"/>
    </row>
    <row r="4876" ht="14.25" spans="1:8">
      <c r="A4876" s="176">
        <v>263</v>
      </c>
      <c r="B4876" s="181" t="s">
        <v>7577</v>
      </c>
      <c r="C4876" s="181" t="s">
        <v>81</v>
      </c>
      <c r="D4876" s="173">
        <v>0.04</v>
      </c>
      <c r="E4876" s="204" t="s">
        <v>30</v>
      </c>
      <c r="F4876" s="204" t="s">
        <v>188</v>
      </c>
      <c r="G4876" s="175" t="s">
        <v>7578</v>
      </c>
      <c r="H4876" s="171"/>
    </row>
    <row r="4877" ht="14.25" spans="1:8">
      <c r="A4877" s="176">
        <v>264</v>
      </c>
      <c r="B4877" s="181" t="s">
        <v>7577</v>
      </c>
      <c r="C4877" s="181" t="s">
        <v>81</v>
      </c>
      <c r="D4877" s="173">
        <v>0.04</v>
      </c>
      <c r="E4877" s="204" t="s">
        <v>30</v>
      </c>
      <c r="F4877" s="204" t="s">
        <v>188</v>
      </c>
      <c r="G4877" s="175" t="s">
        <v>7579</v>
      </c>
      <c r="H4877" s="171"/>
    </row>
    <row r="4878" ht="14.25" spans="1:8">
      <c r="A4878" s="176">
        <v>265</v>
      </c>
      <c r="B4878" s="181" t="s">
        <v>7199</v>
      </c>
      <c r="C4878" s="181" t="s">
        <v>81</v>
      </c>
      <c r="D4878" s="173">
        <v>0.01</v>
      </c>
      <c r="E4878" s="204" t="s">
        <v>30</v>
      </c>
      <c r="F4878" s="204" t="s">
        <v>188</v>
      </c>
      <c r="G4878" s="175" t="s">
        <v>7200</v>
      </c>
      <c r="H4878" s="171"/>
    </row>
    <row r="4879" ht="14.25" spans="1:8">
      <c r="A4879" s="176">
        <v>266</v>
      </c>
      <c r="B4879" s="181" t="s">
        <v>7580</v>
      </c>
      <c r="C4879" s="181" t="s">
        <v>81</v>
      </c>
      <c r="D4879" s="173">
        <v>0.02</v>
      </c>
      <c r="E4879" s="204" t="s">
        <v>30</v>
      </c>
      <c r="F4879" s="204" t="s">
        <v>188</v>
      </c>
      <c r="G4879" s="175" t="s">
        <v>7581</v>
      </c>
      <c r="H4879" s="171"/>
    </row>
    <row r="4880" ht="14.25" spans="1:8">
      <c r="A4880" s="176">
        <v>267</v>
      </c>
      <c r="B4880" s="181" t="s">
        <v>7582</v>
      </c>
      <c r="C4880" s="181" t="s">
        <v>81</v>
      </c>
      <c r="D4880" s="173">
        <v>0.01</v>
      </c>
      <c r="E4880" s="204" t="s">
        <v>30</v>
      </c>
      <c r="F4880" s="204" t="s">
        <v>188</v>
      </c>
      <c r="G4880" s="175" t="s">
        <v>7583</v>
      </c>
      <c r="H4880" s="171"/>
    </row>
    <row r="4881" ht="14.25" spans="1:8">
      <c r="A4881" s="176">
        <v>268</v>
      </c>
      <c r="B4881" s="181" t="s">
        <v>7584</v>
      </c>
      <c r="C4881" s="181" t="s">
        <v>81</v>
      </c>
      <c r="D4881" s="173">
        <v>0.02</v>
      </c>
      <c r="E4881" s="204" t="s">
        <v>30</v>
      </c>
      <c r="F4881" s="204" t="s">
        <v>188</v>
      </c>
      <c r="G4881" s="175" t="s">
        <v>7585</v>
      </c>
      <c r="H4881" s="171"/>
    </row>
    <row r="4882" ht="14.25" spans="1:8">
      <c r="A4882" s="176">
        <v>269</v>
      </c>
      <c r="B4882" s="171" t="s">
        <v>7586</v>
      </c>
      <c r="C4882" s="181" t="s">
        <v>81</v>
      </c>
      <c r="D4882" s="173">
        <v>0.08</v>
      </c>
      <c r="E4882" s="204" t="s">
        <v>30</v>
      </c>
      <c r="F4882" s="204" t="s">
        <v>188</v>
      </c>
      <c r="G4882" s="171" t="s">
        <v>7320</v>
      </c>
      <c r="H4882" s="171"/>
    </row>
    <row r="4883" ht="14.25" spans="1:8">
      <c r="A4883" s="176">
        <v>270</v>
      </c>
      <c r="B4883" s="171" t="s">
        <v>7586</v>
      </c>
      <c r="C4883" s="181" t="s">
        <v>81</v>
      </c>
      <c r="D4883" s="173">
        <v>0.07</v>
      </c>
      <c r="E4883" s="204" t="s">
        <v>30</v>
      </c>
      <c r="F4883" s="204" t="s">
        <v>188</v>
      </c>
      <c r="G4883" s="171" t="s">
        <v>7587</v>
      </c>
      <c r="H4883" s="171"/>
    </row>
    <row r="4884" ht="14.25" spans="1:8">
      <c r="A4884" s="176">
        <v>271</v>
      </c>
      <c r="B4884" s="171" t="s">
        <v>7588</v>
      </c>
      <c r="C4884" s="181" t="s">
        <v>81</v>
      </c>
      <c r="D4884" s="173">
        <v>0.05</v>
      </c>
      <c r="E4884" s="204" t="s">
        <v>30</v>
      </c>
      <c r="F4884" s="204" t="s">
        <v>188</v>
      </c>
      <c r="G4884" s="171" t="s">
        <v>7589</v>
      </c>
      <c r="H4884" s="171"/>
    </row>
    <row r="4885" ht="14.25" spans="1:8">
      <c r="A4885" s="176">
        <v>272</v>
      </c>
      <c r="B4885" s="171" t="s">
        <v>5656</v>
      </c>
      <c r="C4885" s="181" t="s">
        <v>81</v>
      </c>
      <c r="D4885" s="173">
        <v>0.32</v>
      </c>
      <c r="E4885" s="204" t="s">
        <v>30</v>
      </c>
      <c r="F4885" s="204" t="s">
        <v>188</v>
      </c>
      <c r="G4885" s="171" t="s">
        <v>7590</v>
      </c>
      <c r="H4885" s="171" t="s">
        <v>672</v>
      </c>
    </row>
    <row r="4886" ht="14.25" spans="1:8">
      <c r="A4886" s="176">
        <v>273</v>
      </c>
      <c r="B4886" s="171" t="s">
        <v>7591</v>
      </c>
      <c r="C4886" s="181" t="s">
        <v>81</v>
      </c>
      <c r="D4886" s="173">
        <v>0.01</v>
      </c>
      <c r="E4886" s="204" t="s">
        <v>30</v>
      </c>
      <c r="F4886" s="204" t="s">
        <v>188</v>
      </c>
      <c r="G4886" s="171" t="s">
        <v>7592</v>
      </c>
      <c r="H4886" s="171"/>
    </row>
    <row r="4887" ht="14.25" spans="1:8">
      <c r="A4887" s="176">
        <v>274</v>
      </c>
      <c r="B4887" s="171" t="s">
        <v>7591</v>
      </c>
      <c r="C4887" s="181" t="s">
        <v>81</v>
      </c>
      <c r="D4887" s="173">
        <v>0.02</v>
      </c>
      <c r="E4887" s="204" t="s">
        <v>30</v>
      </c>
      <c r="F4887" s="204" t="s">
        <v>188</v>
      </c>
      <c r="G4887" s="171" t="s">
        <v>7593</v>
      </c>
      <c r="H4887" s="171" t="s">
        <v>672</v>
      </c>
    </row>
    <row r="4888" ht="14.25" spans="1:8">
      <c r="A4888" s="176">
        <v>275</v>
      </c>
      <c r="B4888" s="171" t="s">
        <v>7594</v>
      </c>
      <c r="C4888" s="181" t="s">
        <v>81</v>
      </c>
      <c r="D4888" s="173">
        <v>0.08</v>
      </c>
      <c r="E4888" s="204" t="s">
        <v>30</v>
      </c>
      <c r="F4888" s="204" t="s">
        <v>188</v>
      </c>
      <c r="G4888" s="171" t="s">
        <v>1403</v>
      </c>
      <c r="H4888" s="171"/>
    </row>
    <row r="4889" ht="14.25" spans="1:8">
      <c r="A4889" s="176">
        <v>276</v>
      </c>
      <c r="B4889" s="171" t="s">
        <v>7372</v>
      </c>
      <c r="C4889" s="181" t="s">
        <v>81</v>
      </c>
      <c r="D4889" s="173">
        <v>0.02</v>
      </c>
      <c r="E4889" s="204" t="s">
        <v>30</v>
      </c>
      <c r="F4889" s="204" t="s">
        <v>188</v>
      </c>
      <c r="G4889" s="171" t="s">
        <v>7595</v>
      </c>
      <c r="H4889" s="171"/>
    </row>
    <row r="4890" ht="14.25" spans="1:8">
      <c r="A4890" s="176">
        <v>277</v>
      </c>
      <c r="B4890" s="171" t="s">
        <v>7596</v>
      </c>
      <c r="C4890" s="181" t="s">
        <v>81</v>
      </c>
      <c r="D4890" s="173">
        <v>0.03</v>
      </c>
      <c r="E4890" s="204" t="s">
        <v>30</v>
      </c>
      <c r="F4890" s="204" t="s">
        <v>188</v>
      </c>
      <c r="G4890" s="171" t="s">
        <v>7553</v>
      </c>
      <c r="H4890" s="171" t="s">
        <v>672</v>
      </c>
    </row>
    <row r="4891" ht="14.25" spans="1:8">
      <c r="A4891" s="176">
        <v>278</v>
      </c>
      <c r="B4891" s="171" t="s">
        <v>7596</v>
      </c>
      <c r="C4891" s="181" t="s">
        <v>81</v>
      </c>
      <c r="D4891" s="173">
        <v>0.02</v>
      </c>
      <c r="E4891" s="204" t="s">
        <v>30</v>
      </c>
      <c r="F4891" s="204" t="s">
        <v>188</v>
      </c>
      <c r="G4891" s="171" t="s">
        <v>2293</v>
      </c>
      <c r="H4891" s="171"/>
    </row>
    <row r="4892" ht="14.25" spans="1:8">
      <c r="A4892" s="176">
        <v>279</v>
      </c>
      <c r="B4892" s="171" t="s">
        <v>7181</v>
      </c>
      <c r="C4892" s="181" t="s">
        <v>81</v>
      </c>
      <c r="D4892" s="173">
        <v>0.03</v>
      </c>
      <c r="E4892" s="204" t="s">
        <v>30</v>
      </c>
      <c r="F4892" s="204" t="s">
        <v>188</v>
      </c>
      <c r="G4892" s="171" t="s">
        <v>7597</v>
      </c>
      <c r="H4892" s="171"/>
    </row>
    <row r="4893" ht="14.25" spans="1:8">
      <c r="A4893" s="176">
        <v>280</v>
      </c>
      <c r="B4893" s="171" t="s">
        <v>7598</v>
      </c>
      <c r="C4893" s="181" t="s">
        <v>81</v>
      </c>
      <c r="D4893" s="173">
        <v>0.04</v>
      </c>
      <c r="E4893" s="204" t="s">
        <v>30</v>
      </c>
      <c r="F4893" s="204" t="s">
        <v>188</v>
      </c>
      <c r="G4893" s="171" t="s">
        <v>7599</v>
      </c>
      <c r="H4893" s="171"/>
    </row>
    <row r="4894" ht="25.5" spans="1:8">
      <c r="A4894" s="176">
        <v>281</v>
      </c>
      <c r="B4894" s="171" t="s">
        <v>7400</v>
      </c>
      <c r="C4894" s="181" t="s">
        <v>81</v>
      </c>
      <c r="D4894" s="173">
        <v>0.04</v>
      </c>
      <c r="E4894" s="204" t="s">
        <v>30</v>
      </c>
      <c r="F4894" s="204" t="s">
        <v>188</v>
      </c>
      <c r="G4894" s="171" t="s">
        <v>7600</v>
      </c>
      <c r="H4894" s="171" t="s">
        <v>701</v>
      </c>
    </row>
    <row r="4895" ht="14.25" spans="1:8">
      <c r="A4895" s="176">
        <v>282</v>
      </c>
      <c r="B4895" s="171" t="s">
        <v>7601</v>
      </c>
      <c r="C4895" s="181" t="s">
        <v>81</v>
      </c>
      <c r="D4895" s="173">
        <v>0.04</v>
      </c>
      <c r="E4895" s="204" t="s">
        <v>30</v>
      </c>
      <c r="F4895" s="204" t="s">
        <v>188</v>
      </c>
      <c r="G4895" s="171" t="s">
        <v>7602</v>
      </c>
      <c r="H4895" s="171" t="s">
        <v>672</v>
      </c>
    </row>
    <row r="4896" ht="14.25" spans="1:8">
      <c r="A4896" s="176">
        <v>283</v>
      </c>
      <c r="B4896" s="171" t="s">
        <v>7601</v>
      </c>
      <c r="C4896" s="181" t="s">
        <v>81</v>
      </c>
      <c r="D4896" s="173">
        <v>0.04</v>
      </c>
      <c r="E4896" s="204" t="s">
        <v>30</v>
      </c>
      <c r="F4896" s="204" t="s">
        <v>188</v>
      </c>
      <c r="G4896" s="171" t="s">
        <v>7603</v>
      </c>
      <c r="H4896" s="171"/>
    </row>
    <row r="4897" ht="14.25" spans="1:8">
      <c r="A4897" s="176">
        <v>284</v>
      </c>
      <c r="B4897" s="171" t="s">
        <v>4831</v>
      </c>
      <c r="C4897" s="181" t="s">
        <v>81</v>
      </c>
      <c r="D4897" s="173">
        <v>0.02</v>
      </c>
      <c r="E4897" s="204" t="s">
        <v>30</v>
      </c>
      <c r="F4897" s="204" t="s">
        <v>188</v>
      </c>
      <c r="G4897" s="171" t="s">
        <v>7604</v>
      </c>
      <c r="H4897" s="171"/>
    </row>
    <row r="4898" ht="14.25" spans="1:8">
      <c r="A4898" s="176">
        <v>285</v>
      </c>
      <c r="B4898" s="171" t="s">
        <v>7605</v>
      </c>
      <c r="C4898" s="181" t="s">
        <v>81</v>
      </c>
      <c r="D4898" s="173">
        <v>0.02</v>
      </c>
      <c r="E4898" s="204" t="s">
        <v>30</v>
      </c>
      <c r="F4898" s="204" t="s">
        <v>188</v>
      </c>
      <c r="G4898" s="171" t="s">
        <v>7606</v>
      </c>
      <c r="H4898" s="171" t="s">
        <v>672</v>
      </c>
    </row>
    <row r="4899" ht="14.25" spans="1:8">
      <c r="A4899" s="176">
        <v>286</v>
      </c>
      <c r="B4899" s="171" t="s">
        <v>7607</v>
      </c>
      <c r="C4899" s="181" t="s">
        <v>81</v>
      </c>
      <c r="D4899" s="173">
        <v>0.08</v>
      </c>
      <c r="E4899" s="204" t="s">
        <v>30</v>
      </c>
      <c r="F4899" s="204" t="s">
        <v>188</v>
      </c>
      <c r="G4899" s="171" t="s">
        <v>7608</v>
      </c>
      <c r="H4899" s="171"/>
    </row>
    <row r="4900" ht="25.5" spans="1:8">
      <c r="A4900" s="176">
        <v>287</v>
      </c>
      <c r="B4900" s="171" t="s">
        <v>2957</v>
      </c>
      <c r="C4900" s="181" t="s">
        <v>81</v>
      </c>
      <c r="D4900" s="173">
        <v>0.7</v>
      </c>
      <c r="E4900" s="204" t="s">
        <v>30</v>
      </c>
      <c r="F4900" s="204" t="s">
        <v>188</v>
      </c>
      <c r="G4900" s="171" t="s">
        <v>7609</v>
      </c>
      <c r="H4900" s="171" t="s">
        <v>7610</v>
      </c>
    </row>
    <row r="4901" ht="14.25" spans="1:8">
      <c r="A4901" s="176">
        <v>288</v>
      </c>
      <c r="B4901" s="171" t="s">
        <v>7611</v>
      </c>
      <c r="C4901" s="181" t="s">
        <v>81</v>
      </c>
      <c r="D4901" s="173">
        <v>0.02</v>
      </c>
      <c r="E4901" s="204" t="s">
        <v>30</v>
      </c>
      <c r="F4901" s="204" t="s">
        <v>188</v>
      </c>
      <c r="G4901" s="171" t="s">
        <v>3789</v>
      </c>
      <c r="H4901" s="171"/>
    </row>
    <row r="4902" ht="14.25" spans="1:8">
      <c r="A4902" s="176">
        <v>289</v>
      </c>
      <c r="B4902" s="171" t="s">
        <v>7612</v>
      </c>
      <c r="C4902" s="181" t="s">
        <v>81</v>
      </c>
      <c r="D4902" s="173">
        <v>0.06</v>
      </c>
      <c r="E4902" s="204" t="s">
        <v>30</v>
      </c>
      <c r="F4902" s="204" t="s">
        <v>188</v>
      </c>
      <c r="G4902" s="171" t="s">
        <v>7613</v>
      </c>
      <c r="H4902" s="171"/>
    </row>
    <row r="4903" ht="14.25" spans="1:8">
      <c r="A4903" s="176">
        <v>290</v>
      </c>
      <c r="B4903" s="171" t="s">
        <v>7614</v>
      </c>
      <c r="C4903" s="181" t="s">
        <v>81</v>
      </c>
      <c r="D4903" s="173">
        <v>0.03</v>
      </c>
      <c r="E4903" s="204" t="s">
        <v>30</v>
      </c>
      <c r="F4903" s="204" t="s">
        <v>188</v>
      </c>
      <c r="G4903" s="171" t="s">
        <v>7615</v>
      </c>
      <c r="H4903" s="171"/>
    </row>
    <row r="4904" ht="14.25" spans="1:8">
      <c r="A4904" s="176">
        <v>291</v>
      </c>
      <c r="B4904" s="171" t="s">
        <v>2206</v>
      </c>
      <c r="C4904" s="181" t="s">
        <v>81</v>
      </c>
      <c r="D4904" s="173">
        <v>0.73599</v>
      </c>
      <c r="E4904" s="204" t="s">
        <v>2492</v>
      </c>
      <c r="F4904" s="204" t="s">
        <v>30</v>
      </c>
      <c r="G4904" s="171" t="s">
        <v>7616</v>
      </c>
      <c r="H4904" s="171"/>
    </row>
    <row r="4905" ht="14.25" spans="1:8">
      <c r="A4905" s="176">
        <v>292</v>
      </c>
      <c r="B4905" s="171" t="s">
        <v>6144</v>
      </c>
      <c r="C4905" s="181" t="s">
        <v>81</v>
      </c>
      <c r="D4905" s="173">
        <v>1.4559</v>
      </c>
      <c r="E4905" s="204" t="s">
        <v>2492</v>
      </c>
      <c r="F4905" s="204" t="s">
        <v>30</v>
      </c>
      <c r="G4905" s="171" t="s">
        <v>7617</v>
      </c>
      <c r="H4905" s="171"/>
    </row>
    <row r="4906" ht="14.25" spans="1:8">
      <c r="A4906" s="176">
        <v>293</v>
      </c>
      <c r="B4906" s="171" t="s">
        <v>7618</v>
      </c>
      <c r="C4906" s="181" t="s">
        <v>81</v>
      </c>
      <c r="D4906" s="173">
        <v>0.01</v>
      </c>
      <c r="E4906" s="204" t="s">
        <v>30</v>
      </c>
      <c r="F4906" s="204" t="s">
        <v>188</v>
      </c>
      <c r="G4906" s="171" t="s">
        <v>7619</v>
      </c>
      <c r="H4906" s="171"/>
    </row>
    <row r="4907" ht="14.25" spans="1:8">
      <c r="A4907" s="176">
        <v>294</v>
      </c>
      <c r="B4907" s="171" t="s">
        <v>7620</v>
      </c>
      <c r="C4907" s="181" t="s">
        <v>81</v>
      </c>
      <c r="D4907" s="173">
        <v>0.01</v>
      </c>
      <c r="E4907" s="204" t="s">
        <v>30</v>
      </c>
      <c r="F4907" s="204" t="s">
        <v>188</v>
      </c>
      <c r="G4907" s="171" t="s">
        <v>7621</v>
      </c>
      <c r="H4907" s="171"/>
    </row>
    <row r="4908" ht="14.25" spans="1:8">
      <c r="A4908" s="176">
        <v>295</v>
      </c>
      <c r="B4908" s="171" t="s">
        <v>7622</v>
      </c>
      <c r="C4908" s="181" t="s">
        <v>81</v>
      </c>
      <c r="D4908" s="173">
        <v>0.01</v>
      </c>
      <c r="E4908" s="204" t="s">
        <v>30</v>
      </c>
      <c r="F4908" s="204" t="s">
        <v>188</v>
      </c>
      <c r="G4908" s="171" t="s">
        <v>7623</v>
      </c>
      <c r="H4908" s="171"/>
    </row>
    <row r="4909" ht="14.25" spans="1:8">
      <c r="A4909" s="176">
        <v>296</v>
      </c>
      <c r="B4909" s="171" t="s">
        <v>5052</v>
      </c>
      <c r="C4909" s="181" t="s">
        <v>81</v>
      </c>
      <c r="D4909" s="173">
        <v>0.01</v>
      </c>
      <c r="E4909" s="204" t="s">
        <v>30</v>
      </c>
      <c r="F4909" s="204" t="s">
        <v>188</v>
      </c>
      <c r="G4909" s="171" t="s">
        <v>7624</v>
      </c>
      <c r="H4909" s="171"/>
    </row>
    <row r="4910" ht="14.25" spans="1:8">
      <c r="A4910" s="176">
        <v>297</v>
      </c>
      <c r="B4910" s="171" t="s">
        <v>5052</v>
      </c>
      <c r="C4910" s="181" t="s">
        <v>81</v>
      </c>
      <c r="D4910" s="173">
        <v>0.01</v>
      </c>
      <c r="E4910" s="204" t="s">
        <v>30</v>
      </c>
      <c r="F4910" s="204" t="s">
        <v>188</v>
      </c>
      <c r="G4910" s="171" t="s">
        <v>7625</v>
      </c>
      <c r="H4910" s="171"/>
    </row>
    <row r="4911" ht="14.25" spans="1:8">
      <c r="A4911" s="176">
        <v>298</v>
      </c>
      <c r="B4911" s="171" t="s">
        <v>5052</v>
      </c>
      <c r="C4911" s="181" t="s">
        <v>81</v>
      </c>
      <c r="D4911" s="173">
        <v>0.01</v>
      </c>
      <c r="E4911" s="204" t="s">
        <v>30</v>
      </c>
      <c r="F4911" s="204" t="s">
        <v>188</v>
      </c>
      <c r="G4911" s="171" t="s">
        <v>7626</v>
      </c>
      <c r="H4911" s="171"/>
    </row>
    <row r="4912" ht="14.25" spans="1:8">
      <c r="A4912" s="176">
        <v>299</v>
      </c>
      <c r="B4912" s="171" t="s">
        <v>5052</v>
      </c>
      <c r="C4912" s="181" t="s">
        <v>81</v>
      </c>
      <c r="D4912" s="173">
        <v>0.01</v>
      </c>
      <c r="E4912" s="204" t="s">
        <v>30</v>
      </c>
      <c r="F4912" s="204" t="s">
        <v>188</v>
      </c>
      <c r="G4912" s="171" t="s">
        <v>7627</v>
      </c>
      <c r="H4912" s="171"/>
    </row>
    <row r="4913" ht="14.25" spans="1:8">
      <c r="A4913" s="176">
        <v>300</v>
      </c>
      <c r="B4913" s="171" t="s">
        <v>5312</v>
      </c>
      <c r="C4913" s="181" t="s">
        <v>81</v>
      </c>
      <c r="D4913" s="173">
        <v>0.02</v>
      </c>
      <c r="E4913" s="204" t="s">
        <v>30</v>
      </c>
      <c r="F4913" s="204" t="s">
        <v>188</v>
      </c>
      <c r="G4913" s="171" t="s">
        <v>7628</v>
      </c>
      <c r="H4913" s="171"/>
    </row>
    <row r="4914" ht="14.25" spans="1:8">
      <c r="A4914" s="176">
        <v>301</v>
      </c>
      <c r="B4914" s="171" t="s">
        <v>6295</v>
      </c>
      <c r="C4914" s="181" t="s">
        <v>81</v>
      </c>
      <c r="D4914" s="173">
        <v>0.02</v>
      </c>
      <c r="E4914" s="204" t="s">
        <v>30</v>
      </c>
      <c r="F4914" s="204" t="s">
        <v>188</v>
      </c>
      <c r="G4914" s="171" t="s">
        <v>6064</v>
      </c>
      <c r="H4914" s="171"/>
    </row>
    <row r="4915" ht="14.25" spans="1:8">
      <c r="A4915" s="176">
        <v>302</v>
      </c>
      <c r="B4915" s="171" t="s">
        <v>7629</v>
      </c>
      <c r="C4915" s="181" t="s">
        <v>81</v>
      </c>
      <c r="D4915" s="173">
        <v>0.02</v>
      </c>
      <c r="E4915" s="204" t="s">
        <v>30</v>
      </c>
      <c r="F4915" s="204" t="s">
        <v>188</v>
      </c>
      <c r="G4915" s="171" t="s">
        <v>7630</v>
      </c>
      <c r="H4915" s="171"/>
    </row>
    <row r="4916" ht="14.25" spans="1:8">
      <c r="A4916" s="176">
        <v>303</v>
      </c>
      <c r="B4916" s="171" t="s">
        <v>7631</v>
      </c>
      <c r="C4916" s="181" t="s">
        <v>81</v>
      </c>
      <c r="D4916" s="173">
        <v>0.04</v>
      </c>
      <c r="E4916" s="204" t="s">
        <v>30</v>
      </c>
      <c r="F4916" s="204" t="s">
        <v>188</v>
      </c>
      <c r="G4916" s="171" t="s">
        <v>1762</v>
      </c>
      <c r="H4916" s="171"/>
    </row>
    <row r="4917" ht="14.25" spans="1:8">
      <c r="A4917" s="176">
        <v>304</v>
      </c>
      <c r="B4917" s="171" t="s">
        <v>7632</v>
      </c>
      <c r="C4917" s="181" t="s">
        <v>81</v>
      </c>
      <c r="D4917" s="173">
        <v>0.05</v>
      </c>
      <c r="E4917" s="204" t="s">
        <v>30</v>
      </c>
      <c r="F4917" s="204" t="s">
        <v>188</v>
      </c>
      <c r="G4917" s="171" t="s">
        <v>5427</v>
      </c>
      <c r="H4917" s="171"/>
    </row>
    <row r="4918" ht="14.25" spans="1:8">
      <c r="A4918" s="176">
        <v>305</v>
      </c>
      <c r="B4918" s="171" t="s">
        <v>7633</v>
      </c>
      <c r="C4918" s="181" t="s">
        <v>81</v>
      </c>
      <c r="D4918" s="173">
        <v>0.44</v>
      </c>
      <c r="E4918" s="204" t="s">
        <v>30</v>
      </c>
      <c r="F4918" s="204" t="s">
        <v>188</v>
      </c>
      <c r="G4918" s="171" t="s">
        <v>1874</v>
      </c>
      <c r="H4918" s="171"/>
    </row>
    <row r="4919" ht="14.25" spans="1:8">
      <c r="A4919" s="176">
        <v>306</v>
      </c>
      <c r="B4919" s="171" t="s">
        <v>2771</v>
      </c>
      <c r="C4919" s="181" t="s">
        <v>81</v>
      </c>
      <c r="D4919" s="173">
        <v>0.3</v>
      </c>
      <c r="E4919" s="204" t="s">
        <v>30</v>
      </c>
      <c r="F4919" s="204" t="s">
        <v>188</v>
      </c>
      <c r="G4919" s="171" t="s">
        <v>7634</v>
      </c>
      <c r="H4919" s="171"/>
    </row>
    <row r="4920" ht="14.25" spans="1:8">
      <c r="A4920" s="176">
        <v>307</v>
      </c>
      <c r="B4920" s="171" t="s">
        <v>405</v>
      </c>
      <c r="C4920" s="181" t="s">
        <v>81</v>
      </c>
      <c r="D4920" s="173">
        <v>0.11</v>
      </c>
      <c r="E4920" s="204" t="s">
        <v>30</v>
      </c>
      <c r="F4920" s="204" t="s">
        <v>188</v>
      </c>
      <c r="G4920" s="171" t="s">
        <v>7635</v>
      </c>
      <c r="H4920" s="171"/>
    </row>
    <row r="4921" ht="14.25" spans="1:8">
      <c r="A4921" s="176">
        <v>308</v>
      </c>
      <c r="B4921" s="171" t="s">
        <v>1450</v>
      </c>
      <c r="C4921" s="181" t="s">
        <v>81</v>
      </c>
      <c r="D4921" s="173">
        <v>0.33</v>
      </c>
      <c r="E4921" s="204" t="s">
        <v>30</v>
      </c>
      <c r="F4921" s="204" t="s">
        <v>188</v>
      </c>
      <c r="G4921" s="171" t="s">
        <v>7636</v>
      </c>
      <c r="H4921" s="171"/>
    </row>
    <row r="4922" ht="25.5" spans="1:8">
      <c r="A4922" s="176">
        <v>309</v>
      </c>
      <c r="B4922" s="171" t="s">
        <v>7637</v>
      </c>
      <c r="C4922" s="181" t="s">
        <v>81</v>
      </c>
      <c r="D4922" s="173">
        <v>0.13</v>
      </c>
      <c r="E4922" s="204" t="s">
        <v>30</v>
      </c>
      <c r="F4922" s="204" t="s">
        <v>188</v>
      </c>
      <c r="G4922" s="171" t="s">
        <v>7638</v>
      </c>
      <c r="H4922" s="171" t="s">
        <v>7639</v>
      </c>
    </row>
    <row r="4923" ht="25.5" spans="1:8">
      <c r="A4923" s="176">
        <v>310</v>
      </c>
      <c r="B4923" s="171" t="s">
        <v>7640</v>
      </c>
      <c r="C4923" s="181" t="s">
        <v>81</v>
      </c>
      <c r="D4923" s="173">
        <v>0.2</v>
      </c>
      <c r="E4923" s="204" t="s">
        <v>30</v>
      </c>
      <c r="F4923" s="204" t="s">
        <v>188</v>
      </c>
      <c r="G4923" s="171" t="s">
        <v>1403</v>
      </c>
      <c r="H4923" s="171" t="s">
        <v>7641</v>
      </c>
    </row>
    <row r="4924" ht="14.25" spans="1:8">
      <c r="A4924" s="176">
        <v>311</v>
      </c>
      <c r="B4924" s="171" t="s">
        <v>4533</v>
      </c>
      <c r="C4924" s="181" t="s">
        <v>81</v>
      </c>
      <c r="D4924" s="173">
        <v>0.36</v>
      </c>
      <c r="E4924" s="204" t="s">
        <v>30</v>
      </c>
      <c r="F4924" s="204" t="s">
        <v>188</v>
      </c>
      <c r="G4924" s="171" t="s">
        <v>7642</v>
      </c>
      <c r="H4924" s="171"/>
    </row>
    <row r="4925" ht="25.5" spans="1:8">
      <c r="A4925" s="176">
        <v>312</v>
      </c>
      <c r="B4925" s="171" t="s">
        <v>7556</v>
      </c>
      <c r="C4925" s="181" t="s">
        <v>81</v>
      </c>
      <c r="D4925" s="173">
        <v>0.11</v>
      </c>
      <c r="E4925" s="204" t="s">
        <v>30</v>
      </c>
      <c r="F4925" s="204" t="s">
        <v>188</v>
      </c>
      <c r="G4925" s="171" t="s">
        <v>2538</v>
      </c>
      <c r="H4925" s="171" t="s">
        <v>7643</v>
      </c>
    </row>
    <row r="4926" ht="14.25" spans="1:8">
      <c r="A4926" s="176">
        <v>313</v>
      </c>
      <c r="B4926" s="171" t="s">
        <v>7556</v>
      </c>
      <c r="C4926" s="181" t="s">
        <v>81</v>
      </c>
      <c r="D4926" s="173">
        <v>0.19</v>
      </c>
      <c r="E4926" s="204" t="s">
        <v>30</v>
      </c>
      <c r="F4926" s="204" t="s">
        <v>188</v>
      </c>
      <c r="G4926" s="171" t="s">
        <v>7540</v>
      </c>
      <c r="H4926" s="171"/>
    </row>
    <row r="4927" ht="14.25" spans="1:8">
      <c r="A4927" s="176">
        <v>314</v>
      </c>
      <c r="B4927" s="171" t="s">
        <v>7644</v>
      </c>
      <c r="C4927" s="181" t="s">
        <v>81</v>
      </c>
      <c r="D4927" s="173">
        <v>0.18</v>
      </c>
      <c r="E4927" s="204" t="s">
        <v>30</v>
      </c>
      <c r="F4927" s="204" t="s">
        <v>188</v>
      </c>
      <c r="G4927" s="171" t="s">
        <v>7645</v>
      </c>
      <c r="H4927" s="171" t="s">
        <v>672</v>
      </c>
    </row>
    <row r="4928" ht="25.5" spans="1:8">
      <c r="A4928" s="176">
        <v>315</v>
      </c>
      <c r="B4928" s="171" t="s">
        <v>7646</v>
      </c>
      <c r="C4928" s="181" t="s">
        <v>81</v>
      </c>
      <c r="D4928" s="173">
        <v>0.2</v>
      </c>
      <c r="E4928" s="204" t="s">
        <v>30</v>
      </c>
      <c r="F4928" s="204" t="s">
        <v>188</v>
      </c>
      <c r="G4928" s="171" t="s">
        <v>7647</v>
      </c>
      <c r="H4928" s="171" t="s">
        <v>2315</v>
      </c>
    </row>
    <row r="4929" ht="25.5" spans="1:8">
      <c r="A4929" s="176">
        <v>316</v>
      </c>
      <c r="B4929" s="171" t="s">
        <v>7521</v>
      </c>
      <c r="C4929" s="181" t="s">
        <v>81</v>
      </c>
      <c r="D4929" s="173">
        <v>0.1</v>
      </c>
      <c r="E4929" s="204" t="s">
        <v>30</v>
      </c>
      <c r="F4929" s="204" t="s">
        <v>188</v>
      </c>
      <c r="G4929" s="171" t="s">
        <v>7648</v>
      </c>
      <c r="H4929" s="171" t="s">
        <v>1888</v>
      </c>
    </row>
    <row r="4930" ht="14.25" spans="1:8">
      <c r="A4930" s="176">
        <v>317</v>
      </c>
      <c r="B4930" s="171" t="s">
        <v>7649</v>
      </c>
      <c r="C4930" s="181" t="s">
        <v>81</v>
      </c>
      <c r="D4930" s="173">
        <v>0.18</v>
      </c>
      <c r="E4930" s="204" t="s">
        <v>30</v>
      </c>
      <c r="F4930" s="204" t="s">
        <v>188</v>
      </c>
      <c r="G4930" s="171" t="s">
        <v>7650</v>
      </c>
      <c r="H4930" s="171" t="s">
        <v>672</v>
      </c>
    </row>
    <row r="4931" ht="25.5" spans="1:8">
      <c r="A4931" s="176">
        <v>318</v>
      </c>
      <c r="B4931" s="171" t="s">
        <v>7651</v>
      </c>
      <c r="C4931" s="181" t="s">
        <v>81</v>
      </c>
      <c r="D4931" s="173">
        <v>0.14</v>
      </c>
      <c r="E4931" s="204" t="s">
        <v>30</v>
      </c>
      <c r="F4931" s="204" t="s">
        <v>188</v>
      </c>
      <c r="G4931" s="171" t="s">
        <v>7652</v>
      </c>
      <c r="H4931" s="171" t="s">
        <v>7653</v>
      </c>
    </row>
    <row r="4932" ht="14.25" spans="1:8">
      <c r="A4932" s="176">
        <v>319</v>
      </c>
      <c r="B4932" s="171" t="s">
        <v>7654</v>
      </c>
      <c r="C4932" s="181" t="s">
        <v>81</v>
      </c>
      <c r="D4932" s="173">
        <v>0.14</v>
      </c>
      <c r="E4932" s="204" t="s">
        <v>30</v>
      </c>
      <c r="F4932" s="204" t="s">
        <v>188</v>
      </c>
      <c r="G4932" s="171" t="s">
        <v>1901</v>
      </c>
      <c r="H4932" s="171" t="s">
        <v>672</v>
      </c>
    </row>
    <row r="4933" ht="14.25" spans="1:8">
      <c r="A4933" s="176">
        <v>320</v>
      </c>
      <c r="B4933" s="171" t="s">
        <v>1450</v>
      </c>
      <c r="C4933" s="181" t="s">
        <v>81</v>
      </c>
      <c r="D4933" s="173">
        <v>0.07</v>
      </c>
      <c r="E4933" s="204" t="s">
        <v>30</v>
      </c>
      <c r="F4933" s="204" t="s">
        <v>188</v>
      </c>
      <c r="G4933" s="171" t="s">
        <v>7655</v>
      </c>
      <c r="H4933" s="171" t="s">
        <v>672</v>
      </c>
    </row>
    <row r="4934" ht="25.5" spans="1:8">
      <c r="A4934" s="176">
        <v>321</v>
      </c>
      <c r="B4934" s="171" t="s">
        <v>7656</v>
      </c>
      <c r="C4934" s="181" t="s">
        <v>81</v>
      </c>
      <c r="D4934" s="173">
        <v>0.17</v>
      </c>
      <c r="E4934" s="204" t="s">
        <v>30</v>
      </c>
      <c r="F4934" s="204" t="s">
        <v>188</v>
      </c>
      <c r="G4934" s="171" t="s">
        <v>7657</v>
      </c>
      <c r="H4934" s="171" t="s">
        <v>7658</v>
      </c>
    </row>
    <row r="4935" ht="25.5" spans="1:8">
      <c r="A4935" s="176">
        <v>322</v>
      </c>
      <c r="B4935" s="171" t="s">
        <v>7659</v>
      </c>
      <c r="C4935" s="181" t="s">
        <v>81</v>
      </c>
      <c r="D4935" s="173">
        <v>0.24</v>
      </c>
      <c r="E4935" s="204" t="s">
        <v>30</v>
      </c>
      <c r="F4935" s="204" t="s">
        <v>188</v>
      </c>
      <c r="G4935" s="171" t="s">
        <v>7660</v>
      </c>
      <c r="H4935" s="171" t="s">
        <v>7661</v>
      </c>
    </row>
    <row r="4936" ht="14.25" spans="1:8">
      <c r="A4936" s="176">
        <v>323</v>
      </c>
      <c r="B4936" s="171" t="s">
        <v>7662</v>
      </c>
      <c r="C4936" s="181" t="s">
        <v>81</v>
      </c>
      <c r="D4936" s="173">
        <v>0.06</v>
      </c>
      <c r="E4936" s="204" t="s">
        <v>30</v>
      </c>
      <c r="F4936" s="204" t="s">
        <v>188</v>
      </c>
      <c r="G4936" s="171" t="s">
        <v>7663</v>
      </c>
      <c r="H4936" s="171" t="s">
        <v>672</v>
      </c>
    </row>
    <row r="4937" ht="25.5" spans="1:8">
      <c r="A4937" s="176">
        <v>324</v>
      </c>
      <c r="B4937" s="171" t="s">
        <v>7664</v>
      </c>
      <c r="C4937" s="181" t="s">
        <v>81</v>
      </c>
      <c r="D4937" s="173">
        <v>0.18</v>
      </c>
      <c r="E4937" s="204" t="s">
        <v>30</v>
      </c>
      <c r="F4937" s="204" t="s">
        <v>188</v>
      </c>
      <c r="G4937" s="171" t="s">
        <v>7665</v>
      </c>
      <c r="H4937" s="171" t="s">
        <v>7641</v>
      </c>
    </row>
    <row r="4938" ht="14.25" spans="1:8">
      <c r="A4938" s="176">
        <v>325</v>
      </c>
      <c r="B4938" s="171" t="s">
        <v>708</v>
      </c>
      <c r="C4938" s="181" t="s">
        <v>81</v>
      </c>
      <c r="D4938" s="173">
        <v>0.25</v>
      </c>
      <c r="E4938" s="204" t="s">
        <v>30</v>
      </c>
      <c r="F4938" s="204" t="s">
        <v>188</v>
      </c>
      <c r="G4938" s="171" t="s">
        <v>3843</v>
      </c>
      <c r="H4938" s="171"/>
    </row>
    <row r="4939" ht="14.25" spans="1:8">
      <c r="A4939" s="176">
        <v>326</v>
      </c>
      <c r="B4939" s="171" t="s">
        <v>7666</v>
      </c>
      <c r="C4939" s="181" t="s">
        <v>81</v>
      </c>
      <c r="D4939" s="173">
        <v>0.24</v>
      </c>
      <c r="E4939" s="204" t="s">
        <v>30</v>
      </c>
      <c r="F4939" s="204" t="s">
        <v>188</v>
      </c>
      <c r="G4939" s="171" t="s">
        <v>7667</v>
      </c>
      <c r="H4939" s="171"/>
    </row>
    <row r="4940" ht="14.25" spans="1:8">
      <c r="A4940" s="176">
        <v>327</v>
      </c>
      <c r="B4940" s="171" t="s">
        <v>7527</v>
      </c>
      <c r="C4940" s="181" t="s">
        <v>81</v>
      </c>
      <c r="D4940" s="173">
        <v>0.28</v>
      </c>
      <c r="E4940" s="204" t="s">
        <v>30</v>
      </c>
      <c r="F4940" s="204" t="s">
        <v>188</v>
      </c>
      <c r="G4940" s="171" t="s">
        <v>7528</v>
      </c>
      <c r="H4940" s="171"/>
    </row>
    <row r="4941" ht="14.25" spans="1:8">
      <c r="A4941" s="176">
        <v>328</v>
      </c>
      <c r="B4941" s="171" t="s">
        <v>7523</v>
      </c>
      <c r="C4941" s="181" t="s">
        <v>81</v>
      </c>
      <c r="D4941" s="173">
        <v>0.19</v>
      </c>
      <c r="E4941" s="204" t="s">
        <v>30</v>
      </c>
      <c r="F4941" s="204" t="s">
        <v>188</v>
      </c>
      <c r="G4941" s="171" t="s">
        <v>7524</v>
      </c>
      <c r="H4941" s="171"/>
    </row>
    <row r="4942" ht="25.5" spans="1:8">
      <c r="A4942" s="176">
        <v>329</v>
      </c>
      <c r="B4942" s="171" t="s">
        <v>7668</v>
      </c>
      <c r="C4942" s="181" t="s">
        <v>81</v>
      </c>
      <c r="D4942" s="173">
        <v>0.14</v>
      </c>
      <c r="E4942" s="204" t="s">
        <v>30</v>
      </c>
      <c r="F4942" s="204" t="s">
        <v>188</v>
      </c>
      <c r="G4942" s="171" t="s">
        <v>7669</v>
      </c>
      <c r="H4942" s="171" t="s">
        <v>2767</v>
      </c>
    </row>
    <row r="4943" ht="14.25" spans="1:8">
      <c r="A4943" s="176">
        <v>330</v>
      </c>
      <c r="B4943" s="171" t="s">
        <v>7670</v>
      </c>
      <c r="C4943" s="181" t="s">
        <v>81</v>
      </c>
      <c r="D4943" s="173">
        <v>0.12</v>
      </c>
      <c r="E4943" s="204" t="s">
        <v>30</v>
      </c>
      <c r="F4943" s="204" t="s">
        <v>188</v>
      </c>
      <c r="G4943" s="171" t="s">
        <v>7671</v>
      </c>
      <c r="H4943" s="171"/>
    </row>
    <row r="4944" ht="14.25" spans="1:8">
      <c r="A4944" s="176">
        <v>331</v>
      </c>
      <c r="B4944" s="171" t="s">
        <v>697</v>
      </c>
      <c r="C4944" s="181" t="s">
        <v>81</v>
      </c>
      <c r="D4944" s="173">
        <v>0.12</v>
      </c>
      <c r="E4944" s="204" t="s">
        <v>30</v>
      </c>
      <c r="F4944" s="204" t="s">
        <v>188</v>
      </c>
      <c r="G4944" s="171" t="s">
        <v>6850</v>
      </c>
      <c r="H4944" s="171"/>
    </row>
    <row r="4945" ht="14.25" spans="1:8">
      <c r="A4945" s="176">
        <v>332</v>
      </c>
      <c r="B4945" s="171" t="s">
        <v>7672</v>
      </c>
      <c r="C4945" s="181" t="s">
        <v>81</v>
      </c>
      <c r="D4945" s="173">
        <v>0.18</v>
      </c>
      <c r="E4945" s="204" t="s">
        <v>30</v>
      </c>
      <c r="F4945" s="204" t="s">
        <v>188</v>
      </c>
      <c r="G4945" s="171" t="s">
        <v>7673</v>
      </c>
      <c r="H4945" s="171"/>
    </row>
    <row r="4946" ht="25.5" spans="1:8">
      <c r="A4946" s="176">
        <v>333</v>
      </c>
      <c r="B4946" s="171" t="s">
        <v>7674</v>
      </c>
      <c r="C4946" s="181" t="s">
        <v>81</v>
      </c>
      <c r="D4946" s="173">
        <v>0.3</v>
      </c>
      <c r="E4946" s="204" t="s">
        <v>30</v>
      </c>
      <c r="F4946" s="204" t="s">
        <v>188</v>
      </c>
      <c r="G4946" s="171" t="s">
        <v>7675</v>
      </c>
      <c r="H4946" s="171" t="s">
        <v>7676</v>
      </c>
    </row>
    <row r="4947" ht="14.25" spans="1:8">
      <c r="A4947" s="176">
        <v>334</v>
      </c>
      <c r="B4947" s="171" t="s">
        <v>7677</v>
      </c>
      <c r="C4947" s="181" t="s">
        <v>81</v>
      </c>
      <c r="D4947" s="173">
        <v>0.37</v>
      </c>
      <c r="E4947" s="204" t="s">
        <v>30</v>
      </c>
      <c r="F4947" s="204" t="s">
        <v>188</v>
      </c>
      <c r="G4947" s="171" t="s">
        <v>7678</v>
      </c>
      <c r="H4947" s="171"/>
    </row>
    <row r="4948" ht="14.25" spans="1:8">
      <c r="A4948" s="176">
        <v>335</v>
      </c>
      <c r="B4948" s="171" t="s">
        <v>7516</v>
      </c>
      <c r="C4948" s="181" t="s">
        <v>81</v>
      </c>
      <c r="D4948" s="173">
        <v>0.02</v>
      </c>
      <c r="E4948" s="204" t="s">
        <v>30</v>
      </c>
      <c r="F4948" s="204" t="s">
        <v>188</v>
      </c>
      <c r="G4948" s="171" t="s">
        <v>7679</v>
      </c>
      <c r="H4948" s="171"/>
    </row>
    <row r="4949" ht="14.25" spans="1:8">
      <c r="A4949" s="176">
        <v>336</v>
      </c>
      <c r="B4949" s="171" t="s">
        <v>7484</v>
      </c>
      <c r="C4949" s="181" t="s">
        <v>81</v>
      </c>
      <c r="D4949" s="173">
        <v>0.09</v>
      </c>
      <c r="E4949" s="204" t="s">
        <v>318</v>
      </c>
      <c r="F4949" s="204" t="s">
        <v>30</v>
      </c>
      <c r="G4949" s="171" t="s">
        <v>7680</v>
      </c>
      <c r="H4949" s="171"/>
    </row>
    <row r="4950" ht="14.25" spans="1:8">
      <c r="A4950" s="176">
        <v>337</v>
      </c>
      <c r="B4950" s="171" t="s">
        <v>7681</v>
      </c>
      <c r="C4950" s="181" t="s">
        <v>81</v>
      </c>
      <c r="D4950" s="173">
        <v>0.05</v>
      </c>
      <c r="E4950" s="204" t="s">
        <v>30</v>
      </c>
      <c r="F4950" s="204" t="s">
        <v>188</v>
      </c>
      <c r="G4950" s="171" t="s">
        <v>5427</v>
      </c>
      <c r="H4950" s="171"/>
    </row>
    <row r="4951" ht="14.25" spans="1:8">
      <c r="A4951" s="176">
        <v>338</v>
      </c>
      <c r="B4951" s="171" t="s">
        <v>7682</v>
      </c>
      <c r="C4951" s="181" t="s">
        <v>81</v>
      </c>
      <c r="D4951" s="173">
        <v>0.01</v>
      </c>
      <c r="E4951" s="204" t="s">
        <v>30</v>
      </c>
      <c r="F4951" s="204" t="s">
        <v>188</v>
      </c>
      <c r="G4951" s="171" t="s">
        <v>7683</v>
      </c>
      <c r="H4951" s="171"/>
    </row>
    <row r="4952" ht="14.25" spans="1:8">
      <c r="A4952" s="176">
        <v>339</v>
      </c>
      <c r="B4952" s="171" t="s">
        <v>1637</v>
      </c>
      <c r="C4952" s="181" t="s">
        <v>81</v>
      </c>
      <c r="D4952" s="173">
        <v>0.02</v>
      </c>
      <c r="E4952" s="204" t="s">
        <v>30</v>
      </c>
      <c r="F4952" s="204" t="s">
        <v>188</v>
      </c>
      <c r="G4952" s="171" t="s">
        <v>7684</v>
      </c>
      <c r="H4952" s="171"/>
    </row>
    <row r="4953" ht="14.25" spans="1:8">
      <c r="A4953" s="176">
        <v>340</v>
      </c>
      <c r="B4953" s="171" t="s">
        <v>7685</v>
      </c>
      <c r="C4953" s="181" t="s">
        <v>81</v>
      </c>
      <c r="D4953" s="173">
        <v>0.02</v>
      </c>
      <c r="E4953" s="204" t="s">
        <v>30</v>
      </c>
      <c r="F4953" s="204" t="s">
        <v>188</v>
      </c>
      <c r="G4953" s="171" t="s">
        <v>7686</v>
      </c>
      <c r="H4953" s="171"/>
    </row>
    <row r="4954" ht="14.25" spans="1:8">
      <c r="A4954" s="176">
        <v>341</v>
      </c>
      <c r="B4954" s="171" t="s">
        <v>7687</v>
      </c>
      <c r="C4954" s="181" t="s">
        <v>81</v>
      </c>
      <c r="D4954" s="173">
        <v>0.05</v>
      </c>
      <c r="E4954" s="204" t="s">
        <v>30</v>
      </c>
      <c r="F4954" s="204" t="s">
        <v>188</v>
      </c>
      <c r="G4954" s="171" t="s">
        <v>7688</v>
      </c>
      <c r="H4954" s="171"/>
    </row>
    <row r="4955" ht="14.25" spans="1:8">
      <c r="A4955" s="176">
        <v>342</v>
      </c>
      <c r="B4955" s="171" t="s">
        <v>7689</v>
      </c>
      <c r="C4955" s="181" t="s">
        <v>81</v>
      </c>
      <c r="D4955" s="173">
        <v>0.01</v>
      </c>
      <c r="E4955" s="204" t="s">
        <v>30</v>
      </c>
      <c r="F4955" s="204" t="s">
        <v>188</v>
      </c>
      <c r="G4955" s="171" t="s">
        <v>7690</v>
      </c>
      <c r="H4955" s="171"/>
    </row>
    <row r="4956" ht="14.25" spans="1:8">
      <c r="A4956" s="176">
        <v>343</v>
      </c>
      <c r="B4956" s="171" t="s">
        <v>7691</v>
      </c>
      <c r="C4956" s="181" t="s">
        <v>81</v>
      </c>
      <c r="D4956" s="173">
        <v>0.03</v>
      </c>
      <c r="E4956" s="204" t="s">
        <v>30</v>
      </c>
      <c r="F4956" s="204" t="s">
        <v>188</v>
      </c>
      <c r="G4956" s="171" t="s">
        <v>7692</v>
      </c>
      <c r="H4956" s="171"/>
    </row>
    <row r="4957" ht="14.25" spans="1:8">
      <c r="A4957" s="176">
        <v>344</v>
      </c>
      <c r="B4957" s="171" t="s">
        <v>7693</v>
      </c>
      <c r="C4957" s="181" t="s">
        <v>81</v>
      </c>
      <c r="D4957" s="173">
        <v>0.06</v>
      </c>
      <c r="E4957" s="204" t="s">
        <v>30</v>
      </c>
      <c r="F4957" s="204" t="s">
        <v>188</v>
      </c>
      <c r="G4957" s="171" t="s">
        <v>1615</v>
      </c>
      <c r="H4957" s="171" t="s">
        <v>672</v>
      </c>
    </row>
    <row r="4958" ht="14.25" spans="1:8">
      <c r="A4958" s="176">
        <v>345</v>
      </c>
      <c r="B4958" s="171" t="s">
        <v>7694</v>
      </c>
      <c r="C4958" s="181" t="s">
        <v>81</v>
      </c>
      <c r="D4958" s="173">
        <v>0.02</v>
      </c>
      <c r="E4958" s="204" t="s">
        <v>30</v>
      </c>
      <c r="F4958" s="204" t="s">
        <v>188</v>
      </c>
      <c r="G4958" s="171" t="s">
        <v>7695</v>
      </c>
      <c r="H4958" s="171"/>
    </row>
    <row r="4959" ht="14.25" spans="1:8">
      <c r="A4959" s="176">
        <v>346</v>
      </c>
      <c r="B4959" s="171" t="s">
        <v>7696</v>
      </c>
      <c r="C4959" s="181" t="s">
        <v>81</v>
      </c>
      <c r="D4959" s="173">
        <v>0.44</v>
      </c>
      <c r="E4959" s="204" t="s">
        <v>30</v>
      </c>
      <c r="F4959" s="204" t="s">
        <v>188</v>
      </c>
      <c r="G4959" s="171" t="s">
        <v>7697</v>
      </c>
      <c r="H4959" s="171"/>
    </row>
    <row r="4960" ht="25.5" spans="1:8">
      <c r="A4960" s="176">
        <v>347</v>
      </c>
      <c r="B4960" s="171" t="s">
        <v>565</v>
      </c>
      <c r="C4960" s="181" t="s">
        <v>81</v>
      </c>
      <c r="D4960" s="173">
        <v>0.3</v>
      </c>
      <c r="E4960" s="204" t="s">
        <v>30</v>
      </c>
      <c r="F4960" s="204" t="s">
        <v>188</v>
      </c>
      <c r="G4960" s="171" t="s">
        <v>7698</v>
      </c>
      <c r="H4960" s="171" t="s">
        <v>7676</v>
      </c>
    </row>
    <row r="4961" ht="14.25" spans="1:8">
      <c r="A4961" s="176">
        <v>348</v>
      </c>
      <c r="B4961" s="171" t="s">
        <v>7640</v>
      </c>
      <c r="C4961" s="181" t="s">
        <v>81</v>
      </c>
      <c r="D4961" s="173">
        <v>0.18</v>
      </c>
      <c r="E4961" s="204" t="s">
        <v>30</v>
      </c>
      <c r="F4961" s="204" t="s">
        <v>188</v>
      </c>
      <c r="G4961" s="171" t="s">
        <v>7699</v>
      </c>
      <c r="H4961" s="171"/>
    </row>
    <row r="4962" ht="14.25" spans="1:8">
      <c r="A4962" s="176">
        <v>349</v>
      </c>
      <c r="B4962" s="171" t="s">
        <v>7700</v>
      </c>
      <c r="C4962" s="181" t="s">
        <v>81</v>
      </c>
      <c r="D4962" s="173">
        <v>0.2</v>
      </c>
      <c r="E4962" s="204" t="s">
        <v>30</v>
      </c>
      <c r="F4962" s="204" t="s">
        <v>188</v>
      </c>
      <c r="G4962" s="171" t="s">
        <v>7701</v>
      </c>
      <c r="H4962" s="171"/>
    </row>
    <row r="4963" ht="14.25" spans="1:8">
      <c r="A4963" s="176">
        <v>350</v>
      </c>
      <c r="B4963" s="171" t="s">
        <v>7702</v>
      </c>
      <c r="C4963" s="181" t="s">
        <v>81</v>
      </c>
      <c r="D4963" s="173">
        <v>0.18</v>
      </c>
      <c r="E4963" s="204" t="s">
        <v>30</v>
      </c>
      <c r="F4963" s="204" t="s">
        <v>188</v>
      </c>
      <c r="G4963" s="171" t="s">
        <v>1359</v>
      </c>
      <c r="H4963" s="171"/>
    </row>
    <row r="4964" ht="25.5" spans="1:8">
      <c r="A4964" s="176">
        <v>351</v>
      </c>
      <c r="B4964" s="171" t="s">
        <v>7702</v>
      </c>
      <c r="C4964" s="181" t="s">
        <v>81</v>
      </c>
      <c r="D4964" s="173">
        <v>0.18</v>
      </c>
      <c r="E4964" s="204" t="s">
        <v>30</v>
      </c>
      <c r="F4964" s="204" t="s">
        <v>188</v>
      </c>
      <c r="G4964" s="171" t="s">
        <v>7703</v>
      </c>
      <c r="H4964" s="171" t="s">
        <v>676</v>
      </c>
    </row>
    <row r="4965" ht="14.25" spans="1:8">
      <c r="A4965" s="176">
        <v>352</v>
      </c>
      <c r="B4965" s="171" t="s">
        <v>7704</v>
      </c>
      <c r="C4965" s="181" t="s">
        <v>81</v>
      </c>
      <c r="D4965" s="173">
        <v>0.36</v>
      </c>
      <c r="E4965" s="204" t="s">
        <v>30</v>
      </c>
      <c r="F4965" s="204" t="s">
        <v>188</v>
      </c>
      <c r="G4965" s="171" t="s">
        <v>7705</v>
      </c>
      <c r="H4965" s="171" t="s">
        <v>672</v>
      </c>
    </row>
    <row r="4966" ht="25.5" spans="1:8">
      <c r="A4966" s="176">
        <v>353</v>
      </c>
      <c r="B4966" s="171" t="s">
        <v>7706</v>
      </c>
      <c r="C4966" s="181" t="s">
        <v>81</v>
      </c>
      <c r="D4966" s="173">
        <v>0.05</v>
      </c>
      <c r="E4966" s="204" t="s">
        <v>30</v>
      </c>
      <c r="F4966" s="204" t="s">
        <v>188</v>
      </c>
      <c r="G4966" s="171" t="s">
        <v>7707</v>
      </c>
      <c r="H4966" s="171" t="s">
        <v>7708</v>
      </c>
    </row>
    <row r="4967" ht="14.25" spans="1:8">
      <c r="A4967" s="176">
        <v>354</v>
      </c>
      <c r="B4967" s="171" t="s">
        <v>7457</v>
      </c>
      <c r="C4967" s="181" t="s">
        <v>81</v>
      </c>
      <c r="D4967" s="173">
        <v>0.05</v>
      </c>
      <c r="E4967" s="204" t="s">
        <v>30</v>
      </c>
      <c r="F4967" s="204" t="s">
        <v>188</v>
      </c>
      <c r="G4967" s="171" t="s">
        <v>7709</v>
      </c>
      <c r="H4967" s="171"/>
    </row>
    <row r="4968" ht="14.25" spans="1:8">
      <c r="A4968" s="176">
        <v>355</v>
      </c>
      <c r="B4968" s="171" t="s">
        <v>7457</v>
      </c>
      <c r="C4968" s="181" t="s">
        <v>81</v>
      </c>
      <c r="D4968" s="173">
        <v>0.05</v>
      </c>
      <c r="E4968" s="204" t="s">
        <v>30</v>
      </c>
      <c r="F4968" s="204" t="s">
        <v>188</v>
      </c>
      <c r="G4968" s="171" t="s">
        <v>7710</v>
      </c>
      <c r="H4968" s="171"/>
    </row>
    <row r="4969" ht="14.25" spans="1:8">
      <c r="A4969" s="176">
        <v>356</v>
      </c>
      <c r="B4969" s="171" t="s">
        <v>7711</v>
      </c>
      <c r="C4969" s="181" t="s">
        <v>81</v>
      </c>
      <c r="D4969" s="173">
        <v>0.5</v>
      </c>
      <c r="E4969" s="204" t="s">
        <v>30</v>
      </c>
      <c r="F4969" s="204" t="s">
        <v>188</v>
      </c>
      <c r="G4969" s="171" t="s">
        <v>7712</v>
      </c>
      <c r="H4969" s="171"/>
    </row>
    <row r="4970" ht="14.25" spans="1:8">
      <c r="A4970" s="176">
        <v>357</v>
      </c>
      <c r="B4970" s="249" t="s">
        <v>7418</v>
      </c>
      <c r="C4970" s="181" t="s">
        <v>81</v>
      </c>
      <c r="D4970" s="173">
        <v>0.01</v>
      </c>
      <c r="E4970" s="204" t="s">
        <v>30</v>
      </c>
      <c r="F4970" s="204" t="s">
        <v>188</v>
      </c>
      <c r="G4970" s="171" t="s">
        <v>7159</v>
      </c>
      <c r="H4970" s="171" t="s">
        <v>672</v>
      </c>
    </row>
    <row r="4971" ht="14.25" spans="1:8">
      <c r="A4971" s="176">
        <v>358</v>
      </c>
      <c r="B4971" s="249" t="s">
        <v>7713</v>
      </c>
      <c r="C4971" s="181" t="s">
        <v>81</v>
      </c>
      <c r="D4971" s="173">
        <v>0.03</v>
      </c>
      <c r="E4971" s="204" t="s">
        <v>30</v>
      </c>
      <c r="F4971" s="204" t="s">
        <v>188</v>
      </c>
      <c r="G4971" s="171" t="s">
        <v>7714</v>
      </c>
      <c r="H4971" s="171"/>
    </row>
    <row r="4972" ht="14.25" spans="1:8">
      <c r="A4972" s="176">
        <v>359</v>
      </c>
      <c r="B4972" s="249" t="s">
        <v>7693</v>
      </c>
      <c r="C4972" s="181" t="s">
        <v>81</v>
      </c>
      <c r="D4972" s="173">
        <v>0.02</v>
      </c>
      <c r="E4972" s="204" t="s">
        <v>30</v>
      </c>
      <c r="F4972" s="204" t="s">
        <v>188</v>
      </c>
      <c r="G4972" s="171" t="s">
        <v>7715</v>
      </c>
      <c r="H4972" s="171"/>
    </row>
    <row r="4973" ht="14.25" spans="1:8">
      <c r="A4973" s="176">
        <v>360</v>
      </c>
      <c r="B4973" s="249" t="s">
        <v>7716</v>
      </c>
      <c r="C4973" s="181" t="s">
        <v>81</v>
      </c>
      <c r="D4973" s="173">
        <v>0.02</v>
      </c>
      <c r="E4973" s="204" t="s">
        <v>30</v>
      </c>
      <c r="F4973" s="204" t="s">
        <v>188</v>
      </c>
      <c r="G4973" s="171" t="s">
        <v>7717</v>
      </c>
      <c r="H4973" s="171"/>
    </row>
    <row r="4974" ht="14.25" spans="1:8">
      <c r="A4974" s="176">
        <v>361</v>
      </c>
      <c r="B4974" s="249" t="s">
        <v>7718</v>
      </c>
      <c r="C4974" s="181" t="s">
        <v>81</v>
      </c>
      <c r="D4974" s="173">
        <v>0.02</v>
      </c>
      <c r="E4974" s="204" t="s">
        <v>30</v>
      </c>
      <c r="F4974" s="204" t="s">
        <v>188</v>
      </c>
      <c r="G4974" s="171" t="s">
        <v>7719</v>
      </c>
      <c r="H4974" s="171"/>
    </row>
    <row r="4975" ht="14.25" spans="1:8">
      <c r="A4975" s="176">
        <v>362</v>
      </c>
      <c r="B4975" s="249" t="s">
        <v>7415</v>
      </c>
      <c r="C4975" s="181" t="s">
        <v>81</v>
      </c>
      <c r="D4975" s="173">
        <v>0.01</v>
      </c>
      <c r="E4975" s="204" t="s">
        <v>30</v>
      </c>
      <c r="F4975" s="204" t="s">
        <v>188</v>
      </c>
      <c r="G4975" s="171" t="s">
        <v>7416</v>
      </c>
      <c r="H4975" s="171"/>
    </row>
    <row r="4976" ht="14.25" spans="1:8">
      <c r="A4976" s="176">
        <v>363</v>
      </c>
      <c r="B4976" s="249" t="s">
        <v>7415</v>
      </c>
      <c r="C4976" s="181" t="s">
        <v>81</v>
      </c>
      <c r="D4976" s="173">
        <v>0.02</v>
      </c>
      <c r="E4976" s="204" t="s">
        <v>30</v>
      </c>
      <c r="F4976" s="204" t="s">
        <v>188</v>
      </c>
      <c r="G4976" s="171" t="s">
        <v>7720</v>
      </c>
      <c r="H4976" s="171"/>
    </row>
    <row r="4977" ht="14.25" spans="1:8">
      <c r="A4977" s="176">
        <v>364</v>
      </c>
      <c r="B4977" s="249" t="s">
        <v>7721</v>
      </c>
      <c r="C4977" s="181" t="s">
        <v>81</v>
      </c>
      <c r="D4977" s="173">
        <v>0.02</v>
      </c>
      <c r="E4977" s="204" t="s">
        <v>30</v>
      </c>
      <c r="F4977" s="204" t="s">
        <v>188</v>
      </c>
      <c r="G4977" s="171" t="s">
        <v>3394</v>
      </c>
      <c r="H4977" s="171"/>
    </row>
    <row r="4978" ht="14.25" spans="1:8">
      <c r="A4978" s="176">
        <v>365</v>
      </c>
      <c r="B4978" s="249" t="s">
        <v>7722</v>
      </c>
      <c r="C4978" s="181" t="s">
        <v>81</v>
      </c>
      <c r="D4978" s="173">
        <v>0.01</v>
      </c>
      <c r="E4978" s="204" t="s">
        <v>30</v>
      </c>
      <c r="F4978" s="204" t="s">
        <v>188</v>
      </c>
      <c r="G4978" s="171" t="s">
        <v>7723</v>
      </c>
      <c r="H4978" s="171"/>
    </row>
    <row r="4979" ht="14.25" spans="1:8">
      <c r="A4979" s="176">
        <v>366</v>
      </c>
      <c r="B4979" s="249" t="s">
        <v>7247</v>
      </c>
      <c r="C4979" s="181" t="s">
        <v>81</v>
      </c>
      <c r="D4979" s="173">
        <v>0.03</v>
      </c>
      <c r="E4979" s="204" t="s">
        <v>30</v>
      </c>
      <c r="F4979" s="204" t="s">
        <v>188</v>
      </c>
      <c r="G4979" s="171" t="s">
        <v>7724</v>
      </c>
      <c r="H4979" s="171"/>
    </row>
    <row r="4980" ht="14.25" spans="1:8">
      <c r="A4980" s="176">
        <v>367</v>
      </c>
      <c r="B4980" s="249" t="s">
        <v>7725</v>
      </c>
      <c r="C4980" s="181" t="s">
        <v>81</v>
      </c>
      <c r="D4980" s="173">
        <v>0.03</v>
      </c>
      <c r="E4980" s="204" t="s">
        <v>30</v>
      </c>
      <c r="F4980" s="204" t="s">
        <v>188</v>
      </c>
      <c r="G4980" s="171" t="s">
        <v>7726</v>
      </c>
      <c r="H4980" s="171"/>
    </row>
    <row r="4981" ht="14.25" spans="1:8">
      <c r="A4981" s="176">
        <v>368</v>
      </c>
      <c r="B4981" s="249" t="s">
        <v>7247</v>
      </c>
      <c r="C4981" s="181" t="s">
        <v>81</v>
      </c>
      <c r="D4981" s="173">
        <v>0.06</v>
      </c>
      <c r="E4981" s="204" t="s">
        <v>30</v>
      </c>
      <c r="F4981" s="204" t="s">
        <v>188</v>
      </c>
      <c r="G4981" s="171" t="s">
        <v>7727</v>
      </c>
      <c r="H4981" s="171"/>
    </row>
    <row r="4982" ht="14.25" spans="1:8">
      <c r="A4982" s="176">
        <v>369</v>
      </c>
      <c r="B4982" s="249" t="s">
        <v>7728</v>
      </c>
      <c r="C4982" s="181" t="s">
        <v>81</v>
      </c>
      <c r="D4982" s="173">
        <v>0.02</v>
      </c>
      <c r="E4982" s="204" t="s">
        <v>30</v>
      </c>
      <c r="F4982" s="204" t="s">
        <v>188</v>
      </c>
      <c r="G4982" s="171" t="s">
        <v>7729</v>
      </c>
      <c r="H4982" s="171"/>
    </row>
    <row r="4983" ht="14.25" spans="1:8">
      <c r="A4983" s="176">
        <v>370</v>
      </c>
      <c r="B4983" s="249" t="s">
        <v>7730</v>
      </c>
      <c r="C4983" s="181" t="s">
        <v>81</v>
      </c>
      <c r="D4983" s="173">
        <v>0.02</v>
      </c>
      <c r="E4983" s="204" t="s">
        <v>30</v>
      </c>
      <c r="F4983" s="204" t="s">
        <v>188</v>
      </c>
      <c r="G4983" s="171" t="s">
        <v>7731</v>
      </c>
      <c r="H4983" s="171"/>
    </row>
    <row r="4984" ht="14.25" spans="1:8">
      <c r="A4984" s="176">
        <v>371</v>
      </c>
      <c r="B4984" s="249" t="s">
        <v>7554</v>
      </c>
      <c r="C4984" s="181" t="s">
        <v>81</v>
      </c>
      <c r="D4984" s="173">
        <v>0.02</v>
      </c>
      <c r="E4984" s="204" t="s">
        <v>30</v>
      </c>
      <c r="F4984" s="204" t="s">
        <v>188</v>
      </c>
      <c r="G4984" s="171" t="s">
        <v>7255</v>
      </c>
      <c r="H4984" s="171"/>
    </row>
    <row r="4985" ht="14.25" spans="1:8">
      <c r="A4985" s="176">
        <v>372</v>
      </c>
      <c r="B4985" s="249" t="s">
        <v>7538</v>
      </c>
      <c r="C4985" s="181" t="s">
        <v>81</v>
      </c>
      <c r="D4985" s="173">
        <v>0.02</v>
      </c>
      <c r="E4985" s="204" t="s">
        <v>30</v>
      </c>
      <c r="F4985" s="204" t="s">
        <v>188</v>
      </c>
      <c r="G4985" s="171" t="s">
        <v>7732</v>
      </c>
      <c r="H4985" s="171"/>
    </row>
    <row r="4986" ht="14.25" spans="1:8">
      <c r="A4986" s="176">
        <v>373</v>
      </c>
      <c r="B4986" s="249" t="s">
        <v>7681</v>
      </c>
      <c r="C4986" s="181" t="s">
        <v>81</v>
      </c>
      <c r="D4986" s="173">
        <v>0.1</v>
      </c>
      <c r="E4986" s="204" t="s">
        <v>30</v>
      </c>
      <c r="F4986" s="204" t="s">
        <v>188</v>
      </c>
      <c r="G4986" s="171" t="s">
        <v>5427</v>
      </c>
      <c r="H4986" s="171"/>
    </row>
    <row r="4987" ht="14.25" spans="1:8">
      <c r="A4987" s="176">
        <v>374</v>
      </c>
      <c r="B4987" s="189" t="s">
        <v>7733</v>
      </c>
      <c r="C4987" s="181" t="s">
        <v>81</v>
      </c>
      <c r="D4987" s="173">
        <v>0.03</v>
      </c>
      <c r="E4987" s="204" t="s">
        <v>30</v>
      </c>
      <c r="F4987" s="204" t="s">
        <v>188</v>
      </c>
      <c r="G4987" s="189" t="s">
        <v>7734</v>
      </c>
      <c r="H4987" s="171"/>
    </row>
    <row r="4988" ht="14.25" spans="1:8">
      <c r="A4988" s="176">
        <v>375</v>
      </c>
      <c r="B4988" s="189" t="s">
        <v>7735</v>
      </c>
      <c r="C4988" s="181" t="s">
        <v>81</v>
      </c>
      <c r="D4988" s="173">
        <v>0.02</v>
      </c>
      <c r="E4988" s="204" t="s">
        <v>30</v>
      </c>
      <c r="F4988" s="204" t="s">
        <v>188</v>
      </c>
      <c r="G4988" s="189" t="s">
        <v>7736</v>
      </c>
      <c r="H4988" s="171"/>
    </row>
    <row r="4989" ht="14.25" spans="1:8">
      <c r="A4989" s="176">
        <v>376</v>
      </c>
      <c r="B4989" s="189" t="s">
        <v>7737</v>
      </c>
      <c r="C4989" s="181" t="s">
        <v>81</v>
      </c>
      <c r="D4989" s="173">
        <v>0.02</v>
      </c>
      <c r="E4989" s="204" t="s">
        <v>30</v>
      </c>
      <c r="F4989" s="204" t="s">
        <v>188</v>
      </c>
      <c r="G4989" s="189" t="s">
        <v>5787</v>
      </c>
      <c r="H4989" s="171"/>
    </row>
    <row r="4990" ht="14.25" spans="1:8">
      <c r="A4990" s="176">
        <v>377</v>
      </c>
      <c r="B4990" s="189" t="s">
        <v>7737</v>
      </c>
      <c r="C4990" s="181" t="s">
        <v>81</v>
      </c>
      <c r="D4990" s="173">
        <v>0.02</v>
      </c>
      <c r="E4990" s="204" t="s">
        <v>30</v>
      </c>
      <c r="F4990" s="204" t="s">
        <v>188</v>
      </c>
      <c r="G4990" s="189" t="s">
        <v>7738</v>
      </c>
      <c r="H4990" s="171"/>
    </row>
    <row r="4991" ht="14.25" spans="1:8">
      <c r="A4991" s="176">
        <v>378</v>
      </c>
      <c r="B4991" s="189" t="s">
        <v>554</v>
      </c>
      <c r="C4991" s="181" t="s">
        <v>81</v>
      </c>
      <c r="D4991" s="173">
        <v>0.4</v>
      </c>
      <c r="E4991" s="204" t="s">
        <v>30</v>
      </c>
      <c r="F4991" s="204" t="s">
        <v>188</v>
      </c>
      <c r="G4991" s="189" t="s">
        <v>7739</v>
      </c>
      <c r="H4991" s="171"/>
    </row>
    <row r="4992" ht="14.25" spans="1:8">
      <c r="A4992" s="176">
        <v>379</v>
      </c>
      <c r="B4992" s="189" t="s">
        <v>554</v>
      </c>
      <c r="C4992" s="181" t="s">
        <v>81</v>
      </c>
      <c r="D4992" s="173">
        <v>0.06</v>
      </c>
      <c r="E4992" s="204" t="s">
        <v>30</v>
      </c>
      <c r="F4992" s="204" t="s">
        <v>188</v>
      </c>
      <c r="G4992" s="189" t="s">
        <v>7740</v>
      </c>
      <c r="H4992" s="171"/>
    </row>
    <row r="4993" ht="14.25" spans="1:8">
      <c r="A4993" s="176">
        <v>380</v>
      </c>
      <c r="B4993" s="189" t="s">
        <v>554</v>
      </c>
      <c r="C4993" s="181" t="s">
        <v>81</v>
      </c>
      <c r="D4993" s="173">
        <v>0.12</v>
      </c>
      <c r="E4993" s="204" t="s">
        <v>30</v>
      </c>
      <c r="F4993" s="204" t="s">
        <v>188</v>
      </c>
      <c r="G4993" s="189" t="s">
        <v>1874</v>
      </c>
      <c r="H4993" s="171"/>
    </row>
    <row r="4994" ht="14.25" spans="1:8">
      <c r="A4994" s="176">
        <v>381</v>
      </c>
      <c r="B4994" s="189" t="s">
        <v>554</v>
      </c>
      <c r="C4994" s="181" t="s">
        <v>81</v>
      </c>
      <c r="D4994" s="173">
        <v>0.2</v>
      </c>
      <c r="E4994" s="204" t="s">
        <v>30</v>
      </c>
      <c r="F4994" s="204" t="s">
        <v>188</v>
      </c>
      <c r="G4994" s="189" t="s">
        <v>7741</v>
      </c>
      <c r="H4994" s="171"/>
    </row>
    <row r="4995" ht="25.5" spans="1:8">
      <c r="A4995" s="176">
        <v>382</v>
      </c>
      <c r="B4995" s="189" t="s">
        <v>7662</v>
      </c>
      <c r="C4995" s="181" t="s">
        <v>81</v>
      </c>
      <c r="D4995" s="173">
        <v>0.18</v>
      </c>
      <c r="E4995" s="204" t="s">
        <v>30</v>
      </c>
      <c r="F4995" s="204" t="s">
        <v>188</v>
      </c>
      <c r="G4995" s="189" t="s">
        <v>7742</v>
      </c>
      <c r="H4995" s="171" t="s">
        <v>7641</v>
      </c>
    </row>
    <row r="4996" ht="25.5" spans="1:8">
      <c r="A4996" s="176">
        <v>383</v>
      </c>
      <c r="B4996" s="189" t="s">
        <v>7662</v>
      </c>
      <c r="C4996" s="181" t="s">
        <v>81</v>
      </c>
      <c r="D4996" s="173">
        <v>0.34</v>
      </c>
      <c r="E4996" s="204" t="s">
        <v>30</v>
      </c>
      <c r="F4996" s="204" t="s">
        <v>188</v>
      </c>
      <c r="G4996" s="189" t="s">
        <v>6466</v>
      </c>
      <c r="H4996" s="171" t="s">
        <v>7743</v>
      </c>
    </row>
    <row r="4997" ht="14.25" spans="1:8">
      <c r="A4997" s="176">
        <v>384</v>
      </c>
      <c r="B4997" s="175" t="s">
        <v>7681</v>
      </c>
      <c r="C4997" s="181" t="s">
        <v>81</v>
      </c>
      <c r="D4997" s="173">
        <v>0.1</v>
      </c>
      <c r="E4997" s="204" t="s">
        <v>30</v>
      </c>
      <c r="F4997" s="204" t="s">
        <v>188</v>
      </c>
      <c r="G4997" s="189" t="s">
        <v>5427</v>
      </c>
      <c r="H4997" s="171"/>
    </row>
    <row r="4998" ht="14.25" spans="1:8">
      <c r="A4998" s="176">
        <v>385</v>
      </c>
      <c r="B4998" s="175" t="s">
        <v>7744</v>
      </c>
      <c r="C4998" s="181" t="s">
        <v>81</v>
      </c>
      <c r="D4998" s="173">
        <v>0.03</v>
      </c>
      <c r="E4998" s="204" t="s">
        <v>30</v>
      </c>
      <c r="F4998" s="204" t="s">
        <v>188</v>
      </c>
      <c r="G4998" s="189" t="s">
        <v>7745</v>
      </c>
      <c r="H4998" s="171"/>
    </row>
    <row r="4999" ht="14.25" spans="1:8">
      <c r="A4999" s="176">
        <v>386</v>
      </c>
      <c r="B4999" s="175" t="s">
        <v>7746</v>
      </c>
      <c r="C4999" s="181" t="s">
        <v>81</v>
      </c>
      <c r="D4999" s="173">
        <v>0.04</v>
      </c>
      <c r="E4999" s="204" t="s">
        <v>30</v>
      </c>
      <c r="F4999" s="204" t="s">
        <v>188</v>
      </c>
      <c r="G4999" s="189" t="s">
        <v>7747</v>
      </c>
      <c r="H4999" s="171"/>
    </row>
    <row r="5000" ht="14.25" spans="1:8">
      <c r="A5000" s="176">
        <v>387</v>
      </c>
      <c r="B5000" s="182" t="s">
        <v>7748</v>
      </c>
      <c r="C5000" s="181" t="s">
        <v>81</v>
      </c>
      <c r="D5000" s="173">
        <v>0.08</v>
      </c>
      <c r="E5000" s="204" t="s">
        <v>30</v>
      </c>
      <c r="F5000" s="204" t="s">
        <v>188</v>
      </c>
      <c r="G5000" s="189" t="s">
        <v>7749</v>
      </c>
      <c r="H5000" s="171"/>
    </row>
    <row r="5001" ht="14.25" spans="1:8">
      <c r="A5001" s="176">
        <v>388</v>
      </c>
      <c r="B5001" s="182" t="s">
        <v>7750</v>
      </c>
      <c r="C5001" s="181" t="s">
        <v>81</v>
      </c>
      <c r="D5001" s="173">
        <v>0.02</v>
      </c>
      <c r="E5001" s="204" t="s">
        <v>30</v>
      </c>
      <c r="F5001" s="204" t="s">
        <v>188</v>
      </c>
      <c r="G5001" s="189" t="s">
        <v>3728</v>
      </c>
      <c r="H5001" s="171"/>
    </row>
    <row r="5002" ht="14.25" spans="1:8">
      <c r="A5002" s="176">
        <v>389</v>
      </c>
      <c r="B5002" s="182" t="s">
        <v>7751</v>
      </c>
      <c r="C5002" s="181" t="s">
        <v>81</v>
      </c>
      <c r="D5002" s="173">
        <v>0.04</v>
      </c>
      <c r="E5002" s="204" t="s">
        <v>30</v>
      </c>
      <c r="F5002" s="204" t="s">
        <v>188</v>
      </c>
      <c r="G5002" s="189" t="s">
        <v>7752</v>
      </c>
      <c r="H5002" s="171"/>
    </row>
    <row r="5003" ht="14.25" spans="1:8">
      <c r="A5003" s="176">
        <v>390</v>
      </c>
      <c r="B5003" s="182" t="s">
        <v>4143</v>
      </c>
      <c r="C5003" s="181" t="s">
        <v>81</v>
      </c>
      <c r="D5003" s="173">
        <v>0.06</v>
      </c>
      <c r="E5003" s="204" t="s">
        <v>30</v>
      </c>
      <c r="F5003" s="204" t="s">
        <v>188</v>
      </c>
      <c r="G5003" s="189" t="s">
        <v>7753</v>
      </c>
      <c r="H5003" s="171" t="s">
        <v>672</v>
      </c>
    </row>
    <row r="5004" ht="14.25" spans="1:8">
      <c r="A5004" s="176">
        <v>391</v>
      </c>
      <c r="B5004" s="182" t="s">
        <v>4143</v>
      </c>
      <c r="C5004" s="181" t="s">
        <v>81</v>
      </c>
      <c r="D5004" s="173">
        <v>0.1</v>
      </c>
      <c r="E5004" s="204" t="s">
        <v>30</v>
      </c>
      <c r="F5004" s="204" t="s">
        <v>188</v>
      </c>
      <c r="G5004" s="189" t="s">
        <v>7754</v>
      </c>
      <c r="H5004" s="171"/>
    </row>
    <row r="5005" ht="25.5" spans="1:8">
      <c r="A5005" s="176">
        <v>392</v>
      </c>
      <c r="B5005" s="182" t="s">
        <v>7755</v>
      </c>
      <c r="C5005" s="181" t="s">
        <v>81</v>
      </c>
      <c r="D5005" s="173">
        <v>0.04</v>
      </c>
      <c r="E5005" s="204" t="s">
        <v>30</v>
      </c>
      <c r="F5005" s="204" t="s">
        <v>188</v>
      </c>
      <c r="G5005" s="189" t="s">
        <v>7756</v>
      </c>
      <c r="H5005" s="171" t="s">
        <v>634</v>
      </c>
    </row>
    <row r="5006" ht="14.25" spans="1:8">
      <c r="A5006" s="176">
        <v>393</v>
      </c>
      <c r="B5006" s="182" t="s">
        <v>7757</v>
      </c>
      <c r="C5006" s="181" t="s">
        <v>81</v>
      </c>
      <c r="D5006" s="173">
        <v>0.03</v>
      </c>
      <c r="E5006" s="204" t="s">
        <v>30</v>
      </c>
      <c r="F5006" s="204" t="s">
        <v>188</v>
      </c>
      <c r="G5006" s="189" t="s">
        <v>7758</v>
      </c>
      <c r="H5006" s="171"/>
    </row>
    <row r="5007" ht="14.25" spans="1:8">
      <c r="A5007" s="176">
        <v>394</v>
      </c>
      <c r="B5007" s="182" t="s">
        <v>7759</v>
      </c>
      <c r="C5007" s="181" t="s">
        <v>81</v>
      </c>
      <c r="D5007" s="173">
        <v>0.05</v>
      </c>
      <c r="E5007" s="204" t="s">
        <v>30</v>
      </c>
      <c r="F5007" s="204" t="s">
        <v>188</v>
      </c>
      <c r="G5007" s="189" t="s">
        <v>7760</v>
      </c>
      <c r="H5007" s="171"/>
    </row>
    <row r="5008" ht="14.25" spans="1:8">
      <c r="A5008" s="176">
        <v>395</v>
      </c>
      <c r="B5008" s="182" t="s">
        <v>7761</v>
      </c>
      <c r="C5008" s="181" t="s">
        <v>81</v>
      </c>
      <c r="D5008" s="173">
        <v>0.3</v>
      </c>
      <c r="E5008" s="204" t="s">
        <v>30</v>
      </c>
      <c r="F5008" s="204" t="s">
        <v>188</v>
      </c>
      <c r="G5008" s="189" t="s">
        <v>7762</v>
      </c>
      <c r="H5008" s="171"/>
    </row>
    <row r="5009" ht="14.25" spans="1:8">
      <c r="A5009" s="176">
        <v>396</v>
      </c>
      <c r="B5009" s="182" t="s">
        <v>6814</v>
      </c>
      <c r="C5009" s="181" t="s">
        <v>81</v>
      </c>
      <c r="D5009" s="173">
        <v>0.02</v>
      </c>
      <c r="E5009" s="204" t="s">
        <v>30</v>
      </c>
      <c r="F5009" s="204" t="s">
        <v>188</v>
      </c>
      <c r="G5009" s="189" t="s">
        <v>7763</v>
      </c>
      <c r="H5009" s="171" t="s">
        <v>672</v>
      </c>
    </row>
    <row r="5010" ht="14.25" spans="1:8">
      <c r="A5010" s="176">
        <v>397</v>
      </c>
      <c r="B5010" s="182" t="s">
        <v>7507</v>
      </c>
      <c r="C5010" s="181" t="s">
        <v>81</v>
      </c>
      <c r="D5010" s="173">
        <v>0.04</v>
      </c>
      <c r="E5010" s="204" t="s">
        <v>30</v>
      </c>
      <c r="F5010" s="204" t="s">
        <v>188</v>
      </c>
      <c r="G5010" s="189" t="s">
        <v>7508</v>
      </c>
      <c r="H5010" s="171"/>
    </row>
    <row r="5011" ht="14.25" spans="1:8">
      <c r="A5011" s="176">
        <v>398</v>
      </c>
      <c r="B5011" s="182" t="s">
        <v>7189</v>
      </c>
      <c r="C5011" s="181" t="s">
        <v>81</v>
      </c>
      <c r="D5011" s="173">
        <v>0.04</v>
      </c>
      <c r="E5011" s="204" t="s">
        <v>30</v>
      </c>
      <c r="F5011" s="204" t="s">
        <v>188</v>
      </c>
      <c r="G5011" s="189" t="s">
        <v>7764</v>
      </c>
      <c r="H5011" s="171"/>
    </row>
    <row r="5012" ht="14.25" spans="1:8">
      <c r="A5012" s="176">
        <v>399</v>
      </c>
      <c r="B5012" s="182" t="s">
        <v>7765</v>
      </c>
      <c r="C5012" s="181" t="s">
        <v>81</v>
      </c>
      <c r="D5012" s="173">
        <v>0.07</v>
      </c>
      <c r="E5012" s="204" t="s">
        <v>30</v>
      </c>
      <c r="F5012" s="204" t="s">
        <v>188</v>
      </c>
      <c r="G5012" s="189" t="s">
        <v>7766</v>
      </c>
      <c r="H5012" s="171"/>
    </row>
    <row r="5013" ht="14.25" spans="1:8">
      <c r="A5013" s="176">
        <v>400</v>
      </c>
      <c r="B5013" s="182" t="s">
        <v>7767</v>
      </c>
      <c r="C5013" s="181" t="s">
        <v>81</v>
      </c>
      <c r="D5013" s="173">
        <v>0.06</v>
      </c>
      <c r="E5013" s="204" t="s">
        <v>30</v>
      </c>
      <c r="F5013" s="204" t="s">
        <v>188</v>
      </c>
      <c r="G5013" s="189" t="s">
        <v>7768</v>
      </c>
      <c r="H5013" s="171"/>
    </row>
    <row r="5014" ht="14.25" spans="1:8">
      <c r="A5014" s="176">
        <v>401</v>
      </c>
      <c r="B5014" s="182" t="s">
        <v>7769</v>
      </c>
      <c r="C5014" s="181" t="s">
        <v>81</v>
      </c>
      <c r="D5014" s="173">
        <v>0.02</v>
      </c>
      <c r="E5014" s="204" t="s">
        <v>2492</v>
      </c>
      <c r="F5014" s="204" t="s">
        <v>188</v>
      </c>
      <c r="G5014" s="189" t="s">
        <v>1153</v>
      </c>
      <c r="H5014" s="171"/>
    </row>
    <row r="5015" ht="14.25" spans="1:8">
      <c r="A5015" s="176">
        <v>402</v>
      </c>
      <c r="B5015" s="182" t="s">
        <v>7770</v>
      </c>
      <c r="C5015" s="181" t="s">
        <v>81</v>
      </c>
      <c r="D5015" s="173">
        <v>0.01</v>
      </c>
      <c r="E5015" s="204" t="s">
        <v>2492</v>
      </c>
      <c r="F5015" s="204" t="s">
        <v>188</v>
      </c>
      <c r="G5015" s="189" t="s">
        <v>7771</v>
      </c>
      <c r="H5015" s="171"/>
    </row>
    <row r="5016" ht="14.25" spans="1:8">
      <c r="A5016" s="176">
        <v>403</v>
      </c>
      <c r="B5016" s="182" t="s">
        <v>7772</v>
      </c>
      <c r="C5016" s="181" t="s">
        <v>81</v>
      </c>
      <c r="D5016" s="173">
        <v>0.04</v>
      </c>
      <c r="E5016" s="204" t="s">
        <v>30</v>
      </c>
      <c r="F5016" s="204" t="s">
        <v>188</v>
      </c>
      <c r="G5016" s="189" t="s">
        <v>7773</v>
      </c>
      <c r="H5016" s="171"/>
    </row>
    <row r="5017" ht="14.25" spans="1:8">
      <c r="A5017" s="176">
        <v>404</v>
      </c>
      <c r="B5017" s="182" t="s">
        <v>7507</v>
      </c>
      <c r="C5017" s="181" t="s">
        <v>81</v>
      </c>
      <c r="D5017" s="173">
        <v>0.05</v>
      </c>
      <c r="E5017" s="204" t="s">
        <v>30</v>
      </c>
      <c r="F5017" s="204" t="s">
        <v>188</v>
      </c>
      <c r="G5017" s="189" t="s">
        <v>7508</v>
      </c>
      <c r="H5017" s="171"/>
    </row>
    <row r="5018" ht="14.25" spans="1:8">
      <c r="A5018" s="176">
        <v>405</v>
      </c>
      <c r="B5018" s="182" t="s">
        <v>7582</v>
      </c>
      <c r="C5018" s="181" t="s">
        <v>81</v>
      </c>
      <c r="D5018" s="173">
        <v>0.03</v>
      </c>
      <c r="E5018" s="204" t="s">
        <v>30</v>
      </c>
      <c r="F5018" s="204" t="s">
        <v>188</v>
      </c>
      <c r="G5018" s="189" t="s">
        <v>7583</v>
      </c>
      <c r="H5018" s="171"/>
    </row>
    <row r="5019" ht="14.25" spans="1:8">
      <c r="A5019" s="176">
        <v>406</v>
      </c>
      <c r="B5019" s="182" t="s">
        <v>7774</v>
      </c>
      <c r="C5019" s="181" t="s">
        <v>81</v>
      </c>
      <c r="D5019" s="173">
        <v>0.03</v>
      </c>
      <c r="E5019" s="204" t="s">
        <v>30</v>
      </c>
      <c r="F5019" s="204" t="s">
        <v>188</v>
      </c>
      <c r="G5019" s="189" t="s">
        <v>7775</v>
      </c>
      <c r="H5019" s="171"/>
    </row>
    <row r="5020" ht="14.25" spans="1:8">
      <c r="A5020" s="176">
        <v>407</v>
      </c>
      <c r="B5020" s="182" t="s">
        <v>7774</v>
      </c>
      <c r="C5020" s="181" t="s">
        <v>81</v>
      </c>
      <c r="D5020" s="173">
        <v>0.04</v>
      </c>
      <c r="E5020" s="204" t="s">
        <v>30</v>
      </c>
      <c r="F5020" s="204" t="s">
        <v>188</v>
      </c>
      <c r="G5020" s="189" t="s">
        <v>7776</v>
      </c>
      <c r="H5020" s="171"/>
    </row>
    <row r="5021" ht="14.25" spans="1:8">
      <c r="A5021" s="176">
        <v>408</v>
      </c>
      <c r="B5021" s="182" t="s">
        <v>7777</v>
      </c>
      <c r="C5021" s="181" t="s">
        <v>81</v>
      </c>
      <c r="D5021" s="173">
        <v>0.02</v>
      </c>
      <c r="E5021" s="204" t="s">
        <v>30</v>
      </c>
      <c r="F5021" s="204" t="s">
        <v>188</v>
      </c>
      <c r="G5021" s="189" t="s">
        <v>7778</v>
      </c>
      <c r="H5021" s="171"/>
    </row>
    <row r="5022" ht="14.25" spans="1:8">
      <c r="A5022" s="176">
        <v>409</v>
      </c>
      <c r="B5022" s="182" t="s">
        <v>5312</v>
      </c>
      <c r="C5022" s="181" t="s">
        <v>81</v>
      </c>
      <c r="D5022" s="173">
        <v>0.03</v>
      </c>
      <c r="E5022" s="204" t="s">
        <v>30</v>
      </c>
      <c r="F5022" s="204" t="s">
        <v>188</v>
      </c>
      <c r="G5022" s="189" t="s">
        <v>7628</v>
      </c>
      <c r="H5022" s="171"/>
    </row>
    <row r="5023" ht="14.25" spans="1:8">
      <c r="A5023" s="176">
        <v>410</v>
      </c>
      <c r="B5023" s="182" t="s">
        <v>7779</v>
      </c>
      <c r="C5023" s="181" t="s">
        <v>81</v>
      </c>
      <c r="D5023" s="173">
        <v>0.26</v>
      </c>
      <c r="E5023" s="204" t="s">
        <v>30</v>
      </c>
      <c r="F5023" s="204" t="s">
        <v>188</v>
      </c>
      <c r="G5023" s="189" t="s">
        <v>7780</v>
      </c>
      <c r="H5023" s="171"/>
    </row>
    <row r="5024" ht="14.25" spans="1:8">
      <c r="A5024" s="176">
        <v>411</v>
      </c>
      <c r="B5024" s="182" t="s">
        <v>7781</v>
      </c>
      <c r="C5024" s="181" t="s">
        <v>81</v>
      </c>
      <c r="D5024" s="173">
        <v>0.02</v>
      </c>
      <c r="E5024" s="204" t="s">
        <v>30</v>
      </c>
      <c r="F5024" s="204" t="s">
        <v>188</v>
      </c>
      <c r="G5024" s="189" t="s">
        <v>7782</v>
      </c>
      <c r="H5024" s="171"/>
    </row>
    <row r="5025" ht="14.25" spans="1:8">
      <c r="A5025" s="176">
        <v>412</v>
      </c>
      <c r="B5025" s="182" t="s">
        <v>7783</v>
      </c>
      <c r="C5025" s="181" t="s">
        <v>81</v>
      </c>
      <c r="D5025" s="173">
        <v>0.5</v>
      </c>
      <c r="E5025" s="204" t="s">
        <v>30</v>
      </c>
      <c r="F5025" s="204" t="s">
        <v>188</v>
      </c>
      <c r="G5025" s="189" t="s">
        <v>7784</v>
      </c>
      <c r="H5025" s="171"/>
    </row>
    <row r="5026" ht="14.25" spans="1:8">
      <c r="A5026" s="176">
        <v>413</v>
      </c>
      <c r="B5026" s="182" t="s">
        <v>3540</v>
      </c>
      <c r="C5026" s="181" t="s">
        <v>81</v>
      </c>
      <c r="D5026" s="173">
        <v>0.2</v>
      </c>
      <c r="E5026" s="204" t="s">
        <v>30</v>
      </c>
      <c r="F5026" s="204" t="s">
        <v>188</v>
      </c>
      <c r="G5026" s="189" t="s">
        <v>7785</v>
      </c>
      <c r="H5026" s="171"/>
    </row>
    <row r="5027" ht="14.25" spans="1:8">
      <c r="A5027" s="176">
        <v>414</v>
      </c>
      <c r="B5027" s="182" t="s">
        <v>708</v>
      </c>
      <c r="C5027" s="181" t="s">
        <v>81</v>
      </c>
      <c r="D5027" s="173">
        <v>0.01</v>
      </c>
      <c r="E5027" s="204" t="s">
        <v>30</v>
      </c>
      <c r="F5027" s="204" t="s">
        <v>188</v>
      </c>
      <c r="G5027" s="189" t="s">
        <v>7786</v>
      </c>
      <c r="H5027" s="171"/>
    </row>
    <row r="5028" ht="14.25" spans="1:8">
      <c r="A5028" s="176">
        <v>415</v>
      </c>
      <c r="B5028" s="182" t="s">
        <v>7787</v>
      </c>
      <c r="C5028" s="181" t="s">
        <v>81</v>
      </c>
      <c r="D5028" s="173">
        <v>0.02</v>
      </c>
      <c r="E5028" s="204" t="s">
        <v>30</v>
      </c>
      <c r="F5028" s="204" t="s">
        <v>188</v>
      </c>
      <c r="G5028" s="189" t="s">
        <v>7788</v>
      </c>
      <c r="H5028" s="171"/>
    </row>
    <row r="5029" ht="14.25" spans="1:8">
      <c r="A5029" s="176">
        <v>416</v>
      </c>
      <c r="B5029" s="182" t="s">
        <v>708</v>
      </c>
      <c r="C5029" s="181" t="s">
        <v>81</v>
      </c>
      <c r="D5029" s="173">
        <v>0.01</v>
      </c>
      <c r="E5029" s="204" t="s">
        <v>30</v>
      </c>
      <c r="F5029" s="204" t="s">
        <v>188</v>
      </c>
      <c r="G5029" s="189" t="s">
        <v>7789</v>
      </c>
      <c r="H5029" s="171"/>
    </row>
    <row r="5030" ht="14.25" spans="1:8">
      <c r="A5030" s="176">
        <v>417</v>
      </c>
      <c r="B5030" s="182" t="s">
        <v>7790</v>
      </c>
      <c r="C5030" s="181" t="s">
        <v>81</v>
      </c>
      <c r="D5030" s="173">
        <v>0.01</v>
      </c>
      <c r="E5030" s="204" t="s">
        <v>30</v>
      </c>
      <c r="F5030" s="204" t="s">
        <v>188</v>
      </c>
      <c r="G5030" s="189" t="s">
        <v>7791</v>
      </c>
      <c r="H5030" s="171"/>
    </row>
    <row r="5031" ht="14.25" spans="1:8">
      <c r="A5031" s="176">
        <v>418</v>
      </c>
      <c r="B5031" s="182" t="s">
        <v>7792</v>
      </c>
      <c r="C5031" s="181" t="s">
        <v>81</v>
      </c>
      <c r="D5031" s="173">
        <v>0.01</v>
      </c>
      <c r="E5031" s="204" t="s">
        <v>30</v>
      </c>
      <c r="F5031" s="204" t="s">
        <v>188</v>
      </c>
      <c r="G5031" s="189" t="s">
        <v>7793</v>
      </c>
      <c r="H5031" s="171"/>
    </row>
    <row r="5032" ht="14.25" spans="1:8">
      <c r="A5032" s="176">
        <v>419</v>
      </c>
      <c r="B5032" s="182" t="s">
        <v>7792</v>
      </c>
      <c r="C5032" s="181" t="s">
        <v>81</v>
      </c>
      <c r="D5032" s="173">
        <v>0.07</v>
      </c>
      <c r="E5032" s="204" t="s">
        <v>30</v>
      </c>
      <c r="F5032" s="204" t="s">
        <v>188</v>
      </c>
      <c r="G5032" s="189" t="s">
        <v>2886</v>
      </c>
      <c r="H5032" s="171"/>
    </row>
    <row r="5033" ht="14.25" spans="1:8">
      <c r="A5033" s="176">
        <v>420</v>
      </c>
      <c r="B5033" s="182" t="s">
        <v>7794</v>
      </c>
      <c r="C5033" s="181" t="s">
        <v>81</v>
      </c>
      <c r="D5033" s="173">
        <v>0.28</v>
      </c>
      <c r="E5033" s="204" t="s">
        <v>30</v>
      </c>
      <c r="F5033" s="204" t="s">
        <v>188</v>
      </c>
      <c r="G5033" s="189" t="s">
        <v>7795</v>
      </c>
      <c r="H5033" s="171"/>
    </row>
    <row r="5034" ht="14.25" spans="1:8">
      <c r="A5034" s="176">
        <v>421</v>
      </c>
      <c r="B5034" s="182" t="s">
        <v>7796</v>
      </c>
      <c r="C5034" s="181" t="s">
        <v>81</v>
      </c>
      <c r="D5034" s="173">
        <v>0.03</v>
      </c>
      <c r="E5034" s="204" t="s">
        <v>30</v>
      </c>
      <c r="F5034" s="204" t="s">
        <v>188</v>
      </c>
      <c r="G5034" s="189" t="s">
        <v>7797</v>
      </c>
      <c r="H5034" s="171"/>
    </row>
    <row r="5035" ht="14.25" spans="1:8">
      <c r="A5035" s="176">
        <v>422</v>
      </c>
      <c r="B5035" s="182" t="s">
        <v>7796</v>
      </c>
      <c r="C5035" s="181" t="s">
        <v>81</v>
      </c>
      <c r="D5035" s="173">
        <v>0.03</v>
      </c>
      <c r="E5035" s="204" t="s">
        <v>30</v>
      </c>
      <c r="F5035" s="204" t="s">
        <v>188</v>
      </c>
      <c r="G5035" s="189" t="s">
        <v>938</v>
      </c>
      <c r="H5035" s="171"/>
    </row>
    <row r="5036" ht="14.25" spans="1:8">
      <c r="A5036" s="176">
        <v>423</v>
      </c>
      <c r="B5036" s="182" t="s">
        <v>7796</v>
      </c>
      <c r="C5036" s="181" t="s">
        <v>81</v>
      </c>
      <c r="D5036" s="173">
        <v>0.03</v>
      </c>
      <c r="E5036" s="204" t="s">
        <v>30</v>
      </c>
      <c r="F5036" s="204" t="s">
        <v>188</v>
      </c>
      <c r="G5036" s="189" t="s">
        <v>4954</v>
      </c>
      <c r="H5036" s="171"/>
    </row>
    <row r="5037" ht="14.25" spans="1:8">
      <c r="A5037" s="176">
        <v>424</v>
      </c>
      <c r="B5037" s="182" t="s">
        <v>7798</v>
      </c>
      <c r="C5037" s="181" t="s">
        <v>81</v>
      </c>
      <c r="D5037" s="173">
        <v>0.2</v>
      </c>
      <c r="E5037" s="204" t="s">
        <v>30</v>
      </c>
      <c r="F5037" s="204" t="s">
        <v>188</v>
      </c>
      <c r="G5037" s="189" t="s">
        <v>7799</v>
      </c>
      <c r="H5037" s="171"/>
    </row>
    <row r="5038" ht="14.25" spans="1:8">
      <c r="A5038" s="176">
        <v>425</v>
      </c>
      <c r="B5038" s="182" t="s">
        <v>7800</v>
      </c>
      <c r="C5038" s="181" t="s">
        <v>81</v>
      </c>
      <c r="D5038" s="173">
        <v>0.04</v>
      </c>
      <c r="E5038" s="204" t="s">
        <v>30</v>
      </c>
      <c r="F5038" s="204" t="s">
        <v>188</v>
      </c>
      <c r="G5038" s="189" t="s">
        <v>7801</v>
      </c>
      <c r="H5038" s="171"/>
    </row>
    <row r="5039" ht="14.25" spans="1:8">
      <c r="A5039" s="176">
        <v>426</v>
      </c>
      <c r="B5039" s="182" t="s">
        <v>7802</v>
      </c>
      <c r="C5039" s="181" t="s">
        <v>81</v>
      </c>
      <c r="D5039" s="173">
        <v>0.17</v>
      </c>
      <c r="E5039" s="204" t="s">
        <v>30</v>
      </c>
      <c r="F5039" s="204" t="s">
        <v>188</v>
      </c>
      <c r="G5039" s="189" t="s">
        <v>7803</v>
      </c>
      <c r="H5039" s="171"/>
    </row>
    <row r="5040" ht="14.25" spans="1:8">
      <c r="A5040" s="176">
        <v>427</v>
      </c>
      <c r="B5040" s="182" t="s">
        <v>697</v>
      </c>
      <c r="C5040" s="181" t="s">
        <v>81</v>
      </c>
      <c r="D5040" s="173">
        <v>0.18</v>
      </c>
      <c r="E5040" s="204" t="s">
        <v>30</v>
      </c>
      <c r="F5040" s="204" t="s">
        <v>188</v>
      </c>
      <c r="G5040" s="189" t="s">
        <v>7671</v>
      </c>
      <c r="H5040" s="171"/>
    </row>
    <row r="5041" ht="14.25" spans="1:8">
      <c r="A5041" s="176">
        <v>428</v>
      </c>
      <c r="B5041" s="182" t="s">
        <v>7804</v>
      </c>
      <c r="C5041" s="181" t="s">
        <v>81</v>
      </c>
      <c r="D5041" s="173">
        <v>0.2</v>
      </c>
      <c r="E5041" s="204" t="s">
        <v>30</v>
      </c>
      <c r="F5041" s="204" t="s">
        <v>188</v>
      </c>
      <c r="G5041" s="189" t="s">
        <v>7805</v>
      </c>
      <c r="H5041" s="171"/>
    </row>
    <row r="5042" ht="14.25" spans="1:8">
      <c r="A5042" s="176">
        <v>429</v>
      </c>
      <c r="B5042" s="182" t="s">
        <v>7806</v>
      </c>
      <c r="C5042" s="181" t="s">
        <v>81</v>
      </c>
      <c r="D5042" s="173">
        <v>0.35</v>
      </c>
      <c r="E5042" s="204" t="s">
        <v>30</v>
      </c>
      <c r="F5042" s="204" t="s">
        <v>188</v>
      </c>
      <c r="G5042" s="189" t="s">
        <v>1203</v>
      </c>
      <c r="H5042" s="171"/>
    </row>
    <row r="5043" ht="14.25" spans="1:8">
      <c r="A5043" s="176">
        <v>430</v>
      </c>
      <c r="B5043" s="182" t="s">
        <v>7633</v>
      </c>
      <c r="C5043" s="181" t="s">
        <v>81</v>
      </c>
      <c r="D5043" s="173">
        <v>0.5</v>
      </c>
      <c r="E5043" s="204" t="s">
        <v>30</v>
      </c>
      <c r="F5043" s="204" t="s">
        <v>188</v>
      </c>
      <c r="G5043" s="189" t="s">
        <v>7473</v>
      </c>
      <c r="H5043" s="171"/>
    </row>
    <row r="5044" ht="14.25" spans="1:8">
      <c r="A5044" s="176">
        <v>431</v>
      </c>
      <c r="B5044" s="175" t="s">
        <v>783</v>
      </c>
      <c r="C5044" s="181" t="s">
        <v>81</v>
      </c>
      <c r="D5044" s="173">
        <v>0.04</v>
      </c>
      <c r="E5044" s="170" t="s">
        <v>30</v>
      </c>
      <c r="F5044" s="170" t="s">
        <v>188</v>
      </c>
      <c r="G5044" s="189" t="s">
        <v>7477</v>
      </c>
      <c r="H5044" s="171"/>
    </row>
    <row r="5045" ht="14.25" spans="1:8">
      <c r="A5045" s="176">
        <v>432</v>
      </c>
      <c r="B5045" s="175" t="s">
        <v>7807</v>
      </c>
      <c r="C5045" s="181" t="s">
        <v>81</v>
      </c>
      <c r="D5045" s="173">
        <v>0.02</v>
      </c>
      <c r="E5045" s="170" t="s">
        <v>30</v>
      </c>
      <c r="F5045" s="170" t="s">
        <v>188</v>
      </c>
      <c r="G5045" s="189" t="s">
        <v>7808</v>
      </c>
      <c r="H5045" s="171"/>
    </row>
    <row r="5046" ht="14.25" spans="1:8">
      <c r="A5046" s="176">
        <v>433</v>
      </c>
      <c r="B5046" s="175" t="s">
        <v>7809</v>
      </c>
      <c r="C5046" s="181" t="s">
        <v>81</v>
      </c>
      <c r="D5046" s="173">
        <v>0.03</v>
      </c>
      <c r="E5046" s="170" t="s">
        <v>30</v>
      </c>
      <c r="F5046" s="170" t="s">
        <v>188</v>
      </c>
      <c r="G5046" s="189" t="s">
        <v>7810</v>
      </c>
      <c r="H5046" s="171"/>
    </row>
    <row r="5047" ht="14.25" spans="1:8">
      <c r="A5047" s="176">
        <v>434</v>
      </c>
      <c r="B5047" s="249" t="s">
        <v>7811</v>
      </c>
      <c r="C5047" s="181" t="s">
        <v>81</v>
      </c>
      <c r="D5047" s="173">
        <v>0.04</v>
      </c>
      <c r="E5047" s="170" t="s">
        <v>30</v>
      </c>
      <c r="F5047" s="170" t="s">
        <v>188</v>
      </c>
      <c r="G5047" s="189" t="s">
        <v>7812</v>
      </c>
      <c r="H5047" s="171"/>
    </row>
    <row r="5048" ht="14.25" spans="1:8">
      <c r="A5048" s="176">
        <v>435</v>
      </c>
      <c r="B5048" s="249" t="s">
        <v>7813</v>
      </c>
      <c r="C5048" s="181" t="s">
        <v>81</v>
      </c>
      <c r="D5048" s="173">
        <v>0.04</v>
      </c>
      <c r="E5048" s="170" t="s">
        <v>30</v>
      </c>
      <c r="F5048" s="170" t="s">
        <v>188</v>
      </c>
      <c r="G5048" s="189" t="s">
        <v>7814</v>
      </c>
      <c r="H5048" s="171"/>
    </row>
    <row r="5049" ht="14.25" spans="1:8">
      <c r="A5049" s="176">
        <v>436</v>
      </c>
      <c r="B5049" s="249" t="s">
        <v>7815</v>
      </c>
      <c r="C5049" s="181" t="s">
        <v>81</v>
      </c>
      <c r="D5049" s="173">
        <v>0.02</v>
      </c>
      <c r="E5049" s="170" t="s">
        <v>30</v>
      </c>
      <c r="F5049" s="170" t="s">
        <v>188</v>
      </c>
      <c r="G5049" s="189" t="s">
        <v>7816</v>
      </c>
      <c r="H5049" s="171"/>
    </row>
    <row r="5050" ht="14.25" spans="1:8">
      <c r="A5050" s="176">
        <v>437</v>
      </c>
      <c r="B5050" s="249" t="s">
        <v>7309</v>
      </c>
      <c r="C5050" s="181" t="s">
        <v>81</v>
      </c>
      <c r="D5050" s="173">
        <v>0.04</v>
      </c>
      <c r="E5050" s="170" t="s">
        <v>30</v>
      </c>
      <c r="F5050" s="170" t="s">
        <v>188</v>
      </c>
      <c r="G5050" s="189" t="s">
        <v>1797</v>
      </c>
      <c r="H5050" s="171"/>
    </row>
    <row r="5051" ht="14.25" spans="1:8">
      <c r="A5051" s="176">
        <v>438</v>
      </c>
      <c r="B5051" s="249" t="s">
        <v>7309</v>
      </c>
      <c r="C5051" s="181" t="s">
        <v>81</v>
      </c>
      <c r="D5051" s="173">
        <v>0.03</v>
      </c>
      <c r="E5051" s="170" t="s">
        <v>30</v>
      </c>
      <c r="F5051" s="170" t="s">
        <v>188</v>
      </c>
      <c r="G5051" s="189" t="s">
        <v>7817</v>
      </c>
      <c r="H5051" s="171"/>
    </row>
    <row r="5052" ht="14.25" spans="1:8">
      <c r="A5052" s="176">
        <v>439</v>
      </c>
      <c r="B5052" s="249" t="s">
        <v>7356</v>
      </c>
      <c r="C5052" s="181" t="s">
        <v>81</v>
      </c>
      <c r="D5052" s="173">
        <v>0.02</v>
      </c>
      <c r="E5052" s="170" t="s">
        <v>30</v>
      </c>
      <c r="F5052" s="170" t="s">
        <v>188</v>
      </c>
      <c r="G5052" s="189" t="s">
        <v>1443</v>
      </c>
      <c r="H5052" s="171"/>
    </row>
    <row r="5053" ht="14.25" spans="1:8">
      <c r="A5053" s="176">
        <v>440</v>
      </c>
      <c r="B5053" s="249" t="s">
        <v>7356</v>
      </c>
      <c r="C5053" s="181" t="s">
        <v>81</v>
      </c>
      <c r="D5053" s="173">
        <v>0.02</v>
      </c>
      <c r="E5053" s="170" t="s">
        <v>30</v>
      </c>
      <c r="F5053" s="170" t="s">
        <v>188</v>
      </c>
      <c r="G5053" s="189" t="s">
        <v>7818</v>
      </c>
      <c r="H5053" s="171"/>
    </row>
    <row r="5054" ht="14.25" spans="1:8">
      <c r="A5054" s="176">
        <v>441</v>
      </c>
      <c r="B5054" s="249" t="s">
        <v>7819</v>
      </c>
      <c r="C5054" s="181" t="s">
        <v>81</v>
      </c>
      <c r="D5054" s="173">
        <v>0.02</v>
      </c>
      <c r="E5054" s="170" t="s">
        <v>30</v>
      </c>
      <c r="F5054" s="170" t="s">
        <v>188</v>
      </c>
      <c r="G5054" s="189" t="s">
        <v>7820</v>
      </c>
      <c r="H5054" s="171"/>
    </row>
    <row r="5055" ht="14.25" spans="1:8">
      <c r="A5055" s="176">
        <v>442</v>
      </c>
      <c r="B5055" s="249" t="s">
        <v>7821</v>
      </c>
      <c r="C5055" s="181" t="s">
        <v>81</v>
      </c>
      <c r="D5055" s="173">
        <v>0.02</v>
      </c>
      <c r="E5055" s="170" t="s">
        <v>30</v>
      </c>
      <c r="F5055" s="170" t="s">
        <v>188</v>
      </c>
      <c r="G5055" s="189" t="s">
        <v>7822</v>
      </c>
      <c r="H5055" s="171"/>
    </row>
    <row r="5056" ht="14.25" spans="1:8">
      <c r="A5056" s="176">
        <v>443</v>
      </c>
      <c r="B5056" s="249" t="s">
        <v>2485</v>
      </c>
      <c r="C5056" s="181" t="s">
        <v>81</v>
      </c>
      <c r="D5056" s="173">
        <v>0.06</v>
      </c>
      <c r="E5056" s="170" t="s">
        <v>30</v>
      </c>
      <c r="F5056" s="170" t="s">
        <v>188</v>
      </c>
      <c r="G5056" s="189" t="s">
        <v>7823</v>
      </c>
      <c r="H5056" s="171"/>
    </row>
    <row r="5057" ht="14.25" spans="1:8">
      <c r="A5057" s="176">
        <v>444</v>
      </c>
      <c r="B5057" s="249" t="s">
        <v>2485</v>
      </c>
      <c r="C5057" s="181" t="s">
        <v>81</v>
      </c>
      <c r="D5057" s="173">
        <v>0.02</v>
      </c>
      <c r="E5057" s="170" t="s">
        <v>30</v>
      </c>
      <c r="F5057" s="170" t="s">
        <v>188</v>
      </c>
      <c r="G5057" s="189" t="s">
        <v>7304</v>
      </c>
      <c r="H5057" s="171"/>
    </row>
    <row r="5058" ht="14.25" spans="1:8">
      <c r="A5058" s="176">
        <v>445</v>
      </c>
      <c r="B5058" s="249" t="s">
        <v>7824</v>
      </c>
      <c r="C5058" s="181" t="s">
        <v>81</v>
      </c>
      <c r="D5058" s="173">
        <v>0.02</v>
      </c>
      <c r="E5058" s="170" t="s">
        <v>30</v>
      </c>
      <c r="F5058" s="170" t="s">
        <v>188</v>
      </c>
      <c r="G5058" s="189" t="s">
        <v>7825</v>
      </c>
      <c r="H5058" s="171"/>
    </row>
    <row r="5059" ht="14.25" spans="1:8">
      <c r="A5059" s="176">
        <v>446</v>
      </c>
      <c r="B5059" s="249" t="s">
        <v>7824</v>
      </c>
      <c r="C5059" s="181" t="s">
        <v>81</v>
      </c>
      <c r="D5059" s="173">
        <v>0.02</v>
      </c>
      <c r="E5059" s="170" t="s">
        <v>30</v>
      </c>
      <c r="F5059" s="170" t="s">
        <v>188</v>
      </c>
      <c r="G5059" s="189" t="s">
        <v>7826</v>
      </c>
      <c r="H5059" s="171"/>
    </row>
    <row r="5060" ht="14.25" spans="1:8">
      <c r="A5060" s="176">
        <v>447</v>
      </c>
      <c r="B5060" s="249" t="s">
        <v>7824</v>
      </c>
      <c r="C5060" s="181" t="s">
        <v>81</v>
      </c>
      <c r="D5060" s="173">
        <v>0.02</v>
      </c>
      <c r="E5060" s="170" t="s">
        <v>30</v>
      </c>
      <c r="F5060" s="170" t="s">
        <v>188</v>
      </c>
      <c r="G5060" s="189" t="s">
        <v>6923</v>
      </c>
      <c r="H5060" s="171"/>
    </row>
    <row r="5061" ht="14.25" spans="1:8">
      <c r="A5061" s="176">
        <v>448</v>
      </c>
      <c r="B5061" s="249" t="s">
        <v>7824</v>
      </c>
      <c r="C5061" s="181" t="s">
        <v>81</v>
      </c>
      <c r="D5061" s="173">
        <v>0.02</v>
      </c>
      <c r="E5061" s="170" t="s">
        <v>30</v>
      </c>
      <c r="F5061" s="170" t="s">
        <v>188</v>
      </c>
      <c r="G5061" s="189" t="s">
        <v>7827</v>
      </c>
      <c r="H5061" s="171"/>
    </row>
    <row r="5062" ht="14.25" spans="1:8">
      <c r="A5062" s="176">
        <v>449</v>
      </c>
      <c r="B5062" s="249" t="s">
        <v>7824</v>
      </c>
      <c r="C5062" s="181" t="s">
        <v>81</v>
      </c>
      <c r="D5062" s="173">
        <v>0.02</v>
      </c>
      <c r="E5062" s="170" t="s">
        <v>30</v>
      </c>
      <c r="F5062" s="170" t="s">
        <v>188</v>
      </c>
      <c r="G5062" s="189" t="s">
        <v>7828</v>
      </c>
      <c r="H5062" s="171"/>
    </row>
    <row r="5063" ht="14.25" spans="1:8">
      <c r="A5063" s="176">
        <v>450</v>
      </c>
      <c r="B5063" s="249" t="s">
        <v>7824</v>
      </c>
      <c r="C5063" s="181" t="s">
        <v>81</v>
      </c>
      <c r="D5063" s="173">
        <v>0.02</v>
      </c>
      <c r="E5063" s="170" t="s">
        <v>30</v>
      </c>
      <c r="F5063" s="170" t="s">
        <v>188</v>
      </c>
      <c r="G5063" s="189" t="s">
        <v>6943</v>
      </c>
      <c r="H5063" s="171"/>
    </row>
    <row r="5064" ht="14.25" spans="1:8">
      <c r="A5064" s="176">
        <v>451</v>
      </c>
      <c r="B5064" s="249" t="s">
        <v>7824</v>
      </c>
      <c r="C5064" s="181" t="s">
        <v>81</v>
      </c>
      <c r="D5064" s="173">
        <v>0.02</v>
      </c>
      <c r="E5064" s="170" t="s">
        <v>30</v>
      </c>
      <c r="F5064" s="170" t="s">
        <v>188</v>
      </c>
      <c r="G5064" s="189" t="s">
        <v>7829</v>
      </c>
      <c r="H5064" s="171"/>
    </row>
    <row r="5065" ht="14.25" spans="1:8">
      <c r="A5065" s="176">
        <v>452</v>
      </c>
      <c r="B5065" s="249" t="s">
        <v>7824</v>
      </c>
      <c r="C5065" s="181" t="s">
        <v>81</v>
      </c>
      <c r="D5065" s="173">
        <v>0.02</v>
      </c>
      <c r="E5065" s="170" t="s">
        <v>30</v>
      </c>
      <c r="F5065" s="170" t="s">
        <v>188</v>
      </c>
      <c r="G5065" s="189" t="s">
        <v>7830</v>
      </c>
      <c r="H5065" s="171"/>
    </row>
    <row r="5066" ht="14.25" spans="1:8">
      <c r="A5066" s="176">
        <v>453</v>
      </c>
      <c r="B5066" s="249" t="s">
        <v>7824</v>
      </c>
      <c r="C5066" s="181" t="s">
        <v>81</v>
      </c>
      <c r="D5066" s="173">
        <v>0.02</v>
      </c>
      <c r="E5066" s="170" t="s">
        <v>30</v>
      </c>
      <c r="F5066" s="170" t="s">
        <v>188</v>
      </c>
      <c r="G5066" s="189" t="s">
        <v>7831</v>
      </c>
      <c r="H5066" s="171"/>
    </row>
    <row r="5067" ht="14.25" spans="1:8">
      <c r="A5067" s="176">
        <v>454</v>
      </c>
      <c r="B5067" s="249" t="s">
        <v>7824</v>
      </c>
      <c r="C5067" s="181" t="s">
        <v>81</v>
      </c>
      <c r="D5067" s="173">
        <v>0.02</v>
      </c>
      <c r="E5067" s="170" t="s">
        <v>30</v>
      </c>
      <c r="F5067" s="170" t="s">
        <v>188</v>
      </c>
      <c r="G5067" s="189" t="s">
        <v>7832</v>
      </c>
      <c r="H5067" s="171"/>
    </row>
    <row r="5068" ht="14.25" spans="1:8">
      <c r="A5068" s="176">
        <v>455</v>
      </c>
      <c r="B5068" s="249" t="s">
        <v>7824</v>
      </c>
      <c r="C5068" s="181" t="s">
        <v>81</v>
      </c>
      <c r="D5068" s="173">
        <v>0.02</v>
      </c>
      <c r="E5068" s="170" t="s">
        <v>30</v>
      </c>
      <c r="F5068" s="170" t="s">
        <v>188</v>
      </c>
      <c r="G5068" s="189" t="s">
        <v>7833</v>
      </c>
      <c r="H5068" s="171"/>
    </row>
    <row r="5069" ht="14.25" spans="1:8">
      <c r="A5069" s="176">
        <v>456</v>
      </c>
      <c r="B5069" s="249" t="s">
        <v>7824</v>
      </c>
      <c r="C5069" s="181" t="s">
        <v>81</v>
      </c>
      <c r="D5069" s="173">
        <v>0.02</v>
      </c>
      <c r="E5069" s="170" t="s">
        <v>30</v>
      </c>
      <c r="F5069" s="170" t="s">
        <v>188</v>
      </c>
      <c r="G5069" s="189" t="s">
        <v>7834</v>
      </c>
      <c r="H5069" s="171"/>
    </row>
    <row r="5070" ht="14.25" spans="1:8">
      <c r="A5070" s="176">
        <v>457</v>
      </c>
      <c r="B5070" s="249" t="s">
        <v>7824</v>
      </c>
      <c r="C5070" s="181" t="s">
        <v>81</v>
      </c>
      <c r="D5070" s="173">
        <v>0.02</v>
      </c>
      <c r="E5070" s="170" t="s">
        <v>30</v>
      </c>
      <c r="F5070" s="170" t="s">
        <v>188</v>
      </c>
      <c r="G5070" s="189" t="s">
        <v>7835</v>
      </c>
      <c r="H5070" s="171"/>
    </row>
    <row r="5071" ht="14.25" spans="1:8">
      <c r="A5071" s="176">
        <v>458</v>
      </c>
      <c r="B5071" s="249" t="s">
        <v>7824</v>
      </c>
      <c r="C5071" s="181" t="s">
        <v>81</v>
      </c>
      <c r="D5071" s="173">
        <v>0.02</v>
      </c>
      <c r="E5071" s="170" t="s">
        <v>30</v>
      </c>
      <c r="F5071" s="170" t="s">
        <v>188</v>
      </c>
      <c r="G5071" s="189" t="s">
        <v>6811</v>
      </c>
      <c r="H5071" s="171"/>
    </row>
    <row r="5072" ht="14.25" spans="1:8">
      <c r="A5072" s="176">
        <v>459</v>
      </c>
      <c r="B5072" s="249" t="s">
        <v>7824</v>
      </c>
      <c r="C5072" s="181" t="s">
        <v>81</v>
      </c>
      <c r="D5072" s="173">
        <v>0.02</v>
      </c>
      <c r="E5072" s="170" t="s">
        <v>30</v>
      </c>
      <c r="F5072" s="170" t="s">
        <v>188</v>
      </c>
      <c r="G5072" s="189" t="s">
        <v>7836</v>
      </c>
      <c r="H5072" s="171"/>
    </row>
    <row r="5073" ht="14.25" spans="1:8">
      <c r="A5073" s="176">
        <v>460</v>
      </c>
      <c r="B5073" s="249" t="s">
        <v>7824</v>
      </c>
      <c r="C5073" s="181" t="s">
        <v>81</v>
      </c>
      <c r="D5073" s="173">
        <v>0.02</v>
      </c>
      <c r="E5073" s="170" t="s">
        <v>30</v>
      </c>
      <c r="F5073" s="170" t="s">
        <v>188</v>
      </c>
      <c r="G5073" s="189" t="s">
        <v>6653</v>
      </c>
      <c r="H5073" s="171"/>
    </row>
    <row r="5074" ht="14.25" spans="1:8">
      <c r="A5074" s="176">
        <v>461</v>
      </c>
      <c r="B5074" s="249" t="s">
        <v>7824</v>
      </c>
      <c r="C5074" s="181" t="s">
        <v>81</v>
      </c>
      <c r="D5074" s="173">
        <v>0.02</v>
      </c>
      <c r="E5074" s="170" t="s">
        <v>30</v>
      </c>
      <c r="F5074" s="170" t="s">
        <v>188</v>
      </c>
      <c r="G5074" s="189" t="s">
        <v>6893</v>
      </c>
      <c r="H5074" s="171"/>
    </row>
    <row r="5075" ht="14.25" spans="1:8">
      <c r="A5075" s="176">
        <v>462</v>
      </c>
      <c r="B5075" s="249" t="s">
        <v>7824</v>
      </c>
      <c r="C5075" s="181" t="s">
        <v>81</v>
      </c>
      <c r="D5075" s="173">
        <v>0.02</v>
      </c>
      <c r="E5075" s="170" t="s">
        <v>30</v>
      </c>
      <c r="F5075" s="170" t="s">
        <v>188</v>
      </c>
      <c r="G5075" s="189" t="s">
        <v>7837</v>
      </c>
      <c r="H5075" s="171"/>
    </row>
    <row r="5076" ht="14.25" spans="1:8">
      <c r="A5076" s="176">
        <v>463</v>
      </c>
      <c r="B5076" s="249" t="s">
        <v>7824</v>
      </c>
      <c r="C5076" s="181" t="s">
        <v>81</v>
      </c>
      <c r="D5076" s="173">
        <v>0.02</v>
      </c>
      <c r="E5076" s="170" t="s">
        <v>30</v>
      </c>
      <c r="F5076" s="170" t="s">
        <v>188</v>
      </c>
      <c r="G5076" s="189" t="s">
        <v>7838</v>
      </c>
      <c r="H5076" s="171"/>
    </row>
    <row r="5077" ht="14.25" spans="1:8">
      <c r="A5077" s="176">
        <v>464</v>
      </c>
      <c r="B5077" s="249" t="s">
        <v>7824</v>
      </c>
      <c r="C5077" s="181" t="s">
        <v>81</v>
      </c>
      <c r="D5077" s="173">
        <v>0.02</v>
      </c>
      <c r="E5077" s="170" t="s">
        <v>30</v>
      </c>
      <c r="F5077" s="170" t="s">
        <v>188</v>
      </c>
      <c r="G5077" s="189" t="s">
        <v>7839</v>
      </c>
      <c r="H5077" s="171"/>
    </row>
    <row r="5078" ht="14.25" spans="1:8">
      <c r="A5078" s="176">
        <v>465</v>
      </c>
      <c r="B5078" s="249" t="s">
        <v>7824</v>
      </c>
      <c r="C5078" s="181" t="s">
        <v>81</v>
      </c>
      <c r="D5078" s="173">
        <v>0.02</v>
      </c>
      <c r="E5078" s="170" t="s">
        <v>30</v>
      </c>
      <c r="F5078" s="170" t="s">
        <v>188</v>
      </c>
      <c r="G5078" s="189" t="s">
        <v>7840</v>
      </c>
      <c r="H5078" s="171"/>
    </row>
    <row r="5079" ht="14.25" spans="1:8">
      <c r="A5079" s="176">
        <v>466</v>
      </c>
      <c r="B5079" s="249" t="s">
        <v>7824</v>
      </c>
      <c r="C5079" s="181" t="s">
        <v>81</v>
      </c>
      <c r="D5079" s="173">
        <v>0.02</v>
      </c>
      <c r="E5079" s="170" t="s">
        <v>30</v>
      </c>
      <c r="F5079" s="170" t="s">
        <v>188</v>
      </c>
      <c r="G5079" s="189" t="s">
        <v>7841</v>
      </c>
      <c r="H5079" s="171"/>
    </row>
    <row r="5080" ht="14.25" spans="1:8">
      <c r="A5080" s="176">
        <v>467</v>
      </c>
      <c r="B5080" s="249" t="s">
        <v>7824</v>
      </c>
      <c r="C5080" s="181" t="s">
        <v>81</v>
      </c>
      <c r="D5080" s="173">
        <v>0.02</v>
      </c>
      <c r="E5080" s="170" t="s">
        <v>30</v>
      </c>
      <c r="F5080" s="170" t="s">
        <v>188</v>
      </c>
      <c r="G5080" s="189" t="s">
        <v>7842</v>
      </c>
      <c r="H5080" s="171"/>
    </row>
    <row r="5081" ht="14.25" spans="1:8">
      <c r="A5081" s="176">
        <v>468</v>
      </c>
      <c r="B5081" s="249" t="s">
        <v>7824</v>
      </c>
      <c r="C5081" s="181" t="s">
        <v>81</v>
      </c>
      <c r="D5081" s="173">
        <v>0.02</v>
      </c>
      <c r="E5081" s="170" t="s">
        <v>30</v>
      </c>
      <c r="F5081" s="170" t="s">
        <v>188</v>
      </c>
      <c r="G5081" s="189" t="s">
        <v>7843</v>
      </c>
      <c r="H5081" s="171"/>
    </row>
    <row r="5082" ht="14.25" spans="1:8">
      <c r="A5082" s="176">
        <v>469</v>
      </c>
      <c r="B5082" s="249" t="s">
        <v>7824</v>
      </c>
      <c r="C5082" s="181" t="s">
        <v>81</v>
      </c>
      <c r="D5082" s="173">
        <v>0.02</v>
      </c>
      <c r="E5082" s="170" t="s">
        <v>30</v>
      </c>
      <c r="F5082" s="170" t="s">
        <v>188</v>
      </c>
      <c r="G5082" s="189" t="s">
        <v>7844</v>
      </c>
      <c r="H5082" s="171"/>
    </row>
    <row r="5083" ht="14.25" spans="1:8">
      <c r="A5083" s="176">
        <v>470</v>
      </c>
      <c r="B5083" s="249" t="s">
        <v>7824</v>
      </c>
      <c r="C5083" s="181" t="s">
        <v>81</v>
      </c>
      <c r="D5083" s="173">
        <v>0.02</v>
      </c>
      <c r="E5083" s="170" t="s">
        <v>30</v>
      </c>
      <c r="F5083" s="170" t="s">
        <v>188</v>
      </c>
      <c r="G5083" s="189" t="s">
        <v>7845</v>
      </c>
      <c r="H5083" s="171"/>
    </row>
    <row r="5084" ht="14.25" spans="1:8">
      <c r="A5084" s="176">
        <v>471</v>
      </c>
      <c r="B5084" s="249" t="s">
        <v>7824</v>
      </c>
      <c r="C5084" s="181" t="s">
        <v>81</v>
      </c>
      <c r="D5084" s="173">
        <v>0.02</v>
      </c>
      <c r="E5084" s="170" t="s">
        <v>30</v>
      </c>
      <c r="F5084" s="170" t="s">
        <v>188</v>
      </c>
      <c r="G5084" s="189" t="s">
        <v>7846</v>
      </c>
      <c r="H5084" s="171"/>
    </row>
    <row r="5085" ht="14.25" spans="1:8">
      <c r="A5085" s="176">
        <v>472</v>
      </c>
      <c r="B5085" s="249" t="s">
        <v>7824</v>
      </c>
      <c r="C5085" s="181" t="s">
        <v>81</v>
      </c>
      <c r="D5085" s="173">
        <v>0.02</v>
      </c>
      <c r="E5085" s="170" t="s">
        <v>30</v>
      </c>
      <c r="F5085" s="170" t="s">
        <v>188</v>
      </c>
      <c r="G5085" s="189" t="s">
        <v>7847</v>
      </c>
      <c r="H5085" s="171"/>
    </row>
    <row r="5086" ht="14.25" spans="1:8">
      <c r="A5086" s="176">
        <v>473</v>
      </c>
      <c r="B5086" s="249" t="s">
        <v>7824</v>
      </c>
      <c r="C5086" s="181" t="s">
        <v>81</v>
      </c>
      <c r="D5086" s="173">
        <v>0.02</v>
      </c>
      <c r="E5086" s="170" t="s">
        <v>30</v>
      </c>
      <c r="F5086" s="170" t="s">
        <v>188</v>
      </c>
      <c r="G5086" s="189" t="s">
        <v>7848</v>
      </c>
      <c r="H5086" s="171"/>
    </row>
    <row r="5087" ht="14.25" spans="1:8">
      <c r="A5087" s="176">
        <v>474</v>
      </c>
      <c r="B5087" s="249" t="s">
        <v>7824</v>
      </c>
      <c r="C5087" s="181" t="s">
        <v>81</v>
      </c>
      <c r="D5087" s="173">
        <v>0.02</v>
      </c>
      <c r="E5087" s="170" t="s">
        <v>30</v>
      </c>
      <c r="F5087" s="170" t="s">
        <v>188</v>
      </c>
      <c r="G5087" s="189" t="s">
        <v>7849</v>
      </c>
      <c r="H5087" s="171"/>
    </row>
    <row r="5088" ht="14.25" spans="1:8">
      <c r="A5088" s="176">
        <v>475</v>
      </c>
      <c r="B5088" s="249" t="s">
        <v>7824</v>
      </c>
      <c r="C5088" s="181" t="s">
        <v>81</v>
      </c>
      <c r="D5088" s="173">
        <v>0.02</v>
      </c>
      <c r="E5088" s="170" t="s">
        <v>30</v>
      </c>
      <c r="F5088" s="170" t="s">
        <v>188</v>
      </c>
      <c r="G5088" s="189" t="s">
        <v>7850</v>
      </c>
      <c r="H5088" s="171"/>
    </row>
    <row r="5089" ht="14.25" spans="1:8">
      <c r="A5089" s="176">
        <v>476</v>
      </c>
      <c r="B5089" s="249" t="s">
        <v>7824</v>
      </c>
      <c r="C5089" s="181" t="s">
        <v>81</v>
      </c>
      <c r="D5089" s="173">
        <v>0.02</v>
      </c>
      <c r="E5089" s="170" t="s">
        <v>30</v>
      </c>
      <c r="F5089" s="170" t="s">
        <v>188</v>
      </c>
      <c r="G5089" s="189" t="s">
        <v>7851</v>
      </c>
      <c r="H5089" s="171"/>
    </row>
    <row r="5090" ht="14.25" spans="1:8">
      <c r="A5090" s="176">
        <v>477</v>
      </c>
      <c r="B5090" s="249" t="s">
        <v>7824</v>
      </c>
      <c r="C5090" s="181" t="s">
        <v>81</v>
      </c>
      <c r="D5090" s="173">
        <v>0.02</v>
      </c>
      <c r="E5090" s="170" t="s">
        <v>30</v>
      </c>
      <c r="F5090" s="170" t="s">
        <v>188</v>
      </c>
      <c r="G5090" s="189" t="s">
        <v>7099</v>
      </c>
      <c r="H5090" s="171"/>
    </row>
    <row r="5091" ht="14.25" spans="1:8">
      <c r="A5091" s="176">
        <v>478</v>
      </c>
      <c r="B5091" s="249" t="s">
        <v>7824</v>
      </c>
      <c r="C5091" s="181" t="s">
        <v>81</v>
      </c>
      <c r="D5091" s="173">
        <v>0.02</v>
      </c>
      <c r="E5091" s="170" t="s">
        <v>30</v>
      </c>
      <c r="F5091" s="170" t="s">
        <v>188</v>
      </c>
      <c r="G5091" s="189" t="s">
        <v>7852</v>
      </c>
      <c r="H5091" s="171"/>
    </row>
    <row r="5092" ht="14.25" spans="1:8">
      <c r="A5092" s="176">
        <v>479</v>
      </c>
      <c r="B5092" s="249" t="s">
        <v>884</v>
      </c>
      <c r="C5092" s="181" t="s">
        <v>81</v>
      </c>
      <c r="D5092" s="173">
        <v>0.23</v>
      </c>
      <c r="E5092" s="170" t="s">
        <v>30</v>
      </c>
      <c r="F5092" s="170" t="s">
        <v>188</v>
      </c>
      <c r="G5092" s="189" t="s">
        <v>7853</v>
      </c>
      <c r="H5092" s="171"/>
    </row>
    <row r="5093" ht="14.25" spans="1:8">
      <c r="A5093" s="176">
        <v>480</v>
      </c>
      <c r="B5093" s="249" t="s">
        <v>7423</v>
      </c>
      <c r="C5093" s="181" t="s">
        <v>81</v>
      </c>
      <c r="D5093" s="173">
        <v>0.02</v>
      </c>
      <c r="E5093" s="170" t="s">
        <v>30</v>
      </c>
      <c r="F5093" s="170" t="s">
        <v>188</v>
      </c>
      <c r="G5093" s="189" t="s">
        <v>7854</v>
      </c>
      <c r="H5093" s="171"/>
    </row>
    <row r="5094" ht="14.25" spans="1:8">
      <c r="A5094" s="176">
        <v>481</v>
      </c>
      <c r="B5094" s="249" t="s">
        <v>7855</v>
      </c>
      <c r="C5094" s="181" t="s">
        <v>81</v>
      </c>
      <c r="D5094" s="173">
        <v>0.07</v>
      </c>
      <c r="E5094" s="170" t="s">
        <v>30</v>
      </c>
      <c r="F5094" s="170" t="s">
        <v>188</v>
      </c>
      <c r="G5094" s="189" t="s">
        <v>7856</v>
      </c>
      <c r="H5094" s="171"/>
    </row>
    <row r="5095" ht="14.25" spans="1:8">
      <c r="A5095" s="176">
        <v>482</v>
      </c>
      <c r="B5095" s="249" t="s">
        <v>7857</v>
      </c>
      <c r="C5095" s="181" t="s">
        <v>81</v>
      </c>
      <c r="D5095" s="173">
        <v>0.04</v>
      </c>
      <c r="E5095" s="170" t="s">
        <v>30</v>
      </c>
      <c r="F5095" s="170" t="s">
        <v>188</v>
      </c>
      <c r="G5095" s="189" t="s">
        <v>7858</v>
      </c>
      <c r="H5095" s="171"/>
    </row>
    <row r="5096" ht="14.25" spans="1:8">
      <c r="A5096" s="176">
        <v>483</v>
      </c>
      <c r="B5096" s="249" t="s">
        <v>5404</v>
      </c>
      <c r="C5096" s="181" t="s">
        <v>81</v>
      </c>
      <c r="D5096" s="173">
        <v>0.04</v>
      </c>
      <c r="E5096" s="170" t="s">
        <v>30</v>
      </c>
      <c r="F5096" s="170" t="s">
        <v>188</v>
      </c>
      <c r="G5096" s="189" t="s">
        <v>7859</v>
      </c>
      <c r="H5096" s="171"/>
    </row>
    <row r="5097" ht="14.25" spans="1:8">
      <c r="A5097" s="176">
        <v>484</v>
      </c>
      <c r="B5097" s="249" t="s">
        <v>7860</v>
      </c>
      <c r="C5097" s="181" t="s">
        <v>81</v>
      </c>
      <c r="D5097" s="173">
        <v>0.01</v>
      </c>
      <c r="E5097" s="170" t="s">
        <v>30</v>
      </c>
      <c r="F5097" s="170" t="s">
        <v>188</v>
      </c>
      <c r="G5097" s="189" t="s">
        <v>7861</v>
      </c>
      <c r="H5097" s="171"/>
    </row>
    <row r="5098" ht="14.25" spans="1:8">
      <c r="A5098" s="176">
        <v>485</v>
      </c>
      <c r="B5098" s="249" t="s">
        <v>7862</v>
      </c>
      <c r="C5098" s="181" t="s">
        <v>81</v>
      </c>
      <c r="D5098" s="173">
        <v>0.02</v>
      </c>
      <c r="E5098" s="170" t="s">
        <v>30</v>
      </c>
      <c r="F5098" s="170" t="s">
        <v>188</v>
      </c>
      <c r="G5098" s="189" t="s">
        <v>7863</v>
      </c>
      <c r="H5098" s="171"/>
    </row>
    <row r="5099" ht="14.25" spans="1:8">
      <c r="A5099" s="176">
        <v>486</v>
      </c>
      <c r="B5099" s="249" t="s">
        <v>7864</v>
      </c>
      <c r="C5099" s="181" t="s">
        <v>81</v>
      </c>
      <c r="D5099" s="173">
        <v>0.02</v>
      </c>
      <c r="E5099" s="170" t="s">
        <v>30</v>
      </c>
      <c r="F5099" s="170" t="s">
        <v>188</v>
      </c>
      <c r="G5099" s="189" t="s">
        <v>7865</v>
      </c>
      <c r="H5099" s="171"/>
    </row>
    <row r="5100" ht="14.25" spans="1:8">
      <c r="A5100" s="176">
        <v>487</v>
      </c>
      <c r="B5100" s="249" t="s">
        <v>1150</v>
      </c>
      <c r="C5100" s="181" t="s">
        <v>81</v>
      </c>
      <c r="D5100" s="173">
        <v>0.025</v>
      </c>
      <c r="E5100" s="170" t="s">
        <v>30</v>
      </c>
      <c r="F5100" s="170" t="s">
        <v>188</v>
      </c>
      <c r="G5100" s="189" t="s">
        <v>7866</v>
      </c>
      <c r="H5100" s="171"/>
    </row>
    <row r="5101" ht="14.25" spans="1:8">
      <c r="A5101" s="176">
        <v>488</v>
      </c>
      <c r="B5101" s="249" t="s">
        <v>7867</v>
      </c>
      <c r="C5101" s="181" t="s">
        <v>81</v>
      </c>
      <c r="D5101" s="173">
        <v>0.03</v>
      </c>
      <c r="E5101" s="170" t="s">
        <v>30</v>
      </c>
      <c r="F5101" s="170" t="s">
        <v>188</v>
      </c>
      <c r="G5101" s="189" t="s">
        <v>7868</v>
      </c>
      <c r="H5101" s="171"/>
    </row>
    <row r="5102" ht="14.25" spans="1:8">
      <c r="A5102" s="176">
        <v>489</v>
      </c>
      <c r="B5102" s="189" t="s">
        <v>7869</v>
      </c>
      <c r="C5102" s="181" t="s">
        <v>81</v>
      </c>
      <c r="D5102" s="173">
        <v>0.45</v>
      </c>
      <c r="E5102" s="170" t="s">
        <v>30</v>
      </c>
      <c r="F5102" s="170" t="s">
        <v>188</v>
      </c>
      <c r="G5102" s="189" t="s">
        <v>7870</v>
      </c>
      <c r="H5102" s="171"/>
    </row>
    <row r="5103" ht="14.25" spans="1:8">
      <c r="A5103" s="176">
        <v>490</v>
      </c>
      <c r="B5103" s="189" t="s">
        <v>7871</v>
      </c>
      <c r="C5103" s="181" t="s">
        <v>81</v>
      </c>
      <c r="D5103" s="173">
        <v>0.03</v>
      </c>
      <c r="E5103" s="170" t="s">
        <v>30</v>
      </c>
      <c r="F5103" s="170" t="s">
        <v>188</v>
      </c>
      <c r="G5103" s="189" t="s">
        <v>7526</v>
      </c>
      <c r="H5103" s="171"/>
    </row>
    <row r="5104" ht="14.25" spans="1:8">
      <c r="A5104" s="176">
        <v>491</v>
      </c>
      <c r="B5104" s="175" t="s">
        <v>7872</v>
      </c>
      <c r="C5104" s="181" t="s">
        <v>81</v>
      </c>
      <c r="D5104" s="173">
        <v>0.03</v>
      </c>
      <c r="E5104" s="170" t="s">
        <v>30</v>
      </c>
      <c r="F5104" s="170" t="s">
        <v>188</v>
      </c>
      <c r="G5104" s="189" t="s">
        <v>7873</v>
      </c>
      <c r="H5104" s="171"/>
    </row>
    <row r="5105" ht="14.25" spans="1:8">
      <c r="A5105" s="176">
        <v>492</v>
      </c>
      <c r="B5105" s="175" t="s">
        <v>7874</v>
      </c>
      <c r="C5105" s="181" t="s">
        <v>81</v>
      </c>
      <c r="D5105" s="173">
        <v>0.08</v>
      </c>
      <c r="E5105" s="170" t="s">
        <v>30</v>
      </c>
      <c r="F5105" s="170" t="s">
        <v>188</v>
      </c>
      <c r="G5105" s="189" t="s">
        <v>7875</v>
      </c>
      <c r="H5105" s="171"/>
    </row>
    <row r="5106" ht="14.25" spans="1:8">
      <c r="A5106" s="176">
        <v>493</v>
      </c>
      <c r="B5106" s="175" t="s">
        <v>7872</v>
      </c>
      <c r="C5106" s="181" t="s">
        <v>81</v>
      </c>
      <c r="D5106" s="173">
        <v>0.05</v>
      </c>
      <c r="E5106" s="170" t="s">
        <v>30</v>
      </c>
      <c r="F5106" s="170" t="s">
        <v>188</v>
      </c>
      <c r="G5106" s="189" t="s">
        <v>7876</v>
      </c>
      <c r="H5106" s="171"/>
    </row>
    <row r="5107" ht="14.25" spans="1:8">
      <c r="A5107" s="176">
        <v>494</v>
      </c>
      <c r="B5107" s="175" t="s">
        <v>3737</v>
      </c>
      <c r="C5107" s="181" t="s">
        <v>81</v>
      </c>
      <c r="D5107" s="173">
        <v>0.18</v>
      </c>
      <c r="E5107" s="170" t="s">
        <v>30</v>
      </c>
      <c r="F5107" s="170" t="s">
        <v>188</v>
      </c>
      <c r="G5107" s="189" t="s">
        <v>7877</v>
      </c>
      <c r="H5107" s="171"/>
    </row>
    <row r="5108" ht="14.25" spans="1:8">
      <c r="A5108" s="176">
        <v>495</v>
      </c>
      <c r="B5108" s="175" t="s">
        <v>1252</v>
      </c>
      <c r="C5108" s="181" t="s">
        <v>81</v>
      </c>
      <c r="D5108" s="173">
        <v>0.04</v>
      </c>
      <c r="E5108" s="170" t="s">
        <v>30</v>
      </c>
      <c r="F5108" s="170" t="s">
        <v>188</v>
      </c>
      <c r="G5108" s="189" t="s">
        <v>7878</v>
      </c>
      <c r="H5108" s="171"/>
    </row>
    <row r="5109" ht="14.25" spans="1:8">
      <c r="A5109" s="176">
        <v>496</v>
      </c>
      <c r="B5109" s="175" t="s">
        <v>7879</v>
      </c>
      <c r="C5109" s="181" t="s">
        <v>81</v>
      </c>
      <c r="D5109" s="173">
        <v>0.09</v>
      </c>
      <c r="E5109" s="170" t="s">
        <v>30</v>
      </c>
      <c r="F5109" s="170" t="s">
        <v>188</v>
      </c>
      <c r="G5109" s="189" t="s">
        <v>7699</v>
      </c>
      <c r="H5109" s="171"/>
    </row>
    <row r="5110" ht="14.25" spans="1:8">
      <c r="A5110" s="176">
        <v>497</v>
      </c>
      <c r="B5110" s="175" t="s">
        <v>7880</v>
      </c>
      <c r="C5110" s="181" t="s">
        <v>81</v>
      </c>
      <c r="D5110" s="173">
        <v>0.4</v>
      </c>
      <c r="E5110" s="170" t="s">
        <v>30</v>
      </c>
      <c r="F5110" s="170" t="s">
        <v>188</v>
      </c>
      <c r="G5110" s="189" t="s">
        <v>7881</v>
      </c>
      <c r="H5110" s="171"/>
    </row>
    <row r="5111" ht="14.25" spans="1:8">
      <c r="A5111" s="176">
        <v>498</v>
      </c>
      <c r="B5111" s="175" t="s">
        <v>7882</v>
      </c>
      <c r="C5111" s="181" t="s">
        <v>81</v>
      </c>
      <c r="D5111" s="173">
        <v>0.01</v>
      </c>
      <c r="E5111" s="170" t="s">
        <v>30</v>
      </c>
      <c r="F5111" s="170" t="s">
        <v>188</v>
      </c>
      <c r="G5111" s="189" t="s">
        <v>7810</v>
      </c>
      <c r="H5111" s="171"/>
    </row>
    <row r="5112" ht="14.25" spans="1:8">
      <c r="A5112" s="176">
        <v>499</v>
      </c>
      <c r="B5112" s="171" t="s">
        <v>7883</v>
      </c>
      <c r="C5112" s="181" t="s">
        <v>81</v>
      </c>
      <c r="D5112" s="173">
        <v>0.22</v>
      </c>
      <c r="E5112" s="170" t="s">
        <v>30</v>
      </c>
      <c r="F5112" s="170" t="s">
        <v>188</v>
      </c>
      <c r="G5112" s="189" t="s">
        <v>7884</v>
      </c>
      <c r="H5112" s="171"/>
    </row>
    <row r="5113" ht="14.25" spans="1:8">
      <c r="A5113" s="176">
        <v>500</v>
      </c>
      <c r="B5113" s="171" t="s">
        <v>7885</v>
      </c>
      <c r="C5113" s="181" t="s">
        <v>81</v>
      </c>
      <c r="D5113" s="173">
        <v>0.01</v>
      </c>
      <c r="E5113" s="170" t="s">
        <v>30</v>
      </c>
      <c r="F5113" s="170" t="s">
        <v>188</v>
      </c>
      <c r="G5113" s="189" t="s">
        <v>1434</v>
      </c>
      <c r="H5113" s="171"/>
    </row>
    <row r="5114" ht="14.25" spans="1:8">
      <c r="A5114" s="176">
        <v>501</v>
      </c>
      <c r="B5114" s="171" t="s">
        <v>7886</v>
      </c>
      <c r="C5114" s="181" t="s">
        <v>81</v>
      </c>
      <c r="D5114" s="173">
        <v>0.2</v>
      </c>
      <c r="E5114" s="170" t="s">
        <v>30</v>
      </c>
      <c r="F5114" s="170" t="s">
        <v>188</v>
      </c>
      <c r="G5114" s="189" t="s">
        <v>7887</v>
      </c>
      <c r="H5114" s="171"/>
    </row>
    <row r="5115" ht="14.25" spans="1:8">
      <c r="A5115" s="176">
        <v>502</v>
      </c>
      <c r="B5115" s="171" t="s">
        <v>554</v>
      </c>
      <c r="C5115" s="181" t="s">
        <v>81</v>
      </c>
      <c r="D5115" s="173">
        <v>0.04</v>
      </c>
      <c r="E5115" s="170" t="s">
        <v>30</v>
      </c>
      <c r="F5115" s="170" t="s">
        <v>188</v>
      </c>
      <c r="G5115" s="189" t="s">
        <v>7848</v>
      </c>
      <c r="H5115" s="171"/>
    </row>
    <row r="5116" ht="14.25" spans="1:8">
      <c r="A5116" s="176">
        <v>503</v>
      </c>
      <c r="B5116" s="171" t="s">
        <v>7888</v>
      </c>
      <c r="C5116" s="181" t="s">
        <v>81</v>
      </c>
      <c r="D5116" s="173">
        <v>0.1</v>
      </c>
      <c r="E5116" s="170" t="s">
        <v>30</v>
      </c>
      <c r="F5116" s="170" t="s">
        <v>188</v>
      </c>
      <c r="G5116" s="189" t="s">
        <v>6783</v>
      </c>
      <c r="H5116" s="171"/>
    </row>
    <row r="5117" ht="14.25" spans="1:8">
      <c r="A5117" s="176">
        <v>504</v>
      </c>
      <c r="B5117" s="171" t="s">
        <v>7889</v>
      </c>
      <c r="C5117" s="181" t="s">
        <v>81</v>
      </c>
      <c r="D5117" s="173">
        <v>0.02</v>
      </c>
      <c r="E5117" s="170" t="s">
        <v>30</v>
      </c>
      <c r="F5117" s="170" t="s">
        <v>188</v>
      </c>
      <c r="G5117" s="189" t="s">
        <v>7890</v>
      </c>
      <c r="H5117" s="171"/>
    </row>
    <row r="5118" ht="14.25" spans="1:8">
      <c r="A5118" s="176">
        <v>505</v>
      </c>
      <c r="B5118" s="171" t="s">
        <v>7891</v>
      </c>
      <c r="C5118" s="181" t="s">
        <v>81</v>
      </c>
      <c r="D5118" s="173">
        <v>0.02</v>
      </c>
      <c r="E5118" s="170" t="s">
        <v>30</v>
      </c>
      <c r="F5118" s="170" t="s">
        <v>188</v>
      </c>
      <c r="G5118" s="189" t="s">
        <v>7892</v>
      </c>
      <c r="H5118" s="171"/>
    </row>
    <row r="5119" ht="25.5" spans="1:8">
      <c r="A5119" s="176">
        <v>506</v>
      </c>
      <c r="B5119" s="171" t="s">
        <v>7893</v>
      </c>
      <c r="C5119" s="181" t="s">
        <v>81</v>
      </c>
      <c r="D5119" s="173">
        <v>0.03</v>
      </c>
      <c r="E5119" s="170" t="s">
        <v>30</v>
      </c>
      <c r="F5119" s="170" t="s">
        <v>188</v>
      </c>
      <c r="G5119" s="189" t="s">
        <v>426</v>
      </c>
      <c r="H5119" s="171"/>
    </row>
    <row r="5120" ht="14.25" spans="1:8">
      <c r="A5120" s="176">
        <v>507</v>
      </c>
      <c r="B5120" s="171" t="s">
        <v>3687</v>
      </c>
      <c r="C5120" s="181" t="s">
        <v>81</v>
      </c>
      <c r="D5120" s="173">
        <v>0.03</v>
      </c>
      <c r="E5120" s="170" t="s">
        <v>30</v>
      </c>
      <c r="F5120" s="170" t="s">
        <v>188</v>
      </c>
      <c r="G5120" s="189" t="s">
        <v>7894</v>
      </c>
      <c r="H5120" s="171"/>
    </row>
    <row r="5121" ht="14.25" spans="1:8">
      <c r="A5121" s="176">
        <v>508</v>
      </c>
      <c r="B5121" s="171" t="s">
        <v>708</v>
      </c>
      <c r="C5121" s="181" t="s">
        <v>81</v>
      </c>
      <c r="D5121" s="173">
        <v>0.02</v>
      </c>
      <c r="E5121" s="170" t="s">
        <v>30</v>
      </c>
      <c r="F5121" s="170" t="s">
        <v>188</v>
      </c>
      <c r="G5121" s="189" t="s">
        <v>7678</v>
      </c>
      <c r="H5121" s="171"/>
    </row>
    <row r="5122" ht="14.25" spans="1:8">
      <c r="A5122" s="176">
        <v>509</v>
      </c>
      <c r="B5122" s="171" t="s">
        <v>7895</v>
      </c>
      <c r="C5122" s="181" t="s">
        <v>81</v>
      </c>
      <c r="D5122" s="173">
        <v>0.02</v>
      </c>
      <c r="E5122" s="170" t="s">
        <v>30</v>
      </c>
      <c r="F5122" s="170" t="s">
        <v>188</v>
      </c>
      <c r="G5122" s="189" t="s">
        <v>7831</v>
      </c>
      <c r="H5122" s="171"/>
    </row>
    <row r="5123" ht="14.25" spans="1:8">
      <c r="A5123" s="176">
        <v>510</v>
      </c>
      <c r="B5123" s="171" t="s">
        <v>7895</v>
      </c>
      <c r="C5123" s="181" t="s">
        <v>81</v>
      </c>
      <c r="D5123" s="173">
        <v>0.02</v>
      </c>
      <c r="E5123" s="170" t="s">
        <v>30</v>
      </c>
      <c r="F5123" s="170" t="s">
        <v>188</v>
      </c>
      <c r="G5123" s="189" t="s">
        <v>7839</v>
      </c>
      <c r="H5123" s="171"/>
    </row>
    <row r="5124" ht="14.25" spans="1:8">
      <c r="A5124" s="176">
        <v>511</v>
      </c>
      <c r="B5124" s="175" t="s">
        <v>7896</v>
      </c>
      <c r="C5124" s="181" t="s">
        <v>81</v>
      </c>
      <c r="D5124" s="173">
        <v>0.04</v>
      </c>
      <c r="E5124" s="170" t="s">
        <v>30</v>
      </c>
      <c r="F5124" s="170" t="s">
        <v>188</v>
      </c>
      <c r="G5124" s="189" t="s">
        <v>7897</v>
      </c>
      <c r="H5124" s="171"/>
    </row>
    <row r="5125" ht="14.25" spans="1:8">
      <c r="A5125" s="176">
        <v>512</v>
      </c>
      <c r="B5125" s="175" t="s">
        <v>7770</v>
      </c>
      <c r="C5125" s="181" t="s">
        <v>81</v>
      </c>
      <c r="D5125" s="173">
        <v>0.01</v>
      </c>
      <c r="E5125" s="170" t="s">
        <v>30</v>
      </c>
      <c r="F5125" s="170" t="s">
        <v>188</v>
      </c>
      <c r="G5125" s="189" t="s">
        <v>7898</v>
      </c>
      <c r="H5125" s="171"/>
    </row>
    <row r="5126" ht="14.25" spans="1:8">
      <c r="A5126" s="176">
        <v>513</v>
      </c>
      <c r="B5126" s="171" t="s">
        <v>7899</v>
      </c>
      <c r="C5126" s="181" t="s">
        <v>81</v>
      </c>
      <c r="D5126" s="173">
        <v>0.05</v>
      </c>
      <c r="E5126" s="170" t="s">
        <v>30</v>
      </c>
      <c r="F5126" s="170" t="s">
        <v>188</v>
      </c>
      <c r="G5126" s="189" t="s">
        <v>6464</v>
      </c>
      <c r="H5126" s="171"/>
    </row>
    <row r="5127" ht="14.25" spans="1:8">
      <c r="A5127" s="176">
        <v>514</v>
      </c>
      <c r="B5127" s="171" t="s">
        <v>7796</v>
      </c>
      <c r="C5127" s="181" t="s">
        <v>81</v>
      </c>
      <c r="D5127" s="173">
        <v>0.05</v>
      </c>
      <c r="E5127" s="170" t="s">
        <v>30</v>
      </c>
      <c r="F5127" s="170" t="s">
        <v>188</v>
      </c>
      <c r="G5127" s="189" t="s">
        <v>4290</v>
      </c>
      <c r="H5127" s="171"/>
    </row>
    <row r="5128" ht="14.25" spans="1:8">
      <c r="A5128" s="176">
        <v>515</v>
      </c>
      <c r="B5128" s="171" t="s">
        <v>7796</v>
      </c>
      <c r="C5128" s="181" t="s">
        <v>81</v>
      </c>
      <c r="D5128" s="173">
        <v>0.02</v>
      </c>
      <c r="E5128" s="170" t="s">
        <v>30</v>
      </c>
      <c r="F5128" s="170" t="s">
        <v>188</v>
      </c>
      <c r="G5128" s="189" t="s">
        <v>4286</v>
      </c>
      <c r="H5128" s="171"/>
    </row>
    <row r="5129" ht="14.25" spans="1:8">
      <c r="A5129" s="176">
        <v>516</v>
      </c>
      <c r="B5129" s="171" t="s">
        <v>7796</v>
      </c>
      <c r="C5129" s="181" t="s">
        <v>81</v>
      </c>
      <c r="D5129" s="173">
        <v>0.02</v>
      </c>
      <c r="E5129" s="170" t="s">
        <v>30</v>
      </c>
      <c r="F5129" s="170" t="s">
        <v>188</v>
      </c>
      <c r="G5129" s="189" t="s">
        <v>4950</v>
      </c>
      <c r="H5129" s="171"/>
    </row>
    <row r="5130" ht="14.25" spans="1:8">
      <c r="A5130" s="176">
        <v>517</v>
      </c>
      <c r="B5130" s="171" t="s">
        <v>7796</v>
      </c>
      <c r="C5130" s="181" t="s">
        <v>81</v>
      </c>
      <c r="D5130" s="173">
        <v>0.02</v>
      </c>
      <c r="E5130" s="170" t="s">
        <v>30</v>
      </c>
      <c r="F5130" s="170" t="s">
        <v>188</v>
      </c>
      <c r="G5130" s="189" t="s">
        <v>7900</v>
      </c>
      <c r="H5130" s="171"/>
    </row>
    <row r="5131" ht="14.25" spans="1:8">
      <c r="A5131" s="176">
        <v>518</v>
      </c>
      <c r="B5131" s="211" t="s">
        <v>3648</v>
      </c>
      <c r="C5131" s="181" t="s">
        <v>81</v>
      </c>
      <c r="D5131" s="173">
        <v>0.06</v>
      </c>
      <c r="E5131" s="170" t="s">
        <v>30</v>
      </c>
      <c r="F5131" s="170" t="s">
        <v>188</v>
      </c>
      <c r="G5131" s="196" t="s">
        <v>7901</v>
      </c>
      <c r="H5131" s="171"/>
    </row>
    <row r="5132" ht="14.25" spans="1:8">
      <c r="A5132" s="176">
        <v>519</v>
      </c>
      <c r="B5132" s="211" t="s">
        <v>3540</v>
      </c>
      <c r="C5132" s="181" t="s">
        <v>81</v>
      </c>
      <c r="D5132" s="173">
        <v>0.16</v>
      </c>
      <c r="E5132" s="170" t="s">
        <v>30</v>
      </c>
      <c r="F5132" s="170" t="s">
        <v>188</v>
      </c>
      <c r="G5132" s="196" t="s">
        <v>7902</v>
      </c>
      <c r="H5132" s="171"/>
    </row>
    <row r="5133" ht="14.25" spans="1:8">
      <c r="A5133" s="176">
        <v>520</v>
      </c>
      <c r="B5133" s="197" t="s">
        <v>2501</v>
      </c>
      <c r="C5133" s="181" t="s">
        <v>81</v>
      </c>
      <c r="D5133" s="173">
        <v>0.075</v>
      </c>
      <c r="E5133" s="170" t="s">
        <v>30</v>
      </c>
      <c r="F5133" s="170" t="s">
        <v>188</v>
      </c>
      <c r="G5133" s="196" t="s">
        <v>7903</v>
      </c>
      <c r="H5133" s="171"/>
    </row>
    <row r="5134" ht="14.25" spans="1:8">
      <c r="A5134" s="176">
        <v>521</v>
      </c>
      <c r="B5134" s="197" t="s">
        <v>2501</v>
      </c>
      <c r="C5134" s="181" t="s">
        <v>81</v>
      </c>
      <c r="D5134" s="173">
        <v>0.075</v>
      </c>
      <c r="E5134" s="170" t="s">
        <v>30</v>
      </c>
      <c r="F5134" s="170" t="s">
        <v>188</v>
      </c>
      <c r="G5134" s="196" t="s">
        <v>7904</v>
      </c>
      <c r="H5134" s="171"/>
    </row>
    <row r="5135" ht="14.25" spans="1:8">
      <c r="A5135" s="176">
        <v>522</v>
      </c>
      <c r="B5135" s="197" t="s">
        <v>7905</v>
      </c>
      <c r="C5135" s="181" t="s">
        <v>81</v>
      </c>
      <c r="D5135" s="173">
        <v>0.02</v>
      </c>
      <c r="E5135" s="170" t="s">
        <v>30</v>
      </c>
      <c r="F5135" s="170" t="s">
        <v>188</v>
      </c>
      <c r="G5135" s="196" t="s">
        <v>7906</v>
      </c>
      <c r="H5135" s="171"/>
    </row>
    <row r="5136" ht="14.25" spans="1:8">
      <c r="A5136" s="176">
        <v>523</v>
      </c>
      <c r="B5136" s="197" t="s">
        <v>7905</v>
      </c>
      <c r="C5136" s="181" t="s">
        <v>81</v>
      </c>
      <c r="D5136" s="173">
        <v>0.02</v>
      </c>
      <c r="E5136" s="170" t="s">
        <v>30</v>
      </c>
      <c r="F5136" s="170" t="s">
        <v>188</v>
      </c>
      <c r="G5136" s="196" t="s">
        <v>7907</v>
      </c>
      <c r="H5136" s="171"/>
    </row>
    <row r="5137" ht="14.25" spans="1:8">
      <c r="A5137" s="176">
        <v>524</v>
      </c>
      <c r="B5137" s="197" t="s">
        <v>7905</v>
      </c>
      <c r="C5137" s="181" t="s">
        <v>81</v>
      </c>
      <c r="D5137" s="173">
        <v>0.02</v>
      </c>
      <c r="E5137" s="170" t="s">
        <v>30</v>
      </c>
      <c r="F5137" s="170" t="s">
        <v>188</v>
      </c>
      <c r="G5137" s="196" t="s">
        <v>7908</v>
      </c>
      <c r="H5137" s="171"/>
    </row>
    <row r="5138" ht="14.25" spans="1:8">
      <c r="A5138" s="176">
        <v>525</v>
      </c>
      <c r="B5138" s="197" t="s">
        <v>7905</v>
      </c>
      <c r="C5138" s="181" t="s">
        <v>81</v>
      </c>
      <c r="D5138" s="173">
        <v>0.02</v>
      </c>
      <c r="E5138" s="170" t="s">
        <v>30</v>
      </c>
      <c r="F5138" s="170" t="s">
        <v>188</v>
      </c>
      <c r="G5138" s="196" t="s">
        <v>7909</v>
      </c>
      <c r="H5138" s="171"/>
    </row>
    <row r="5139" ht="14.25" spans="1:8">
      <c r="A5139" s="176">
        <v>526</v>
      </c>
      <c r="B5139" s="197" t="s">
        <v>7905</v>
      </c>
      <c r="C5139" s="181" t="s">
        <v>81</v>
      </c>
      <c r="D5139" s="173">
        <v>0.02</v>
      </c>
      <c r="E5139" s="170" t="s">
        <v>30</v>
      </c>
      <c r="F5139" s="170" t="s">
        <v>188</v>
      </c>
      <c r="G5139" s="196" t="s">
        <v>7910</v>
      </c>
      <c r="H5139" s="171"/>
    </row>
    <row r="5140" ht="14.25" spans="1:8">
      <c r="A5140" s="176">
        <v>527</v>
      </c>
      <c r="B5140" s="197" t="s">
        <v>7905</v>
      </c>
      <c r="C5140" s="181" t="s">
        <v>81</v>
      </c>
      <c r="D5140" s="173">
        <v>0.02</v>
      </c>
      <c r="E5140" s="170" t="s">
        <v>30</v>
      </c>
      <c r="F5140" s="170" t="s">
        <v>188</v>
      </c>
      <c r="G5140" s="196" t="s">
        <v>7911</v>
      </c>
      <c r="H5140" s="171"/>
    </row>
    <row r="5141" ht="14.25" spans="1:8">
      <c r="A5141" s="176">
        <v>528</v>
      </c>
      <c r="B5141" s="197" t="s">
        <v>7905</v>
      </c>
      <c r="C5141" s="181" t="s">
        <v>81</v>
      </c>
      <c r="D5141" s="173">
        <v>0.02</v>
      </c>
      <c r="E5141" s="170" t="s">
        <v>30</v>
      </c>
      <c r="F5141" s="170" t="s">
        <v>188</v>
      </c>
      <c r="G5141" s="196" t="s">
        <v>7912</v>
      </c>
      <c r="H5141" s="171"/>
    </row>
    <row r="5142" ht="14.25" spans="1:8">
      <c r="A5142" s="176">
        <v>529</v>
      </c>
      <c r="B5142" s="197" t="s">
        <v>7905</v>
      </c>
      <c r="C5142" s="181" t="s">
        <v>81</v>
      </c>
      <c r="D5142" s="173">
        <v>0.02</v>
      </c>
      <c r="E5142" s="170" t="s">
        <v>30</v>
      </c>
      <c r="F5142" s="170" t="s">
        <v>188</v>
      </c>
      <c r="G5142" s="196" t="s">
        <v>7913</v>
      </c>
      <c r="H5142" s="171"/>
    </row>
    <row r="5143" ht="14.25" spans="1:8">
      <c r="A5143" s="176">
        <v>530</v>
      </c>
      <c r="B5143" s="197" t="s">
        <v>7905</v>
      </c>
      <c r="C5143" s="181" t="s">
        <v>81</v>
      </c>
      <c r="D5143" s="173">
        <v>0.02</v>
      </c>
      <c r="E5143" s="170" t="s">
        <v>30</v>
      </c>
      <c r="F5143" s="170" t="s">
        <v>188</v>
      </c>
      <c r="G5143" s="196" t="s">
        <v>7914</v>
      </c>
      <c r="H5143" s="171"/>
    </row>
    <row r="5144" ht="14.25" spans="1:8">
      <c r="A5144" s="176">
        <v>531</v>
      </c>
      <c r="B5144" s="197" t="s">
        <v>7905</v>
      </c>
      <c r="C5144" s="181" t="s">
        <v>81</v>
      </c>
      <c r="D5144" s="173">
        <v>0.02</v>
      </c>
      <c r="E5144" s="170" t="s">
        <v>30</v>
      </c>
      <c r="F5144" s="170" t="s">
        <v>188</v>
      </c>
      <c r="G5144" s="196" t="s">
        <v>7915</v>
      </c>
      <c r="H5144" s="171"/>
    </row>
    <row r="5145" ht="14.25" spans="1:8">
      <c r="A5145" s="176">
        <v>532</v>
      </c>
      <c r="B5145" s="197" t="s">
        <v>7905</v>
      </c>
      <c r="C5145" s="181" t="s">
        <v>81</v>
      </c>
      <c r="D5145" s="173">
        <v>0.02</v>
      </c>
      <c r="E5145" s="170" t="s">
        <v>30</v>
      </c>
      <c r="F5145" s="170" t="s">
        <v>188</v>
      </c>
      <c r="G5145" s="196" t="s">
        <v>7916</v>
      </c>
      <c r="H5145" s="171"/>
    </row>
    <row r="5146" ht="14.25" spans="1:8">
      <c r="A5146" s="176">
        <v>533</v>
      </c>
      <c r="B5146" s="197" t="s">
        <v>7905</v>
      </c>
      <c r="C5146" s="181" t="s">
        <v>81</v>
      </c>
      <c r="D5146" s="173">
        <v>0.02</v>
      </c>
      <c r="E5146" s="170" t="s">
        <v>30</v>
      </c>
      <c r="F5146" s="170" t="s">
        <v>188</v>
      </c>
      <c r="G5146" s="196" t="s">
        <v>7917</v>
      </c>
      <c r="H5146" s="171"/>
    </row>
    <row r="5147" ht="14.25" spans="1:8">
      <c r="A5147" s="176">
        <v>534</v>
      </c>
      <c r="B5147" s="197" t="s">
        <v>7905</v>
      </c>
      <c r="C5147" s="181" t="s">
        <v>81</v>
      </c>
      <c r="D5147" s="173">
        <v>0.02</v>
      </c>
      <c r="E5147" s="170" t="s">
        <v>30</v>
      </c>
      <c r="F5147" s="170" t="s">
        <v>188</v>
      </c>
      <c r="G5147" s="196" t="s">
        <v>7918</v>
      </c>
      <c r="H5147" s="171"/>
    </row>
    <row r="5148" ht="14.25" spans="1:8">
      <c r="A5148" s="176">
        <v>535</v>
      </c>
      <c r="B5148" s="197" t="s">
        <v>7905</v>
      </c>
      <c r="C5148" s="181" t="s">
        <v>81</v>
      </c>
      <c r="D5148" s="173">
        <v>0.02</v>
      </c>
      <c r="E5148" s="170" t="s">
        <v>30</v>
      </c>
      <c r="F5148" s="170" t="s">
        <v>188</v>
      </c>
      <c r="G5148" s="196" t="s">
        <v>7919</v>
      </c>
      <c r="H5148" s="171"/>
    </row>
    <row r="5149" ht="14.25" spans="1:8">
      <c r="A5149" s="176">
        <v>536</v>
      </c>
      <c r="B5149" s="197" t="s">
        <v>7905</v>
      </c>
      <c r="C5149" s="181" t="s">
        <v>81</v>
      </c>
      <c r="D5149" s="173">
        <v>0.02</v>
      </c>
      <c r="E5149" s="170" t="s">
        <v>30</v>
      </c>
      <c r="F5149" s="170" t="s">
        <v>188</v>
      </c>
      <c r="G5149" s="196" t="s">
        <v>7920</v>
      </c>
      <c r="H5149" s="171"/>
    </row>
    <row r="5150" ht="14.25" spans="1:8">
      <c r="A5150" s="176">
        <v>537</v>
      </c>
      <c r="B5150" s="197" t="s">
        <v>7905</v>
      </c>
      <c r="C5150" s="181" t="s">
        <v>81</v>
      </c>
      <c r="D5150" s="173">
        <v>0.02</v>
      </c>
      <c r="E5150" s="170" t="s">
        <v>30</v>
      </c>
      <c r="F5150" s="170" t="s">
        <v>188</v>
      </c>
      <c r="G5150" s="196" t="s">
        <v>7921</v>
      </c>
      <c r="H5150" s="171"/>
    </row>
    <row r="5151" ht="14.25" spans="1:8">
      <c r="A5151" s="176">
        <v>538</v>
      </c>
      <c r="B5151" s="197" t="s">
        <v>7905</v>
      </c>
      <c r="C5151" s="181" t="s">
        <v>81</v>
      </c>
      <c r="D5151" s="173">
        <v>0.02</v>
      </c>
      <c r="E5151" s="170" t="s">
        <v>30</v>
      </c>
      <c r="F5151" s="170" t="s">
        <v>188</v>
      </c>
      <c r="G5151" s="196" t="s">
        <v>7922</v>
      </c>
      <c r="H5151" s="171"/>
    </row>
    <row r="5152" ht="14.25" spans="1:8">
      <c r="A5152" s="176">
        <v>539</v>
      </c>
      <c r="B5152" s="197" t="s">
        <v>7923</v>
      </c>
      <c r="C5152" s="181" t="s">
        <v>81</v>
      </c>
      <c r="D5152" s="173">
        <v>0.02</v>
      </c>
      <c r="E5152" s="170" t="s">
        <v>30</v>
      </c>
      <c r="F5152" s="170" t="s">
        <v>188</v>
      </c>
      <c r="G5152" s="196" t="s">
        <v>7924</v>
      </c>
      <c r="H5152" s="171"/>
    </row>
    <row r="5153" ht="14.25" spans="1:8">
      <c r="A5153" s="176">
        <v>540</v>
      </c>
      <c r="B5153" s="197" t="s">
        <v>7923</v>
      </c>
      <c r="C5153" s="181" t="s">
        <v>81</v>
      </c>
      <c r="D5153" s="173">
        <v>0.02</v>
      </c>
      <c r="E5153" s="170" t="s">
        <v>30</v>
      </c>
      <c r="F5153" s="170" t="s">
        <v>188</v>
      </c>
      <c r="G5153" s="196" t="s">
        <v>7925</v>
      </c>
      <c r="H5153" s="171"/>
    </row>
    <row r="5154" ht="14.25" spans="1:8">
      <c r="A5154" s="176">
        <v>541</v>
      </c>
      <c r="B5154" s="197" t="s">
        <v>7923</v>
      </c>
      <c r="C5154" s="181" t="s">
        <v>81</v>
      </c>
      <c r="D5154" s="173">
        <v>0.02</v>
      </c>
      <c r="E5154" s="170" t="s">
        <v>30</v>
      </c>
      <c r="F5154" s="170" t="s">
        <v>188</v>
      </c>
      <c r="G5154" s="196" t="s">
        <v>7926</v>
      </c>
      <c r="H5154" s="171"/>
    </row>
    <row r="5155" ht="14.25" spans="1:8">
      <c r="A5155" s="176">
        <v>542</v>
      </c>
      <c r="B5155" s="197" t="s">
        <v>7923</v>
      </c>
      <c r="C5155" s="181" t="s">
        <v>81</v>
      </c>
      <c r="D5155" s="173">
        <v>0.02</v>
      </c>
      <c r="E5155" s="170" t="s">
        <v>30</v>
      </c>
      <c r="F5155" s="170" t="s">
        <v>188</v>
      </c>
      <c r="G5155" s="196" t="s">
        <v>7927</v>
      </c>
      <c r="H5155" s="171"/>
    </row>
    <row r="5156" ht="14.25" spans="1:8">
      <c r="A5156" s="176">
        <v>543</v>
      </c>
      <c r="B5156" s="197" t="s">
        <v>7923</v>
      </c>
      <c r="C5156" s="181" t="s">
        <v>81</v>
      </c>
      <c r="D5156" s="173">
        <v>0.02</v>
      </c>
      <c r="E5156" s="170" t="s">
        <v>30</v>
      </c>
      <c r="F5156" s="170" t="s">
        <v>188</v>
      </c>
      <c r="G5156" s="196" t="s">
        <v>7928</v>
      </c>
      <c r="H5156" s="171"/>
    </row>
    <row r="5157" ht="14.25" spans="1:8">
      <c r="A5157" s="176">
        <v>544</v>
      </c>
      <c r="B5157" s="197" t="s">
        <v>7923</v>
      </c>
      <c r="C5157" s="181" t="s">
        <v>81</v>
      </c>
      <c r="D5157" s="173">
        <v>0.02</v>
      </c>
      <c r="E5157" s="170" t="s">
        <v>30</v>
      </c>
      <c r="F5157" s="170" t="s">
        <v>188</v>
      </c>
      <c r="G5157" s="196" t="s">
        <v>7929</v>
      </c>
      <c r="H5157" s="171"/>
    </row>
    <row r="5158" ht="14.25" spans="1:8">
      <c r="A5158" s="176">
        <v>545</v>
      </c>
      <c r="B5158" s="197" t="s">
        <v>7923</v>
      </c>
      <c r="C5158" s="181" t="s">
        <v>81</v>
      </c>
      <c r="D5158" s="173">
        <v>0.02</v>
      </c>
      <c r="E5158" s="170" t="s">
        <v>30</v>
      </c>
      <c r="F5158" s="170" t="s">
        <v>188</v>
      </c>
      <c r="G5158" s="196" t="s">
        <v>7930</v>
      </c>
      <c r="H5158" s="171"/>
    </row>
    <row r="5159" ht="14.25" spans="1:8">
      <c r="A5159" s="176">
        <v>546</v>
      </c>
      <c r="B5159" s="197" t="s">
        <v>7923</v>
      </c>
      <c r="C5159" s="181" t="s">
        <v>81</v>
      </c>
      <c r="D5159" s="173">
        <v>0.02</v>
      </c>
      <c r="E5159" s="170" t="s">
        <v>30</v>
      </c>
      <c r="F5159" s="170" t="s">
        <v>188</v>
      </c>
      <c r="G5159" s="196" t="s">
        <v>4465</v>
      </c>
      <c r="H5159" s="171"/>
    </row>
    <row r="5160" ht="14.25" spans="1:8">
      <c r="A5160" s="176">
        <v>547</v>
      </c>
      <c r="B5160" s="197" t="s">
        <v>7923</v>
      </c>
      <c r="C5160" s="181" t="s">
        <v>81</v>
      </c>
      <c r="D5160" s="173">
        <v>0.02</v>
      </c>
      <c r="E5160" s="170" t="s">
        <v>30</v>
      </c>
      <c r="F5160" s="170" t="s">
        <v>188</v>
      </c>
      <c r="G5160" s="196" t="s">
        <v>7931</v>
      </c>
      <c r="H5160" s="171"/>
    </row>
    <row r="5161" ht="14.25" spans="1:8">
      <c r="A5161" s="176">
        <v>548</v>
      </c>
      <c r="B5161" s="197" t="s">
        <v>7923</v>
      </c>
      <c r="C5161" s="181" t="s">
        <v>81</v>
      </c>
      <c r="D5161" s="173">
        <v>0.02</v>
      </c>
      <c r="E5161" s="170" t="s">
        <v>30</v>
      </c>
      <c r="F5161" s="170" t="s">
        <v>188</v>
      </c>
      <c r="G5161" s="196" t="s">
        <v>7932</v>
      </c>
      <c r="H5161" s="171"/>
    </row>
    <row r="5162" ht="14.25" spans="1:8">
      <c r="A5162" s="176">
        <v>549</v>
      </c>
      <c r="B5162" s="197" t="s">
        <v>7923</v>
      </c>
      <c r="C5162" s="181" t="s">
        <v>81</v>
      </c>
      <c r="D5162" s="173">
        <v>0.02</v>
      </c>
      <c r="E5162" s="170" t="s">
        <v>30</v>
      </c>
      <c r="F5162" s="170" t="s">
        <v>188</v>
      </c>
      <c r="G5162" s="196" t="s">
        <v>7933</v>
      </c>
      <c r="H5162" s="171"/>
    </row>
    <row r="5163" ht="14.25" spans="1:8">
      <c r="A5163" s="176">
        <v>550</v>
      </c>
      <c r="B5163" s="197" t="s">
        <v>7923</v>
      </c>
      <c r="C5163" s="181" t="s">
        <v>81</v>
      </c>
      <c r="D5163" s="173">
        <v>0.02</v>
      </c>
      <c r="E5163" s="170" t="s">
        <v>30</v>
      </c>
      <c r="F5163" s="170" t="s">
        <v>188</v>
      </c>
      <c r="G5163" s="196" t="s">
        <v>7934</v>
      </c>
      <c r="H5163" s="171"/>
    </row>
    <row r="5164" ht="14.25" spans="1:8">
      <c r="A5164" s="176">
        <v>551</v>
      </c>
      <c r="B5164" s="197" t="s">
        <v>7923</v>
      </c>
      <c r="C5164" s="181" t="s">
        <v>81</v>
      </c>
      <c r="D5164" s="173">
        <v>0.02</v>
      </c>
      <c r="E5164" s="170" t="s">
        <v>30</v>
      </c>
      <c r="F5164" s="170" t="s">
        <v>188</v>
      </c>
      <c r="G5164" s="196" t="s">
        <v>7935</v>
      </c>
      <c r="H5164" s="171"/>
    </row>
    <row r="5165" ht="14.25" spans="1:8">
      <c r="A5165" s="176">
        <v>552</v>
      </c>
      <c r="B5165" s="197" t="s">
        <v>7923</v>
      </c>
      <c r="C5165" s="181" t="s">
        <v>81</v>
      </c>
      <c r="D5165" s="173">
        <v>0.02</v>
      </c>
      <c r="E5165" s="170" t="s">
        <v>30</v>
      </c>
      <c r="F5165" s="170" t="s">
        <v>188</v>
      </c>
      <c r="G5165" s="196" t="s">
        <v>7936</v>
      </c>
      <c r="H5165" s="171"/>
    </row>
    <row r="5166" spans="1:10">
      <c r="A5166" s="176">
        <v>553</v>
      </c>
      <c r="B5166" s="219" t="s">
        <v>2128</v>
      </c>
      <c r="C5166" s="175" t="s">
        <v>81</v>
      </c>
      <c r="D5166" s="221">
        <v>0.16</v>
      </c>
      <c r="E5166" s="199" t="s">
        <v>30</v>
      </c>
      <c r="F5166" s="199" t="s">
        <v>188</v>
      </c>
      <c r="G5166" s="222" t="s">
        <v>7937</v>
      </c>
      <c r="H5166" s="171"/>
      <c r="J5166" s="271"/>
    </row>
    <row r="5167" ht="14.25" spans="1:8">
      <c r="A5167" s="176">
        <v>554</v>
      </c>
      <c r="B5167" s="219" t="s">
        <v>2128</v>
      </c>
      <c r="C5167" s="175" t="s">
        <v>81</v>
      </c>
      <c r="D5167" s="221">
        <v>0.2</v>
      </c>
      <c r="E5167" s="199" t="s">
        <v>30</v>
      </c>
      <c r="F5167" s="199" t="s">
        <v>188</v>
      </c>
      <c r="G5167" s="222" t="s">
        <v>7938</v>
      </c>
      <c r="H5167" s="171"/>
    </row>
    <row r="5168" ht="14.25" spans="1:8">
      <c r="A5168" s="176">
        <v>555</v>
      </c>
      <c r="B5168" s="201" t="s">
        <v>7939</v>
      </c>
      <c r="C5168" s="195" t="s">
        <v>81</v>
      </c>
      <c r="D5168" s="173">
        <v>0.07</v>
      </c>
      <c r="E5168" s="241" t="s">
        <v>30</v>
      </c>
      <c r="F5168" s="241" t="s">
        <v>188</v>
      </c>
      <c r="G5168" s="202" t="s">
        <v>7940</v>
      </c>
      <c r="H5168" s="171"/>
    </row>
    <row r="5169" ht="14.25" spans="1:8">
      <c r="A5169" s="176">
        <v>556</v>
      </c>
      <c r="B5169" s="201" t="s">
        <v>1081</v>
      </c>
      <c r="C5169" s="195" t="s">
        <v>81</v>
      </c>
      <c r="D5169" s="173">
        <v>0.02</v>
      </c>
      <c r="E5169" s="241" t="s">
        <v>30</v>
      </c>
      <c r="F5169" s="241" t="s">
        <v>188</v>
      </c>
      <c r="G5169" s="202" t="s">
        <v>7941</v>
      </c>
      <c r="H5169" s="171"/>
    </row>
    <row r="5170" ht="14.25" spans="1:8">
      <c r="A5170" s="176">
        <v>557</v>
      </c>
      <c r="B5170" s="171" t="s">
        <v>7942</v>
      </c>
      <c r="C5170" s="195" t="s">
        <v>81</v>
      </c>
      <c r="D5170" s="173">
        <v>0.19</v>
      </c>
      <c r="E5170" s="241" t="s">
        <v>30</v>
      </c>
      <c r="F5170" s="241" t="s">
        <v>188</v>
      </c>
      <c r="G5170" s="270" t="s">
        <v>7943</v>
      </c>
      <c r="H5170" s="171"/>
    </row>
    <row r="5171" ht="14.25" spans="1:8">
      <c r="A5171" s="176">
        <v>558</v>
      </c>
      <c r="B5171" s="171" t="s">
        <v>6418</v>
      </c>
      <c r="C5171" s="195" t="s">
        <v>81</v>
      </c>
      <c r="D5171" s="173">
        <v>0.02</v>
      </c>
      <c r="E5171" s="241" t="s">
        <v>30</v>
      </c>
      <c r="F5171" s="241" t="s">
        <v>188</v>
      </c>
      <c r="G5171" s="270" t="s">
        <v>7944</v>
      </c>
      <c r="H5171" s="171"/>
    </row>
    <row r="5172" ht="14.25" spans="1:8">
      <c r="A5172" s="176">
        <v>559</v>
      </c>
      <c r="B5172" s="197" t="s">
        <v>7781</v>
      </c>
      <c r="C5172" s="181" t="s">
        <v>81</v>
      </c>
      <c r="D5172" s="173">
        <v>0.02</v>
      </c>
      <c r="E5172" s="170" t="s">
        <v>30</v>
      </c>
      <c r="F5172" s="170" t="s">
        <v>188</v>
      </c>
      <c r="G5172" s="196" t="s">
        <v>1436</v>
      </c>
      <c r="H5172" s="171"/>
    </row>
    <row r="5173" ht="14.25" spans="1:8">
      <c r="A5173" s="176">
        <v>560</v>
      </c>
      <c r="B5173" s="197" t="s">
        <v>7781</v>
      </c>
      <c r="C5173" s="181" t="s">
        <v>81</v>
      </c>
      <c r="D5173" s="173">
        <v>0.08</v>
      </c>
      <c r="E5173" s="170" t="s">
        <v>30</v>
      </c>
      <c r="F5173" s="170" t="s">
        <v>188</v>
      </c>
      <c r="G5173" s="196" t="s">
        <v>7782</v>
      </c>
      <c r="H5173" s="171"/>
    </row>
    <row r="5174" ht="14.25" spans="1:8">
      <c r="A5174" s="176">
        <v>561</v>
      </c>
      <c r="B5174" s="196" t="s">
        <v>7693</v>
      </c>
      <c r="C5174" s="181" t="s">
        <v>81</v>
      </c>
      <c r="D5174" s="173">
        <v>0.01</v>
      </c>
      <c r="E5174" s="170" t="s">
        <v>30</v>
      </c>
      <c r="F5174" s="170" t="s">
        <v>188</v>
      </c>
      <c r="G5174" s="196" t="s">
        <v>1615</v>
      </c>
      <c r="H5174" s="171"/>
    </row>
    <row r="5175" ht="14.25" spans="1:8">
      <c r="A5175" s="176">
        <v>562</v>
      </c>
      <c r="B5175" s="196" t="s">
        <v>7298</v>
      </c>
      <c r="C5175" s="181" t="s">
        <v>81</v>
      </c>
      <c r="D5175" s="173">
        <v>0.2</v>
      </c>
      <c r="E5175" s="170" t="s">
        <v>30</v>
      </c>
      <c r="F5175" s="170" t="s">
        <v>188</v>
      </c>
      <c r="G5175" s="196" t="s">
        <v>7299</v>
      </c>
      <c r="H5175" s="171"/>
    </row>
    <row r="5176" ht="14.25" spans="1:8">
      <c r="A5176" s="176">
        <v>563</v>
      </c>
      <c r="B5176" s="196" t="s">
        <v>6376</v>
      </c>
      <c r="C5176" s="181" t="s">
        <v>81</v>
      </c>
      <c r="D5176" s="173">
        <v>0.06</v>
      </c>
      <c r="E5176" s="170" t="s">
        <v>30</v>
      </c>
      <c r="F5176" s="170" t="s">
        <v>188</v>
      </c>
      <c r="G5176" s="196" t="s">
        <v>7945</v>
      </c>
      <c r="H5176" s="171"/>
    </row>
    <row r="5177" ht="14.25" spans="1:8">
      <c r="A5177" s="176">
        <v>564</v>
      </c>
      <c r="B5177" s="196" t="s">
        <v>6376</v>
      </c>
      <c r="C5177" s="181" t="s">
        <v>81</v>
      </c>
      <c r="D5177" s="173">
        <v>0.06</v>
      </c>
      <c r="E5177" s="170" t="s">
        <v>30</v>
      </c>
      <c r="F5177" s="170" t="s">
        <v>188</v>
      </c>
      <c r="G5177" s="196" t="s">
        <v>7946</v>
      </c>
      <c r="H5177" s="171"/>
    </row>
    <row r="5178" ht="14.25" spans="1:8">
      <c r="A5178" s="176">
        <v>565</v>
      </c>
      <c r="B5178" s="196" t="s">
        <v>7947</v>
      </c>
      <c r="C5178" s="181" t="s">
        <v>81</v>
      </c>
      <c r="D5178" s="173">
        <v>0.11</v>
      </c>
      <c r="E5178" s="170" t="s">
        <v>30</v>
      </c>
      <c r="F5178" s="170" t="s">
        <v>188</v>
      </c>
      <c r="G5178" s="196" t="s">
        <v>7948</v>
      </c>
      <c r="H5178" s="171"/>
    </row>
    <row r="5179" ht="14.25" spans="1:8">
      <c r="A5179" s="176">
        <v>566</v>
      </c>
      <c r="B5179" s="196" t="s">
        <v>7949</v>
      </c>
      <c r="C5179" s="181" t="s">
        <v>81</v>
      </c>
      <c r="D5179" s="173">
        <v>0.06</v>
      </c>
      <c r="E5179" s="170" t="s">
        <v>30</v>
      </c>
      <c r="F5179" s="170" t="s">
        <v>188</v>
      </c>
      <c r="G5179" s="196" t="s">
        <v>7950</v>
      </c>
      <c r="H5179" s="171"/>
    </row>
    <row r="5180" ht="25.5" spans="1:8">
      <c r="A5180" s="176">
        <v>567</v>
      </c>
      <c r="B5180" s="196" t="s">
        <v>7951</v>
      </c>
      <c r="C5180" s="181" t="s">
        <v>81</v>
      </c>
      <c r="D5180" s="173">
        <v>0.13</v>
      </c>
      <c r="E5180" s="170" t="s">
        <v>30</v>
      </c>
      <c r="F5180" s="170" t="s">
        <v>188</v>
      </c>
      <c r="G5180" s="196" t="s">
        <v>7952</v>
      </c>
      <c r="H5180" s="171"/>
    </row>
    <row r="5181" ht="14.25" spans="1:8">
      <c r="A5181" s="176">
        <v>568</v>
      </c>
      <c r="B5181" s="196" t="s">
        <v>7872</v>
      </c>
      <c r="C5181" s="181" t="s">
        <v>81</v>
      </c>
      <c r="D5181" s="173">
        <v>0.15</v>
      </c>
      <c r="E5181" s="170" t="s">
        <v>30</v>
      </c>
      <c r="F5181" s="170" t="s">
        <v>188</v>
      </c>
      <c r="G5181" s="196" t="s">
        <v>7856</v>
      </c>
      <c r="H5181" s="171"/>
    </row>
    <row r="5182" ht="14.25" spans="1:8">
      <c r="A5182" s="176">
        <v>569</v>
      </c>
      <c r="B5182" s="196" t="s">
        <v>7953</v>
      </c>
      <c r="C5182" s="181" t="s">
        <v>81</v>
      </c>
      <c r="D5182" s="173">
        <v>0.03</v>
      </c>
      <c r="E5182" s="170" t="s">
        <v>30</v>
      </c>
      <c r="F5182" s="170" t="s">
        <v>188</v>
      </c>
      <c r="G5182" s="196" t="s">
        <v>6466</v>
      </c>
      <c r="H5182" s="171"/>
    </row>
    <row r="5183" ht="14.25" spans="1:8">
      <c r="A5183" s="176">
        <v>570</v>
      </c>
      <c r="B5183" s="196" t="s">
        <v>1450</v>
      </c>
      <c r="C5183" s="181" t="s">
        <v>81</v>
      </c>
      <c r="D5183" s="173">
        <v>0.09</v>
      </c>
      <c r="E5183" s="170" t="s">
        <v>30</v>
      </c>
      <c r="F5183" s="170" t="s">
        <v>188</v>
      </c>
      <c r="G5183" s="196" t="s">
        <v>7954</v>
      </c>
      <c r="H5183" s="171"/>
    </row>
    <row r="5184" ht="14.25" spans="1:8">
      <c r="A5184" s="176">
        <v>571</v>
      </c>
      <c r="B5184" s="195" t="s">
        <v>7955</v>
      </c>
      <c r="C5184" s="181" t="s">
        <v>81</v>
      </c>
      <c r="D5184" s="173">
        <v>0.09</v>
      </c>
      <c r="E5184" s="170" t="s">
        <v>30</v>
      </c>
      <c r="F5184" s="170" t="s">
        <v>188</v>
      </c>
      <c r="G5184" s="196" t="s">
        <v>7956</v>
      </c>
      <c r="H5184" s="171"/>
    </row>
    <row r="5185" ht="14.25" spans="1:8">
      <c r="A5185" s="176">
        <v>572</v>
      </c>
      <c r="B5185" s="195" t="s">
        <v>7957</v>
      </c>
      <c r="C5185" s="181" t="s">
        <v>81</v>
      </c>
      <c r="D5185" s="173">
        <v>0.09</v>
      </c>
      <c r="E5185" s="170" t="s">
        <v>30</v>
      </c>
      <c r="F5185" s="170" t="s">
        <v>188</v>
      </c>
      <c r="G5185" s="196" t="s">
        <v>7958</v>
      </c>
      <c r="H5185" s="171"/>
    </row>
    <row r="5186" ht="14.25" spans="1:8">
      <c r="A5186" s="176">
        <v>573</v>
      </c>
      <c r="B5186" s="195" t="s">
        <v>2485</v>
      </c>
      <c r="C5186" s="181" t="s">
        <v>81</v>
      </c>
      <c r="D5186" s="173">
        <v>0.02</v>
      </c>
      <c r="E5186" s="170" t="s">
        <v>30</v>
      </c>
      <c r="F5186" s="170" t="s">
        <v>188</v>
      </c>
      <c r="G5186" s="196" t="s">
        <v>7304</v>
      </c>
      <c r="H5186" s="171"/>
    </row>
    <row r="5187" ht="14.25" spans="1:8">
      <c r="A5187" s="176">
        <v>574</v>
      </c>
      <c r="B5187" s="195" t="s">
        <v>2485</v>
      </c>
      <c r="C5187" s="181" t="s">
        <v>81</v>
      </c>
      <c r="D5187" s="173">
        <v>0.06</v>
      </c>
      <c r="E5187" s="170" t="s">
        <v>30</v>
      </c>
      <c r="F5187" s="170" t="s">
        <v>188</v>
      </c>
      <c r="G5187" s="196" t="s">
        <v>7304</v>
      </c>
      <c r="H5187" s="171"/>
    </row>
    <row r="5188" ht="14.25" spans="1:8">
      <c r="A5188" s="176">
        <v>575</v>
      </c>
      <c r="B5188" s="195" t="s">
        <v>7959</v>
      </c>
      <c r="C5188" s="181" t="s">
        <v>81</v>
      </c>
      <c r="D5188" s="173">
        <v>0.02</v>
      </c>
      <c r="E5188" s="170" t="s">
        <v>30</v>
      </c>
      <c r="F5188" s="170" t="s">
        <v>188</v>
      </c>
      <c r="G5188" s="196" t="s">
        <v>7836</v>
      </c>
      <c r="H5188" s="171"/>
    </row>
    <row r="5189" ht="14.25" spans="1:8">
      <c r="A5189" s="176">
        <v>576</v>
      </c>
      <c r="B5189" s="195" t="s">
        <v>7960</v>
      </c>
      <c r="C5189" s="181" t="s">
        <v>81</v>
      </c>
      <c r="D5189" s="173">
        <v>0.02</v>
      </c>
      <c r="E5189" s="170" t="s">
        <v>30</v>
      </c>
      <c r="F5189" s="170" t="s">
        <v>188</v>
      </c>
      <c r="G5189" s="196" t="s">
        <v>7961</v>
      </c>
      <c r="H5189" s="171"/>
    </row>
    <row r="5190" ht="14.25" spans="1:8">
      <c r="A5190" s="176">
        <v>577</v>
      </c>
      <c r="B5190" s="195" t="s">
        <v>7962</v>
      </c>
      <c r="C5190" s="181" t="s">
        <v>81</v>
      </c>
      <c r="D5190" s="173">
        <v>0.02</v>
      </c>
      <c r="E5190" s="170" t="s">
        <v>30</v>
      </c>
      <c r="F5190" s="170" t="s">
        <v>188</v>
      </c>
      <c r="G5190" s="196" t="s">
        <v>7963</v>
      </c>
      <c r="H5190" s="171"/>
    </row>
    <row r="5191" ht="14.25" spans="1:8">
      <c r="A5191" s="176">
        <v>578</v>
      </c>
      <c r="B5191" s="195" t="s">
        <v>3140</v>
      </c>
      <c r="C5191" s="181" t="s">
        <v>81</v>
      </c>
      <c r="D5191" s="173">
        <v>0.05</v>
      </c>
      <c r="E5191" s="170" t="s">
        <v>30</v>
      </c>
      <c r="F5191" s="170" t="s">
        <v>188</v>
      </c>
      <c r="G5191" s="196" t="s">
        <v>7964</v>
      </c>
      <c r="H5191" s="171"/>
    </row>
    <row r="5192" ht="14.25" spans="1:8">
      <c r="A5192" s="176">
        <v>579</v>
      </c>
      <c r="B5192" s="195" t="s">
        <v>3588</v>
      </c>
      <c r="C5192" s="181" t="s">
        <v>81</v>
      </c>
      <c r="D5192" s="173">
        <v>0.02</v>
      </c>
      <c r="E5192" s="170" t="s">
        <v>30</v>
      </c>
      <c r="F5192" s="170" t="s">
        <v>188</v>
      </c>
      <c r="G5192" s="196" t="s">
        <v>7965</v>
      </c>
      <c r="H5192" s="171"/>
    </row>
    <row r="5193" ht="14.25" spans="1:8">
      <c r="A5193" s="176">
        <v>580</v>
      </c>
      <c r="B5193" s="195" t="s">
        <v>7959</v>
      </c>
      <c r="C5193" s="181" t="s">
        <v>81</v>
      </c>
      <c r="D5193" s="173">
        <v>0.05</v>
      </c>
      <c r="E5193" s="170" t="s">
        <v>30</v>
      </c>
      <c r="F5193" s="170" t="s">
        <v>188</v>
      </c>
      <c r="G5193" s="196" t="s">
        <v>7740</v>
      </c>
      <c r="H5193" s="171"/>
    </row>
    <row r="5194" ht="14.25" spans="1:8">
      <c r="A5194" s="176">
        <v>581</v>
      </c>
      <c r="B5194" s="195" t="s">
        <v>7959</v>
      </c>
      <c r="C5194" s="181" t="s">
        <v>81</v>
      </c>
      <c r="D5194" s="173">
        <v>0.03</v>
      </c>
      <c r="E5194" s="170" t="s">
        <v>30</v>
      </c>
      <c r="F5194" s="170" t="s">
        <v>188</v>
      </c>
      <c r="G5194" s="196" t="s">
        <v>7966</v>
      </c>
      <c r="H5194" s="171"/>
    </row>
    <row r="5195" ht="14.25" spans="1:8">
      <c r="A5195" s="176">
        <v>582</v>
      </c>
      <c r="B5195" s="195" t="s">
        <v>7959</v>
      </c>
      <c r="C5195" s="181" t="s">
        <v>81</v>
      </c>
      <c r="D5195" s="173">
        <v>0.03</v>
      </c>
      <c r="E5195" s="170" t="s">
        <v>30</v>
      </c>
      <c r="F5195" s="170" t="s">
        <v>188</v>
      </c>
      <c r="G5195" s="196" t="s">
        <v>7967</v>
      </c>
      <c r="H5195" s="171"/>
    </row>
    <row r="5196" ht="14.25" spans="1:8">
      <c r="A5196" s="176">
        <v>583</v>
      </c>
      <c r="B5196" s="195" t="s">
        <v>7959</v>
      </c>
      <c r="C5196" s="181" t="s">
        <v>81</v>
      </c>
      <c r="D5196" s="173">
        <v>0.03</v>
      </c>
      <c r="E5196" s="170" t="s">
        <v>30</v>
      </c>
      <c r="F5196" s="170" t="s">
        <v>188</v>
      </c>
      <c r="G5196" s="196" t="s">
        <v>7968</v>
      </c>
      <c r="H5196" s="171"/>
    </row>
    <row r="5197" ht="14.25" spans="1:8">
      <c r="A5197" s="176">
        <v>584</v>
      </c>
      <c r="B5197" s="195" t="s">
        <v>7959</v>
      </c>
      <c r="C5197" s="181" t="s">
        <v>81</v>
      </c>
      <c r="D5197" s="173">
        <v>0.03</v>
      </c>
      <c r="E5197" s="170" t="s">
        <v>30</v>
      </c>
      <c r="F5197" s="170" t="s">
        <v>188</v>
      </c>
      <c r="G5197" s="196" t="s">
        <v>7969</v>
      </c>
      <c r="H5197" s="171"/>
    </row>
    <row r="5198" ht="14.25" spans="1:8">
      <c r="A5198" s="176">
        <v>585</v>
      </c>
      <c r="B5198" s="195" t="s">
        <v>7970</v>
      </c>
      <c r="C5198" s="181" t="s">
        <v>81</v>
      </c>
      <c r="D5198" s="173">
        <v>0.02</v>
      </c>
      <c r="E5198" s="170" t="s">
        <v>30</v>
      </c>
      <c r="F5198" s="170" t="s">
        <v>188</v>
      </c>
      <c r="G5198" s="196" t="s">
        <v>1301</v>
      </c>
      <c r="H5198" s="171"/>
    </row>
    <row r="5199" ht="14.25" spans="1:8">
      <c r="A5199" s="176">
        <v>586</v>
      </c>
      <c r="B5199" s="195" t="s">
        <v>7971</v>
      </c>
      <c r="C5199" s="181" t="s">
        <v>81</v>
      </c>
      <c r="D5199" s="173">
        <v>0.02</v>
      </c>
      <c r="E5199" s="170" t="s">
        <v>30</v>
      </c>
      <c r="F5199" s="170" t="s">
        <v>188</v>
      </c>
      <c r="G5199" s="196" t="s">
        <v>2293</v>
      </c>
      <c r="H5199" s="171"/>
    </row>
    <row r="5200" ht="14.25" spans="1:8">
      <c r="A5200" s="176">
        <v>587</v>
      </c>
      <c r="B5200" s="195" t="s">
        <v>7972</v>
      </c>
      <c r="C5200" s="181" t="s">
        <v>81</v>
      </c>
      <c r="D5200" s="173">
        <v>0.01</v>
      </c>
      <c r="E5200" s="170" t="s">
        <v>30</v>
      </c>
      <c r="F5200" s="170" t="s">
        <v>188</v>
      </c>
      <c r="G5200" s="196" t="s">
        <v>7973</v>
      </c>
      <c r="H5200" s="171"/>
    </row>
    <row r="5201" ht="14.25" spans="1:8">
      <c r="A5201" s="176">
        <v>588</v>
      </c>
      <c r="B5201" s="195" t="s">
        <v>7700</v>
      </c>
      <c r="C5201" s="181" t="s">
        <v>81</v>
      </c>
      <c r="D5201" s="173">
        <v>0.09</v>
      </c>
      <c r="E5201" s="170" t="s">
        <v>30</v>
      </c>
      <c r="F5201" s="170" t="s">
        <v>188</v>
      </c>
      <c r="G5201" s="196" t="s">
        <v>7974</v>
      </c>
      <c r="H5201" s="171"/>
    </row>
    <row r="5202" ht="14.25" spans="1:8">
      <c r="A5202" s="176">
        <v>589</v>
      </c>
      <c r="B5202" s="195" t="s">
        <v>7959</v>
      </c>
      <c r="C5202" s="181" t="s">
        <v>81</v>
      </c>
      <c r="D5202" s="173">
        <v>0.06</v>
      </c>
      <c r="E5202" s="170" t="s">
        <v>30</v>
      </c>
      <c r="F5202" s="170" t="s">
        <v>188</v>
      </c>
      <c r="G5202" s="196" t="s">
        <v>7975</v>
      </c>
      <c r="H5202" s="171"/>
    </row>
    <row r="5203" ht="14.25" spans="1:8">
      <c r="A5203" s="176">
        <v>590</v>
      </c>
      <c r="B5203" s="195" t="s">
        <v>7976</v>
      </c>
      <c r="C5203" s="181" t="s">
        <v>81</v>
      </c>
      <c r="D5203" s="173">
        <v>0.08</v>
      </c>
      <c r="E5203" s="170" t="s">
        <v>30</v>
      </c>
      <c r="F5203" s="170" t="s">
        <v>188</v>
      </c>
      <c r="G5203" s="196" t="s">
        <v>7977</v>
      </c>
      <c r="H5203" s="171"/>
    </row>
    <row r="5204" ht="14.25" spans="1:8">
      <c r="A5204" s="176">
        <v>591</v>
      </c>
      <c r="B5204" s="195" t="s">
        <v>7978</v>
      </c>
      <c r="C5204" s="181" t="s">
        <v>81</v>
      </c>
      <c r="D5204" s="173">
        <v>0.04</v>
      </c>
      <c r="E5204" s="170" t="s">
        <v>30</v>
      </c>
      <c r="F5204" s="170" t="s">
        <v>188</v>
      </c>
      <c r="G5204" s="196" t="s">
        <v>7979</v>
      </c>
      <c r="H5204" s="171"/>
    </row>
    <row r="5205" ht="14.25" spans="1:8">
      <c r="A5205" s="176">
        <v>592</v>
      </c>
      <c r="B5205" s="195" t="s">
        <v>7980</v>
      </c>
      <c r="C5205" s="181" t="s">
        <v>81</v>
      </c>
      <c r="D5205" s="173">
        <v>0.03</v>
      </c>
      <c r="E5205" s="170" t="s">
        <v>30</v>
      </c>
      <c r="F5205" s="170" t="s">
        <v>188</v>
      </c>
      <c r="G5205" s="196" t="s">
        <v>7981</v>
      </c>
      <c r="H5205" s="171"/>
    </row>
    <row r="5206" ht="14.25" spans="1:8">
      <c r="A5206" s="176">
        <v>593</v>
      </c>
      <c r="B5206" s="195" t="s">
        <v>7336</v>
      </c>
      <c r="C5206" s="181" t="s">
        <v>81</v>
      </c>
      <c r="D5206" s="173">
        <v>0.06</v>
      </c>
      <c r="E5206" s="170" t="s">
        <v>30</v>
      </c>
      <c r="F5206" s="170" t="s">
        <v>188</v>
      </c>
      <c r="G5206" s="196" t="s">
        <v>7337</v>
      </c>
      <c r="H5206" s="171"/>
    </row>
    <row r="5207" ht="14.25" spans="1:8">
      <c r="A5207" s="176">
        <v>594</v>
      </c>
      <c r="B5207" s="195" t="s">
        <v>7982</v>
      </c>
      <c r="C5207" s="181" t="s">
        <v>81</v>
      </c>
      <c r="D5207" s="173">
        <v>0.09</v>
      </c>
      <c r="E5207" s="170" t="s">
        <v>30</v>
      </c>
      <c r="F5207" s="170" t="s">
        <v>188</v>
      </c>
      <c r="G5207" s="196" t="s">
        <v>7983</v>
      </c>
      <c r="H5207" s="171"/>
    </row>
    <row r="5208" ht="14.25" spans="1:8">
      <c r="A5208" s="176">
        <v>595</v>
      </c>
      <c r="B5208" s="195" t="s">
        <v>7765</v>
      </c>
      <c r="C5208" s="181" t="s">
        <v>81</v>
      </c>
      <c r="D5208" s="173">
        <v>0.06</v>
      </c>
      <c r="E5208" s="170" t="s">
        <v>30</v>
      </c>
      <c r="F5208" s="170" t="s">
        <v>188</v>
      </c>
      <c r="G5208" s="196" t="s">
        <v>7766</v>
      </c>
      <c r="H5208" s="171"/>
    </row>
    <row r="5209" ht="14.25" spans="1:8">
      <c r="A5209" s="176">
        <v>596</v>
      </c>
      <c r="B5209" s="195" t="s">
        <v>7774</v>
      </c>
      <c r="C5209" s="181" t="s">
        <v>81</v>
      </c>
      <c r="D5209" s="173">
        <v>0.03</v>
      </c>
      <c r="E5209" s="170" t="s">
        <v>30</v>
      </c>
      <c r="F5209" s="170" t="s">
        <v>188</v>
      </c>
      <c r="G5209" s="196" t="s">
        <v>7776</v>
      </c>
      <c r="H5209" s="171"/>
    </row>
    <row r="5210" ht="14.25" spans="1:8">
      <c r="A5210" s="176">
        <v>597</v>
      </c>
      <c r="B5210" s="195" t="s">
        <v>7978</v>
      </c>
      <c r="C5210" s="181" t="s">
        <v>81</v>
      </c>
      <c r="D5210" s="173">
        <v>0.09</v>
      </c>
      <c r="E5210" s="170" t="s">
        <v>30</v>
      </c>
      <c r="F5210" s="170" t="s">
        <v>188</v>
      </c>
      <c r="G5210" s="196" t="s">
        <v>7984</v>
      </c>
      <c r="H5210" s="171"/>
    </row>
    <row r="5211" ht="14.25" spans="1:8">
      <c r="A5211" s="176">
        <v>598</v>
      </c>
      <c r="B5211" s="195" t="s">
        <v>7985</v>
      </c>
      <c r="C5211" s="181" t="s">
        <v>81</v>
      </c>
      <c r="D5211" s="173">
        <v>0.09</v>
      </c>
      <c r="E5211" s="170" t="s">
        <v>30</v>
      </c>
      <c r="F5211" s="170" t="s">
        <v>188</v>
      </c>
      <c r="G5211" s="196" t="s">
        <v>7956</v>
      </c>
      <c r="H5211" s="171"/>
    </row>
    <row r="5212" ht="14.25" spans="1:8">
      <c r="A5212" s="176">
        <v>599</v>
      </c>
      <c r="B5212" s="195" t="s">
        <v>7985</v>
      </c>
      <c r="C5212" s="181" t="s">
        <v>81</v>
      </c>
      <c r="D5212" s="173">
        <v>0.02</v>
      </c>
      <c r="E5212" s="170" t="s">
        <v>30</v>
      </c>
      <c r="F5212" s="170" t="s">
        <v>188</v>
      </c>
      <c r="G5212" s="196" t="s">
        <v>7986</v>
      </c>
      <c r="H5212" s="171"/>
    </row>
    <row r="5213" ht="14.25" spans="1:8">
      <c r="A5213" s="176">
        <v>600</v>
      </c>
      <c r="B5213" s="195" t="s">
        <v>7985</v>
      </c>
      <c r="C5213" s="181" t="s">
        <v>81</v>
      </c>
      <c r="D5213" s="173">
        <v>0.04</v>
      </c>
      <c r="E5213" s="170" t="s">
        <v>30</v>
      </c>
      <c r="F5213" s="170" t="s">
        <v>188</v>
      </c>
      <c r="G5213" s="196" t="s">
        <v>7987</v>
      </c>
      <c r="H5213" s="171"/>
    </row>
    <row r="5214" ht="14.25" spans="1:8">
      <c r="A5214" s="176">
        <v>601</v>
      </c>
      <c r="B5214" s="195" t="s">
        <v>7769</v>
      </c>
      <c r="C5214" s="181" t="s">
        <v>81</v>
      </c>
      <c r="D5214" s="173">
        <v>0.01</v>
      </c>
      <c r="E5214" s="170" t="s">
        <v>30</v>
      </c>
      <c r="F5214" s="170" t="s">
        <v>188</v>
      </c>
      <c r="G5214" s="196" t="s">
        <v>7988</v>
      </c>
      <c r="H5214" s="171"/>
    </row>
    <row r="5215" ht="14.25" spans="1:8">
      <c r="A5215" s="176">
        <v>602</v>
      </c>
      <c r="B5215" s="195" t="s">
        <v>7298</v>
      </c>
      <c r="C5215" s="181" t="s">
        <v>81</v>
      </c>
      <c r="D5215" s="173">
        <v>0.09</v>
      </c>
      <c r="E5215" s="170" t="s">
        <v>30</v>
      </c>
      <c r="F5215" s="170" t="s">
        <v>188</v>
      </c>
      <c r="G5215" s="196" t="s">
        <v>7299</v>
      </c>
      <c r="H5215" s="171"/>
    </row>
    <row r="5216" ht="14.25" spans="1:8">
      <c r="A5216" s="176">
        <v>603</v>
      </c>
      <c r="B5216" s="195" t="s">
        <v>7989</v>
      </c>
      <c r="C5216" s="181" t="s">
        <v>81</v>
      </c>
      <c r="D5216" s="173">
        <v>0.01</v>
      </c>
      <c r="E5216" s="170" t="s">
        <v>30</v>
      </c>
      <c r="F5216" s="170" t="s">
        <v>188</v>
      </c>
      <c r="G5216" s="196" t="s">
        <v>7990</v>
      </c>
      <c r="H5216" s="171"/>
    </row>
    <row r="5217" ht="14.25" spans="1:8">
      <c r="A5217" s="176">
        <v>604</v>
      </c>
      <c r="B5217" s="195" t="s">
        <v>7298</v>
      </c>
      <c r="C5217" s="181" t="s">
        <v>81</v>
      </c>
      <c r="D5217" s="173">
        <v>0.2</v>
      </c>
      <c r="E5217" s="170" t="s">
        <v>30</v>
      </c>
      <c r="F5217" s="170" t="s">
        <v>7991</v>
      </c>
      <c r="G5217" s="196" t="s">
        <v>7992</v>
      </c>
      <c r="H5217" s="171"/>
    </row>
    <row r="5218" ht="14.25" spans="1:8">
      <c r="A5218" s="176">
        <v>605</v>
      </c>
      <c r="B5218" s="195" t="s">
        <v>4758</v>
      </c>
      <c r="C5218" s="181" t="s">
        <v>81</v>
      </c>
      <c r="D5218" s="173">
        <v>0.02</v>
      </c>
      <c r="E5218" s="170" t="s">
        <v>30</v>
      </c>
      <c r="F5218" s="170" t="s">
        <v>188</v>
      </c>
      <c r="G5218" s="196" t="s">
        <v>7993</v>
      </c>
      <c r="H5218" s="171"/>
    </row>
    <row r="5219" ht="14.25" spans="1:8">
      <c r="A5219" s="176">
        <v>606</v>
      </c>
      <c r="B5219" s="195" t="s">
        <v>1466</v>
      </c>
      <c r="C5219" s="181" t="s">
        <v>81</v>
      </c>
      <c r="D5219" s="173">
        <v>1.02</v>
      </c>
      <c r="E5219" s="170" t="s">
        <v>30</v>
      </c>
      <c r="F5219" s="170" t="s">
        <v>188</v>
      </c>
      <c r="G5219" s="196" t="s">
        <v>7994</v>
      </c>
      <c r="H5219" s="171"/>
    </row>
    <row r="5220" ht="14.25" spans="1:8">
      <c r="A5220" s="176">
        <v>607</v>
      </c>
      <c r="B5220" s="195" t="s">
        <v>1463</v>
      </c>
      <c r="C5220" s="181" t="s">
        <v>81</v>
      </c>
      <c r="D5220" s="173">
        <v>0.02</v>
      </c>
      <c r="E5220" s="170" t="s">
        <v>30</v>
      </c>
      <c r="F5220" s="170" t="s">
        <v>188</v>
      </c>
      <c r="G5220" s="196" t="s">
        <v>7995</v>
      </c>
      <c r="H5220" s="171"/>
    </row>
    <row r="5221" ht="14.25" spans="1:8">
      <c r="A5221" s="176">
        <v>608</v>
      </c>
      <c r="B5221" s="195" t="s">
        <v>1463</v>
      </c>
      <c r="C5221" s="181" t="s">
        <v>81</v>
      </c>
      <c r="D5221" s="173">
        <v>1.02</v>
      </c>
      <c r="E5221" s="170" t="s">
        <v>30</v>
      </c>
      <c r="F5221" s="170" t="s">
        <v>188</v>
      </c>
      <c r="G5221" s="196" t="s">
        <v>7993</v>
      </c>
      <c r="H5221" s="171"/>
    </row>
    <row r="5222" ht="14.25" spans="1:8">
      <c r="A5222" s="176">
        <v>609</v>
      </c>
      <c r="B5222" s="195" t="s">
        <v>7996</v>
      </c>
      <c r="C5222" s="181" t="s">
        <v>81</v>
      </c>
      <c r="D5222" s="173">
        <v>0.02</v>
      </c>
      <c r="E5222" s="170" t="s">
        <v>30</v>
      </c>
      <c r="F5222" s="170" t="s">
        <v>188</v>
      </c>
      <c r="G5222" s="196" t="s">
        <v>7997</v>
      </c>
      <c r="H5222" s="171"/>
    </row>
    <row r="5223" ht="14.25" spans="1:8">
      <c r="A5223" s="176">
        <v>610</v>
      </c>
      <c r="B5223" s="195" t="s">
        <v>7772</v>
      </c>
      <c r="C5223" s="181" t="s">
        <v>81</v>
      </c>
      <c r="D5223" s="173">
        <v>0.03</v>
      </c>
      <c r="E5223" s="170" t="s">
        <v>30</v>
      </c>
      <c r="F5223" s="170" t="s">
        <v>188</v>
      </c>
      <c r="G5223" s="196" t="s">
        <v>7773</v>
      </c>
      <c r="H5223" s="171"/>
    </row>
    <row r="5224" ht="14.25" spans="1:8">
      <c r="A5224" s="176">
        <v>611</v>
      </c>
      <c r="B5224" s="195" t="s">
        <v>7998</v>
      </c>
      <c r="C5224" s="181" t="s">
        <v>81</v>
      </c>
      <c r="D5224" s="173">
        <v>0.09</v>
      </c>
      <c r="E5224" s="170" t="s">
        <v>30</v>
      </c>
      <c r="F5224" s="170" t="s">
        <v>188</v>
      </c>
      <c r="G5224" s="196" t="s">
        <v>7999</v>
      </c>
      <c r="H5224" s="171"/>
    </row>
    <row r="5225" ht="14.25" spans="1:8">
      <c r="A5225" s="176">
        <v>612</v>
      </c>
      <c r="B5225" s="195" t="s">
        <v>3540</v>
      </c>
      <c r="C5225" s="181" t="s">
        <v>81</v>
      </c>
      <c r="D5225" s="173">
        <v>0.2</v>
      </c>
      <c r="E5225" s="170" t="s">
        <v>30</v>
      </c>
      <c r="F5225" s="170" t="s">
        <v>188</v>
      </c>
      <c r="G5225" s="196" t="s">
        <v>7902</v>
      </c>
      <c r="H5225" s="171"/>
    </row>
    <row r="5226" ht="14.25" spans="1:8">
      <c r="A5226" s="176">
        <v>613</v>
      </c>
      <c r="B5226" s="195" t="s">
        <v>8000</v>
      </c>
      <c r="C5226" s="181" t="s">
        <v>81</v>
      </c>
      <c r="D5226" s="173">
        <v>0.09</v>
      </c>
      <c r="E5226" s="170" t="s">
        <v>30</v>
      </c>
      <c r="F5226" s="170" t="s">
        <v>188</v>
      </c>
      <c r="G5226" s="196" t="s">
        <v>3235</v>
      </c>
      <c r="H5226" s="171"/>
    </row>
    <row r="5227" ht="14.25" spans="1:8">
      <c r="A5227" s="176">
        <v>614</v>
      </c>
      <c r="B5227" s="195" t="s">
        <v>8001</v>
      </c>
      <c r="C5227" s="181" t="s">
        <v>81</v>
      </c>
      <c r="D5227" s="173">
        <v>0.09</v>
      </c>
      <c r="E5227" s="170" t="s">
        <v>30</v>
      </c>
      <c r="F5227" s="170" t="s">
        <v>188</v>
      </c>
      <c r="G5227" s="196" t="s">
        <v>8002</v>
      </c>
      <c r="H5227" s="171"/>
    </row>
    <row r="5228" ht="14.25" spans="1:8">
      <c r="A5228" s="176">
        <v>615</v>
      </c>
      <c r="B5228" s="195" t="s">
        <v>3540</v>
      </c>
      <c r="C5228" s="181" t="s">
        <v>81</v>
      </c>
      <c r="D5228" s="173">
        <v>0.24</v>
      </c>
      <c r="E5228" s="170" t="s">
        <v>30</v>
      </c>
      <c r="F5228" s="170" t="s">
        <v>188</v>
      </c>
      <c r="G5228" s="196" t="s">
        <v>1897</v>
      </c>
      <c r="H5228" s="171"/>
    </row>
    <row r="5229" ht="14.25" spans="1:8">
      <c r="A5229" s="176">
        <v>616</v>
      </c>
      <c r="B5229" s="195" t="s">
        <v>8003</v>
      </c>
      <c r="C5229" s="181" t="s">
        <v>81</v>
      </c>
      <c r="D5229" s="173">
        <v>0.02</v>
      </c>
      <c r="E5229" s="170" t="s">
        <v>30</v>
      </c>
      <c r="F5229" s="170" t="s">
        <v>188</v>
      </c>
      <c r="G5229" s="196" t="s">
        <v>8004</v>
      </c>
      <c r="H5229" s="171"/>
    </row>
    <row r="5230" ht="14.25" spans="1:8">
      <c r="A5230" s="206" t="s">
        <v>8005</v>
      </c>
      <c r="B5230" s="272" t="s">
        <v>313</v>
      </c>
      <c r="C5230" s="181"/>
      <c r="D5230" s="207"/>
      <c r="E5230" s="212"/>
      <c r="F5230" s="170"/>
      <c r="G5230" s="175"/>
      <c r="H5230" s="213"/>
    </row>
    <row r="5231" ht="14.25" spans="1:8">
      <c r="A5231" s="176">
        <v>1</v>
      </c>
      <c r="B5231" s="175" t="s">
        <v>8006</v>
      </c>
      <c r="C5231" s="187" t="s">
        <v>60</v>
      </c>
      <c r="D5231" s="173">
        <v>0.0025</v>
      </c>
      <c r="E5231" s="170" t="s">
        <v>30</v>
      </c>
      <c r="F5231" s="170" t="s">
        <v>188</v>
      </c>
      <c r="G5231" s="175" t="s">
        <v>8007</v>
      </c>
      <c r="H5231" s="175"/>
    </row>
    <row r="5232" ht="14.25" spans="1:8">
      <c r="A5232" s="176">
        <v>2</v>
      </c>
      <c r="B5232" s="175" t="s">
        <v>8008</v>
      </c>
      <c r="C5232" s="187" t="s">
        <v>60</v>
      </c>
      <c r="D5232" s="173">
        <v>0.02</v>
      </c>
      <c r="E5232" s="170" t="s">
        <v>30</v>
      </c>
      <c r="F5232" s="170" t="s">
        <v>188</v>
      </c>
      <c r="G5232" s="175" t="s">
        <v>8009</v>
      </c>
      <c r="H5232" s="175"/>
    </row>
    <row r="5233" ht="14.25" spans="1:8">
      <c r="A5233" s="176">
        <v>3</v>
      </c>
      <c r="B5233" s="175" t="s">
        <v>8010</v>
      </c>
      <c r="C5233" s="187" t="s">
        <v>60</v>
      </c>
      <c r="D5233" s="173">
        <v>0.04</v>
      </c>
      <c r="E5233" s="170" t="s">
        <v>30</v>
      </c>
      <c r="F5233" s="170" t="s">
        <v>188</v>
      </c>
      <c r="G5233" s="175" t="s">
        <v>8011</v>
      </c>
      <c r="H5233" s="175"/>
    </row>
    <row r="5234" ht="14.25" spans="1:8">
      <c r="A5234" s="176">
        <v>4</v>
      </c>
      <c r="B5234" s="175" t="s">
        <v>8012</v>
      </c>
      <c r="C5234" s="187" t="s">
        <v>60</v>
      </c>
      <c r="D5234" s="173">
        <v>0.04</v>
      </c>
      <c r="E5234" s="170" t="s">
        <v>30</v>
      </c>
      <c r="F5234" s="170" t="s">
        <v>188</v>
      </c>
      <c r="G5234" s="175" t="s">
        <v>8013</v>
      </c>
      <c r="H5234" s="175"/>
    </row>
    <row r="5235" ht="14.25" spans="1:8">
      <c r="A5235" s="176">
        <v>5</v>
      </c>
      <c r="B5235" s="175" t="s">
        <v>8014</v>
      </c>
      <c r="C5235" s="187" t="s">
        <v>60</v>
      </c>
      <c r="D5235" s="173">
        <v>0.02</v>
      </c>
      <c r="E5235" s="170" t="s">
        <v>30</v>
      </c>
      <c r="F5235" s="170" t="s">
        <v>188</v>
      </c>
      <c r="G5235" s="175" t="s">
        <v>8015</v>
      </c>
      <c r="H5235" s="175"/>
    </row>
    <row r="5236" ht="14.25" spans="1:8">
      <c r="A5236" s="176">
        <v>6</v>
      </c>
      <c r="B5236" s="175" t="s">
        <v>8016</v>
      </c>
      <c r="C5236" s="187" t="s">
        <v>60</v>
      </c>
      <c r="D5236" s="173">
        <v>0.03</v>
      </c>
      <c r="E5236" s="170" t="s">
        <v>30</v>
      </c>
      <c r="F5236" s="170" t="s">
        <v>188</v>
      </c>
      <c r="G5236" s="175" t="s">
        <v>8017</v>
      </c>
      <c r="H5236" s="175"/>
    </row>
    <row r="5237" ht="14.25" spans="1:8">
      <c r="A5237" s="176">
        <v>7</v>
      </c>
      <c r="B5237" s="175" t="s">
        <v>6646</v>
      </c>
      <c r="C5237" s="187" t="s">
        <v>60</v>
      </c>
      <c r="D5237" s="173">
        <v>0.03</v>
      </c>
      <c r="E5237" s="170" t="s">
        <v>30</v>
      </c>
      <c r="F5237" s="170" t="s">
        <v>188</v>
      </c>
      <c r="G5237" s="175" t="s">
        <v>2137</v>
      </c>
      <c r="H5237" s="175"/>
    </row>
    <row r="5238" ht="14.25" spans="1:8">
      <c r="A5238" s="176">
        <v>8</v>
      </c>
      <c r="B5238" s="175" t="s">
        <v>8018</v>
      </c>
      <c r="C5238" s="187" t="s">
        <v>60</v>
      </c>
      <c r="D5238" s="173">
        <v>0.04</v>
      </c>
      <c r="E5238" s="170" t="s">
        <v>30</v>
      </c>
      <c r="F5238" s="170" t="s">
        <v>188</v>
      </c>
      <c r="G5238" s="175" t="s">
        <v>8019</v>
      </c>
      <c r="H5238" s="175"/>
    </row>
    <row r="5239" ht="14.25" spans="1:8">
      <c r="A5239" s="176">
        <v>9</v>
      </c>
      <c r="B5239" s="175" t="s">
        <v>6660</v>
      </c>
      <c r="C5239" s="187" t="s">
        <v>60</v>
      </c>
      <c r="D5239" s="173">
        <v>0.02</v>
      </c>
      <c r="E5239" s="170" t="s">
        <v>30</v>
      </c>
      <c r="F5239" s="170" t="s">
        <v>188</v>
      </c>
      <c r="G5239" s="175" t="s">
        <v>8020</v>
      </c>
      <c r="H5239" s="175"/>
    </row>
    <row r="5240" ht="14.25" spans="1:8">
      <c r="A5240" s="176">
        <v>10</v>
      </c>
      <c r="B5240" s="175" t="s">
        <v>7942</v>
      </c>
      <c r="C5240" s="187" t="s">
        <v>60</v>
      </c>
      <c r="D5240" s="173">
        <v>0.02</v>
      </c>
      <c r="E5240" s="170" t="s">
        <v>30</v>
      </c>
      <c r="F5240" s="170" t="s">
        <v>188</v>
      </c>
      <c r="G5240" s="175" t="s">
        <v>8021</v>
      </c>
      <c r="H5240" s="175"/>
    </row>
    <row r="5241" ht="14.25" spans="1:8">
      <c r="A5241" s="176">
        <v>11</v>
      </c>
      <c r="B5241" s="175" t="s">
        <v>8022</v>
      </c>
      <c r="C5241" s="187" t="s">
        <v>60</v>
      </c>
      <c r="D5241" s="173">
        <v>0.03</v>
      </c>
      <c r="E5241" s="170" t="s">
        <v>30</v>
      </c>
      <c r="F5241" s="170" t="s">
        <v>188</v>
      </c>
      <c r="G5241" s="175" t="s">
        <v>8023</v>
      </c>
      <c r="H5241" s="175"/>
    </row>
    <row r="5242" ht="14.25" spans="1:8">
      <c r="A5242" s="176">
        <v>12</v>
      </c>
      <c r="B5242" s="171" t="s">
        <v>8024</v>
      </c>
      <c r="C5242" s="187" t="s">
        <v>60</v>
      </c>
      <c r="D5242" s="173">
        <v>0.03</v>
      </c>
      <c r="E5242" s="170" t="s">
        <v>30</v>
      </c>
      <c r="F5242" s="170" t="s">
        <v>188</v>
      </c>
      <c r="G5242" s="175" t="s">
        <v>8025</v>
      </c>
      <c r="H5242" s="175"/>
    </row>
    <row r="5243" ht="14.25" spans="1:8">
      <c r="A5243" s="176">
        <v>13</v>
      </c>
      <c r="B5243" s="171" t="s">
        <v>8026</v>
      </c>
      <c r="C5243" s="187" t="s">
        <v>60</v>
      </c>
      <c r="D5243" s="173">
        <v>0.02</v>
      </c>
      <c r="E5243" s="170" t="s">
        <v>30</v>
      </c>
      <c r="F5243" s="170" t="s">
        <v>188</v>
      </c>
      <c r="G5243" s="175" t="s">
        <v>8027</v>
      </c>
      <c r="H5243" s="175"/>
    </row>
    <row r="5244" ht="14.25" spans="1:8">
      <c r="A5244" s="176">
        <v>14</v>
      </c>
      <c r="B5244" s="171" t="s">
        <v>8028</v>
      </c>
      <c r="C5244" s="187" t="s">
        <v>60</v>
      </c>
      <c r="D5244" s="173">
        <v>0.02</v>
      </c>
      <c r="E5244" s="170" t="s">
        <v>30</v>
      </c>
      <c r="F5244" s="170" t="s">
        <v>188</v>
      </c>
      <c r="G5244" s="175" t="s">
        <v>8029</v>
      </c>
      <c r="H5244" s="175"/>
    </row>
    <row r="5245" ht="14.25" spans="1:8">
      <c r="A5245" s="176">
        <v>15</v>
      </c>
      <c r="B5245" s="171" t="s">
        <v>8030</v>
      </c>
      <c r="C5245" s="187" t="s">
        <v>60</v>
      </c>
      <c r="D5245" s="173">
        <v>0.01</v>
      </c>
      <c r="E5245" s="170" t="s">
        <v>30</v>
      </c>
      <c r="F5245" s="170" t="s">
        <v>188</v>
      </c>
      <c r="G5245" s="175" t="s">
        <v>8031</v>
      </c>
      <c r="H5245" s="175"/>
    </row>
    <row r="5246" ht="14.25" spans="1:8">
      <c r="A5246" s="176">
        <v>16</v>
      </c>
      <c r="B5246" s="171" t="s">
        <v>8032</v>
      </c>
      <c r="C5246" s="187" t="s">
        <v>60</v>
      </c>
      <c r="D5246" s="173">
        <v>0.02</v>
      </c>
      <c r="E5246" s="170" t="s">
        <v>30</v>
      </c>
      <c r="F5246" s="170" t="s">
        <v>188</v>
      </c>
      <c r="G5246" s="175" t="s">
        <v>8033</v>
      </c>
      <c r="H5246" s="175"/>
    </row>
    <row r="5247" ht="14.25" spans="1:8">
      <c r="A5247" s="176">
        <v>17</v>
      </c>
      <c r="B5247" s="171" t="s">
        <v>8034</v>
      </c>
      <c r="C5247" s="187" t="s">
        <v>60</v>
      </c>
      <c r="D5247" s="173">
        <v>0.025</v>
      </c>
      <c r="E5247" s="170" t="s">
        <v>30</v>
      </c>
      <c r="F5247" s="170" t="s">
        <v>188</v>
      </c>
      <c r="G5247" s="175" t="s">
        <v>8035</v>
      </c>
      <c r="H5247" s="175"/>
    </row>
    <row r="5248" ht="14.25" spans="1:8">
      <c r="A5248" s="176">
        <v>18</v>
      </c>
      <c r="B5248" s="171" t="s">
        <v>8036</v>
      </c>
      <c r="C5248" s="187" t="s">
        <v>60</v>
      </c>
      <c r="D5248" s="173">
        <v>0.03</v>
      </c>
      <c r="E5248" s="170" t="s">
        <v>30</v>
      </c>
      <c r="F5248" s="170" t="s">
        <v>188</v>
      </c>
      <c r="G5248" s="175" t="s">
        <v>7648</v>
      </c>
      <c r="H5248" s="175"/>
    </row>
    <row r="5249" ht="14.25" spans="1:8">
      <c r="A5249" s="176">
        <v>19</v>
      </c>
      <c r="B5249" s="171" t="s">
        <v>8037</v>
      </c>
      <c r="C5249" s="187" t="s">
        <v>60</v>
      </c>
      <c r="D5249" s="173">
        <v>0.02</v>
      </c>
      <c r="E5249" s="170" t="s">
        <v>30</v>
      </c>
      <c r="F5249" s="170" t="s">
        <v>188</v>
      </c>
      <c r="G5249" s="175" t="s">
        <v>8038</v>
      </c>
      <c r="H5249" s="175"/>
    </row>
    <row r="5250" ht="14.25" spans="1:8">
      <c r="A5250" s="176">
        <v>20</v>
      </c>
      <c r="B5250" s="171" t="s">
        <v>1346</v>
      </c>
      <c r="C5250" s="187" t="s">
        <v>60</v>
      </c>
      <c r="D5250" s="173">
        <v>0.01</v>
      </c>
      <c r="E5250" s="170" t="s">
        <v>30</v>
      </c>
      <c r="F5250" s="170" t="s">
        <v>188</v>
      </c>
      <c r="G5250" s="175" t="s">
        <v>8039</v>
      </c>
      <c r="H5250" s="175"/>
    </row>
    <row r="5251" ht="14.25" spans="1:8">
      <c r="A5251" s="176">
        <v>21</v>
      </c>
      <c r="B5251" s="175" t="s">
        <v>3274</v>
      </c>
      <c r="C5251" s="187" t="s">
        <v>60</v>
      </c>
      <c r="D5251" s="173">
        <v>0.02</v>
      </c>
      <c r="E5251" s="170" t="s">
        <v>30</v>
      </c>
      <c r="F5251" s="170" t="s">
        <v>188</v>
      </c>
      <c r="G5251" s="175" t="s">
        <v>8040</v>
      </c>
      <c r="H5251" s="175"/>
    </row>
    <row r="5252" ht="14.25" spans="1:8">
      <c r="A5252" s="176">
        <v>22</v>
      </c>
      <c r="B5252" s="175" t="s">
        <v>8041</v>
      </c>
      <c r="C5252" s="187" t="s">
        <v>60</v>
      </c>
      <c r="D5252" s="173">
        <v>0.02</v>
      </c>
      <c r="E5252" s="170" t="s">
        <v>30</v>
      </c>
      <c r="F5252" s="170" t="s">
        <v>188</v>
      </c>
      <c r="G5252" s="175" t="s">
        <v>8038</v>
      </c>
      <c r="H5252" s="175"/>
    </row>
    <row r="5253" ht="14.25" spans="1:8">
      <c r="A5253" s="176">
        <v>23</v>
      </c>
      <c r="B5253" s="175" t="s">
        <v>8042</v>
      </c>
      <c r="C5253" s="187" t="s">
        <v>60</v>
      </c>
      <c r="D5253" s="173">
        <v>0.04</v>
      </c>
      <c r="E5253" s="170" t="s">
        <v>30</v>
      </c>
      <c r="F5253" s="170" t="s">
        <v>188</v>
      </c>
      <c r="G5253" s="175" t="s">
        <v>8043</v>
      </c>
      <c r="H5253" s="175"/>
    </row>
    <row r="5254" ht="14.25" spans="1:8">
      <c r="A5254" s="176">
        <v>24</v>
      </c>
      <c r="B5254" s="175" t="s">
        <v>8044</v>
      </c>
      <c r="C5254" s="187" t="s">
        <v>60</v>
      </c>
      <c r="D5254" s="173">
        <v>0.02</v>
      </c>
      <c r="E5254" s="170" t="s">
        <v>30</v>
      </c>
      <c r="F5254" s="170" t="s">
        <v>188</v>
      </c>
      <c r="G5254" s="175" t="s">
        <v>8045</v>
      </c>
      <c r="H5254" s="175"/>
    </row>
    <row r="5255" ht="14.25" spans="1:8">
      <c r="A5255" s="176">
        <v>25</v>
      </c>
      <c r="B5255" s="175" t="s">
        <v>8046</v>
      </c>
      <c r="C5255" s="187" t="s">
        <v>60</v>
      </c>
      <c r="D5255" s="173">
        <v>0.01</v>
      </c>
      <c r="E5255" s="170" t="s">
        <v>30</v>
      </c>
      <c r="F5255" s="170" t="s">
        <v>188</v>
      </c>
      <c r="G5255" s="175" t="s">
        <v>8047</v>
      </c>
      <c r="H5255" s="175"/>
    </row>
    <row r="5256" ht="14.25" spans="1:8">
      <c r="A5256" s="176">
        <v>26</v>
      </c>
      <c r="B5256" s="175" t="s">
        <v>8048</v>
      </c>
      <c r="C5256" s="187" t="s">
        <v>60</v>
      </c>
      <c r="D5256" s="173">
        <v>0.02</v>
      </c>
      <c r="E5256" s="170" t="s">
        <v>30</v>
      </c>
      <c r="F5256" s="170" t="s">
        <v>188</v>
      </c>
      <c r="G5256" s="175" t="s">
        <v>8049</v>
      </c>
      <c r="H5256" s="175"/>
    </row>
    <row r="5257" ht="14.25" spans="1:8">
      <c r="A5257" s="176">
        <v>27</v>
      </c>
      <c r="B5257" s="175" t="s">
        <v>8050</v>
      </c>
      <c r="C5257" s="187" t="s">
        <v>60</v>
      </c>
      <c r="D5257" s="190">
        <v>0.02</v>
      </c>
      <c r="E5257" s="170" t="s">
        <v>30</v>
      </c>
      <c r="F5257" s="170" t="s">
        <v>188</v>
      </c>
      <c r="G5257" s="175" t="s">
        <v>7383</v>
      </c>
      <c r="H5257" s="175"/>
    </row>
    <row r="5258" ht="14.25" spans="1:8">
      <c r="A5258" s="176">
        <v>28</v>
      </c>
      <c r="B5258" s="175" t="s">
        <v>8050</v>
      </c>
      <c r="C5258" s="175" t="s">
        <v>60</v>
      </c>
      <c r="D5258" s="190">
        <v>0.02</v>
      </c>
      <c r="E5258" s="170" t="s">
        <v>30</v>
      </c>
      <c r="F5258" s="170" t="s">
        <v>188</v>
      </c>
      <c r="G5258" s="175" t="s">
        <v>8051</v>
      </c>
      <c r="H5258" s="175"/>
    </row>
    <row r="5259" ht="14.25" spans="1:8">
      <c r="A5259" s="176">
        <v>29</v>
      </c>
      <c r="B5259" s="175" t="s">
        <v>8052</v>
      </c>
      <c r="C5259" s="175" t="s">
        <v>60</v>
      </c>
      <c r="D5259" s="190">
        <v>0.01</v>
      </c>
      <c r="E5259" s="170" t="s">
        <v>30</v>
      </c>
      <c r="F5259" s="170" t="s">
        <v>188</v>
      </c>
      <c r="G5259" s="175" t="s">
        <v>8053</v>
      </c>
      <c r="H5259" s="175"/>
    </row>
    <row r="5260" ht="14.25" spans="1:8">
      <c r="A5260" s="176">
        <v>30</v>
      </c>
      <c r="B5260" s="175" t="s">
        <v>1183</v>
      </c>
      <c r="C5260" s="175" t="s">
        <v>60</v>
      </c>
      <c r="D5260" s="190">
        <v>0.04</v>
      </c>
      <c r="E5260" s="170" t="s">
        <v>30</v>
      </c>
      <c r="F5260" s="170" t="s">
        <v>188</v>
      </c>
      <c r="G5260" s="175" t="s">
        <v>8054</v>
      </c>
      <c r="H5260" s="175"/>
    </row>
    <row r="5261" ht="14.25" spans="1:8">
      <c r="A5261" s="176">
        <v>31</v>
      </c>
      <c r="B5261" s="175" t="s">
        <v>3177</v>
      </c>
      <c r="C5261" s="175" t="s">
        <v>60</v>
      </c>
      <c r="D5261" s="190">
        <v>0.02</v>
      </c>
      <c r="E5261" s="170" t="s">
        <v>30</v>
      </c>
      <c r="F5261" s="170" t="s">
        <v>188</v>
      </c>
      <c r="G5261" s="175" t="s">
        <v>8055</v>
      </c>
      <c r="H5261" s="175"/>
    </row>
    <row r="5262" ht="14.25" spans="1:8">
      <c r="A5262" s="176">
        <v>32</v>
      </c>
      <c r="B5262" s="175" t="s">
        <v>8056</v>
      </c>
      <c r="C5262" s="175" t="s">
        <v>60</v>
      </c>
      <c r="D5262" s="190">
        <v>0.04</v>
      </c>
      <c r="E5262" s="170" t="s">
        <v>30</v>
      </c>
      <c r="F5262" s="170" t="s">
        <v>188</v>
      </c>
      <c r="G5262" s="175" t="s">
        <v>8057</v>
      </c>
      <c r="H5262" s="175"/>
    </row>
    <row r="5263" ht="14.25" spans="1:8">
      <c r="A5263" s="176">
        <v>33</v>
      </c>
      <c r="B5263" s="175" t="s">
        <v>8058</v>
      </c>
      <c r="C5263" s="175" t="s">
        <v>60</v>
      </c>
      <c r="D5263" s="190">
        <v>0.03</v>
      </c>
      <c r="E5263" s="170" t="s">
        <v>30</v>
      </c>
      <c r="F5263" s="170" t="s">
        <v>188</v>
      </c>
      <c r="G5263" s="175" t="s">
        <v>8059</v>
      </c>
      <c r="H5263" s="175"/>
    </row>
    <row r="5264" ht="14.25" spans="1:8">
      <c r="A5264" s="176">
        <v>34</v>
      </c>
      <c r="B5264" s="175" t="s">
        <v>8060</v>
      </c>
      <c r="C5264" s="175" t="s">
        <v>60</v>
      </c>
      <c r="D5264" s="190">
        <v>0.05</v>
      </c>
      <c r="E5264" s="170" t="s">
        <v>30</v>
      </c>
      <c r="F5264" s="170" t="s">
        <v>188</v>
      </c>
      <c r="G5264" s="175" t="s">
        <v>8061</v>
      </c>
      <c r="H5264" s="175"/>
    </row>
    <row r="5265" ht="14.25" spans="1:8">
      <c r="A5265" s="176">
        <v>35</v>
      </c>
      <c r="B5265" s="175" t="s">
        <v>8042</v>
      </c>
      <c r="C5265" s="175" t="s">
        <v>60</v>
      </c>
      <c r="D5265" s="190">
        <v>0.01</v>
      </c>
      <c r="E5265" s="170" t="s">
        <v>30</v>
      </c>
      <c r="F5265" s="170" t="s">
        <v>188</v>
      </c>
      <c r="G5265" s="175" t="s">
        <v>6097</v>
      </c>
      <c r="H5265" s="175"/>
    </row>
    <row r="5266" ht="14.25" spans="1:8">
      <c r="A5266" s="176">
        <v>36</v>
      </c>
      <c r="B5266" s="175" t="s">
        <v>8062</v>
      </c>
      <c r="C5266" s="175" t="s">
        <v>60</v>
      </c>
      <c r="D5266" s="190">
        <v>0.02</v>
      </c>
      <c r="E5266" s="170" t="s">
        <v>30</v>
      </c>
      <c r="F5266" s="170" t="s">
        <v>188</v>
      </c>
      <c r="G5266" s="175" t="s">
        <v>8063</v>
      </c>
      <c r="H5266" s="175"/>
    </row>
    <row r="5267" ht="14.25" spans="1:8">
      <c r="A5267" s="176">
        <v>37</v>
      </c>
      <c r="B5267" s="175" t="s">
        <v>8064</v>
      </c>
      <c r="C5267" s="175" t="s">
        <v>60</v>
      </c>
      <c r="D5267" s="190">
        <v>0.03</v>
      </c>
      <c r="E5267" s="170" t="s">
        <v>30</v>
      </c>
      <c r="F5267" s="170" t="s">
        <v>188</v>
      </c>
      <c r="G5267" s="175" t="s">
        <v>8065</v>
      </c>
      <c r="H5267" s="175"/>
    </row>
    <row r="5268" ht="14.25" spans="1:8">
      <c r="A5268" s="176">
        <v>38</v>
      </c>
      <c r="B5268" s="175" t="s">
        <v>8066</v>
      </c>
      <c r="C5268" s="175" t="s">
        <v>60</v>
      </c>
      <c r="D5268" s="190">
        <v>0.02</v>
      </c>
      <c r="E5268" s="170" t="s">
        <v>30</v>
      </c>
      <c r="F5268" s="170" t="s">
        <v>188</v>
      </c>
      <c r="G5268" s="175" t="s">
        <v>8020</v>
      </c>
      <c r="H5268" s="175"/>
    </row>
    <row r="5269" ht="14.25" spans="1:8">
      <c r="A5269" s="176">
        <v>39</v>
      </c>
      <c r="B5269" s="175" t="s">
        <v>8056</v>
      </c>
      <c r="C5269" s="175" t="s">
        <v>60</v>
      </c>
      <c r="D5269" s="190">
        <v>0.02</v>
      </c>
      <c r="E5269" s="170" t="s">
        <v>30</v>
      </c>
      <c r="F5269" s="170" t="s">
        <v>188</v>
      </c>
      <c r="G5269" s="175" t="s">
        <v>8057</v>
      </c>
      <c r="H5269" s="175"/>
    </row>
    <row r="5270" ht="14.25" spans="1:8">
      <c r="A5270" s="176">
        <v>40</v>
      </c>
      <c r="B5270" s="175" t="s">
        <v>6268</v>
      </c>
      <c r="C5270" s="175" t="s">
        <v>60</v>
      </c>
      <c r="D5270" s="190">
        <v>0.02</v>
      </c>
      <c r="E5270" s="170" t="s">
        <v>30</v>
      </c>
      <c r="F5270" s="170" t="s">
        <v>188</v>
      </c>
      <c r="G5270" s="175" t="s">
        <v>8067</v>
      </c>
      <c r="H5270" s="175"/>
    </row>
    <row r="5271" ht="14.25" spans="1:8">
      <c r="A5271" s="176">
        <v>41</v>
      </c>
      <c r="B5271" s="175" t="s">
        <v>8068</v>
      </c>
      <c r="C5271" s="175" t="s">
        <v>60</v>
      </c>
      <c r="D5271" s="190">
        <v>0.02</v>
      </c>
      <c r="E5271" s="170" t="s">
        <v>30</v>
      </c>
      <c r="F5271" s="170" t="s">
        <v>188</v>
      </c>
      <c r="G5271" s="175" t="s">
        <v>8069</v>
      </c>
      <c r="H5271" s="175"/>
    </row>
    <row r="5272" ht="14.25" spans="1:8">
      <c r="A5272" s="176">
        <v>42</v>
      </c>
      <c r="B5272" s="175" t="s">
        <v>8070</v>
      </c>
      <c r="C5272" s="175" t="s">
        <v>60</v>
      </c>
      <c r="D5272" s="190">
        <v>0.02</v>
      </c>
      <c r="E5272" s="170" t="s">
        <v>30</v>
      </c>
      <c r="F5272" s="170" t="s">
        <v>188</v>
      </c>
      <c r="G5272" s="175" t="s">
        <v>8071</v>
      </c>
      <c r="H5272" s="175"/>
    </row>
    <row r="5273" ht="14.25" spans="1:8">
      <c r="A5273" s="176">
        <v>43</v>
      </c>
      <c r="B5273" s="175" t="s">
        <v>8072</v>
      </c>
      <c r="C5273" s="175" t="s">
        <v>60</v>
      </c>
      <c r="D5273" s="190">
        <v>0.03</v>
      </c>
      <c r="E5273" s="170" t="s">
        <v>30</v>
      </c>
      <c r="F5273" s="170" t="s">
        <v>188</v>
      </c>
      <c r="G5273" s="175" t="s">
        <v>8073</v>
      </c>
      <c r="H5273" s="175"/>
    </row>
    <row r="5274" ht="14.25" spans="1:8">
      <c r="A5274" s="176">
        <v>44</v>
      </c>
      <c r="B5274" s="175" t="s">
        <v>8074</v>
      </c>
      <c r="C5274" s="175" t="s">
        <v>60</v>
      </c>
      <c r="D5274" s="190">
        <v>0.04</v>
      </c>
      <c r="E5274" s="170" t="s">
        <v>30</v>
      </c>
      <c r="F5274" s="170" t="s">
        <v>188</v>
      </c>
      <c r="G5274" s="175" t="s">
        <v>7690</v>
      </c>
      <c r="H5274" s="175"/>
    </row>
    <row r="5275" ht="14.25" spans="1:8">
      <c r="A5275" s="176">
        <v>45</v>
      </c>
      <c r="B5275" s="175" t="s">
        <v>5042</v>
      </c>
      <c r="C5275" s="175" t="s">
        <v>60</v>
      </c>
      <c r="D5275" s="190">
        <v>0.02</v>
      </c>
      <c r="E5275" s="170" t="s">
        <v>30</v>
      </c>
      <c r="F5275" s="170" t="s">
        <v>188</v>
      </c>
      <c r="G5275" s="175" t="s">
        <v>8075</v>
      </c>
      <c r="H5275" s="175"/>
    </row>
    <row r="5276" ht="14.25" spans="1:8">
      <c r="A5276" s="176">
        <v>46</v>
      </c>
      <c r="B5276" s="175" t="s">
        <v>5042</v>
      </c>
      <c r="C5276" s="175" t="s">
        <v>60</v>
      </c>
      <c r="D5276" s="190">
        <v>0.02</v>
      </c>
      <c r="E5276" s="170" t="s">
        <v>30</v>
      </c>
      <c r="F5276" s="170" t="s">
        <v>188</v>
      </c>
      <c r="G5276" s="175" t="s">
        <v>3889</v>
      </c>
      <c r="H5276" s="175"/>
    </row>
    <row r="5277" ht="14.25" spans="1:8">
      <c r="A5277" s="176">
        <v>47</v>
      </c>
      <c r="B5277" s="175" t="s">
        <v>1183</v>
      </c>
      <c r="C5277" s="175" t="s">
        <v>60</v>
      </c>
      <c r="D5277" s="190">
        <v>0.01</v>
      </c>
      <c r="E5277" s="170" t="s">
        <v>30</v>
      </c>
      <c r="F5277" s="170" t="s">
        <v>188</v>
      </c>
      <c r="G5277" s="175" t="s">
        <v>8076</v>
      </c>
      <c r="H5277" s="175"/>
    </row>
    <row r="5278" ht="14.25" spans="1:8">
      <c r="A5278" s="176">
        <v>48</v>
      </c>
      <c r="B5278" s="175" t="s">
        <v>8077</v>
      </c>
      <c r="C5278" s="175" t="s">
        <v>60</v>
      </c>
      <c r="D5278" s="190">
        <v>0.04</v>
      </c>
      <c r="E5278" s="170" t="s">
        <v>30</v>
      </c>
      <c r="F5278" s="170" t="s">
        <v>188</v>
      </c>
      <c r="G5278" s="175" t="s">
        <v>1918</v>
      </c>
      <c r="H5278" s="175"/>
    </row>
    <row r="5279" ht="14.25" spans="1:8">
      <c r="A5279" s="176">
        <v>49</v>
      </c>
      <c r="B5279" s="175" t="s">
        <v>2444</v>
      </c>
      <c r="C5279" s="175" t="s">
        <v>60</v>
      </c>
      <c r="D5279" s="190">
        <v>0.03</v>
      </c>
      <c r="E5279" s="170" t="s">
        <v>30</v>
      </c>
      <c r="F5279" s="170" t="s">
        <v>188</v>
      </c>
      <c r="G5279" s="175" t="s">
        <v>7665</v>
      </c>
      <c r="H5279" s="175"/>
    </row>
    <row r="5280" ht="14.25" spans="1:8">
      <c r="A5280" s="176">
        <v>50</v>
      </c>
      <c r="B5280" s="175" t="s">
        <v>8078</v>
      </c>
      <c r="C5280" s="175" t="s">
        <v>60</v>
      </c>
      <c r="D5280" s="190">
        <v>0.02</v>
      </c>
      <c r="E5280" s="170" t="s">
        <v>30</v>
      </c>
      <c r="F5280" s="170" t="s">
        <v>188</v>
      </c>
      <c r="G5280" s="175" t="s">
        <v>8079</v>
      </c>
      <c r="H5280" s="175"/>
    </row>
    <row r="5281" ht="14.25" spans="1:8">
      <c r="A5281" s="176">
        <v>51</v>
      </c>
      <c r="B5281" s="175" t="s">
        <v>8080</v>
      </c>
      <c r="C5281" s="175" t="s">
        <v>60</v>
      </c>
      <c r="D5281" s="190">
        <v>0.03</v>
      </c>
      <c r="E5281" s="170" t="s">
        <v>30</v>
      </c>
      <c r="F5281" s="170" t="s">
        <v>188</v>
      </c>
      <c r="G5281" s="175" t="s">
        <v>8081</v>
      </c>
      <c r="H5281" s="175"/>
    </row>
    <row r="5282" ht="14.25" spans="1:8">
      <c r="A5282" s="176">
        <v>52</v>
      </c>
      <c r="B5282" s="175" t="s">
        <v>8082</v>
      </c>
      <c r="C5282" s="175" t="s">
        <v>60</v>
      </c>
      <c r="D5282" s="190">
        <v>0.03</v>
      </c>
      <c r="E5282" s="170" t="s">
        <v>30</v>
      </c>
      <c r="F5282" s="170" t="s">
        <v>188</v>
      </c>
      <c r="G5282" s="175" t="s">
        <v>8083</v>
      </c>
      <c r="H5282" s="175"/>
    </row>
    <row r="5283" ht="14.25" spans="1:8">
      <c r="A5283" s="176">
        <v>53</v>
      </c>
      <c r="B5283" s="175" t="s">
        <v>8084</v>
      </c>
      <c r="C5283" s="175" t="s">
        <v>60</v>
      </c>
      <c r="D5283" s="190">
        <v>0.02</v>
      </c>
      <c r="E5283" s="170" t="s">
        <v>30</v>
      </c>
      <c r="F5283" s="170" t="s">
        <v>188</v>
      </c>
      <c r="G5283" s="175" t="s">
        <v>8085</v>
      </c>
      <c r="H5283" s="175"/>
    </row>
    <row r="5284" ht="14.25" spans="1:8">
      <c r="A5284" s="176">
        <v>54</v>
      </c>
      <c r="B5284" s="175" t="s">
        <v>8086</v>
      </c>
      <c r="C5284" s="175" t="s">
        <v>60</v>
      </c>
      <c r="D5284" s="190">
        <v>0.02</v>
      </c>
      <c r="E5284" s="170" t="s">
        <v>30</v>
      </c>
      <c r="F5284" s="170" t="s">
        <v>188</v>
      </c>
      <c r="G5284" s="175" t="s">
        <v>8087</v>
      </c>
      <c r="H5284" s="175"/>
    </row>
    <row r="5285" ht="14.25" spans="1:8">
      <c r="A5285" s="176">
        <v>55</v>
      </c>
      <c r="B5285" s="175" t="s">
        <v>8088</v>
      </c>
      <c r="C5285" s="175" t="s">
        <v>60</v>
      </c>
      <c r="D5285" s="190">
        <v>0.02</v>
      </c>
      <c r="E5285" s="170" t="s">
        <v>30</v>
      </c>
      <c r="F5285" s="170" t="s">
        <v>188</v>
      </c>
      <c r="G5285" s="175" t="s">
        <v>8089</v>
      </c>
      <c r="H5285" s="175"/>
    </row>
    <row r="5286" ht="14.25" spans="1:8">
      <c r="A5286" s="176">
        <v>56</v>
      </c>
      <c r="B5286" s="175" t="s">
        <v>8090</v>
      </c>
      <c r="C5286" s="175" t="s">
        <v>60</v>
      </c>
      <c r="D5286" s="190">
        <v>0.01</v>
      </c>
      <c r="E5286" s="170" t="s">
        <v>30</v>
      </c>
      <c r="F5286" s="170" t="s">
        <v>188</v>
      </c>
      <c r="G5286" s="175" t="s">
        <v>8091</v>
      </c>
      <c r="H5286" s="175"/>
    </row>
    <row r="5287" ht="14.25" spans="1:8">
      <c r="A5287" s="176">
        <v>57</v>
      </c>
      <c r="B5287" s="175" t="s">
        <v>8092</v>
      </c>
      <c r="C5287" s="175" t="s">
        <v>60</v>
      </c>
      <c r="D5287" s="190">
        <v>0.02</v>
      </c>
      <c r="E5287" s="170" t="s">
        <v>30</v>
      </c>
      <c r="F5287" s="170" t="s">
        <v>188</v>
      </c>
      <c r="G5287" s="175" t="s">
        <v>8093</v>
      </c>
      <c r="H5287" s="175"/>
    </row>
    <row r="5288" ht="14.25" spans="1:8">
      <c r="A5288" s="176">
        <v>58</v>
      </c>
      <c r="B5288" s="175" t="s">
        <v>8094</v>
      </c>
      <c r="C5288" s="175" t="s">
        <v>60</v>
      </c>
      <c r="D5288" s="190">
        <v>0.04</v>
      </c>
      <c r="E5288" s="170" t="s">
        <v>30</v>
      </c>
      <c r="F5288" s="170" t="s">
        <v>188</v>
      </c>
      <c r="G5288" s="175" t="s">
        <v>7301</v>
      </c>
      <c r="H5288" s="175"/>
    </row>
    <row r="5289" ht="14.25" spans="1:8">
      <c r="A5289" s="176">
        <v>59</v>
      </c>
      <c r="B5289" s="175" t="s">
        <v>4304</v>
      </c>
      <c r="C5289" s="175" t="s">
        <v>60</v>
      </c>
      <c r="D5289" s="190">
        <v>0.02</v>
      </c>
      <c r="E5289" s="170" t="s">
        <v>30</v>
      </c>
      <c r="F5289" s="170" t="s">
        <v>188</v>
      </c>
      <c r="G5289" s="175" t="s">
        <v>8095</v>
      </c>
      <c r="H5289" s="175"/>
    </row>
    <row r="5290" ht="25.5" spans="1:8">
      <c r="A5290" s="176">
        <v>60</v>
      </c>
      <c r="B5290" s="175" t="s">
        <v>8096</v>
      </c>
      <c r="C5290" s="175" t="s">
        <v>60</v>
      </c>
      <c r="D5290" s="190">
        <v>0.01</v>
      </c>
      <c r="E5290" s="170" t="s">
        <v>30</v>
      </c>
      <c r="F5290" s="170" t="s">
        <v>188</v>
      </c>
      <c r="G5290" s="175" t="s">
        <v>6097</v>
      </c>
      <c r="H5290" s="175"/>
    </row>
    <row r="5291" ht="14.25" spans="1:8">
      <c r="A5291" s="176">
        <v>61</v>
      </c>
      <c r="B5291" s="175" t="s">
        <v>8097</v>
      </c>
      <c r="C5291" s="175" t="s">
        <v>60</v>
      </c>
      <c r="D5291" s="190">
        <v>0.02</v>
      </c>
      <c r="E5291" s="170" t="s">
        <v>30</v>
      </c>
      <c r="F5291" s="170" t="s">
        <v>188</v>
      </c>
      <c r="G5291" s="175" t="s">
        <v>1858</v>
      </c>
      <c r="H5291" s="175"/>
    </row>
    <row r="5292" ht="14.25" spans="1:8">
      <c r="A5292" s="176">
        <v>62</v>
      </c>
      <c r="B5292" s="175" t="s">
        <v>8098</v>
      </c>
      <c r="C5292" s="175" t="s">
        <v>60</v>
      </c>
      <c r="D5292" s="190">
        <v>0.02</v>
      </c>
      <c r="E5292" s="170" t="s">
        <v>30</v>
      </c>
      <c r="F5292" s="170" t="s">
        <v>188</v>
      </c>
      <c r="G5292" s="175" t="s">
        <v>8099</v>
      </c>
      <c r="H5292" s="175"/>
    </row>
    <row r="5293" ht="14.25" spans="1:8">
      <c r="A5293" s="176">
        <v>63</v>
      </c>
      <c r="B5293" s="175" t="s">
        <v>8100</v>
      </c>
      <c r="C5293" s="175" t="s">
        <v>60</v>
      </c>
      <c r="D5293" s="190">
        <v>0.02</v>
      </c>
      <c r="E5293" s="170" t="s">
        <v>30</v>
      </c>
      <c r="F5293" s="170" t="s">
        <v>188</v>
      </c>
      <c r="G5293" s="175" t="s">
        <v>8101</v>
      </c>
      <c r="H5293" s="175"/>
    </row>
    <row r="5294" ht="14.25" spans="1:8">
      <c r="A5294" s="176">
        <v>64</v>
      </c>
      <c r="B5294" s="175" t="s">
        <v>8102</v>
      </c>
      <c r="C5294" s="175" t="s">
        <v>60</v>
      </c>
      <c r="D5294" s="190">
        <v>0.04</v>
      </c>
      <c r="E5294" s="170" t="s">
        <v>30</v>
      </c>
      <c r="F5294" s="170" t="s">
        <v>188</v>
      </c>
      <c r="G5294" s="175" t="s">
        <v>7361</v>
      </c>
      <c r="H5294" s="175"/>
    </row>
    <row r="5295" ht="14.25" spans="1:8">
      <c r="A5295" s="176">
        <v>65</v>
      </c>
      <c r="B5295" s="175" t="s">
        <v>8103</v>
      </c>
      <c r="C5295" s="175" t="s">
        <v>60</v>
      </c>
      <c r="D5295" s="190">
        <v>0.02</v>
      </c>
      <c r="E5295" s="170" t="s">
        <v>30</v>
      </c>
      <c r="F5295" s="170" t="s">
        <v>188</v>
      </c>
      <c r="G5295" s="175" t="s">
        <v>8104</v>
      </c>
      <c r="H5295" s="175"/>
    </row>
    <row r="5296" ht="14.25" spans="1:8">
      <c r="A5296" s="176">
        <v>66</v>
      </c>
      <c r="B5296" s="175" t="s">
        <v>8105</v>
      </c>
      <c r="C5296" s="175" t="s">
        <v>60</v>
      </c>
      <c r="D5296" s="190">
        <v>0.04</v>
      </c>
      <c r="E5296" s="170" t="s">
        <v>30</v>
      </c>
      <c r="F5296" s="170" t="s">
        <v>188</v>
      </c>
      <c r="G5296" s="175" t="s">
        <v>8106</v>
      </c>
      <c r="H5296" s="175"/>
    </row>
    <row r="5297" ht="14.25" spans="1:8">
      <c r="A5297" s="176">
        <v>67</v>
      </c>
      <c r="B5297" s="175" t="s">
        <v>8107</v>
      </c>
      <c r="C5297" s="175" t="s">
        <v>60</v>
      </c>
      <c r="D5297" s="190">
        <v>0.02</v>
      </c>
      <c r="E5297" s="170" t="s">
        <v>30</v>
      </c>
      <c r="F5297" s="170" t="s">
        <v>188</v>
      </c>
      <c r="G5297" s="175" t="s">
        <v>8108</v>
      </c>
      <c r="H5297" s="175"/>
    </row>
    <row r="5298" ht="14.25" spans="1:8">
      <c r="A5298" s="176">
        <v>68</v>
      </c>
      <c r="B5298" s="175" t="s">
        <v>8109</v>
      </c>
      <c r="C5298" s="175" t="s">
        <v>60</v>
      </c>
      <c r="D5298" s="190">
        <v>0.02</v>
      </c>
      <c r="E5298" s="170" t="s">
        <v>30</v>
      </c>
      <c r="F5298" s="170" t="s">
        <v>188</v>
      </c>
      <c r="G5298" s="175" t="s">
        <v>8110</v>
      </c>
      <c r="H5298" s="175"/>
    </row>
    <row r="5299" ht="14.25" spans="1:8">
      <c r="A5299" s="176">
        <v>69</v>
      </c>
      <c r="B5299" s="175" t="s">
        <v>3857</v>
      </c>
      <c r="C5299" s="175" t="s">
        <v>60</v>
      </c>
      <c r="D5299" s="190">
        <v>0.04</v>
      </c>
      <c r="E5299" s="170" t="s">
        <v>30</v>
      </c>
      <c r="F5299" s="170" t="s">
        <v>188</v>
      </c>
      <c r="G5299" s="175" t="s">
        <v>8111</v>
      </c>
      <c r="H5299" s="175"/>
    </row>
    <row r="5300" ht="14.25" spans="1:8">
      <c r="A5300" s="176">
        <v>70</v>
      </c>
      <c r="B5300" s="175" t="s">
        <v>8112</v>
      </c>
      <c r="C5300" s="175" t="s">
        <v>60</v>
      </c>
      <c r="D5300" s="190">
        <v>0.04</v>
      </c>
      <c r="E5300" s="170" t="s">
        <v>30</v>
      </c>
      <c r="F5300" s="170" t="s">
        <v>188</v>
      </c>
      <c r="G5300" s="175" t="s">
        <v>2247</v>
      </c>
      <c r="H5300" s="175"/>
    </row>
    <row r="5301" ht="14.25" spans="1:8">
      <c r="A5301" s="176">
        <v>71</v>
      </c>
      <c r="B5301" s="175" t="s">
        <v>8113</v>
      </c>
      <c r="C5301" s="175" t="s">
        <v>60</v>
      </c>
      <c r="D5301" s="190">
        <v>0.02</v>
      </c>
      <c r="E5301" s="170" t="s">
        <v>30</v>
      </c>
      <c r="F5301" s="170" t="s">
        <v>188</v>
      </c>
      <c r="G5301" s="175" t="s">
        <v>1126</v>
      </c>
      <c r="H5301" s="175"/>
    </row>
    <row r="5302" ht="14.25" spans="1:8">
      <c r="A5302" s="176">
        <v>72</v>
      </c>
      <c r="B5302" s="175" t="s">
        <v>8114</v>
      </c>
      <c r="C5302" s="175" t="s">
        <v>60</v>
      </c>
      <c r="D5302" s="190">
        <v>0.02</v>
      </c>
      <c r="E5302" s="170" t="s">
        <v>30</v>
      </c>
      <c r="F5302" s="170" t="s">
        <v>188</v>
      </c>
      <c r="G5302" s="175" t="s">
        <v>8115</v>
      </c>
      <c r="H5302" s="175"/>
    </row>
    <row r="5303" ht="14.25" spans="1:8">
      <c r="A5303" s="176">
        <v>73</v>
      </c>
      <c r="B5303" s="175" t="s">
        <v>8068</v>
      </c>
      <c r="C5303" s="175" t="s">
        <v>60</v>
      </c>
      <c r="D5303" s="190">
        <v>0.04</v>
      </c>
      <c r="E5303" s="170" t="s">
        <v>30</v>
      </c>
      <c r="F5303" s="170" t="s">
        <v>188</v>
      </c>
      <c r="G5303" s="175" t="s">
        <v>8116</v>
      </c>
      <c r="H5303" s="175"/>
    </row>
    <row r="5304" ht="14.25" spans="1:8">
      <c r="A5304" s="176">
        <v>74</v>
      </c>
      <c r="B5304" s="175" t="s">
        <v>8117</v>
      </c>
      <c r="C5304" s="175" t="s">
        <v>60</v>
      </c>
      <c r="D5304" s="190">
        <v>0.01</v>
      </c>
      <c r="E5304" s="170" t="s">
        <v>30</v>
      </c>
      <c r="F5304" s="170" t="s">
        <v>188</v>
      </c>
      <c r="G5304" s="175" t="s">
        <v>8118</v>
      </c>
      <c r="H5304" s="175"/>
    </row>
    <row r="5305" ht="14.25" spans="1:8">
      <c r="A5305" s="176">
        <v>75</v>
      </c>
      <c r="B5305" s="175" t="s">
        <v>4317</v>
      </c>
      <c r="C5305" s="175" t="s">
        <v>60</v>
      </c>
      <c r="D5305" s="190">
        <v>0.04</v>
      </c>
      <c r="E5305" s="170" t="s">
        <v>30</v>
      </c>
      <c r="F5305" s="170" t="s">
        <v>188</v>
      </c>
      <c r="G5305" s="175" t="s">
        <v>8119</v>
      </c>
      <c r="H5305" s="175"/>
    </row>
    <row r="5306" ht="14.25" spans="1:8">
      <c r="A5306" s="176">
        <v>76</v>
      </c>
      <c r="B5306" s="175" t="s">
        <v>7400</v>
      </c>
      <c r="C5306" s="175" t="s">
        <v>60</v>
      </c>
      <c r="D5306" s="190">
        <v>0.01</v>
      </c>
      <c r="E5306" s="170" t="s">
        <v>30</v>
      </c>
      <c r="F5306" s="170" t="s">
        <v>188</v>
      </c>
      <c r="G5306" s="175" t="s">
        <v>8120</v>
      </c>
      <c r="H5306" s="175"/>
    </row>
    <row r="5307" ht="14.25" spans="1:8">
      <c r="A5307" s="176">
        <v>77</v>
      </c>
      <c r="B5307" s="175" t="s">
        <v>4626</v>
      </c>
      <c r="C5307" s="175" t="s">
        <v>60</v>
      </c>
      <c r="D5307" s="190">
        <v>0.02</v>
      </c>
      <c r="E5307" s="170" t="s">
        <v>30</v>
      </c>
      <c r="F5307" s="170" t="s">
        <v>188</v>
      </c>
      <c r="G5307" s="175" t="s">
        <v>8121</v>
      </c>
      <c r="H5307" s="175"/>
    </row>
    <row r="5308" ht="14.25" spans="1:8">
      <c r="A5308" s="176">
        <v>78</v>
      </c>
      <c r="B5308" s="175" t="s">
        <v>8122</v>
      </c>
      <c r="C5308" s="175" t="s">
        <v>60</v>
      </c>
      <c r="D5308" s="190">
        <v>0.04</v>
      </c>
      <c r="E5308" s="170" t="s">
        <v>30</v>
      </c>
      <c r="F5308" s="170" t="s">
        <v>188</v>
      </c>
      <c r="G5308" s="175" t="s">
        <v>8123</v>
      </c>
      <c r="H5308" s="175"/>
    </row>
    <row r="5309" ht="14.25" spans="1:8">
      <c r="A5309" s="176">
        <v>79</v>
      </c>
      <c r="B5309" s="175" t="s">
        <v>8124</v>
      </c>
      <c r="C5309" s="175" t="s">
        <v>60</v>
      </c>
      <c r="D5309" s="190">
        <v>0.02</v>
      </c>
      <c r="E5309" s="170" t="s">
        <v>30</v>
      </c>
      <c r="F5309" s="170" t="s">
        <v>188</v>
      </c>
      <c r="G5309" s="175" t="s">
        <v>8125</v>
      </c>
      <c r="H5309" s="175"/>
    </row>
    <row r="5310" ht="14.25" spans="1:8">
      <c r="A5310" s="176">
        <v>80</v>
      </c>
      <c r="B5310" s="175" t="s">
        <v>8126</v>
      </c>
      <c r="C5310" s="175" t="s">
        <v>60</v>
      </c>
      <c r="D5310" s="190">
        <v>0.04</v>
      </c>
      <c r="E5310" s="170" t="s">
        <v>30</v>
      </c>
      <c r="F5310" s="170" t="s">
        <v>188</v>
      </c>
      <c r="G5310" s="175" t="s">
        <v>8127</v>
      </c>
      <c r="H5310" s="175"/>
    </row>
    <row r="5311" ht="14.25" spans="1:8">
      <c r="A5311" s="176">
        <v>81</v>
      </c>
      <c r="B5311" s="175" t="s">
        <v>8128</v>
      </c>
      <c r="C5311" s="175" t="s">
        <v>60</v>
      </c>
      <c r="D5311" s="190">
        <v>0.04</v>
      </c>
      <c r="E5311" s="170" t="s">
        <v>30</v>
      </c>
      <c r="F5311" s="170" t="s">
        <v>188</v>
      </c>
      <c r="G5311" s="175" t="s">
        <v>3275</v>
      </c>
      <c r="H5311" s="175"/>
    </row>
    <row r="5312" ht="14.25" spans="1:8">
      <c r="A5312" s="176">
        <v>82</v>
      </c>
      <c r="B5312" s="189" t="s">
        <v>2098</v>
      </c>
      <c r="C5312" s="175" t="s">
        <v>60</v>
      </c>
      <c r="D5312" s="190">
        <v>0.04</v>
      </c>
      <c r="E5312" s="170" t="s">
        <v>30</v>
      </c>
      <c r="F5312" s="170" t="s">
        <v>188</v>
      </c>
      <c r="G5312" s="175" t="s">
        <v>8129</v>
      </c>
      <c r="H5312" s="175"/>
    </row>
    <row r="5313" ht="14.25" spans="1:8">
      <c r="A5313" s="176">
        <v>83</v>
      </c>
      <c r="B5313" s="189" t="s">
        <v>8037</v>
      </c>
      <c r="C5313" s="175" t="s">
        <v>60</v>
      </c>
      <c r="D5313" s="190">
        <v>0.04</v>
      </c>
      <c r="E5313" s="170" t="s">
        <v>30</v>
      </c>
      <c r="F5313" s="170" t="s">
        <v>188</v>
      </c>
      <c r="G5313" s="175" t="s">
        <v>8038</v>
      </c>
      <c r="H5313" s="175"/>
    </row>
    <row r="5314" ht="14.25" spans="1:8">
      <c r="A5314" s="176">
        <v>84</v>
      </c>
      <c r="B5314" s="189" t="s">
        <v>1267</v>
      </c>
      <c r="C5314" s="175" t="s">
        <v>60</v>
      </c>
      <c r="D5314" s="190">
        <v>0.02</v>
      </c>
      <c r="E5314" s="170" t="s">
        <v>30</v>
      </c>
      <c r="F5314" s="170" t="s">
        <v>188</v>
      </c>
      <c r="G5314" s="175" t="s">
        <v>8130</v>
      </c>
      <c r="H5314" s="175"/>
    </row>
    <row r="5315" ht="14.25" spans="1:8">
      <c r="A5315" s="176">
        <v>85</v>
      </c>
      <c r="B5315" s="189" t="s">
        <v>4380</v>
      </c>
      <c r="C5315" s="175" t="s">
        <v>60</v>
      </c>
      <c r="D5315" s="190">
        <v>0.03</v>
      </c>
      <c r="E5315" s="170" t="s">
        <v>30</v>
      </c>
      <c r="F5315" s="170" t="s">
        <v>188</v>
      </c>
      <c r="G5315" s="175" t="s">
        <v>8131</v>
      </c>
      <c r="H5315" s="175"/>
    </row>
    <row r="5316" ht="14.25" spans="1:8">
      <c r="A5316" s="176">
        <v>86</v>
      </c>
      <c r="B5316" s="189" t="s">
        <v>8132</v>
      </c>
      <c r="C5316" s="175" t="s">
        <v>60</v>
      </c>
      <c r="D5316" s="190">
        <v>0.02</v>
      </c>
      <c r="E5316" s="170" t="s">
        <v>30</v>
      </c>
      <c r="F5316" s="170" t="s">
        <v>188</v>
      </c>
      <c r="G5316" s="175" t="s">
        <v>8133</v>
      </c>
      <c r="H5316" s="175"/>
    </row>
    <row r="5317" ht="14.25" spans="1:8">
      <c r="A5317" s="176">
        <v>87</v>
      </c>
      <c r="B5317" s="189" t="s">
        <v>8056</v>
      </c>
      <c r="C5317" s="175" t="s">
        <v>60</v>
      </c>
      <c r="D5317" s="190">
        <v>0.02</v>
      </c>
      <c r="E5317" s="170" t="s">
        <v>30</v>
      </c>
      <c r="F5317" s="170" t="s">
        <v>188</v>
      </c>
      <c r="G5317" s="175" t="s">
        <v>8057</v>
      </c>
      <c r="H5317" s="175"/>
    </row>
    <row r="5318" ht="14.25" spans="1:8">
      <c r="A5318" s="176">
        <v>88</v>
      </c>
      <c r="B5318" s="189" t="s">
        <v>8134</v>
      </c>
      <c r="C5318" s="175" t="s">
        <v>60</v>
      </c>
      <c r="D5318" s="190">
        <v>0.03</v>
      </c>
      <c r="E5318" s="170" t="s">
        <v>30</v>
      </c>
      <c r="F5318" s="170" t="s">
        <v>188</v>
      </c>
      <c r="G5318" s="175" t="s">
        <v>2261</v>
      </c>
      <c r="H5318" s="175"/>
    </row>
    <row r="5319" ht="14.25" spans="1:8">
      <c r="A5319" s="176">
        <v>89</v>
      </c>
      <c r="B5319" s="189" t="s">
        <v>8135</v>
      </c>
      <c r="C5319" s="175" t="s">
        <v>60</v>
      </c>
      <c r="D5319" s="190">
        <v>0.02</v>
      </c>
      <c r="E5319" s="170" t="s">
        <v>30</v>
      </c>
      <c r="F5319" s="170" t="s">
        <v>188</v>
      </c>
      <c r="G5319" s="175" t="s">
        <v>8136</v>
      </c>
      <c r="H5319" s="175"/>
    </row>
    <row r="5320" ht="14.25" spans="1:8">
      <c r="A5320" s="176">
        <v>90</v>
      </c>
      <c r="B5320" s="189" t="s">
        <v>4831</v>
      </c>
      <c r="C5320" s="175" t="s">
        <v>60</v>
      </c>
      <c r="D5320" s="190">
        <v>0.02</v>
      </c>
      <c r="E5320" s="170" t="s">
        <v>30</v>
      </c>
      <c r="F5320" s="170" t="s">
        <v>188</v>
      </c>
      <c r="G5320" s="175" t="s">
        <v>8137</v>
      </c>
      <c r="H5320" s="175"/>
    </row>
    <row r="5321" ht="14.25" spans="1:8">
      <c r="A5321" s="176">
        <v>91</v>
      </c>
      <c r="B5321" s="189" t="s">
        <v>8138</v>
      </c>
      <c r="C5321" s="175" t="s">
        <v>60</v>
      </c>
      <c r="D5321" s="190">
        <v>0.03</v>
      </c>
      <c r="E5321" s="170" t="s">
        <v>30</v>
      </c>
      <c r="F5321" s="170" t="s">
        <v>188</v>
      </c>
      <c r="G5321" s="175" t="s">
        <v>8139</v>
      </c>
      <c r="H5321" s="175"/>
    </row>
    <row r="5322" ht="14.25" spans="1:8">
      <c r="A5322" s="176">
        <v>92</v>
      </c>
      <c r="B5322" s="189" t="s">
        <v>8014</v>
      </c>
      <c r="C5322" s="175" t="s">
        <v>60</v>
      </c>
      <c r="D5322" s="190">
        <v>0.02</v>
      </c>
      <c r="E5322" s="170" t="s">
        <v>30</v>
      </c>
      <c r="F5322" s="170" t="s">
        <v>188</v>
      </c>
      <c r="G5322" s="175" t="s">
        <v>8015</v>
      </c>
      <c r="H5322" s="175"/>
    </row>
    <row r="5323" ht="14.25" spans="1:8">
      <c r="A5323" s="176">
        <v>93</v>
      </c>
      <c r="B5323" s="189" t="s">
        <v>8140</v>
      </c>
      <c r="C5323" s="175" t="s">
        <v>60</v>
      </c>
      <c r="D5323" s="190">
        <v>0.03</v>
      </c>
      <c r="E5323" s="170" t="s">
        <v>30</v>
      </c>
      <c r="F5323" s="170" t="s">
        <v>188</v>
      </c>
      <c r="G5323" s="175" t="s">
        <v>8141</v>
      </c>
      <c r="H5323" s="175"/>
    </row>
    <row r="5324" ht="14.25" spans="1:8">
      <c r="A5324" s="176">
        <v>94</v>
      </c>
      <c r="B5324" s="189" t="s">
        <v>8142</v>
      </c>
      <c r="C5324" s="175" t="s">
        <v>60</v>
      </c>
      <c r="D5324" s="190">
        <v>0.02</v>
      </c>
      <c r="E5324" s="170" t="s">
        <v>30</v>
      </c>
      <c r="F5324" s="170" t="s">
        <v>188</v>
      </c>
      <c r="G5324" s="175" t="s">
        <v>7973</v>
      </c>
      <c r="H5324" s="175"/>
    </row>
    <row r="5325" ht="14.25" spans="1:8">
      <c r="A5325" s="176">
        <v>95</v>
      </c>
      <c r="B5325" s="189" t="s">
        <v>8143</v>
      </c>
      <c r="C5325" s="175" t="s">
        <v>60</v>
      </c>
      <c r="D5325" s="190">
        <v>0.02</v>
      </c>
      <c r="E5325" s="170" t="s">
        <v>30</v>
      </c>
      <c r="F5325" s="170" t="s">
        <v>188</v>
      </c>
      <c r="G5325" s="175" t="s">
        <v>8144</v>
      </c>
      <c r="H5325" s="175"/>
    </row>
    <row r="5326" ht="14.25" spans="1:8">
      <c r="A5326" s="176">
        <v>96</v>
      </c>
      <c r="B5326" s="189" t="s">
        <v>8145</v>
      </c>
      <c r="C5326" s="175" t="s">
        <v>60</v>
      </c>
      <c r="D5326" s="190">
        <v>0.04</v>
      </c>
      <c r="E5326" s="170" t="s">
        <v>30</v>
      </c>
      <c r="F5326" s="170" t="s">
        <v>188</v>
      </c>
      <c r="G5326" s="175" t="s">
        <v>8146</v>
      </c>
      <c r="H5326" s="175"/>
    </row>
    <row r="5327" ht="14.25" spans="1:8">
      <c r="A5327" s="176">
        <v>97</v>
      </c>
      <c r="B5327" s="189" t="s">
        <v>8147</v>
      </c>
      <c r="C5327" s="175" t="s">
        <v>60</v>
      </c>
      <c r="D5327" s="190">
        <v>0.03</v>
      </c>
      <c r="E5327" s="170" t="s">
        <v>30</v>
      </c>
      <c r="F5327" s="170" t="s">
        <v>188</v>
      </c>
      <c r="G5327" s="175" t="s">
        <v>8148</v>
      </c>
      <c r="H5327" s="175"/>
    </row>
    <row r="5328" ht="14.25" spans="1:8">
      <c r="A5328" s="176">
        <v>98</v>
      </c>
      <c r="B5328" s="189" t="s">
        <v>8149</v>
      </c>
      <c r="C5328" s="175" t="s">
        <v>60</v>
      </c>
      <c r="D5328" s="190">
        <v>0.02</v>
      </c>
      <c r="E5328" s="170" t="s">
        <v>30</v>
      </c>
      <c r="F5328" s="170" t="s">
        <v>188</v>
      </c>
      <c r="G5328" s="175" t="s">
        <v>8150</v>
      </c>
      <c r="H5328" s="175"/>
    </row>
    <row r="5329" ht="14.25" spans="1:8">
      <c r="A5329" s="176">
        <v>99</v>
      </c>
      <c r="B5329" s="189" t="s">
        <v>8151</v>
      </c>
      <c r="C5329" s="175" t="s">
        <v>60</v>
      </c>
      <c r="D5329" s="190">
        <v>0.03</v>
      </c>
      <c r="E5329" s="170" t="s">
        <v>30</v>
      </c>
      <c r="F5329" s="170" t="s">
        <v>188</v>
      </c>
      <c r="G5329" s="175" t="s">
        <v>8152</v>
      </c>
      <c r="H5329" s="175"/>
    </row>
    <row r="5330" ht="14.25" spans="1:8">
      <c r="A5330" s="176">
        <v>100</v>
      </c>
      <c r="B5330" s="189" t="s">
        <v>8048</v>
      </c>
      <c r="C5330" s="175" t="s">
        <v>60</v>
      </c>
      <c r="D5330" s="190">
        <v>0.04</v>
      </c>
      <c r="E5330" s="170" t="s">
        <v>30</v>
      </c>
      <c r="F5330" s="170" t="s">
        <v>188</v>
      </c>
      <c r="G5330" s="175" t="s">
        <v>8049</v>
      </c>
      <c r="H5330" s="175"/>
    </row>
    <row r="5331" ht="14.25" spans="1:8">
      <c r="A5331" s="176">
        <v>101</v>
      </c>
      <c r="B5331" s="175" t="s">
        <v>8114</v>
      </c>
      <c r="C5331" s="175" t="s">
        <v>60</v>
      </c>
      <c r="D5331" s="190">
        <v>0.02</v>
      </c>
      <c r="E5331" s="170" t="s">
        <v>30</v>
      </c>
      <c r="F5331" s="170" t="s">
        <v>188</v>
      </c>
      <c r="G5331" s="175" t="s">
        <v>8115</v>
      </c>
      <c r="H5331" s="175"/>
    </row>
    <row r="5332" ht="14.25" spans="1:8">
      <c r="A5332" s="176">
        <v>102</v>
      </c>
      <c r="B5332" s="175" t="s">
        <v>8022</v>
      </c>
      <c r="C5332" s="175" t="s">
        <v>60</v>
      </c>
      <c r="D5332" s="190">
        <v>0.03</v>
      </c>
      <c r="E5332" s="170" t="s">
        <v>30</v>
      </c>
      <c r="F5332" s="170" t="s">
        <v>188</v>
      </c>
      <c r="G5332" s="175" t="s">
        <v>8023</v>
      </c>
      <c r="H5332" s="175"/>
    </row>
    <row r="5333" ht="14.25" spans="1:8">
      <c r="A5333" s="176">
        <v>103</v>
      </c>
      <c r="B5333" s="175" t="s">
        <v>8153</v>
      </c>
      <c r="C5333" s="175" t="s">
        <v>60</v>
      </c>
      <c r="D5333" s="190">
        <v>0.01</v>
      </c>
      <c r="E5333" s="170" t="s">
        <v>30</v>
      </c>
      <c r="F5333" s="170" t="s">
        <v>188</v>
      </c>
      <c r="G5333" s="175" t="s">
        <v>8154</v>
      </c>
      <c r="H5333" s="175"/>
    </row>
    <row r="5334" ht="14.25" spans="1:8">
      <c r="A5334" s="176">
        <v>104</v>
      </c>
      <c r="B5334" s="175" t="s">
        <v>8155</v>
      </c>
      <c r="C5334" s="175" t="s">
        <v>60</v>
      </c>
      <c r="D5334" s="190">
        <v>0.04</v>
      </c>
      <c r="E5334" s="170" t="s">
        <v>30</v>
      </c>
      <c r="F5334" s="170" t="s">
        <v>188</v>
      </c>
      <c r="G5334" s="175" t="s">
        <v>8156</v>
      </c>
      <c r="H5334" s="175"/>
    </row>
    <row r="5335" ht="14.25" spans="1:8">
      <c r="A5335" s="176">
        <v>105</v>
      </c>
      <c r="B5335" s="175" t="s">
        <v>8157</v>
      </c>
      <c r="C5335" s="175" t="s">
        <v>60</v>
      </c>
      <c r="D5335" s="190">
        <v>0.06</v>
      </c>
      <c r="E5335" s="170" t="s">
        <v>30</v>
      </c>
      <c r="F5335" s="170" t="s">
        <v>188</v>
      </c>
      <c r="G5335" s="175" t="s">
        <v>8158</v>
      </c>
      <c r="H5335" s="175"/>
    </row>
    <row r="5336" ht="14.25" spans="1:8">
      <c r="A5336" s="176">
        <v>106</v>
      </c>
      <c r="B5336" s="175" t="s">
        <v>8159</v>
      </c>
      <c r="C5336" s="175" t="s">
        <v>60</v>
      </c>
      <c r="D5336" s="190">
        <v>0.03</v>
      </c>
      <c r="E5336" s="170" t="s">
        <v>30</v>
      </c>
      <c r="F5336" s="170" t="s">
        <v>188</v>
      </c>
      <c r="G5336" s="175" t="s">
        <v>8160</v>
      </c>
      <c r="H5336" s="175"/>
    </row>
    <row r="5337" ht="14.25" spans="1:8">
      <c r="A5337" s="176">
        <v>107</v>
      </c>
      <c r="B5337" s="273" t="s">
        <v>8161</v>
      </c>
      <c r="C5337" s="175" t="s">
        <v>60</v>
      </c>
      <c r="D5337" s="173">
        <v>0.04</v>
      </c>
      <c r="E5337" s="274" t="s">
        <v>30</v>
      </c>
      <c r="F5337" s="274" t="s">
        <v>188</v>
      </c>
      <c r="G5337" s="275" t="s">
        <v>8162</v>
      </c>
      <c r="H5337" s="175"/>
    </row>
    <row r="5338" ht="14.25" spans="1:8">
      <c r="A5338" s="176">
        <v>108</v>
      </c>
      <c r="B5338" s="273" t="s">
        <v>8163</v>
      </c>
      <c r="C5338" s="175" t="s">
        <v>60</v>
      </c>
      <c r="D5338" s="173">
        <v>0.03</v>
      </c>
      <c r="E5338" s="274" t="s">
        <v>30</v>
      </c>
      <c r="F5338" s="274" t="s">
        <v>188</v>
      </c>
      <c r="G5338" s="275" t="s">
        <v>8164</v>
      </c>
      <c r="H5338" s="175"/>
    </row>
    <row r="5339" ht="14.25" spans="1:8">
      <c r="A5339" s="176">
        <v>109</v>
      </c>
      <c r="B5339" s="273" t="s">
        <v>6990</v>
      </c>
      <c r="C5339" s="175" t="s">
        <v>60</v>
      </c>
      <c r="D5339" s="173">
        <v>0.01</v>
      </c>
      <c r="E5339" s="274" t="s">
        <v>30</v>
      </c>
      <c r="F5339" s="274" t="s">
        <v>188</v>
      </c>
      <c r="G5339" s="275" t="s">
        <v>8165</v>
      </c>
      <c r="H5339" s="175"/>
    </row>
    <row r="5340" ht="14.25" spans="1:8">
      <c r="A5340" s="176">
        <v>110</v>
      </c>
      <c r="B5340" s="171" t="s">
        <v>8166</v>
      </c>
      <c r="C5340" s="175" t="s">
        <v>60</v>
      </c>
      <c r="D5340" s="173">
        <v>0.04</v>
      </c>
      <c r="E5340" s="170" t="s">
        <v>30</v>
      </c>
      <c r="F5340" s="170" t="s">
        <v>188</v>
      </c>
      <c r="G5340" s="171" t="s">
        <v>8167</v>
      </c>
      <c r="H5340" s="175"/>
    </row>
    <row r="5341" ht="14.25" spans="1:8">
      <c r="A5341" s="176">
        <v>111</v>
      </c>
      <c r="B5341" s="189" t="s">
        <v>8168</v>
      </c>
      <c r="C5341" s="175" t="s">
        <v>60</v>
      </c>
      <c r="D5341" s="173">
        <v>0.1</v>
      </c>
      <c r="E5341" s="170" t="s">
        <v>30</v>
      </c>
      <c r="F5341" s="170" t="s">
        <v>188</v>
      </c>
      <c r="G5341" s="171" t="s">
        <v>8169</v>
      </c>
      <c r="H5341" s="175"/>
    </row>
    <row r="5342" ht="14.25" spans="1:8">
      <c r="A5342" s="176">
        <v>112</v>
      </c>
      <c r="B5342" s="189" t="s">
        <v>8168</v>
      </c>
      <c r="C5342" s="175" t="s">
        <v>60</v>
      </c>
      <c r="D5342" s="173">
        <v>0.1</v>
      </c>
      <c r="E5342" s="170" t="s">
        <v>30</v>
      </c>
      <c r="F5342" s="170" t="s">
        <v>188</v>
      </c>
      <c r="G5342" s="171" t="s">
        <v>7167</v>
      </c>
      <c r="H5342" s="175"/>
    </row>
    <row r="5343" ht="14.25" spans="1:8">
      <c r="A5343" s="176">
        <v>113</v>
      </c>
      <c r="B5343" s="189" t="s">
        <v>8018</v>
      </c>
      <c r="C5343" s="175" t="s">
        <v>60</v>
      </c>
      <c r="D5343" s="173">
        <v>0.18</v>
      </c>
      <c r="E5343" s="170" t="s">
        <v>30</v>
      </c>
      <c r="F5343" s="170" t="s">
        <v>188</v>
      </c>
      <c r="G5343" s="171" t="s">
        <v>8170</v>
      </c>
      <c r="H5343" s="175"/>
    </row>
    <row r="5344" ht="14.25" spans="1:8">
      <c r="A5344" s="176">
        <v>114</v>
      </c>
      <c r="B5344" s="189" t="s">
        <v>8018</v>
      </c>
      <c r="C5344" s="175" t="s">
        <v>60</v>
      </c>
      <c r="D5344" s="173">
        <v>0.05</v>
      </c>
      <c r="E5344" s="170" t="s">
        <v>30</v>
      </c>
      <c r="F5344" s="170" t="s">
        <v>188</v>
      </c>
      <c r="G5344" s="171" t="s">
        <v>8171</v>
      </c>
      <c r="H5344" s="175"/>
    </row>
    <row r="5345" ht="14.25" spans="1:8">
      <c r="A5345" s="176">
        <v>115</v>
      </c>
      <c r="B5345" s="189" t="s">
        <v>8018</v>
      </c>
      <c r="C5345" s="175" t="s">
        <v>60</v>
      </c>
      <c r="D5345" s="173">
        <v>0.21</v>
      </c>
      <c r="E5345" s="170" t="s">
        <v>30</v>
      </c>
      <c r="F5345" s="170" t="s">
        <v>188</v>
      </c>
      <c r="G5345" s="171" t="s">
        <v>8172</v>
      </c>
      <c r="H5345" s="175"/>
    </row>
    <row r="5346" ht="14.25" spans="1:8">
      <c r="A5346" s="176">
        <v>116</v>
      </c>
      <c r="B5346" s="189" t="s">
        <v>8173</v>
      </c>
      <c r="C5346" s="175" t="s">
        <v>60</v>
      </c>
      <c r="D5346" s="173">
        <v>0.02</v>
      </c>
      <c r="E5346" s="170" t="s">
        <v>30</v>
      </c>
      <c r="F5346" s="170" t="s">
        <v>188</v>
      </c>
      <c r="G5346" s="171" t="s">
        <v>1897</v>
      </c>
      <c r="H5346" s="175"/>
    </row>
    <row r="5347" ht="14.25" spans="1:8">
      <c r="A5347" s="176">
        <v>117</v>
      </c>
      <c r="B5347" s="189" t="s">
        <v>5981</v>
      </c>
      <c r="C5347" s="175" t="s">
        <v>60</v>
      </c>
      <c r="D5347" s="173">
        <v>0.02</v>
      </c>
      <c r="E5347" s="170" t="s">
        <v>30</v>
      </c>
      <c r="F5347" s="170" t="s">
        <v>188</v>
      </c>
      <c r="G5347" s="171" t="s">
        <v>8174</v>
      </c>
      <c r="H5347" s="175" t="s">
        <v>672</v>
      </c>
    </row>
    <row r="5348" ht="14.25" spans="1:8">
      <c r="A5348" s="176">
        <v>118</v>
      </c>
      <c r="B5348" s="189" t="s">
        <v>6009</v>
      </c>
      <c r="C5348" s="175" t="s">
        <v>60</v>
      </c>
      <c r="D5348" s="173">
        <v>0.04</v>
      </c>
      <c r="E5348" s="170" t="s">
        <v>30</v>
      </c>
      <c r="F5348" s="170" t="s">
        <v>188</v>
      </c>
      <c r="G5348" s="171" t="s">
        <v>8175</v>
      </c>
      <c r="H5348" s="175" t="s">
        <v>672</v>
      </c>
    </row>
    <row r="5349" ht="14.25" spans="1:8">
      <c r="A5349" s="176">
        <v>119</v>
      </c>
      <c r="B5349" s="189" t="s">
        <v>8176</v>
      </c>
      <c r="C5349" s="175" t="s">
        <v>60</v>
      </c>
      <c r="D5349" s="173">
        <v>0.04</v>
      </c>
      <c r="E5349" s="170" t="s">
        <v>30</v>
      </c>
      <c r="F5349" s="170" t="s">
        <v>188</v>
      </c>
      <c r="G5349" s="171" t="s">
        <v>7456</v>
      </c>
      <c r="H5349" s="175"/>
    </row>
    <row r="5350" ht="14.25" spans="1:8">
      <c r="A5350" s="176">
        <v>120</v>
      </c>
      <c r="B5350" s="189" t="s">
        <v>8177</v>
      </c>
      <c r="C5350" s="175" t="s">
        <v>60</v>
      </c>
      <c r="D5350" s="173">
        <v>0.02</v>
      </c>
      <c r="E5350" s="170" t="s">
        <v>30</v>
      </c>
      <c r="F5350" s="170" t="s">
        <v>188</v>
      </c>
      <c r="G5350" s="171" t="s">
        <v>8178</v>
      </c>
      <c r="H5350" s="175"/>
    </row>
    <row r="5351" ht="14.25" spans="1:8">
      <c r="A5351" s="176">
        <v>121</v>
      </c>
      <c r="B5351" s="189" t="s">
        <v>8179</v>
      </c>
      <c r="C5351" s="175" t="s">
        <v>60</v>
      </c>
      <c r="D5351" s="173">
        <v>0.04</v>
      </c>
      <c r="E5351" s="170" t="s">
        <v>30</v>
      </c>
      <c r="F5351" s="170" t="s">
        <v>188</v>
      </c>
      <c r="G5351" s="171" t="s">
        <v>1857</v>
      </c>
      <c r="H5351" s="175"/>
    </row>
    <row r="5352" ht="14.25" spans="1:8">
      <c r="A5352" s="176">
        <v>122</v>
      </c>
      <c r="B5352" s="189" t="s">
        <v>8180</v>
      </c>
      <c r="C5352" s="175" t="s">
        <v>60</v>
      </c>
      <c r="D5352" s="173">
        <v>0.02</v>
      </c>
      <c r="E5352" s="170" t="s">
        <v>30</v>
      </c>
      <c r="F5352" s="170" t="s">
        <v>188</v>
      </c>
      <c r="G5352" s="171" t="s">
        <v>8181</v>
      </c>
      <c r="H5352" s="175"/>
    </row>
    <row r="5353" ht="14.25" spans="1:8">
      <c r="A5353" s="176">
        <v>123</v>
      </c>
      <c r="B5353" s="189" t="s">
        <v>8182</v>
      </c>
      <c r="C5353" s="175" t="s">
        <v>60</v>
      </c>
      <c r="D5353" s="173">
        <v>0.04</v>
      </c>
      <c r="E5353" s="170" t="s">
        <v>30</v>
      </c>
      <c r="F5353" s="170" t="s">
        <v>188</v>
      </c>
      <c r="G5353" s="171" t="s">
        <v>8183</v>
      </c>
      <c r="H5353" s="175"/>
    </row>
    <row r="5354" ht="14.25" spans="1:8">
      <c r="A5354" s="176">
        <v>124</v>
      </c>
      <c r="B5354" s="189" t="s">
        <v>7374</v>
      </c>
      <c r="C5354" s="175" t="s">
        <v>60</v>
      </c>
      <c r="D5354" s="173">
        <v>0.01159</v>
      </c>
      <c r="E5354" s="170" t="s">
        <v>30</v>
      </c>
      <c r="F5354" s="170" t="s">
        <v>188</v>
      </c>
      <c r="G5354" s="171" t="s">
        <v>8184</v>
      </c>
      <c r="H5354" s="175"/>
    </row>
    <row r="5355" ht="14.25" spans="1:8">
      <c r="A5355" s="176">
        <v>125</v>
      </c>
      <c r="B5355" s="189" t="s">
        <v>8149</v>
      </c>
      <c r="C5355" s="175" t="s">
        <v>60</v>
      </c>
      <c r="D5355" s="173">
        <v>0.02</v>
      </c>
      <c r="E5355" s="170" t="s">
        <v>30</v>
      </c>
      <c r="F5355" s="170" t="s">
        <v>188</v>
      </c>
      <c r="G5355" s="171" t="s">
        <v>8150</v>
      </c>
      <c r="H5355" s="175"/>
    </row>
    <row r="5356" ht="25.5" spans="1:8">
      <c r="A5356" s="176">
        <v>126</v>
      </c>
      <c r="B5356" s="189" t="s">
        <v>8149</v>
      </c>
      <c r="C5356" s="175" t="s">
        <v>60</v>
      </c>
      <c r="D5356" s="173">
        <v>0.04</v>
      </c>
      <c r="E5356" s="170" t="s">
        <v>30</v>
      </c>
      <c r="F5356" s="170" t="s">
        <v>188</v>
      </c>
      <c r="G5356" s="171" t="s">
        <v>8185</v>
      </c>
      <c r="H5356" s="175" t="s">
        <v>634</v>
      </c>
    </row>
    <row r="5357" ht="14.25" spans="1:8">
      <c r="A5357" s="176">
        <v>127</v>
      </c>
      <c r="B5357" s="189" t="s">
        <v>6748</v>
      </c>
      <c r="C5357" s="175" t="s">
        <v>60</v>
      </c>
      <c r="D5357" s="173">
        <v>0.04</v>
      </c>
      <c r="E5357" s="170" t="s">
        <v>30</v>
      </c>
      <c r="F5357" s="170" t="s">
        <v>188</v>
      </c>
      <c r="G5357" s="171" t="s">
        <v>8186</v>
      </c>
      <c r="H5357" s="175"/>
    </row>
    <row r="5358" ht="14.25" spans="1:8">
      <c r="A5358" s="176">
        <v>128</v>
      </c>
      <c r="B5358" s="189" t="s">
        <v>8026</v>
      </c>
      <c r="C5358" s="175" t="s">
        <v>60</v>
      </c>
      <c r="D5358" s="173">
        <v>0.04</v>
      </c>
      <c r="E5358" s="170" t="s">
        <v>30</v>
      </c>
      <c r="F5358" s="170" t="s">
        <v>188</v>
      </c>
      <c r="G5358" s="171" t="s">
        <v>8187</v>
      </c>
      <c r="H5358" s="175" t="s">
        <v>672</v>
      </c>
    </row>
    <row r="5359" ht="14.25" spans="1:8">
      <c r="A5359" s="176">
        <v>129</v>
      </c>
      <c r="B5359" s="189" t="s">
        <v>5731</v>
      </c>
      <c r="C5359" s="175" t="s">
        <v>60</v>
      </c>
      <c r="D5359" s="173">
        <v>0.02</v>
      </c>
      <c r="E5359" s="170" t="s">
        <v>30</v>
      </c>
      <c r="F5359" s="170" t="s">
        <v>188</v>
      </c>
      <c r="G5359" s="171" t="s">
        <v>8188</v>
      </c>
      <c r="H5359" s="175"/>
    </row>
    <row r="5360" ht="14.25" spans="1:8">
      <c r="A5360" s="176">
        <v>130</v>
      </c>
      <c r="B5360" s="189" t="s">
        <v>8189</v>
      </c>
      <c r="C5360" s="175" t="s">
        <v>60</v>
      </c>
      <c r="D5360" s="173">
        <v>0.03</v>
      </c>
      <c r="E5360" s="170" t="s">
        <v>30</v>
      </c>
      <c r="F5360" s="170" t="s">
        <v>188</v>
      </c>
      <c r="G5360" s="171" t="s">
        <v>8190</v>
      </c>
      <c r="H5360" s="175"/>
    </row>
    <row r="5361" ht="14.25" spans="1:8">
      <c r="A5361" s="176">
        <v>131</v>
      </c>
      <c r="B5361" s="175" t="s">
        <v>8191</v>
      </c>
      <c r="C5361" s="175" t="s">
        <v>60</v>
      </c>
      <c r="D5361" s="173">
        <v>0.02</v>
      </c>
      <c r="E5361" s="170" t="s">
        <v>30</v>
      </c>
      <c r="F5361" s="170" t="s">
        <v>188</v>
      </c>
      <c r="G5361" s="171" t="s">
        <v>2991</v>
      </c>
      <c r="H5361" s="175"/>
    </row>
    <row r="5362" ht="14.25" spans="1:8">
      <c r="A5362" s="176">
        <v>132</v>
      </c>
      <c r="B5362" s="175" t="s">
        <v>8192</v>
      </c>
      <c r="C5362" s="175" t="s">
        <v>60</v>
      </c>
      <c r="D5362" s="173">
        <v>0.02</v>
      </c>
      <c r="E5362" s="170" t="s">
        <v>30</v>
      </c>
      <c r="F5362" s="170" t="s">
        <v>188</v>
      </c>
      <c r="G5362" s="171" t="s">
        <v>8193</v>
      </c>
      <c r="H5362" s="175"/>
    </row>
    <row r="5363" ht="14.25" spans="1:8">
      <c r="A5363" s="176">
        <v>133</v>
      </c>
      <c r="B5363" s="175" t="s">
        <v>8194</v>
      </c>
      <c r="C5363" s="175" t="s">
        <v>60</v>
      </c>
      <c r="D5363" s="173">
        <v>0.02</v>
      </c>
      <c r="E5363" s="170" t="s">
        <v>30</v>
      </c>
      <c r="F5363" s="170" t="s">
        <v>188</v>
      </c>
      <c r="G5363" s="171" t="s">
        <v>8195</v>
      </c>
      <c r="H5363" s="175"/>
    </row>
    <row r="5364" ht="14.25" spans="1:8">
      <c r="A5364" s="176">
        <v>134</v>
      </c>
      <c r="B5364" s="175" t="s">
        <v>8196</v>
      </c>
      <c r="C5364" s="175" t="s">
        <v>60</v>
      </c>
      <c r="D5364" s="173">
        <v>0.02</v>
      </c>
      <c r="E5364" s="170" t="s">
        <v>30</v>
      </c>
      <c r="F5364" s="170" t="s">
        <v>188</v>
      </c>
      <c r="G5364" s="171" t="s">
        <v>8197</v>
      </c>
      <c r="H5364" s="175"/>
    </row>
    <row r="5365" ht="14.25" spans="1:8">
      <c r="A5365" s="176">
        <v>135</v>
      </c>
      <c r="B5365" s="175" t="s">
        <v>8198</v>
      </c>
      <c r="C5365" s="175" t="s">
        <v>60</v>
      </c>
      <c r="D5365" s="173">
        <v>0.02</v>
      </c>
      <c r="E5365" s="170" t="s">
        <v>30</v>
      </c>
      <c r="F5365" s="170" t="s">
        <v>188</v>
      </c>
      <c r="G5365" s="171" t="s">
        <v>8199</v>
      </c>
      <c r="H5365" s="175"/>
    </row>
    <row r="5366" ht="14.25" spans="1:8">
      <c r="A5366" s="176">
        <v>136</v>
      </c>
      <c r="B5366" s="175" t="s">
        <v>8200</v>
      </c>
      <c r="C5366" s="175" t="s">
        <v>60</v>
      </c>
      <c r="D5366" s="173">
        <v>0.04</v>
      </c>
      <c r="E5366" s="170" t="s">
        <v>30</v>
      </c>
      <c r="F5366" s="170" t="s">
        <v>188</v>
      </c>
      <c r="G5366" s="171" t="s">
        <v>8152</v>
      </c>
      <c r="H5366" s="175"/>
    </row>
    <row r="5367" ht="14.25" spans="1:8">
      <c r="A5367" s="176">
        <v>137</v>
      </c>
      <c r="B5367" s="175" t="s">
        <v>4531</v>
      </c>
      <c r="C5367" s="175" t="s">
        <v>60</v>
      </c>
      <c r="D5367" s="173">
        <v>0.04</v>
      </c>
      <c r="E5367" s="170" t="s">
        <v>30</v>
      </c>
      <c r="F5367" s="170" t="s">
        <v>188</v>
      </c>
      <c r="G5367" s="171" t="s">
        <v>8201</v>
      </c>
      <c r="H5367" s="175"/>
    </row>
    <row r="5368" ht="14.25" spans="1:8">
      <c r="A5368" s="176">
        <v>138</v>
      </c>
      <c r="B5368" s="175" t="s">
        <v>8202</v>
      </c>
      <c r="C5368" s="175" t="s">
        <v>60</v>
      </c>
      <c r="D5368" s="173">
        <v>0.02</v>
      </c>
      <c r="E5368" s="170" t="s">
        <v>30</v>
      </c>
      <c r="F5368" s="170" t="s">
        <v>188</v>
      </c>
      <c r="G5368" s="171" t="s">
        <v>8203</v>
      </c>
      <c r="H5368" s="175"/>
    </row>
    <row r="5369" ht="14.25" spans="1:8">
      <c r="A5369" s="176">
        <v>139</v>
      </c>
      <c r="B5369" s="175" t="s">
        <v>512</v>
      </c>
      <c r="C5369" s="175" t="s">
        <v>60</v>
      </c>
      <c r="D5369" s="173">
        <v>0.02</v>
      </c>
      <c r="E5369" s="170" t="s">
        <v>30</v>
      </c>
      <c r="F5369" s="170" t="s">
        <v>188</v>
      </c>
      <c r="G5369" s="171" t="s">
        <v>8204</v>
      </c>
      <c r="H5369" s="175"/>
    </row>
    <row r="5370" ht="14.25" spans="1:8">
      <c r="A5370" s="176">
        <v>140</v>
      </c>
      <c r="B5370" s="175" t="s">
        <v>1680</v>
      </c>
      <c r="C5370" s="175" t="s">
        <v>60</v>
      </c>
      <c r="D5370" s="173">
        <v>0.02</v>
      </c>
      <c r="E5370" s="170" t="s">
        <v>30</v>
      </c>
      <c r="F5370" s="170" t="s">
        <v>188</v>
      </c>
      <c r="G5370" s="171" t="s">
        <v>8205</v>
      </c>
      <c r="H5370" s="175"/>
    </row>
    <row r="5371" ht="14.25" spans="1:8">
      <c r="A5371" s="176">
        <v>141</v>
      </c>
      <c r="B5371" s="175" t="s">
        <v>1680</v>
      </c>
      <c r="C5371" s="175" t="s">
        <v>60</v>
      </c>
      <c r="D5371" s="173">
        <v>0.01</v>
      </c>
      <c r="E5371" s="170" t="s">
        <v>30</v>
      </c>
      <c r="F5371" s="170" t="s">
        <v>188</v>
      </c>
      <c r="G5371" s="171" t="s">
        <v>7875</v>
      </c>
      <c r="H5371" s="175"/>
    </row>
    <row r="5372" ht="14.25" spans="1:8">
      <c r="A5372" s="176">
        <v>142</v>
      </c>
      <c r="B5372" s="175" t="s">
        <v>8206</v>
      </c>
      <c r="C5372" s="175" t="s">
        <v>60</v>
      </c>
      <c r="D5372" s="173">
        <v>0.02</v>
      </c>
      <c r="E5372" s="170" t="s">
        <v>30</v>
      </c>
      <c r="F5372" s="170" t="s">
        <v>188</v>
      </c>
      <c r="G5372" s="171" t="s">
        <v>8207</v>
      </c>
      <c r="H5372" s="175"/>
    </row>
    <row r="5373" ht="14.25" spans="1:8">
      <c r="A5373" s="176">
        <v>143</v>
      </c>
      <c r="B5373" s="175" t="s">
        <v>8142</v>
      </c>
      <c r="C5373" s="175" t="s">
        <v>60</v>
      </c>
      <c r="D5373" s="190">
        <v>0.01</v>
      </c>
      <c r="E5373" s="170" t="s">
        <v>30</v>
      </c>
      <c r="F5373" s="170" t="s">
        <v>188</v>
      </c>
      <c r="G5373" s="175" t="s">
        <v>7973</v>
      </c>
      <c r="H5373" s="175"/>
    </row>
    <row r="5374" ht="14.25" spans="1:8">
      <c r="A5374" s="176">
        <v>144</v>
      </c>
      <c r="B5374" s="175" t="s">
        <v>8143</v>
      </c>
      <c r="C5374" s="175" t="s">
        <v>60</v>
      </c>
      <c r="D5374" s="190">
        <v>0.01</v>
      </c>
      <c r="E5374" s="170" t="s">
        <v>30</v>
      </c>
      <c r="F5374" s="170" t="s">
        <v>188</v>
      </c>
      <c r="G5374" s="175" t="s">
        <v>8144</v>
      </c>
      <c r="H5374" s="175"/>
    </row>
    <row r="5375" ht="14.25" spans="1:8">
      <c r="A5375" s="176">
        <v>145</v>
      </c>
      <c r="B5375" s="175" t="s">
        <v>8208</v>
      </c>
      <c r="C5375" s="175" t="s">
        <v>60</v>
      </c>
      <c r="D5375" s="190">
        <v>0.04</v>
      </c>
      <c r="E5375" s="170" t="s">
        <v>30</v>
      </c>
      <c r="F5375" s="170" t="s">
        <v>188</v>
      </c>
      <c r="G5375" s="175" t="s">
        <v>8209</v>
      </c>
      <c r="H5375" s="175"/>
    </row>
    <row r="5376" ht="14.25" spans="1:8">
      <c r="A5376" s="176">
        <v>146</v>
      </c>
      <c r="B5376" s="175" t="s">
        <v>828</v>
      </c>
      <c r="C5376" s="175" t="s">
        <v>60</v>
      </c>
      <c r="D5376" s="190">
        <v>0.03</v>
      </c>
      <c r="E5376" s="170" t="s">
        <v>30</v>
      </c>
      <c r="F5376" s="170" t="s">
        <v>188</v>
      </c>
      <c r="G5376" s="175" t="s">
        <v>8210</v>
      </c>
      <c r="H5376" s="175"/>
    </row>
    <row r="5377" ht="14.25" spans="1:8">
      <c r="A5377" s="176">
        <v>147</v>
      </c>
      <c r="B5377" s="175" t="s">
        <v>8211</v>
      </c>
      <c r="C5377" s="175" t="s">
        <v>60</v>
      </c>
      <c r="D5377" s="190">
        <v>0.04</v>
      </c>
      <c r="E5377" s="170" t="s">
        <v>30</v>
      </c>
      <c r="F5377" s="170" t="s">
        <v>188</v>
      </c>
      <c r="G5377" s="175" t="s">
        <v>3927</v>
      </c>
      <c r="H5377" s="175"/>
    </row>
    <row r="5378" ht="14.25" spans="1:8">
      <c r="A5378" s="176">
        <v>148</v>
      </c>
      <c r="B5378" s="175" t="s">
        <v>8212</v>
      </c>
      <c r="C5378" s="175" t="s">
        <v>60</v>
      </c>
      <c r="D5378" s="190">
        <v>0.04</v>
      </c>
      <c r="E5378" s="170" t="s">
        <v>30</v>
      </c>
      <c r="F5378" s="170" t="s">
        <v>188</v>
      </c>
      <c r="G5378" s="175" t="s">
        <v>8213</v>
      </c>
      <c r="H5378" s="175"/>
    </row>
    <row r="5379" ht="14.25" spans="1:8">
      <c r="A5379" s="176">
        <v>149</v>
      </c>
      <c r="B5379" s="175" t="s">
        <v>8214</v>
      </c>
      <c r="C5379" s="175" t="s">
        <v>60</v>
      </c>
      <c r="D5379" s="190">
        <v>0.02</v>
      </c>
      <c r="E5379" s="170" t="s">
        <v>30</v>
      </c>
      <c r="F5379" s="170" t="s">
        <v>188</v>
      </c>
      <c r="G5379" s="175" t="s">
        <v>8215</v>
      </c>
      <c r="H5379" s="175"/>
    </row>
    <row r="5380" ht="14.25" spans="1:8">
      <c r="A5380" s="176">
        <v>150</v>
      </c>
      <c r="B5380" s="175" t="s">
        <v>6826</v>
      </c>
      <c r="C5380" s="175" t="s">
        <v>60</v>
      </c>
      <c r="D5380" s="190">
        <v>0.03</v>
      </c>
      <c r="E5380" s="170" t="s">
        <v>30</v>
      </c>
      <c r="F5380" s="170" t="s">
        <v>188</v>
      </c>
      <c r="G5380" s="175" t="s">
        <v>8216</v>
      </c>
      <c r="H5380" s="175"/>
    </row>
    <row r="5381" ht="14.25" spans="1:8">
      <c r="A5381" s="176">
        <v>151</v>
      </c>
      <c r="B5381" s="175" t="s">
        <v>6826</v>
      </c>
      <c r="C5381" s="175" t="s">
        <v>60</v>
      </c>
      <c r="D5381" s="190">
        <v>0.03</v>
      </c>
      <c r="E5381" s="170" t="s">
        <v>30</v>
      </c>
      <c r="F5381" s="170" t="s">
        <v>188</v>
      </c>
      <c r="G5381" s="175" t="s">
        <v>8217</v>
      </c>
      <c r="H5381" s="175"/>
    </row>
    <row r="5382" ht="14.25" spans="1:8">
      <c r="A5382" s="176">
        <v>152</v>
      </c>
      <c r="B5382" s="175" t="s">
        <v>1212</v>
      </c>
      <c r="C5382" s="175" t="s">
        <v>60</v>
      </c>
      <c r="D5382" s="190">
        <v>0.03</v>
      </c>
      <c r="E5382" s="170" t="s">
        <v>30</v>
      </c>
      <c r="F5382" s="170" t="s">
        <v>188</v>
      </c>
      <c r="G5382" s="175" t="s">
        <v>8218</v>
      </c>
      <c r="H5382" s="175"/>
    </row>
    <row r="5383" ht="14.25" spans="1:8">
      <c r="A5383" s="176">
        <v>153</v>
      </c>
      <c r="B5383" s="175" t="s">
        <v>1212</v>
      </c>
      <c r="C5383" s="175" t="s">
        <v>60</v>
      </c>
      <c r="D5383" s="190">
        <v>0.01</v>
      </c>
      <c r="E5383" s="170" t="s">
        <v>30</v>
      </c>
      <c r="F5383" s="170" t="s">
        <v>188</v>
      </c>
      <c r="G5383" s="175" t="s">
        <v>8219</v>
      </c>
      <c r="H5383" s="175"/>
    </row>
    <row r="5384" ht="14.25" spans="1:8">
      <c r="A5384" s="176">
        <v>154</v>
      </c>
      <c r="B5384" s="175" t="s">
        <v>6990</v>
      </c>
      <c r="C5384" s="175" t="s">
        <v>60</v>
      </c>
      <c r="D5384" s="190">
        <v>0.08</v>
      </c>
      <c r="E5384" s="170" t="s">
        <v>30</v>
      </c>
      <c r="F5384" s="170" t="s">
        <v>188</v>
      </c>
      <c r="G5384" s="189" t="s">
        <v>8220</v>
      </c>
      <c r="H5384" s="175" t="s">
        <v>672</v>
      </c>
    </row>
    <row r="5385" ht="14.25" spans="1:8">
      <c r="A5385" s="176">
        <v>155</v>
      </c>
      <c r="B5385" s="175" t="s">
        <v>8221</v>
      </c>
      <c r="C5385" s="175" t="s">
        <v>60</v>
      </c>
      <c r="D5385" s="190">
        <v>0.05</v>
      </c>
      <c r="E5385" s="170" t="s">
        <v>30</v>
      </c>
      <c r="F5385" s="170" t="s">
        <v>188</v>
      </c>
      <c r="G5385" s="175" t="s">
        <v>8222</v>
      </c>
      <c r="H5385" s="175"/>
    </row>
    <row r="5386" ht="14.25" spans="1:8">
      <c r="A5386" s="176">
        <v>156</v>
      </c>
      <c r="B5386" s="175" t="s">
        <v>8223</v>
      </c>
      <c r="C5386" s="175" t="s">
        <v>60</v>
      </c>
      <c r="D5386" s="190">
        <v>0.05</v>
      </c>
      <c r="E5386" s="170" t="s">
        <v>30</v>
      </c>
      <c r="F5386" s="170" t="s">
        <v>188</v>
      </c>
      <c r="G5386" s="175" t="s">
        <v>8224</v>
      </c>
      <c r="H5386" s="175"/>
    </row>
    <row r="5387" ht="14.25" spans="1:8">
      <c r="A5387" s="176">
        <v>157</v>
      </c>
      <c r="B5387" s="175" t="s">
        <v>8163</v>
      </c>
      <c r="C5387" s="175" t="s">
        <v>60</v>
      </c>
      <c r="D5387" s="190">
        <v>0.17</v>
      </c>
      <c r="E5387" s="170" t="s">
        <v>30</v>
      </c>
      <c r="F5387" s="170" t="s">
        <v>188</v>
      </c>
      <c r="G5387" s="175" t="s">
        <v>8225</v>
      </c>
      <c r="H5387" s="175"/>
    </row>
    <row r="5388" ht="25.5" spans="1:8">
      <c r="A5388" s="176">
        <v>158</v>
      </c>
      <c r="B5388" s="175" t="s">
        <v>8226</v>
      </c>
      <c r="C5388" s="175" t="s">
        <v>60</v>
      </c>
      <c r="D5388" s="190">
        <v>0.5</v>
      </c>
      <c r="E5388" s="170" t="s">
        <v>30</v>
      </c>
      <c r="F5388" s="170" t="s">
        <v>188</v>
      </c>
      <c r="G5388" s="175" t="s">
        <v>1447</v>
      </c>
      <c r="H5388" s="175" t="s">
        <v>7639</v>
      </c>
    </row>
    <row r="5389" ht="14.25" spans="1:8">
      <c r="A5389" s="176">
        <v>159</v>
      </c>
      <c r="B5389" s="175" t="s">
        <v>8227</v>
      </c>
      <c r="C5389" s="175" t="s">
        <v>60</v>
      </c>
      <c r="D5389" s="190">
        <v>0.04</v>
      </c>
      <c r="E5389" s="170" t="s">
        <v>30</v>
      </c>
      <c r="F5389" s="170" t="s">
        <v>188</v>
      </c>
      <c r="G5389" s="175" t="s">
        <v>8228</v>
      </c>
      <c r="H5389" s="175"/>
    </row>
    <row r="5390" ht="14.25" spans="1:8">
      <c r="A5390" s="176">
        <v>160</v>
      </c>
      <c r="B5390" s="175" t="s">
        <v>8026</v>
      </c>
      <c r="C5390" s="175" t="s">
        <v>60</v>
      </c>
      <c r="D5390" s="190">
        <v>0.02</v>
      </c>
      <c r="E5390" s="170" t="s">
        <v>30</v>
      </c>
      <c r="F5390" s="170" t="s">
        <v>188</v>
      </c>
      <c r="G5390" s="175" t="s">
        <v>8229</v>
      </c>
      <c r="H5390" s="175"/>
    </row>
    <row r="5391" ht="14.25" spans="1:8">
      <c r="A5391" s="176">
        <v>161</v>
      </c>
      <c r="B5391" s="175" t="s">
        <v>8026</v>
      </c>
      <c r="C5391" s="175" t="s">
        <v>60</v>
      </c>
      <c r="D5391" s="190">
        <v>0.02</v>
      </c>
      <c r="E5391" s="170" t="s">
        <v>30</v>
      </c>
      <c r="F5391" s="170" t="s">
        <v>188</v>
      </c>
      <c r="G5391" s="175" t="s">
        <v>8230</v>
      </c>
      <c r="H5391" s="175"/>
    </row>
    <row r="5392" ht="14.25" spans="1:8">
      <c r="A5392" s="176">
        <v>162</v>
      </c>
      <c r="B5392" s="175" t="s">
        <v>8231</v>
      </c>
      <c r="C5392" s="175" t="s">
        <v>60</v>
      </c>
      <c r="D5392" s="190">
        <v>0.04</v>
      </c>
      <c r="E5392" s="170" t="s">
        <v>30</v>
      </c>
      <c r="F5392" s="170" t="s">
        <v>188</v>
      </c>
      <c r="G5392" s="175" t="s">
        <v>8232</v>
      </c>
      <c r="H5392" s="175"/>
    </row>
    <row r="5393" ht="14.25" spans="1:8">
      <c r="A5393" s="176">
        <v>163</v>
      </c>
      <c r="B5393" s="175" t="s">
        <v>8233</v>
      </c>
      <c r="C5393" s="175" t="s">
        <v>60</v>
      </c>
      <c r="D5393" s="190">
        <v>0.04</v>
      </c>
      <c r="E5393" s="170" t="s">
        <v>30</v>
      </c>
      <c r="F5393" s="170" t="s">
        <v>188</v>
      </c>
      <c r="G5393" s="175" t="s">
        <v>8234</v>
      </c>
      <c r="H5393" s="175"/>
    </row>
    <row r="5394" ht="14.25" spans="1:8">
      <c r="A5394" s="176">
        <v>164</v>
      </c>
      <c r="B5394" s="175" t="s">
        <v>8235</v>
      </c>
      <c r="C5394" s="175" t="s">
        <v>60</v>
      </c>
      <c r="D5394" s="190">
        <v>0.02</v>
      </c>
      <c r="E5394" s="170" t="s">
        <v>30</v>
      </c>
      <c r="F5394" s="170" t="s">
        <v>188</v>
      </c>
      <c r="G5394" s="175" t="s">
        <v>8236</v>
      </c>
      <c r="H5394" s="175"/>
    </row>
    <row r="5395" ht="14.25" spans="1:8">
      <c r="A5395" s="176">
        <v>165</v>
      </c>
      <c r="B5395" s="175" t="s">
        <v>8237</v>
      </c>
      <c r="C5395" s="175" t="s">
        <v>60</v>
      </c>
      <c r="D5395" s="190">
        <v>0.02</v>
      </c>
      <c r="E5395" s="170" t="s">
        <v>30</v>
      </c>
      <c r="F5395" s="170" t="s">
        <v>188</v>
      </c>
      <c r="G5395" s="175" t="s">
        <v>3776</v>
      </c>
      <c r="H5395" s="175"/>
    </row>
    <row r="5396" ht="14.25" spans="1:8">
      <c r="A5396" s="176">
        <v>166</v>
      </c>
      <c r="B5396" s="175" t="s">
        <v>8238</v>
      </c>
      <c r="C5396" s="175" t="s">
        <v>60</v>
      </c>
      <c r="D5396" s="190">
        <v>0.04</v>
      </c>
      <c r="E5396" s="170" t="s">
        <v>30</v>
      </c>
      <c r="F5396" s="170" t="s">
        <v>188</v>
      </c>
      <c r="G5396" s="175" t="s">
        <v>8239</v>
      </c>
      <c r="H5396" s="175"/>
    </row>
    <row r="5397" ht="14.25" spans="1:8">
      <c r="A5397" s="176">
        <v>167</v>
      </c>
      <c r="B5397" s="175" t="s">
        <v>8143</v>
      </c>
      <c r="C5397" s="175" t="s">
        <v>60</v>
      </c>
      <c r="D5397" s="190">
        <v>0.02</v>
      </c>
      <c r="E5397" s="170" t="s">
        <v>30</v>
      </c>
      <c r="F5397" s="170" t="s">
        <v>188</v>
      </c>
      <c r="G5397" s="175" t="s">
        <v>8144</v>
      </c>
      <c r="H5397" s="175"/>
    </row>
    <row r="5398" ht="14.25" spans="1:8">
      <c r="A5398" s="176">
        <v>168</v>
      </c>
      <c r="B5398" s="175" t="s">
        <v>3240</v>
      </c>
      <c r="C5398" s="175" t="s">
        <v>60</v>
      </c>
      <c r="D5398" s="190">
        <v>0.05</v>
      </c>
      <c r="E5398" s="170" t="s">
        <v>30</v>
      </c>
      <c r="F5398" s="170" t="s">
        <v>188</v>
      </c>
      <c r="G5398" s="175" t="s">
        <v>8240</v>
      </c>
      <c r="H5398" s="175"/>
    </row>
    <row r="5399" ht="14.25" spans="1:8">
      <c r="A5399" s="176">
        <v>169</v>
      </c>
      <c r="B5399" s="175" t="s">
        <v>8241</v>
      </c>
      <c r="C5399" s="175" t="s">
        <v>60</v>
      </c>
      <c r="D5399" s="190">
        <v>0.04</v>
      </c>
      <c r="E5399" s="170" t="s">
        <v>30</v>
      </c>
      <c r="F5399" s="170" t="s">
        <v>188</v>
      </c>
      <c r="G5399" s="175" t="s">
        <v>8242</v>
      </c>
      <c r="H5399" s="175"/>
    </row>
    <row r="5400" ht="14.25" spans="1:8">
      <c r="A5400" s="176">
        <v>170</v>
      </c>
      <c r="B5400" s="175" t="s">
        <v>7331</v>
      </c>
      <c r="C5400" s="175" t="s">
        <v>60</v>
      </c>
      <c r="D5400" s="190">
        <v>0.02</v>
      </c>
      <c r="E5400" s="170" t="s">
        <v>30</v>
      </c>
      <c r="F5400" s="170" t="s">
        <v>188</v>
      </c>
      <c r="G5400" s="175" t="s">
        <v>8243</v>
      </c>
      <c r="H5400" s="175"/>
    </row>
    <row r="5401" ht="14.25" spans="1:8">
      <c r="A5401" s="176">
        <v>171</v>
      </c>
      <c r="B5401" s="175" t="s">
        <v>8244</v>
      </c>
      <c r="C5401" s="175" t="s">
        <v>60</v>
      </c>
      <c r="D5401" s="190">
        <v>0.04</v>
      </c>
      <c r="E5401" s="170" t="s">
        <v>30</v>
      </c>
      <c r="F5401" s="170" t="s">
        <v>188</v>
      </c>
      <c r="G5401" s="175" t="s">
        <v>8245</v>
      </c>
      <c r="H5401" s="175"/>
    </row>
    <row r="5402" ht="14.25" spans="1:8">
      <c r="A5402" s="176">
        <v>172</v>
      </c>
      <c r="B5402" s="175" t="s">
        <v>8246</v>
      </c>
      <c r="C5402" s="175" t="s">
        <v>60</v>
      </c>
      <c r="D5402" s="190">
        <v>0.04</v>
      </c>
      <c r="E5402" s="170" t="s">
        <v>30</v>
      </c>
      <c r="F5402" s="170" t="s">
        <v>188</v>
      </c>
      <c r="G5402" s="175" t="s">
        <v>5985</v>
      </c>
      <c r="H5402" s="175"/>
    </row>
    <row r="5403" ht="14.25" spans="1:8">
      <c r="A5403" s="176">
        <v>173</v>
      </c>
      <c r="B5403" s="175" t="s">
        <v>8247</v>
      </c>
      <c r="C5403" s="175" t="s">
        <v>60</v>
      </c>
      <c r="D5403" s="190">
        <v>0.02</v>
      </c>
      <c r="E5403" s="170" t="s">
        <v>30</v>
      </c>
      <c r="F5403" s="170" t="s">
        <v>188</v>
      </c>
      <c r="G5403" s="175" t="s">
        <v>8248</v>
      </c>
      <c r="H5403" s="175"/>
    </row>
    <row r="5404" ht="14.25" spans="1:8">
      <c r="A5404" s="176">
        <v>174</v>
      </c>
      <c r="B5404" s="175" t="s">
        <v>8249</v>
      </c>
      <c r="C5404" s="175" t="s">
        <v>60</v>
      </c>
      <c r="D5404" s="190">
        <v>0.06</v>
      </c>
      <c r="E5404" s="170" t="s">
        <v>30</v>
      </c>
      <c r="F5404" s="170" t="s">
        <v>188</v>
      </c>
      <c r="G5404" s="175" t="s">
        <v>8250</v>
      </c>
      <c r="H5404" s="175"/>
    </row>
    <row r="5405" ht="14.25" spans="1:8">
      <c r="A5405" s="176">
        <v>175</v>
      </c>
      <c r="B5405" s="175" t="s">
        <v>8249</v>
      </c>
      <c r="C5405" s="175" t="s">
        <v>60</v>
      </c>
      <c r="D5405" s="190">
        <v>0.06</v>
      </c>
      <c r="E5405" s="170" t="s">
        <v>30</v>
      </c>
      <c r="F5405" s="170" t="s">
        <v>188</v>
      </c>
      <c r="G5405" s="175" t="s">
        <v>8251</v>
      </c>
      <c r="H5405" s="175"/>
    </row>
    <row r="5406" ht="14.25" spans="1:8">
      <c r="A5406" s="176">
        <v>176</v>
      </c>
      <c r="B5406" s="175" t="s">
        <v>8252</v>
      </c>
      <c r="C5406" s="175" t="s">
        <v>60</v>
      </c>
      <c r="D5406" s="190">
        <v>0.04</v>
      </c>
      <c r="E5406" s="170" t="s">
        <v>30</v>
      </c>
      <c r="F5406" s="170" t="s">
        <v>188</v>
      </c>
      <c r="G5406" s="175" t="s">
        <v>8253</v>
      </c>
      <c r="H5406" s="175"/>
    </row>
    <row r="5407" ht="14.25" spans="1:8">
      <c r="A5407" s="176">
        <v>177</v>
      </c>
      <c r="B5407" s="175" t="s">
        <v>5535</v>
      </c>
      <c r="C5407" s="175" t="s">
        <v>60</v>
      </c>
      <c r="D5407" s="190">
        <v>0.03</v>
      </c>
      <c r="E5407" s="170" t="s">
        <v>30</v>
      </c>
      <c r="F5407" s="170" t="s">
        <v>188</v>
      </c>
      <c r="G5407" s="175" t="s">
        <v>8254</v>
      </c>
      <c r="H5407" s="175"/>
    </row>
    <row r="5408" ht="14.25" spans="1:8">
      <c r="A5408" s="176">
        <v>178</v>
      </c>
      <c r="B5408" s="175" t="s">
        <v>8255</v>
      </c>
      <c r="C5408" s="175" t="s">
        <v>60</v>
      </c>
      <c r="D5408" s="190">
        <v>0.07</v>
      </c>
      <c r="E5408" s="170" t="s">
        <v>30</v>
      </c>
      <c r="F5408" s="170" t="s">
        <v>188</v>
      </c>
      <c r="G5408" s="175" t="s">
        <v>8021</v>
      </c>
      <c r="H5408" s="175" t="s">
        <v>672</v>
      </c>
    </row>
    <row r="5409" ht="14.25" spans="1:8">
      <c r="A5409" s="176">
        <v>179</v>
      </c>
      <c r="B5409" s="175" t="s">
        <v>8157</v>
      </c>
      <c r="C5409" s="175" t="s">
        <v>60</v>
      </c>
      <c r="D5409" s="190">
        <v>0.1</v>
      </c>
      <c r="E5409" s="170" t="s">
        <v>30</v>
      </c>
      <c r="F5409" s="170" t="s">
        <v>188</v>
      </c>
      <c r="G5409" s="175" t="s">
        <v>8158</v>
      </c>
      <c r="H5409" s="175"/>
    </row>
    <row r="5410" ht="14.25" spans="1:8">
      <c r="A5410" s="176">
        <v>180</v>
      </c>
      <c r="B5410" s="175" t="s">
        <v>8256</v>
      </c>
      <c r="C5410" s="175" t="s">
        <v>60</v>
      </c>
      <c r="D5410" s="190">
        <v>0.02</v>
      </c>
      <c r="E5410" s="170" t="s">
        <v>30</v>
      </c>
      <c r="F5410" s="170" t="s">
        <v>188</v>
      </c>
      <c r="G5410" s="175" t="s">
        <v>7795</v>
      </c>
      <c r="H5410" s="175"/>
    </row>
    <row r="5411" ht="14.25" spans="1:8">
      <c r="A5411" s="176">
        <v>181</v>
      </c>
      <c r="B5411" s="175" t="s">
        <v>8257</v>
      </c>
      <c r="C5411" s="175" t="s">
        <v>60</v>
      </c>
      <c r="D5411" s="190">
        <v>0.1</v>
      </c>
      <c r="E5411" s="170" t="s">
        <v>30</v>
      </c>
      <c r="F5411" s="170" t="s">
        <v>188</v>
      </c>
      <c r="G5411" s="175" t="s">
        <v>8258</v>
      </c>
      <c r="H5411" s="175"/>
    </row>
    <row r="5412" ht="14.25" spans="1:8">
      <c r="A5412" s="176">
        <v>182</v>
      </c>
      <c r="B5412" s="175" t="s">
        <v>8182</v>
      </c>
      <c r="C5412" s="175" t="s">
        <v>60</v>
      </c>
      <c r="D5412" s="190">
        <v>0.04</v>
      </c>
      <c r="E5412" s="170" t="s">
        <v>30</v>
      </c>
      <c r="F5412" s="170" t="s">
        <v>188</v>
      </c>
      <c r="G5412" s="175" t="s">
        <v>8183</v>
      </c>
      <c r="H5412" s="175"/>
    </row>
    <row r="5413" ht="14.25" spans="1:8">
      <c r="A5413" s="176">
        <v>183</v>
      </c>
      <c r="B5413" s="175" t="s">
        <v>8259</v>
      </c>
      <c r="C5413" s="175" t="s">
        <v>60</v>
      </c>
      <c r="D5413" s="190">
        <v>0.11</v>
      </c>
      <c r="E5413" s="170" t="s">
        <v>30</v>
      </c>
      <c r="F5413" s="170" t="s">
        <v>188</v>
      </c>
      <c r="G5413" s="175" t="s">
        <v>3760</v>
      </c>
      <c r="H5413" s="175"/>
    </row>
    <row r="5414" ht="14.25" spans="1:8">
      <c r="A5414" s="176">
        <v>184</v>
      </c>
      <c r="B5414" s="175" t="s">
        <v>8259</v>
      </c>
      <c r="C5414" s="175" t="s">
        <v>60</v>
      </c>
      <c r="D5414" s="190">
        <v>0.15</v>
      </c>
      <c r="E5414" s="170" t="s">
        <v>30</v>
      </c>
      <c r="F5414" s="170" t="s">
        <v>188</v>
      </c>
      <c r="G5414" s="175" t="s">
        <v>1621</v>
      </c>
      <c r="H5414" s="175"/>
    </row>
    <row r="5415" ht="14.25" spans="1:8">
      <c r="A5415" s="176">
        <v>185</v>
      </c>
      <c r="B5415" s="175" t="s">
        <v>8006</v>
      </c>
      <c r="C5415" s="175" t="s">
        <v>60</v>
      </c>
      <c r="D5415" s="190">
        <v>0.04</v>
      </c>
      <c r="E5415" s="170" t="s">
        <v>30</v>
      </c>
      <c r="F5415" s="170" t="s">
        <v>188</v>
      </c>
      <c r="G5415" s="175" t="s">
        <v>8260</v>
      </c>
      <c r="H5415" s="175"/>
    </row>
    <row r="5416" ht="14.25" spans="1:8">
      <c r="A5416" s="176">
        <v>186</v>
      </c>
      <c r="B5416" s="175" t="s">
        <v>8261</v>
      </c>
      <c r="C5416" s="175" t="s">
        <v>60</v>
      </c>
      <c r="D5416" s="190">
        <v>0.04</v>
      </c>
      <c r="E5416" s="170" t="s">
        <v>30</v>
      </c>
      <c r="F5416" s="170" t="s">
        <v>188</v>
      </c>
      <c r="G5416" s="175" t="s">
        <v>8262</v>
      </c>
      <c r="H5416" s="175"/>
    </row>
    <row r="5417" ht="14.25" spans="1:8">
      <c r="A5417" s="176">
        <v>187</v>
      </c>
      <c r="B5417" s="175" t="s">
        <v>8263</v>
      </c>
      <c r="C5417" s="175" t="s">
        <v>60</v>
      </c>
      <c r="D5417" s="190">
        <v>0.01</v>
      </c>
      <c r="E5417" s="170" t="s">
        <v>30</v>
      </c>
      <c r="F5417" s="170" t="s">
        <v>188</v>
      </c>
      <c r="G5417" s="175" t="s">
        <v>8264</v>
      </c>
      <c r="H5417" s="175"/>
    </row>
    <row r="5418" ht="14.25" spans="1:8">
      <c r="A5418" s="176">
        <v>188</v>
      </c>
      <c r="B5418" s="175" t="s">
        <v>8265</v>
      </c>
      <c r="C5418" s="175" t="s">
        <v>60</v>
      </c>
      <c r="D5418" s="190">
        <v>0.01</v>
      </c>
      <c r="E5418" s="170" t="s">
        <v>30</v>
      </c>
      <c r="F5418" s="170" t="s">
        <v>188</v>
      </c>
      <c r="G5418" s="175" t="s">
        <v>8266</v>
      </c>
      <c r="H5418" s="175"/>
    </row>
    <row r="5419" ht="14.25" spans="1:8">
      <c r="A5419" s="176">
        <v>189</v>
      </c>
      <c r="B5419" s="175" t="s">
        <v>8191</v>
      </c>
      <c r="C5419" s="175" t="s">
        <v>60</v>
      </c>
      <c r="D5419" s="190">
        <v>0.01</v>
      </c>
      <c r="E5419" s="170" t="s">
        <v>30</v>
      </c>
      <c r="F5419" s="170" t="s">
        <v>188</v>
      </c>
      <c r="G5419" s="175" t="s">
        <v>2991</v>
      </c>
      <c r="H5419" s="175"/>
    </row>
    <row r="5420" ht="14.25" spans="1:8">
      <c r="A5420" s="176">
        <v>190</v>
      </c>
      <c r="B5420" s="175" t="s">
        <v>8267</v>
      </c>
      <c r="C5420" s="175" t="s">
        <v>60</v>
      </c>
      <c r="D5420" s="190">
        <v>0.07</v>
      </c>
      <c r="E5420" s="170" t="s">
        <v>30</v>
      </c>
      <c r="F5420" s="170" t="s">
        <v>188</v>
      </c>
      <c r="G5420" s="175" t="s">
        <v>8268</v>
      </c>
      <c r="H5420" s="175"/>
    </row>
    <row r="5421" ht="14.25" spans="1:8">
      <c r="A5421" s="176">
        <v>191</v>
      </c>
      <c r="B5421" s="175" t="s">
        <v>8269</v>
      </c>
      <c r="C5421" s="175" t="s">
        <v>60</v>
      </c>
      <c r="D5421" s="190">
        <v>0.04</v>
      </c>
      <c r="E5421" s="170" t="s">
        <v>30</v>
      </c>
      <c r="F5421" s="170" t="s">
        <v>188</v>
      </c>
      <c r="G5421" s="175" t="s">
        <v>8270</v>
      </c>
      <c r="H5421" s="175"/>
    </row>
    <row r="5422" ht="14.25" spans="1:8">
      <c r="A5422" s="176">
        <v>192</v>
      </c>
      <c r="B5422" s="201" t="s">
        <v>2505</v>
      </c>
      <c r="C5422" s="195" t="s">
        <v>60</v>
      </c>
      <c r="D5422" s="173">
        <v>0.15</v>
      </c>
      <c r="E5422" s="199" t="s">
        <v>30</v>
      </c>
      <c r="F5422" s="199" t="s">
        <v>188</v>
      </c>
      <c r="G5422" s="202" t="s">
        <v>8271</v>
      </c>
      <c r="H5422" s="175"/>
    </row>
    <row r="5423" ht="14.25" spans="1:8">
      <c r="A5423" s="176">
        <v>193</v>
      </c>
      <c r="B5423" s="175" t="s">
        <v>1066</v>
      </c>
      <c r="C5423" s="175" t="s">
        <v>60</v>
      </c>
      <c r="D5423" s="190">
        <v>0.03</v>
      </c>
      <c r="E5423" s="170" t="s">
        <v>30</v>
      </c>
      <c r="F5423" s="170" t="s">
        <v>188</v>
      </c>
      <c r="G5423" s="175" t="s">
        <v>8272</v>
      </c>
      <c r="H5423" s="175"/>
    </row>
    <row r="5424" ht="14.25" spans="1:8">
      <c r="A5424" s="176">
        <v>194</v>
      </c>
      <c r="B5424" s="195" t="s">
        <v>8018</v>
      </c>
      <c r="C5424" s="175" t="s">
        <v>60</v>
      </c>
      <c r="D5424" s="190">
        <v>0.1</v>
      </c>
      <c r="E5424" s="170" t="s">
        <v>30</v>
      </c>
      <c r="F5424" s="170" t="s">
        <v>188</v>
      </c>
      <c r="G5424" s="195" t="s">
        <v>8019</v>
      </c>
      <c r="H5424" s="195"/>
    </row>
    <row r="5425" ht="14.25" spans="1:8">
      <c r="A5425" s="176">
        <v>195</v>
      </c>
      <c r="B5425" s="196" t="s">
        <v>8273</v>
      </c>
      <c r="C5425" s="175" t="s">
        <v>60</v>
      </c>
      <c r="D5425" s="190">
        <v>0.06</v>
      </c>
      <c r="E5425" s="170" t="s">
        <v>30</v>
      </c>
      <c r="F5425" s="170" t="s">
        <v>188</v>
      </c>
      <c r="G5425" s="195" t="s">
        <v>8274</v>
      </c>
      <c r="H5425" s="195"/>
    </row>
    <row r="5426" ht="14.25" spans="1:8">
      <c r="A5426" s="176">
        <v>196</v>
      </c>
      <c r="B5426" s="196" t="s">
        <v>8275</v>
      </c>
      <c r="C5426" s="175" t="s">
        <v>60</v>
      </c>
      <c r="D5426" s="190">
        <v>0.13</v>
      </c>
      <c r="E5426" s="170" t="s">
        <v>30</v>
      </c>
      <c r="F5426" s="170" t="s">
        <v>188</v>
      </c>
      <c r="G5426" s="195" t="s">
        <v>8276</v>
      </c>
      <c r="H5426" s="195"/>
    </row>
    <row r="5427" ht="14.25" spans="1:8">
      <c r="A5427" s="176">
        <v>197</v>
      </c>
      <c r="B5427" s="196" t="s">
        <v>8275</v>
      </c>
      <c r="C5427" s="175" t="s">
        <v>60</v>
      </c>
      <c r="D5427" s="190">
        <v>0.1</v>
      </c>
      <c r="E5427" s="170" t="s">
        <v>30</v>
      </c>
      <c r="F5427" s="170" t="s">
        <v>188</v>
      </c>
      <c r="G5427" s="195" t="s">
        <v>6515</v>
      </c>
      <c r="H5427" s="195"/>
    </row>
    <row r="5428" s="143" customFormat="1" ht="12.75" spans="1:8">
      <c r="A5428" s="176">
        <v>198</v>
      </c>
      <c r="B5428" s="195" t="s">
        <v>8277</v>
      </c>
      <c r="C5428" s="175" t="s">
        <v>60</v>
      </c>
      <c r="D5428" s="190">
        <v>0.08</v>
      </c>
      <c r="E5428" s="276" t="s">
        <v>30</v>
      </c>
      <c r="F5428" s="276" t="s">
        <v>188</v>
      </c>
      <c r="G5428" s="277" t="s">
        <v>8278</v>
      </c>
      <c r="H5428" s="277"/>
    </row>
    <row r="5429" spans="1:8">
      <c r="A5429" s="176">
        <v>199</v>
      </c>
      <c r="B5429" s="195" t="s">
        <v>843</v>
      </c>
      <c r="C5429" s="278" t="s">
        <v>60</v>
      </c>
      <c r="D5429" s="190">
        <v>0.09</v>
      </c>
      <c r="E5429" s="276" t="s">
        <v>30</v>
      </c>
      <c r="F5429" s="195" t="s">
        <v>188</v>
      </c>
      <c r="G5429" s="279" t="s">
        <v>8279</v>
      </c>
      <c r="H5429" s="279"/>
    </row>
    <row r="5430" spans="1:8">
      <c r="A5430" s="176">
        <v>200</v>
      </c>
      <c r="B5430" s="195" t="s">
        <v>7942</v>
      </c>
      <c r="C5430" s="278" t="s">
        <v>60</v>
      </c>
      <c r="D5430" s="190">
        <v>0.04</v>
      </c>
      <c r="E5430" s="276" t="s">
        <v>30</v>
      </c>
      <c r="F5430" s="195" t="s">
        <v>188</v>
      </c>
      <c r="G5430" s="279" t="s">
        <v>3082</v>
      </c>
      <c r="H5430" s="279"/>
    </row>
    <row r="5434" spans="10:10">
      <c r="J5434" s="271"/>
    </row>
    <row r="5441" spans="16:16">
      <c r="P5441" s="271"/>
    </row>
  </sheetData>
  <mergeCells count="10">
    <mergeCell ref="A1:H1"/>
    <mergeCell ref="A2:H2"/>
    <mergeCell ref="A3:H3"/>
    <mergeCell ref="E5:F5"/>
    <mergeCell ref="A5:A6"/>
    <mergeCell ref="B5:B6"/>
    <mergeCell ref="C5:C6"/>
    <mergeCell ref="D5:D6"/>
    <mergeCell ref="G5:G6"/>
    <mergeCell ref="H5:H6"/>
  </mergeCells>
  <printOptions horizontalCentered="1"/>
  <pageMargins left="0.984251968503937" right="0.393700787401575" top="0.78740157480315" bottom="0.78740157480315" header="0.31496062992126" footer="0.31496062992126"/>
  <pageSetup paperSize="9" orientation="portrait"/>
  <headerFooter>
    <oddFooter>&amp;R&amp;P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9">
    <tabColor rgb="FFFF0000"/>
  </sheetPr>
  <dimension ref="A1:IL61"/>
  <sheetViews>
    <sheetView workbookViewId="0">
      <selection activeCell="A1" sqref="A1"/>
    </sheetView>
  </sheetViews>
  <sheetFormatPr defaultColWidth="9" defaultRowHeight="15"/>
  <cols>
    <col min="1" max="1" width="6.375" style="7" customWidth="1"/>
    <col min="2" max="2" width="29.125" style="7" customWidth="1"/>
    <col min="3" max="3" width="6" style="7" customWidth="1"/>
    <col min="4" max="4" width="9.75" style="8" customWidth="1"/>
    <col min="5" max="5" width="9.375" style="9" customWidth="1"/>
    <col min="6" max="6" width="7" style="8" customWidth="1"/>
    <col min="7" max="7" width="7.75" style="8" customWidth="1"/>
    <col min="8" max="8" width="7" style="8" customWidth="1"/>
    <col min="9" max="9" width="6.875" style="8" customWidth="1"/>
    <col min="10" max="10" width="7.625" style="8" customWidth="1"/>
    <col min="11" max="11" width="9.125" style="8" customWidth="1"/>
    <col min="12" max="12" width="8.25" style="8" customWidth="1"/>
    <col min="13" max="13" width="6" style="8" customWidth="1"/>
    <col min="14" max="14" width="6.25" style="8" customWidth="1"/>
    <col min="15" max="15" width="5.875" style="8" customWidth="1"/>
    <col min="16" max="16" width="5.75" style="8" customWidth="1"/>
    <col min="17" max="17" width="6.25" style="8" customWidth="1"/>
    <col min="18" max="18" width="8.75" style="10" customWidth="1"/>
    <col min="19" max="19" width="7.125" style="8" customWidth="1"/>
    <col min="20" max="20" width="7.75" style="8" customWidth="1"/>
    <col min="21" max="23" width="6.125" style="8" customWidth="1"/>
    <col min="24" max="24" width="7.125" style="8" customWidth="1"/>
    <col min="25" max="25" width="7.75" style="8" customWidth="1"/>
    <col min="26" max="26" width="6.875" style="8" customWidth="1"/>
    <col min="27" max="27" width="7.375" style="8" customWidth="1"/>
    <col min="28" max="28" width="9" style="8"/>
    <col min="29" max="29" width="7.25" style="8" customWidth="1"/>
    <col min="30" max="30" width="7" style="8" customWidth="1"/>
    <col min="31" max="31" width="6.125" style="8" customWidth="1"/>
    <col min="32" max="33" width="6.625" style="8" customWidth="1"/>
    <col min="34" max="34" width="6.125" style="8" customWidth="1"/>
    <col min="35" max="35" width="8.5" style="8" customWidth="1"/>
    <col min="36" max="36" width="8.875" style="8" customWidth="1"/>
    <col min="37" max="37" width="8.75" style="8" customWidth="1"/>
    <col min="38" max="39" width="6.625" style="8" customWidth="1"/>
    <col min="40" max="41" width="6.875" style="8" customWidth="1"/>
    <col min="42" max="42" width="6.75" style="8" customWidth="1"/>
    <col min="43" max="43" width="6.375" style="8" customWidth="1"/>
    <col min="44" max="44" width="6.125" style="8" customWidth="1"/>
    <col min="45" max="46" width="5.75" style="8" customWidth="1"/>
    <col min="47" max="47" width="6.5" style="8" customWidth="1"/>
    <col min="48" max="49" width="5.625" style="8" customWidth="1"/>
    <col min="50" max="51" width="6.125" style="8" customWidth="1"/>
    <col min="52" max="52" width="7.625" style="8" customWidth="1"/>
    <col min="53" max="53" width="9.375" style="11" customWidth="1"/>
    <col min="54" max="54" width="6.625" style="12" customWidth="1"/>
    <col min="55" max="55" width="6.25" style="12" customWidth="1"/>
    <col min="56" max="56" width="7.125" style="8" customWidth="1"/>
    <col min="57" max="57" width="6.25" style="9" customWidth="1"/>
    <col min="58" max="58" width="7.25" style="11" customWidth="1"/>
    <col min="59" max="59" width="8.25" style="11" customWidth="1"/>
    <col min="60" max="60" width="10.125" style="11" customWidth="1"/>
    <col min="61" max="61" width="5.125" style="7" customWidth="1"/>
    <col min="62" max="62" width="8.375" style="7" hidden="1" customWidth="1"/>
    <col min="63" max="63" width="9" style="7" hidden="1" customWidth="1"/>
    <col min="64" max="64" width="4.875" style="7" customWidth="1"/>
    <col min="65" max="65" width="6.25" style="7" customWidth="1"/>
    <col min="66" max="66" width="5" style="7" customWidth="1"/>
    <col min="67" max="67" width="4.25" style="7" customWidth="1"/>
    <col min="68" max="68" width="5.375" style="7" customWidth="1"/>
    <col min="69" max="69" width="5.125" style="7" customWidth="1"/>
    <col min="70" max="70" width="4.625" style="7" customWidth="1"/>
    <col min="71" max="71" width="5.625" style="7" customWidth="1"/>
    <col min="72" max="72" width="5.875" style="7" customWidth="1"/>
    <col min="73" max="73" width="5" style="7" customWidth="1"/>
    <col min="74" max="74" width="3.875" style="7" customWidth="1"/>
    <col min="75" max="75" width="4.625" style="7" customWidth="1"/>
    <col min="76" max="76" width="5.5" style="7" customWidth="1"/>
    <col min="77" max="77" width="7.625" style="13" customWidth="1"/>
    <col min="78" max="79" width="8.375" style="13" customWidth="1"/>
    <col min="80" max="80" width="7.5" style="7" customWidth="1"/>
    <col min="81" max="16384" width="9" style="7"/>
  </cols>
  <sheetData>
    <row r="1" ht="21" customHeight="1" spans="1:82">
      <c r="A1" s="14" t="s">
        <v>8330</v>
      </c>
      <c r="B1" s="15"/>
      <c r="C1" s="16" t="e">
        <f>+"CHU CHUYỂN ĐẤT ĐAI TRONG KẾ HOẠCH SỬ DỤNG ĐẤT NĂM 2015 CỦA "&amp;#REF!</f>
        <v>#REF!</v>
      </c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83"/>
      <c r="BC1" s="83"/>
      <c r="BD1" s="18"/>
      <c r="BE1" s="18"/>
      <c r="BF1" s="18"/>
      <c r="BG1" s="18"/>
      <c r="BH1" s="18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7"/>
      <c r="BZ1" s="7"/>
      <c r="CA1" s="7"/>
      <c r="CB1" s="8"/>
      <c r="CC1" s="8"/>
      <c r="CD1" s="8"/>
    </row>
    <row r="2" s="1" customFormat="1" ht="7.5" customHeight="1" spans="1:82">
      <c r="A2" s="1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9"/>
      <c r="BA2" s="20"/>
      <c r="BB2" s="84"/>
      <c r="BC2" s="84"/>
      <c r="BD2" s="20"/>
      <c r="BE2" s="20"/>
      <c r="BF2" s="20"/>
      <c r="BG2" s="20"/>
      <c r="BH2" s="95" t="s">
        <v>8331</v>
      </c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CB2" s="9"/>
      <c r="CC2" s="9"/>
      <c r="CD2" s="9"/>
    </row>
    <row r="3" s="2" customFormat="1" ht="15.75" customHeight="1" spans="1:79">
      <c r="A3" s="21" t="s">
        <v>3</v>
      </c>
      <c r="B3" s="21" t="s">
        <v>8332</v>
      </c>
      <c r="C3" s="21" t="s">
        <v>8333</v>
      </c>
      <c r="D3" s="22"/>
      <c r="E3" s="23" t="s">
        <v>8334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7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85"/>
      <c r="BC3" s="85"/>
      <c r="BD3" s="24"/>
      <c r="BE3" s="97"/>
      <c r="BF3" s="22"/>
      <c r="BG3" s="22"/>
      <c r="BH3" s="22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</row>
    <row r="4" s="2" customFormat="1" ht="31.5" customHeight="1" spans="1:79">
      <c r="A4" s="25"/>
      <c r="B4" s="25"/>
      <c r="C4" s="25"/>
      <c r="D4" s="26" t="s">
        <v>8335</v>
      </c>
      <c r="E4" s="27" t="s">
        <v>8303</v>
      </c>
      <c r="F4" s="28" t="s">
        <v>8298</v>
      </c>
      <c r="G4" s="29" t="s">
        <v>8299</v>
      </c>
      <c r="H4" s="29" t="s">
        <v>221</v>
      </c>
      <c r="I4" s="29" t="s">
        <v>8300</v>
      </c>
      <c r="J4" s="28" t="s">
        <v>2492</v>
      </c>
      <c r="K4" s="28" t="s">
        <v>30</v>
      </c>
      <c r="L4" s="28" t="s">
        <v>8307</v>
      </c>
      <c r="M4" s="28" t="s">
        <v>8306</v>
      </c>
      <c r="N4" s="28" t="s">
        <v>8305</v>
      </c>
      <c r="O4" s="76" t="s">
        <v>318</v>
      </c>
      <c r="P4" s="28" t="s">
        <v>8297</v>
      </c>
      <c r="Q4" s="28" t="s">
        <v>553</v>
      </c>
      <c r="R4" s="37" t="s">
        <v>8304</v>
      </c>
      <c r="S4" s="40" t="s">
        <v>31</v>
      </c>
      <c r="T4" s="40" t="s">
        <v>8283</v>
      </c>
      <c r="U4" s="40" t="s">
        <v>47</v>
      </c>
      <c r="V4" s="40" t="s">
        <v>8308</v>
      </c>
      <c r="W4" s="40" t="s">
        <v>56</v>
      </c>
      <c r="X4" s="40" t="s">
        <v>265</v>
      </c>
      <c r="Y4" s="40" t="s">
        <v>204</v>
      </c>
      <c r="Z4" s="40" t="s">
        <v>174</v>
      </c>
      <c r="AA4" s="40" t="s">
        <v>8288</v>
      </c>
      <c r="AB4" s="46" t="s">
        <v>94</v>
      </c>
      <c r="AC4" s="46" t="s">
        <v>216</v>
      </c>
      <c r="AD4" s="46" t="s">
        <v>71</v>
      </c>
      <c r="AE4" s="46" t="s">
        <v>8285</v>
      </c>
      <c r="AF4" s="46" t="s">
        <v>212</v>
      </c>
      <c r="AG4" s="46" t="s">
        <v>8296</v>
      </c>
      <c r="AH4" s="46" t="s">
        <v>165</v>
      </c>
      <c r="AI4" s="46" t="s">
        <v>8294</v>
      </c>
      <c r="AJ4" s="46" t="s">
        <v>8302</v>
      </c>
      <c r="AK4" s="46" t="s">
        <v>8295</v>
      </c>
      <c r="AL4" s="46" t="s">
        <v>178</v>
      </c>
      <c r="AM4" s="46" t="s">
        <v>8312</v>
      </c>
      <c r="AN4" s="40" t="s">
        <v>8287</v>
      </c>
      <c r="AO4" s="40" t="s">
        <v>8286</v>
      </c>
      <c r="AP4" s="40" t="s">
        <v>8291</v>
      </c>
      <c r="AQ4" s="40" t="s">
        <v>188</v>
      </c>
      <c r="AR4" s="40" t="s">
        <v>201</v>
      </c>
      <c r="AS4" s="40" t="s">
        <v>336</v>
      </c>
      <c r="AT4" s="40" t="s">
        <v>8293</v>
      </c>
      <c r="AU4" s="40" t="s">
        <v>8290</v>
      </c>
      <c r="AV4" s="40" t="s">
        <v>324</v>
      </c>
      <c r="AW4" s="40" t="s">
        <v>182</v>
      </c>
      <c r="AX4" s="40" t="s">
        <v>236</v>
      </c>
      <c r="AY4" s="40" t="s">
        <v>8292</v>
      </c>
      <c r="AZ4" s="40" t="s">
        <v>8289</v>
      </c>
      <c r="BA4" s="40" t="s">
        <v>8310</v>
      </c>
      <c r="BB4" s="40" t="s">
        <v>8309</v>
      </c>
      <c r="BC4" s="40" t="s">
        <v>8301</v>
      </c>
      <c r="BD4" s="40" t="s">
        <v>59</v>
      </c>
      <c r="BE4" s="27" t="s">
        <v>8284</v>
      </c>
      <c r="BF4" s="99" t="s">
        <v>8336</v>
      </c>
      <c r="BG4" s="100" t="s">
        <v>8337</v>
      </c>
      <c r="BH4" s="26" t="s">
        <v>8335</v>
      </c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</row>
    <row r="5" s="2" customFormat="1" ht="15.75" customHeight="1" spans="1:79">
      <c r="A5" s="30"/>
      <c r="B5" s="30" t="s">
        <v>8338</v>
      </c>
      <c r="C5" s="31"/>
      <c r="D5" s="32" t="e">
        <f>+#REF!</f>
        <v>#REF!</v>
      </c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86"/>
      <c r="BC5" s="86"/>
      <c r="BD5" s="34"/>
      <c r="BE5" s="33"/>
      <c r="BF5" s="34"/>
      <c r="BG5" s="34"/>
      <c r="BH5" s="34" t="e">
        <f ca="1">BH6+BH19+BH58</f>
        <v>#REF!</v>
      </c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</row>
    <row r="6" s="3" customFormat="1" ht="15.75" customHeight="1" spans="1:79">
      <c r="A6" s="35">
        <v>1</v>
      </c>
      <c r="B6" s="36" t="s">
        <v>8339</v>
      </c>
      <c r="C6" s="37" t="s">
        <v>8303</v>
      </c>
      <c r="D6" s="33" t="e">
        <f>+#REF!</f>
        <v>#REF!</v>
      </c>
      <c r="E6" s="38" t="e">
        <f ca="1">$D6-$BF6</f>
        <v>#REF!</v>
      </c>
      <c r="F6" s="33">
        <f ca="1">SUM(F11:F18)</f>
        <v>0</v>
      </c>
      <c r="G6" s="33">
        <f ca="1">SUM(G7,G11:G18)</f>
        <v>0</v>
      </c>
      <c r="H6" s="33">
        <f ca="1">SUM(H7,H11:H18)</f>
        <v>0</v>
      </c>
      <c r="I6" s="33">
        <f ca="1">SUM(I7,I11:I18)</f>
        <v>0</v>
      </c>
      <c r="J6" s="33">
        <f ca="1">SUM(J7,J12:J18)</f>
        <v>0</v>
      </c>
      <c r="K6" s="33">
        <f ca="1">SUM(K7,K11,K13:K18)</f>
        <v>0</v>
      </c>
      <c r="L6" s="33">
        <f ca="1">SUM(L7,L11:L12,L14:L18)</f>
        <v>0</v>
      </c>
      <c r="M6" s="33">
        <f ca="1">SUM(M7,M11:M13,M15:M18)</f>
        <v>0</v>
      </c>
      <c r="N6" s="33">
        <f ca="1">SUM(N7,N11:N14,N16:N18)</f>
        <v>0</v>
      </c>
      <c r="O6" s="33">
        <f ca="1">SUM(O7,O11:O15,O17:O18)</f>
        <v>0</v>
      </c>
      <c r="P6" s="33">
        <f ca="1">SUM(P7,P11:P16,P18:P18)</f>
        <v>0</v>
      </c>
      <c r="Q6" s="33">
        <f ca="1">SUM(Q7,Q11:Q17)</f>
        <v>0</v>
      </c>
      <c r="R6" s="33">
        <f ca="1">SUM(R7,R11:R18)</f>
        <v>0</v>
      </c>
      <c r="S6" s="33">
        <f ca="1">SUM(S7,S11:S18)</f>
        <v>0</v>
      </c>
      <c r="T6" s="33">
        <f ca="1" t="shared" ref="T6:BE6" si="0">SUM(T7,T11:T18)</f>
        <v>0</v>
      </c>
      <c r="U6" s="33">
        <f ca="1" t="shared" si="0"/>
        <v>0</v>
      </c>
      <c r="V6" s="33">
        <f ca="1" t="shared" si="0"/>
        <v>0</v>
      </c>
      <c r="W6" s="33">
        <f ca="1" t="shared" si="0"/>
        <v>0</v>
      </c>
      <c r="X6" s="33">
        <f ca="1" t="shared" si="0"/>
        <v>0</v>
      </c>
      <c r="Y6" s="33">
        <f ca="1" t="shared" si="0"/>
        <v>0</v>
      </c>
      <c r="Z6" s="33">
        <f ca="1" t="shared" si="0"/>
        <v>0</v>
      </c>
      <c r="AA6" s="33">
        <f ca="1" t="shared" si="0"/>
        <v>0</v>
      </c>
      <c r="AB6" s="33">
        <f ca="1" t="shared" si="0"/>
        <v>0</v>
      </c>
      <c r="AC6" s="33">
        <f ca="1" t="shared" si="0"/>
        <v>0</v>
      </c>
      <c r="AD6" s="33">
        <f ca="1" t="shared" si="0"/>
        <v>0</v>
      </c>
      <c r="AE6" s="33">
        <f ca="1" t="shared" si="0"/>
        <v>0</v>
      </c>
      <c r="AF6" s="33">
        <f ca="1" t="shared" si="0"/>
        <v>0</v>
      </c>
      <c r="AG6" s="33">
        <f ca="1" t="shared" si="0"/>
        <v>0</v>
      </c>
      <c r="AH6" s="33">
        <f ca="1" t="shared" si="0"/>
        <v>0</v>
      </c>
      <c r="AI6" s="33">
        <f ca="1" t="shared" si="0"/>
        <v>0</v>
      </c>
      <c r="AJ6" s="33">
        <f ca="1" t="shared" si="0"/>
        <v>0</v>
      </c>
      <c r="AK6" s="33">
        <f ca="1" t="shared" si="0"/>
        <v>0</v>
      </c>
      <c r="AL6" s="33">
        <f ca="1" t="shared" si="0"/>
        <v>0</v>
      </c>
      <c r="AM6" s="33">
        <f ca="1" t="shared" si="0"/>
        <v>0</v>
      </c>
      <c r="AN6" s="33">
        <f ca="1" t="shared" si="0"/>
        <v>0</v>
      </c>
      <c r="AO6" s="33">
        <f ca="1" t="shared" si="0"/>
        <v>0</v>
      </c>
      <c r="AP6" s="33">
        <f ca="1" t="shared" si="0"/>
        <v>0</v>
      </c>
      <c r="AQ6" s="33">
        <f ca="1" t="shared" si="0"/>
        <v>0</v>
      </c>
      <c r="AR6" s="33">
        <f ca="1" t="shared" si="0"/>
        <v>0</v>
      </c>
      <c r="AS6" s="33">
        <f ca="1" t="shared" si="0"/>
        <v>0</v>
      </c>
      <c r="AT6" s="33">
        <f ca="1" t="shared" si="0"/>
        <v>0</v>
      </c>
      <c r="AU6" s="33">
        <f ca="1" t="shared" si="0"/>
        <v>0</v>
      </c>
      <c r="AV6" s="33">
        <f ca="1" t="shared" si="0"/>
        <v>0</v>
      </c>
      <c r="AW6" s="33">
        <f ca="1" t="shared" si="0"/>
        <v>0</v>
      </c>
      <c r="AX6" s="33">
        <f ca="1" t="shared" si="0"/>
        <v>0</v>
      </c>
      <c r="AY6" s="33">
        <f ca="1" t="shared" si="0"/>
        <v>0</v>
      </c>
      <c r="AZ6" s="33">
        <f ca="1" t="shared" si="0"/>
        <v>0</v>
      </c>
      <c r="BA6" s="33">
        <f ca="1" t="shared" si="0"/>
        <v>0</v>
      </c>
      <c r="BB6" s="33">
        <f ca="1" t="shared" si="0"/>
        <v>0</v>
      </c>
      <c r="BC6" s="33">
        <f ca="1" t="shared" si="0"/>
        <v>0</v>
      </c>
      <c r="BD6" s="33">
        <f ca="1" t="shared" si="0"/>
        <v>0</v>
      </c>
      <c r="BE6" s="33">
        <f ca="1" t="shared" si="0"/>
        <v>0</v>
      </c>
      <c r="BF6" s="74">
        <f ca="1">BE6+R6</f>
        <v>0</v>
      </c>
      <c r="BG6" s="101">
        <f ca="1">E$59-$BF6</f>
        <v>0</v>
      </c>
      <c r="BH6" s="33" t="e">
        <f ca="1">SUM(BH7,BH11:BH18)</f>
        <v>#REF!</v>
      </c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</row>
    <row r="7" s="2" customFormat="1" ht="15.75" customHeight="1" spans="1:79">
      <c r="A7" s="39" t="s">
        <v>27</v>
      </c>
      <c r="B7" s="39" t="s">
        <v>8340</v>
      </c>
      <c r="C7" s="40" t="s">
        <v>8298</v>
      </c>
      <c r="D7" s="41" t="e">
        <f>+#REF!</f>
        <v>#REF!</v>
      </c>
      <c r="E7" s="42">
        <f ca="1">SUM(J7:Q7)</f>
        <v>0</v>
      </c>
      <c r="F7" s="43" t="e">
        <f ca="1">$D7-$BF7</f>
        <v>#REF!</v>
      </c>
      <c r="G7" s="44">
        <f ca="1">SUM(G9:G10)</f>
        <v>0</v>
      </c>
      <c r="H7" s="44">
        <f ca="1">SUM(H8,H10)</f>
        <v>0</v>
      </c>
      <c r="I7" s="44">
        <f ca="1">SUM(I8:I9)</f>
        <v>0</v>
      </c>
      <c r="J7" s="44">
        <f ca="1">SUM(J8:J10)</f>
        <v>0</v>
      </c>
      <c r="K7" s="44">
        <f ca="1" t="shared" ref="K7:Q7" si="1">SUM(K8:K10)</f>
        <v>0</v>
      </c>
      <c r="L7" s="44">
        <f ca="1" t="shared" si="1"/>
        <v>0</v>
      </c>
      <c r="M7" s="44">
        <f ca="1" t="shared" si="1"/>
        <v>0</v>
      </c>
      <c r="N7" s="44">
        <f ca="1" t="shared" si="1"/>
        <v>0</v>
      </c>
      <c r="O7" s="44">
        <f ca="1" t="shared" si="1"/>
        <v>0</v>
      </c>
      <c r="P7" s="44">
        <f ca="1" t="shared" si="1"/>
        <v>0</v>
      </c>
      <c r="Q7" s="44">
        <f ca="1" t="shared" si="1"/>
        <v>0</v>
      </c>
      <c r="R7" s="42">
        <f ca="1" t="shared" ref="R7:R18" si="2">SUM(S7:AA7,AN7:BD7)</f>
        <v>0</v>
      </c>
      <c r="S7" s="52">
        <f ca="1" t="shared" ref="S7:AY7" si="3">SUM(S8:S10)</f>
        <v>0</v>
      </c>
      <c r="T7" s="52">
        <f ca="1" t="shared" si="3"/>
        <v>0</v>
      </c>
      <c r="U7" s="52">
        <f ca="1" t="shared" si="3"/>
        <v>0</v>
      </c>
      <c r="V7" s="52">
        <f ca="1" t="shared" si="3"/>
        <v>0</v>
      </c>
      <c r="W7" s="52">
        <f ca="1" t="shared" si="3"/>
        <v>0</v>
      </c>
      <c r="X7" s="52">
        <f ca="1" t="shared" si="3"/>
        <v>0</v>
      </c>
      <c r="Y7" s="52">
        <f ca="1" t="shared" si="3"/>
        <v>0</v>
      </c>
      <c r="Z7" s="52">
        <f ca="1" t="shared" si="3"/>
        <v>0</v>
      </c>
      <c r="AA7" s="52">
        <f ca="1" t="shared" ref="AA7:AA18" si="4">+SUM(AB7:AM7)</f>
        <v>0</v>
      </c>
      <c r="AB7" s="52">
        <f ca="1" t="shared" ref="AB7:AM7" si="5">SUM(AB8:AB10)</f>
        <v>0</v>
      </c>
      <c r="AC7" s="52">
        <f ca="1" t="shared" si="5"/>
        <v>0</v>
      </c>
      <c r="AD7" s="52">
        <f ca="1" t="shared" si="5"/>
        <v>0</v>
      </c>
      <c r="AE7" s="52">
        <f ca="1" t="shared" si="5"/>
        <v>0</v>
      </c>
      <c r="AF7" s="52">
        <f ca="1" t="shared" si="5"/>
        <v>0</v>
      </c>
      <c r="AG7" s="52">
        <f ca="1" t="shared" si="5"/>
        <v>0</v>
      </c>
      <c r="AH7" s="52">
        <f ca="1" t="shared" si="5"/>
        <v>0</v>
      </c>
      <c r="AI7" s="52">
        <f ca="1" t="shared" si="5"/>
        <v>0</v>
      </c>
      <c r="AJ7" s="52">
        <f ca="1" t="shared" si="5"/>
        <v>0</v>
      </c>
      <c r="AK7" s="52">
        <f ca="1" t="shared" si="5"/>
        <v>0</v>
      </c>
      <c r="AL7" s="52">
        <f ca="1" t="shared" si="5"/>
        <v>0</v>
      </c>
      <c r="AM7" s="52">
        <f ca="1" t="shared" si="5"/>
        <v>0</v>
      </c>
      <c r="AN7" s="52">
        <f ca="1" t="shared" si="3"/>
        <v>0</v>
      </c>
      <c r="AO7" s="52">
        <f ca="1" t="shared" si="3"/>
        <v>0</v>
      </c>
      <c r="AP7" s="52">
        <f ca="1" t="shared" si="3"/>
        <v>0</v>
      </c>
      <c r="AQ7" s="52">
        <f ca="1" t="shared" si="3"/>
        <v>0</v>
      </c>
      <c r="AR7" s="52">
        <f ca="1" t="shared" si="3"/>
        <v>0</v>
      </c>
      <c r="AS7" s="52">
        <f ca="1" t="shared" si="3"/>
        <v>0</v>
      </c>
      <c r="AT7" s="52">
        <f ca="1" t="shared" si="3"/>
        <v>0</v>
      </c>
      <c r="AU7" s="52">
        <f ca="1" t="shared" si="3"/>
        <v>0</v>
      </c>
      <c r="AV7" s="52">
        <f ca="1" t="shared" si="3"/>
        <v>0</v>
      </c>
      <c r="AW7" s="52">
        <f ca="1" t="shared" si="3"/>
        <v>0</v>
      </c>
      <c r="AX7" s="52">
        <f ca="1" t="shared" si="3"/>
        <v>0</v>
      </c>
      <c r="AY7" s="52">
        <f ca="1" t="shared" si="3"/>
        <v>0</v>
      </c>
      <c r="AZ7" s="52">
        <f ca="1" t="shared" ref="AZ7:BE7" si="6">SUM(AZ8:AZ10)</f>
        <v>0</v>
      </c>
      <c r="BA7" s="87">
        <f ca="1" t="shared" si="6"/>
        <v>0</v>
      </c>
      <c r="BB7" s="52">
        <f ca="1" t="shared" si="6"/>
        <v>0</v>
      </c>
      <c r="BC7" s="52">
        <f ca="1" t="shared" si="6"/>
        <v>0</v>
      </c>
      <c r="BD7" s="52">
        <f ca="1" t="shared" si="6"/>
        <v>0</v>
      </c>
      <c r="BE7" s="52">
        <f ca="1" t="shared" si="6"/>
        <v>0</v>
      </c>
      <c r="BF7" s="74">
        <f ca="1" t="shared" ref="BF7:BF18" si="7">BE7+R7+E7</f>
        <v>0</v>
      </c>
      <c r="BG7" s="101">
        <f ca="1">F$59-$BF7</f>
        <v>0</v>
      </c>
      <c r="BH7" s="41" t="e">
        <f ca="1" t="shared" ref="BH7:BH18" si="8">BG7+D7</f>
        <v>#REF!</v>
      </c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</row>
    <row r="8" s="4" customFormat="1" ht="15.75" customHeight="1" spans="1:79">
      <c r="A8" s="45"/>
      <c r="B8" s="316" t="s">
        <v>8341</v>
      </c>
      <c r="C8" s="46" t="s">
        <v>8299</v>
      </c>
      <c r="D8" s="47" t="e">
        <f>+#REF!</f>
        <v>#REF!</v>
      </c>
      <c r="E8" s="48">
        <f ca="1">SUM(F8,J8:Q8)</f>
        <v>0</v>
      </c>
      <c r="F8" s="44">
        <f ca="1">SUM(H8:I8)</f>
        <v>0</v>
      </c>
      <c r="G8" s="49" t="e">
        <f ca="1">$D8-$BF8</f>
        <v>#REF!</v>
      </c>
      <c r="H8" s="50">
        <f ca="1">+GETPIVOTDATA("TNG4",'ngaigiao (2016)'!$A$3,"MA_HT","LUC","MA_QH","LUK")</f>
        <v>0</v>
      </c>
      <c r="I8" s="50">
        <f ca="1">+GETPIVOTDATA("TNG4",'ngaigiao (2016)'!$A$3,"MA_HT","LUC","MA_QH","LUN")</f>
        <v>0</v>
      </c>
      <c r="J8" s="50">
        <f ca="1">+GETPIVOTDATA("TNG4",'ngaigiao (2016)'!$A$3,"MA_HT","LUC","MA_QH","HNK")</f>
        <v>0</v>
      </c>
      <c r="K8" s="50">
        <f ca="1">+GETPIVOTDATA("TNG4",'ngaigiao (2016)'!$A$3,"MA_HT","LUC","MA_QH","CLN")</f>
        <v>0</v>
      </c>
      <c r="L8" s="50">
        <f ca="1">+GETPIVOTDATA("TNG4",'ngaigiao (2016)'!$A$3,"MA_HT","LUC","MA_QH","RSX")</f>
        <v>0</v>
      </c>
      <c r="M8" s="50">
        <f ca="1">+GETPIVOTDATA("TNG4",'ngaigiao (2016)'!$A$3,"MA_HT","LUC","MA_QH","RPH")</f>
        <v>0</v>
      </c>
      <c r="N8" s="50">
        <f ca="1">+GETPIVOTDATA("TNG4",'ngaigiao (2016)'!$A$3,"MA_HT","LUC","MA_QH","RDD")</f>
        <v>0</v>
      </c>
      <c r="O8" s="50">
        <f ca="1">+GETPIVOTDATA("TNG4",'ngaigiao (2016)'!$A$3,"MA_HT","LUC","MA_QH","NTS")</f>
        <v>0</v>
      </c>
      <c r="P8" s="50">
        <f ca="1">+GETPIVOTDATA("TNG4",'ngaigiao (2016)'!$A$3,"MA_HT","LUC","MA_QH","LMU")</f>
        <v>0</v>
      </c>
      <c r="Q8" s="50">
        <f ca="1">+GETPIVOTDATA("TNG4",'ngaigiao (2016)'!$A$3,"MA_HT","LUC","MA_QH","NKH")</f>
        <v>0</v>
      </c>
      <c r="R8" s="48">
        <f ca="1" t="shared" si="2"/>
        <v>0</v>
      </c>
      <c r="S8" s="50">
        <f ca="1">+GETPIVOTDATA("TNG4",'ngaigiao (2016)'!$A$3,"MA_HT","LUC","MA_QH","CQP")</f>
        <v>0</v>
      </c>
      <c r="T8" s="50">
        <f ca="1">+GETPIVOTDATA("TNG4",'ngaigiao (2016)'!$A$3,"MA_HT","LUC","MA_QH","CAN")</f>
        <v>0</v>
      </c>
      <c r="U8" s="50">
        <f ca="1">+GETPIVOTDATA("TNG4",'ngaigiao (2016)'!$A$3,"MA_HT","LUC","MA_QH","SKK")</f>
        <v>0</v>
      </c>
      <c r="V8" s="50">
        <f ca="1">+GETPIVOTDATA("TNG4",'ngaigiao (2016)'!$A$3,"MA_HT","LUC","MA_QH","SKT")</f>
        <v>0</v>
      </c>
      <c r="W8" s="50">
        <f ca="1">+GETPIVOTDATA("TNG4",'ngaigiao (2016)'!$A$3,"MA_HT","LUC","MA_QH","SKN")</f>
        <v>0</v>
      </c>
      <c r="X8" s="50">
        <f ca="1">+GETPIVOTDATA("TNG4",'ngaigiao (2016)'!$A$3,"MA_HT","LUC","MA_QH","TMD")</f>
        <v>0</v>
      </c>
      <c r="Y8" s="50">
        <f ca="1">+GETPIVOTDATA("TNG4",'ngaigiao (2016)'!$A$3,"MA_HT","LUC","MA_QH","SKC")</f>
        <v>0</v>
      </c>
      <c r="Z8" s="50">
        <f ca="1">+GETPIVOTDATA("TNG4",'ngaigiao (2016)'!$A$3,"MA_HT","LUC","MA_QH","SKS")</f>
        <v>0</v>
      </c>
      <c r="AA8" s="52">
        <f ca="1" t="shared" si="4"/>
        <v>0</v>
      </c>
      <c r="AB8" s="50">
        <f ca="1">+GETPIVOTDATA("TNG4",'ngaigiao (2016)'!$A$3,"MA_HT","LUC","MA_QH","DGT")</f>
        <v>0</v>
      </c>
      <c r="AC8" s="50">
        <f ca="1">+GETPIVOTDATA("TNG4",'ngaigiao (2016)'!$A$3,"MA_HT","LUC","MA_QH","DTL")</f>
        <v>0</v>
      </c>
      <c r="AD8" s="50">
        <f ca="1">+GETPIVOTDATA("TNG4",'ngaigiao (2016)'!$A$3,"MA_HT","LUC","MA_QH","DNL")</f>
        <v>0</v>
      </c>
      <c r="AE8" s="50">
        <f ca="1">+GETPIVOTDATA("TNG4",'ngaigiao (2016)'!$A$3,"MA_HT","LUC","MA_QH","DBV")</f>
        <v>0</v>
      </c>
      <c r="AF8" s="50">
        <f ca="1">+GETPIVOTDATA("TNG4",'ngaigiao (2016)'!$A$3,"MA_HT","LUC","MA_QH","DVH")</f>
        <v>0</v>
      </c>
      <c r="AG8" s="50">
        <f ca="1">+GETPIVOTDATA("TNG4",'ngaigiao (2016)'!$A$3,"MA_HT","LUC","MA_QH","DYT")</f>
        <v>0</v>
      </c>
      <c r="AH8" s="50">
        <f ca="1">+GETPIVOTDATA("TNG4",'ngaigiao (2016)'!$A$3,"MA_HT","LUC","MA_QH","DGD")</f>
        <v>0</v>
      </c>
      <c r="AI8" s="50">
        <f ca="1">+GETPIVOTDATA("TNG4",'ngaigiao (2016)'!$A$3,"MA_HT","LUC","MA_QH","DTT")</f>
        <v>0</v>
      </c>
      <c r="AJ8" s="50">
        <f ca="1">+GETPIVOTDATA("TNG4",'ngaigiao (2016)'!$A$3,"MA_HT","LUC","MA_QH","NCK")</f>
        <v>0</v>
      </c>
      <c r="AK8" s="50">
        <f ca="1">+GETPIVOTDATA("TNG4",'ngaigiao (2016)'!$A$3,"MA_HT","LUC","MA_QH","DXH")</f>
        <v>0</v>
      </c>
      <c r="AL8" s="50">
        <f ca="1">+GETPIVOTDATA("TNG4",'ngaigiao (2016)'!$A$3,"MA_HT","LUC","MA_QH","DCH")</f>
        <v>0</v>
      </c>
      <c r="AM8" s="50">
        <f ca="1">+GETPIVOTDATA("TNG4",'ngaigiao (2016)'!$A$3,"MA_HT","LUC","MA_QH","DKG")</f>
        <v>0</v>
      </c>
      <c r="AN8" s="50">
        <f ca="1">+GETPIVOTDATA("TNG4",'ngaigiao (2016)'!$A$3,"MA_HT","LUC","MA_QH","DDT")</f>
        <v>0</v>
      </c>
      <c r="AO8" s="50">
        <f ca="1">+GETPIVOTDATA("TNG4",'ngaigiao (2016)'!$A$3,"MA_HT","LUC","MA_QH","DDL")</f>
        <v>0</v>
      </c>
      <c r="AP8" s="50">
        <f ca="1">+GETPIVOTDATA("TNG4",'ngaigiao (2016)'!$A$3,"MA_HT","LUC","MA_QH","DRA")</f>
        <v>0</v>
      </c>
      <c r="AQ8" s="50">
        <f ca="1">+GETPIVOTDATA("TNG4",'ngaigiao (2016)'!$A$3,"MA_HT","LUC","MA_QH","ONT")</f>
        <v>0</v>
      </c>
      <c r="AR8" s="50">
        <f ca="1">+GETPIVOTDATA("TNG4",'ngaigiao (2016)'!$A$3,"MA_HT","LUC","MA_QH","ODT")</f>
        <v>0</v>
      </c>
      <c r="AS8" s="50">
        <f ca="1">+GETPIVOTDATA("TNG4",'ngaigiao (2016)'!$A$3,"MA_HT","LUC","MA_QH","TSC")</f>
        <v>0</v>
      </c>
      <c r="AT8" s="50">
        <f ca="1">+GETPIVOTDATA("TNG4",'ngaigiao (2016)'!$A$3,"MA_HT","LUC","MA_QH","DTS")</f>
        <v>0</v>
      </c>
      <c r="AU8" s="50">
        <f ca="1">+GETPIVOTDATA("TNG4",'ngaigiao (2016)'!$A$3,"MA_HT","LUC","MA_QH","DNG")</f>
        <v>0</v>
      </c>
      <c r="AV8" s="50">
        <f ca="1">+GETPIVOTDATA("TNG4",'ngaigiao (2016)'!$A$3,"MA_HT","LUC","MA_QH","TON")</f>
        <v>0</v>
      </c>
      <c r="AW8" s="50">
        <f ca="1">+GETPIVOTDATA("TNG4",'ngaigiao (2016)'!$A$3,"MA_HT","LUC","MA_QH","NTD")</f>
        <v>0</v>
      </c>
      <c r="AX8" s="50">
        <f ca="1">+GETPIVOTDATA("TNG4",'ngaigiao (2016)'!$A$3,"MA_HT","LUC","MA_QH","SKX")</f>
        <v>0</v>
      </c>
      <c r="AY8" s="50">
        <f ca="1">+GETPIVOTDATA("TNG4",'ngaigiao (2016)'!$A$3,"MA_HT","LUC","MA_QH","DSH")</f>
        <v>0</v>
      </c>
      <c r="AZ8" s="50">
        <f ca="1">+GETPIVOTDATA("TNG4",'ngaigiao (2016)'!$A$3,"MA_HT","LUC","MA_QH","DKV")</f>
        <v>0</v>
      </c>
      <c r="BA8" s="88">
        <f ca="1">+GETPIVOTDATA("TNG4",'ngaigiao (2016)'!$A$3,"MA_HT","LUC","MA_QH","TIN")</f>
        <v>0</v>
      </c>
      <c r="BB8" s="50">
        <f ca="1">+GETPIVOTDATA("TNG4",'ngaigiao (2016)'!$A$3,"MA_HT","LUC","MA_QH","SON")</f>
        <v>0</v>
      </c>
      <c r="BC8" s="50">
        <f ca="1">+GETPIVOTDATA("TNG4",'ngaigiao (2016)'!$A$3,"MA_HT","LUC","MA_QH","MNC")</f>
        <v>0</v>
      </c>
      <c r="BD8" s="50">
        <f ca="1">+GETPIVOTDATA("TNG4",'ngaigiao (2016)'!$A$3,"MA_HT","LUC","MA_QH","PNK")</f>
        <v>0</v>
      </c>
      <c r="BE8" s="80">
        <f ca="1">+GETPIVOTDATA("TNG4",'ngaigiao (2016)'!$A$3,"MA_HT","LUC","MA_QH","CSD")</f>
        <v>0</v>
      </c>
      <c r="BF8" s="103">
        <f ca="1" t="shared" si="7"/>
        <v>0</v>
      </c>
      <c r="BG8" s="104">
        <f ca="1">G$59-$BF8</f>
        <v>0</v>
      </c>
      <c r="BH8" s="47" t="e">
        <f ca="1" t="shared" si="8"/>
        <v>#REF!</v>
      </c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</row>
    <row r="9" s="4" customFormat="1" ht="15.75" customHeight="1" spans="1:79">
      <c r="A9" s="45"/>
      <c r="B9" s="316" t="s">
        <v>8342</v>
      </c>
      <c r="C9" s="46" t="s">
        <v>221</v>
      </c>
      <c r="D9" s="47" t="e">
        <f>+#REF!</f>
        <v>#REF!</v>
      </c>
      <c r="E9" s="48">
        <f ca="1">SUM(F9,J9:Q9)</f>
        <v>0</v>
      </c>
      <c r="F9" s="44">
        <f ca="1">SUM(G9,I9)</f>
        <v>0</v>
      </c>
      <c r="G9" s="51">
        <f ca="1">+GETPIVOTDATA("TNG4",'ngaigiao (2016)'!$A$3,"MA_HT","LUK","MA_QH","LUC")</f>
        <v>0</v>
      </c>
      <c r="H9" s="49" t="e">
        <f ca="1">$D9-$BF9</f>
        <v>#REF!</v>
      </c>
      <c r="I9" s="50">
        <f ca="1">+GETPIVOTDATA("TNG4",'ngaigiao (2016)'!$A$3,"MA_HT","LUK","MA_QH","LUN")</f>
        <v>0</v>
      </c>
      <c r="J9" s="50">
        <f ca="1">+GETPIVOTDATA("TNG4",'ngaigiao (2016)'!$A$3,"MA_HT","LUK","MA_QH","HNK")</f>
        <v>0</v>
      </c>
      <c r="K9" s="50">
        <f ca="1">+GETPIVOTDATA("TNG4",'ngaigiao (2016)'!$A$3,"MA_HT","LUK","MA_QH","CLN")</f>
        <v>0</v>
      </c>
      <c r="L9" s="50">
        <f ca="1">+GETPIVOTDATA("TNG4",'ngaigiao (2016)'!$A$3,"MA_HT","LUK","MA_QH","RSX")</f>
        <v>0</v>
      </c>
      <c r="M9" s="50">
        <f ca="1">+GETPIVOTDATA("TNG4",'ngaigiao (2016)'!$A$3,"MA_HT","LUK","MA_QH","RPH")</f>
        <v>0</v>
      </c>
      <c r="N9" s="50">
        <f ca="1">+GETPIVOTDATA("TNG4",'ngaigiao (2016)'!$A$3,"MA_HT","LUK","MA_QH","RDD")</f>
        <v>0</v>
      </c>
      <c r="O9" s="50">
        <f ca="1">+GETPIVOTDATA("TNG4",'ngaigiao (2016)'!$A$3,"MA_HT","LUK","MA_QH","NTS")</f>
        <v>0</v>
      </c>
      <c r="P9" s="50">
        <f ca="1">+GETPIVOTDATA("TNG4",'ngaigiao (2016)'!$A$3,"MA_HT","LUK","MA_QH","LMU")</f>
        <v>0</v>
      </c>
      <c r="Q9" s="50">
        <f ca="1">+GETPIVOTDATA("TNG4",'ngaigiao (2016)'!$A$3,"MA_HT","LUK","MA_QH","NKH")</f>
        <v>0</v>
      </c>
      <c r="R9" s="48">
        <f ca="1" t="shared" si="2"/>
        <v>0</v>
      </c>
      <c r="S9" s="50">
        <f ca="1">+GETPIVOTDATA("TNG4",'ngaigiao (2016)'!$A$3,"MA_HT","LUK","MA_QH","CQP")</f>
        <v>0</v>
      </c>
      <c r="T9" s="50">
        <f ca="1">+GETPIVOTDATA("TNG4",'ngaigiao (2016)'!$A$3,"MA_HT","LUK","MA_QH","CAN")</f>
        <v>0</v>
      </c>
      <c r="U9" s="50">
        <f ca="1">+GETPIVOTDATA("TNG4",'ngaigiao (2016)'!$A$3,"MA_HT","LUK","MA_QH","SKK")</f>
        <v>0</v>
      </c>
      <c r="V9" s="50">
        <f ca="1">+GETPIVOTDATA("TNG4",'ngaigiao (2016)'!$A$3,"MA_HT","LUK","MA_QH","SKT")</f>
        <v>0</v>
      </c>
      <c r="W9" s="50">
        <f ca="1">+GETPIVOTDATA("TNG4",'ngaigiao (2016)'!$A$3,"MA_HT","LUK","MA_QH","SKN")</f>
        <v>0</v>
      </c>
      <c r="X9" s="50">
        <f ca="1">+GETPIVOTDATA("TNG4",'ngaigiao (2016)'!$A$3,"MA_HT","LUK","MA_QH","TMD")</f>
        <v>0</v>
      </c>
      <c r="Y9" s="50">
        <f ca="1">+GETPIVOTDATA("TNG4",'ngaigiao (2016)'!$A$3,"MA_HT","LUK","MA_QH","SKC")</f>
        <v>0</v>
      </c>
      <c r="Z9" s="50">
        <f ca="1">+GETPIVOTDATA("TNG4",'ngaigiao (2016)'!$A$3,"MA_HT","LUK","MA_QH","SKS")</f>
        <v>0</v>
      </c>
      <c r="AA9" s="52">
        <f ca="1" t="shared" si="4"/>
        <v>0</v>
      </c>
      <c r="AB9" s="50">
        <f ca="1">+GETPIVOTDATA("TNG4",'ngaigiao (2016)'!$A$3,"MA_HT","LUK","MA_QH","DGT")</f>
        <v>0</v>
      </c>
      <c r="AC9" s="50">
        <f ca="1">+GETPIVOTDATA("TNG4",'ngaigiao (2016)'!$A$3,"MA_HT","LUK","MA_QH","DTL")</f>
        <v>0</v>
      </c>
      <c r="AD9" s="50">
        <f ca="1">+GETPIVOTDATA("TNG4",'ngaigiao (2016)'!$A$3,"MA_HT","LUK","MA_QH","DNL")</f>
        <v>0</v>
      </c>
      <c r="AE9" s="50">
        <f ca="1">+GETPIVOTDATA("TNG4",'ngaigiao (2016)'!$A$3,"MA_HT","LUK","MA_QH","DBV")</f>
        <v>0</v>
      </c>
      <c r="AF9" s="50">
        <f ca="1">+GETPIVOTDATA("TNG4",'ngaigiao (2016)'!$A$3,"MA_HT","LUK","MA_QH","DVH")</f>
        <v>0</v>
      </c>
      <c r="AG9" s="50">
        <f ca="1">+GETPIVOTDATA("TNG4",'ngaigiao (2016)'!$A$3,"MA_HT","LUK","MA_QH","DYT")</f>
        <v>0</v>
      </c>
      <c r="AH9" s="50">
        <f ca="1">+GETPIVOTDATA("TNG4",'ngaigiao (2016)'!$A$3,"MA_HT","LUK","MA_QH","DGD")</f>
        <v>0</v>
      </c>
      <c r="AI9" s="50">
        <f ca="1">+GETPIVOTDATA("TNG4",'ngaigiao (2016)'!$A$3,"MA_HT","LUK","MA_QH","DTT")</f>
        <v>0</v>
      </c>
      <c r="AJ9" s="50">
        <f ca="1">+GETPIVOTDATA("TNG4",'ngaigiao (2016)'!$A$3,"MA_HT","LUK","MA_QH","NCK")</f>
        <v>0</v>
      </c>
      <c r="AK9" s="50">
        <f ca="1">+GETPIVOTDATA("TNG4",'ngaigiao (2016)'!$A$3,"MA_HT","LUK","MA_QH","DXH")</f>
        <v>0</v>
      </c>
      <c r="AL9" s="50">
        <f ca="1">+GETPIVOTDATA("TNG4",'ngaigiao (2016)'!$A$3,"MA_HT","LUK","MA_QH","DCH")</f>
        <v>0</v>
      </c>
      <c r="AM9" s="50">
        <f ca="1">+GETPIVOTDATA("TNG4",'ngaigiao (2016)'!$A$3,"MA_HT","LUK","MA_QH","DKG")</f>
        <v>0</v>
      </c>
      <c r="AN9" s="50">
        <f ca="1">+GETPIVOTDATA("TNG4",'ngaigiao (2016)'!$A$3,"MA_HT","LUK","MA_QH","DDT")</f>
        <v>0</v>
      </c>
      <c r="AO9" s="50">
        <f ca="1">+GETPIVOTDATA("TNG4",'ngaigiao (2016)'!$A$3,"MA_HT","LUK","MA_QH","DDL")</f>
        <v>0</v>
      </c>
      <c r="AP9" s="50">
        <f ca="1">+GETPIVOTDATA("TNG4",'ngaigiao (2016)'!$A$3,"MA_HT","LUK","MA_QH","DRA")</f>
        <v>0</v>
      </c>
      <c r="AQ9" s="50">
        <f ca="1">+GETPIVOTDATA("TNG4",'ngaigiao (2016)'!$A$3,"MA_HT","LUK","MA_QH","ONT")</f>
        <v>0</v>
      </c>
      <c r="AR9" s="50">
        <f ca="1">+GETPIVOTDATA("TNG4",'ngaigiao (2016)'!$A$3,"MA_HT","LUK","MA_QH","ODT")</f>
        <v>0</v>
      </c>
      <c r="AS9" s="50">
        <f ca="1">+GETPIVOTDATA("TNG4",'ngaigiao (2016)'!$A$3,"MA_HT","LUK","MA_QH","TSC")</f>
        <v>0</v>
      </c>
      <c r="AT9" s="50">
        <f ca="1">+GETPIVOTDATA("TNG4",'ngaigiao (2016)'!$A$3,"MA_HT","LUK","MA_QH","DTS")</f>
        <v>0</v>
      </c>
      <c r="AU9" s="50">
        <f ca="1">+GETPIVOTDATA("TNG4",'ngaigiao (2016)'!$A$3,"MA_HT","LUK","MA_QH","DNG")</f>
        <v>0</v>
      </c>
      <c r="AV9" s="50">
        <f ca="1">+GETPIVOTDATA("TNG4",'ngaigiao (2016)'!$A$3,"MA_HT","LUK","MA_QH","TON")</f>
        <v>0</v>
      </c>
      <c r="AW9" s="50">
        <f ca="1">+GETPIVOTDATA("TNG4",'ngaigiao (2016)'!$A$3,"MA_HT","LUK","MA_QH","NTD")</f>
        <v>0</v>
      </c>
      <c r="AX9" s="50">
        <f ca="1">+GETPIVOTDATA("TNG4",'ngaigiao (2016)'!$A$3,"MA_HT","LUK","MA_QH","SKX")</f>
        <v>0</v>
      </c>
      <c r="AY9" s="50">
        <f ca="1">+GETPIVOTDATA("TNG4",'ngaigiao (2016)'!$A$3,"MA_HT","LUK","MA_QH","DSH")</f>
        <v>0</v>
      </c>
      <c r="AZ9" s="50">
        <f ca="1">+GETPIVOTDATA("TNG4",'ngaigiao (2016)'!$A$3,"MA_HT","LUK","MA_QH","DKV")</f>
        <v>0</v>
      </c>
      <c r="BA9" s="88">
        <f ca="1">+GETPIVOTDATA("TNG4",'ngaigiao (2016)'!$A$3,"MA_HT","LUK","MA_QH","TIN")</f>
        <v>0</v>
      </c>
      <c r="BB9" s="50">
        <f ca="1">+GETPIVOTDATA("TNG4",'ngaigiao (2016)'!$A$3,"MA_HT","LUK","MA_QH","SON")</f>
        <v>0</v>
      </c>
      <c r="BC9" s="50">
        <f ca="1">+GETPIVOTDATA("TNG4",'ngaigiao (2016)'!$A$3,"MA_HT","LUK","MA_QH","MNC")</f>
        <v>0</v>
      </c>
      <c r="BD9" s="50">
        <f ca="1">+GETPIVOTDATA("TNG4",'ngaigiao (2016)'!$A$3,"MA_HT","LUK","MA_QH","PNK")</f>
        <v>0</v>
      </c>
      <c r="BE9" s="80">
        <f ca="1">+GETPIVOTDATA("TNG4",'ngaigiao (2016)'!$A$3,"MA_HT","LUK","MA_QH","CSD")</f>
        <v>0</v>
      </c>
      <c r="BF9" s="103">
        <f ca="1" t="shared" si="7"/>
        <v>0</v>
      </c>
      <c r="BG9" s="104">
        <f ca="1">H$59-$BF9</f>
        <v>0</v>
      </c>
      <c r="BH9" s="47" t="e">
        <f ca="1" t="shared" si="8"/>
        <v>#REF!</v>
      </c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</row>
    <row r="10" s="4" customFormat="1" ht="15.75" customHeight="1" spans="1:79">
      <c r="A10" s="45"/>
      <c r="B10" s="316" t="s">
        <v>8343</v>
      </c>
      <c r="C10" s="46" t="s">
        <v>8300</v>
      </c>
      <c r="D10" s="47" t="e">
        <f>+#REF!</f>
        <v>#REF!</v>
      </c>
      <c r="E10" s="48">
        <f ca="1">SUM(J10:Q10,F10)</f>
        <v>0</v>
      </c>
      <c r="F10" s="44">
        <f ca="1">SUM(G10:H10)</f>
        <v>0</v>
      </c>
      <c r="G10" s="50">
        <f ca="1">+GETPIVOTDATA("TNG4",'ngaigiao (2016)'!$A$3,"MA_HT","LUN","MA_QH","LUC")</f>
        <v>0</v>
      </c>
      <c r="H10" s="50">
        <f ca="1">+GETPIVOTDATA("TNG4",'ngaigiao (2016)'!$A$3,"MA_HT","LUN","MA_QH","LUK")</f>
        <v>0</v>
      </c>
      <c r="I10" s="49" t="e">
        <f ca="1">$D10-$BF10</f>
        <v>#REF!</v>
      </c>
      <c r="J10" s="50">
        <f ca="1">+GETPIVOTDATA("TNG4",'ngaigiao (2016)'!$A$3,"MA_HT","LUN","MA_QH","HNK")</f>
        <v>0</v>
      </c>
      <c r="K10" s="50">
        <f ca="1">+GETPIVOTDATA("TNG4",'ngaigiao (2016)'!$A$3,"MA_HT","LUN","MA_QH","CLN")</f>
        <v>0</v>
      </c>
      <c r="L10" s="50">
        <f ca="1">+GETPIVOTDATA("TNG4",'ngaigiao (2016)'!$A$3,"MA_HT","LUN","MA_QH","RSX")</f>
        <v>0</v>
      </c>
      <c r="M10" s="50">
        <f ca="1">+GETPIVOTDATA("TNG4",'ngaigiao (2016)'!$A$3,"MA_HT","LUN","MA_QH","RPH")</f>
        <v>0</v>
      </c>
      <c r="N10" s="50">
        <f ca="1">+GETPIVOTDATA("TNG4",'ngaigiao (2016)'!$A$3,"MA_HT","LUN","MA_QH","RDD")</f>
        <v>0</v>
      </c>
      <c r="O10" s="50">
        <f ca="1">+GETPIVOTDATA("TNG4",'ngaigiao (2016)'!$A$3,"MA_HT","LUN","MA_QH","NTS")</f>
        <v>0</v>
      </c>
      <c r="P10" s="50">
        <f ca="1">+GETPIVOTDATA("TNG4",'ngaigiao (2016)'!$A$3,"MA_HT","LUN","MA_QH","LMU")</f>
        <v>0</v>
      </c>
      <c r="Q10" s="50">
        <f ca="1">+GETPIVOTDATA("TNG4",'ngaigiao (2016)'!$A$3,"MA_HT","LUN","MA_QH","NKH")</f>
        <v>0</v>
      </c>
      <c r="R10" s="48">
        <f ca="1" t="shared" si="2"/>
        <v>0</v>
      </c>
      <c r="S10" s="50">
        <f ca="1">+GETPIVOTDATA("TNG4",'ngaigiao (2016)'!$A$3,"MA_HT","LUN","MA_QH","CQP")</f>
        <v>0</v>
      </c>
      <c r="T10" s="50">
        <f ca="1">+GETPIVOTDATA("TNG4",'ngaigiao (2016)'!$A$3,"MA_HT","LUN","MA_QH","CAN")</f>
        <v>0</v>
      </c>
      <c r="U10" s="50">
        <f ca="1">+GETPIVOTDATA("TNG4",'ngaigiao (2016)'!$A$3,"MA_HT","LUN","MA_QH","SKK")</f>
        <v>0</v>
      </c>
      <c r="V10" s="50">
        <f ca="1">+GETPIVOTDATA("TNG4",'ngaigiao (2016)'!$A$3,"MA_HT","LUN","MA_QH","SKT")</f>
        <v>0</v>
      </c>
      <c r="W10" s="50">
        <f ca="1">+GETPIVOTDATA("TNG4",'ngaigiao (2016)'!$A$3,"MA_HT","LUN","MA_QH","SKN")</f>
        <v>0</v>
      </c>
      <c r="X10" s="50">
        <f ca="1">+GETPIVOTDATA("TNG4",'ngaigiao (2016)'!$A$3,"MA_HT","LUN","MA_QH","TMD")</f>
        <v>0</v>
      </c>
      <c r="Y10" s="50">
        <f ca="1">+GETPIVOTDATA("TNG4",'ngaigiao (2016)'!$A$3,"MA_HT","LUN","MA_QH","SKC")</f>
        <v>0</v>
      </c>
      <c r="Z10" s="50">
        <f ca="1">+GETPIVOTDATA("TNG4",'ngaigiao (2016)'!$A$3,"MA_HT","LUN","MA_QH","SKS")</f>
        <v>0</v>
      </c>
      <c r="AA10" s="52">
        <f ca="1" t="shared" si="4"/>
        <v>0</v>
      </c>
      <c r="AB10" s="50">
        <f ca="1">+GETPIVOTDATA("TNG4",'ngaigiao (2016)'!$A$3,"MA_HT","LUN","MA_QH","DGT")</f>
        <v>0</v>
      </c>
      <c r="AC10" s="50">
        <f ca="1">+GETPIVOTDATA("TNG4",'ngaigiao (2016)'!$A$3,"MA_HT","LUN","MA_QH","DTL")</f>
        <v>0</v>
      </c>
      <c r="AD10" s="50">
        <f ca="1">+GETPIVOTDATA("TNG4",'ngaigiao (2016)'!$A$3,"MA_HT","LUN","MA_QH","DNL")</f>
        <v>0</v>
      </c>
      <c r="AE10" s="50">
        <f ca="1">+GETPIVOTDATA("TNG4",'ngaigiao (2016)'!$A$3,"MA_HT","LUN","MA_QH","DBV")</f>
        <v>0</v>
      </c>
      <c r="AF10" s="50">
        <f ca="1">+GETPIVOTDATA("TNG4",'ngaigiao (2016)'!$A$3,"MA_HT","LUN","MA_QH","DVH")</f>
        <v>0</v>
      </c>
      <c r="AG10" s="50">
        <f ca="1">+GETPIVOTDATA("TNG4",'ngaigiao (2016)'!$A$3,"MA_HT","LUN","MA_QH","DYT")</f>
        <v>0</v>
      </c>
      <c r="AH10" s="50">
        <f ca="1">+GETPIVOTDATA("TNG4",'ngaigiao (2016)'!$A$3,"MA_HT","LUN","MA_QH","DGD")</f>
        <v>0</v>
      </c>
      <c r="AI10" s="50">
        <f ca="1">+GETPIVOTDATA("TNG4",'ngaigiao (2016)'!$A$3,"MA_HT","LUN","MA_QH","DTT")</f>
        <v>0</v>
      </c>
      <c r="AJ10" s="50">
        <f ca="1">+GETPIVOTDATA("TNG4",'ngaigiao (2016)'!$A$3,"MA_HT","LUN","MA_QH","NCK")</f>
        <v>0</v>
      </c>
      <c r="AK10" s="50">
        <f ca="1">+GETPIVOTDATA("TNG4",'ngaigiao (2016)'!$A$3,"MA_HT","LUN","MA_QH","DXH")</f>
        <v>0</v>
      </c>
      <c r="AL10" s="50">
        <f ca="1">+GETPIVOTDATA("TNG4",'ngaigiao (2016)'!$A$3,"MA_HT","LUN","MA_QH","DCH")</f>
        <v>0</v>
      </c>
      <c r="AM10" s="50">
        <f ca="1">+GETPIVOTDATA("TNG4",'ngaigiao (2016)'!$A$3,"MA_HT","LUN","MA_QH","DKG")</f>
        <v>0</v>
      </c>
      <c r="AN10" s="50">
        <f ca="1">+GETPIVOTDATA("TNG4",'ngaigiao (2016)'!$A$3,"MA_HT","LUN","MA_QH","DDT")</f>
        <v>0</v>
      </c>
      <c r="AO10" s="50">
        <f ca="1">+GETPIVOTDATA("TNG4",'ngaigiao (2016)'!$A$3,"MA_HT","LUN","MA_QH","DDL")</f>
        <v>0</v>
      </c>
      <c r="AP10" s="50">
        <f ca="1">+GETPIVOTDATA("TNG4",'ngaigiao (2016)'!$A$3,"MA_HT","LUN","MA_QH","DRA")</f>
        <v>0</v>
      </c>
      <c r="AQ10" s="50">
        <f ca="1">+GETPIVOTDATA("TNG4",'ngaigiao (2016)'!$A$3,"MA_HT","LUN","MA_QH","ONT")</f>
        <v>0</v>
      </c>
      <c r="AR10" s="50">
        <f ca="1">+GETPIVOTDATA("TNG4",'ngaigiao (2016)'!$A$3,"MA_HT","LUN","MA_QH","ODT")</f>
        <v>0</v>
      </c>
      <c r="AS10" s="50">
        <f ca="1">+GETPIVOTDATA("TNG4",'ngaigiao (2016)'!$A$3,"MA_HT","LUN","MA_QH","TSC")</f>
        <v>0</v>
      </c>
      <c r="AT10" s="50">
        <f ca="1">+GETPIVOTDATA("TNG4",'ngaigiao (2016)'!$A$3,"MA_HT","LUN","MA_QH","DTS")</f>
        <v>0</v>
      </c>
      <c r="AU10" s="50">
        <f ca="1">+GETPIVOTDATA("TNG4",'ngaigiao (2016)'!$A$3,"MA_HT","LUN","MA_QH","DNG")</f>
        <v>0</v>
      </c>
      <c r="AV10" s="50">
        <f ca="1">+GETPIVOTDATA("TNG4",'ngaigiao (2016)'!$A$3,"MA_HT","LUN","MA_QH","TON")</f>
        <v>0</v>
      </c>
      <c r="AW10" s="50">
        <f ca="1">+GETPIVOTDATA("TNG4",'ngaigiao (2016)'!$A$3,"MA_HT","LUN","MA_QH","NTD")</f>
        <v>0</v>
      </c>
      <c r="AX10" s="50">
        <f ca="1">+GETPIVOTDATA("TNG4",'ngaigiao (2016)'!$A$3,"MA_HT","LUN","MA_QH","SKX")</f>
        <v>0</v>
      </c>
      <c r="AY10" s="50">
        <f ca="1">+GETPIVOTDATA("TNG4",'ngaigiao (2016)'!$A$3,"MA_HT","LUN","MA_QH","DSH")</f>
        <v>0</v>
      </c>
      <c r="AZ10" s="50">
        <f ca="1">+GETPIVOTDATA("TNG4",'ngaigiao (2016)'!$A$3,"MA_HT","LUN","MA_QH","DKV")</f>
        <v>0</v>
      </c>
      <c r="BA10" s="88">
        <f ca="1">+GETPIVOTDATA("TNG4",'ngaigiao (2016)'!$A$3,"MA_HT","LUN","MA_QH","TIN")</f>
        <v>0</v>
      </c>
      <c r="BB10" s="50">
        <f ca="1">+GETPIVOTDATA("TNG4",'ngaigiao (2016)'!$A$3,"MA_HT","LUN","MA_QH","SON")</f>
        <v>0</v>
      </c>
      <c r="BC10" s="50">
        <f ca="1">+GETPIVOTDATA("TNG4",'ngaigiao (2016)'!$A$3,"MA_HT","LUN","MA_QH","MNC")</f>
        <v>0</v>
      </c>
      <c r="BD10" s="50">
        <f ca="1">+GETPIVOTDATA("TNG4",'ngaigiao (2016)'!$A$3,"MA_HT","LUN","MA_QH","PNK")</f>
        <v>0</v>
      </c>
      <c r="BE10" s="80">
        <f ca="1">+GETPIVOTDATA("TNG4",'ngaigiao (2016)'!$A$3,"MA_HT","LUN","MA_QH","CSD")</f>
        <v>0</v>
      </c>
      <c r="BF10" s="103">
        <f ca="1" t="shared" si="7"/>
        <v>0</v>
      </c>
      <c r="BG10" s="104">
        <f ca="1">I$59-$BF10</f>
        <v>0</v>
      </c>
      <c r="BH10" s="47" t="e">
        <f ca="1" t="shared" si="8"/>
        <v>#REF!</v>
      </c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</row>
    <row r="11" s="2" customFormat="1" ht="15.75" customHeight="1" spans="1:79">
      <c r="A11" s="39" t="s">
        <v>40</v>
      </c>
      <c r="B11" s="39" t="s">
        <v>8344</v>
      </c>
      <c r="C11" s="40" t="s">
        <v>2492</v>
      </c>
      <c r="D11" s="47" t="e">
        <f>+#REF!</f>
        <v>#REF!</v>
      </c>
      <c r="E11" s="42">
        <f ca="1">SUM(K11:Q11,F11)</f>
        <v>0</v>
      </c>
      <c r="F11" s="52">
        <f ca="1">SUM(G11:I11)</f>
        <v>0</v>
      </c>
      <c r="G11" s="22">
        <f ca="1">+GETPIVOTDATA("TNG4",'ngaigiao (2016)'!$A$3,"MA_HT","HNK","MA_QH","LUC")</f>
        <v>0</v>
      </c>
      <c r="H11" s="22">
        <f ca="1">+GETPIVOTDATA("TNG4",'ngaigiao (2016)'!$A$3,"MA_HT","HNK","MA_QH","LUK")</f>
        <v>0</v>
      </c>
      <c r="I11" s="22">
        <f ca="1">+GETPIVOTDATA("TNG4",'ngaigiao (2016)'!$A$3,"MA_HT","HNK","MA_QH","LUN")</f>
        <v>0</v>
      </c>
      <c r="J11" s="43" t="e">
        <f ca="1">$D11-$BF11</f>
        <v>#REF!</v>
      </c>
      <c r="K11" s="22">
        <f ca="1">+GETPIVOTDATA("TNG4",'ngaigiao (2016)'!$A$3,"MA_HT","HNK","MA_QH","CLN")</f>
        <v>0</v>
      </c>
      <c r="L11" s="22">
        <f ca="1">+GETPIVOTDATA("TNG4",'ngaigiao (2016)'!$A$3,"MA_HT","HNK","MA_QH","RSX")</f>
        <v>0</v>
      </c>
      <c r="M11" s="22">
        <f ca="1">+GETPIVOTDATA("TNG4",'ngaigiao (2016)'!$A$3,"MA_HT","HNK","MA_QH","RPH")</f>
        <v>0</v>
      </c>
      <c r="N11" s="22">
        <f ca="1">+GETPIVOTDATA("TNG4",'ngaigiao (2016)'!$A$3,"MA_HT","HNK","MA_QH","RDD")</f>
        <v>0</v>
      </c>
      <c r="O11" s="22">
        <f ca="1">+GETPIVOTDATA("TNG4",'ngaigiao (2016)'!$A$3,"MA_HT","HNK","MA_QH","NTS")</f>
        <v>0</v>
      </c>
      <c r="P11" s="22">
        <f ca="1">+GETPIVOTDATA("TNG4",'ngaigiao (2016)'!$A$3,"MA_HT","HNK","MA_QH","LMU")</f>
        <v>0</v>
      </c>
      <c r="Q11" s="22">
        <f ca="1">+GETPIVOTDATA("TNG4",'ngaigiao (2016)'!$A$3,"MA_HT","HNK","MA_QH","NKH")</f>
        <v>0</v>
      </c>
      <c r="R11" s="42">
        <f ca="1" t="shared" si="2"/>
        <v>0</v>
      </c>
      <c r="S11" s="22">
        <f ca="1">+GETPIVOTDATA("TNG4",'ngaigiao (2016)'!$A$3,"MA_HT","HNK","MA_QH","CQP")</f>
        <v>0</v>
      </c>
      <c r="T11" s="22">
        <f ca="1">+GETPIVOTDATA("TNG4",'ngaigiao (2016)'!$A$3,"MA_HT","HNK","MA_QH","CAN")</f>
        <v>0</v>
      </c>
      <c r="U11" s="22">
        <f ca="1">+GETPIVOTDATA("TNG4",'ngaigiao (2016)'!$A$3,"MA_HT","HNK","MA_QH","SKK")</f>
        <v>0</v>
      </c>
      <c r="V11" s="22">
        <f ca="1">+GETPIVOTDATA("TNG4",'ngaigiao (2016)'!$A$3,"MA_HT","HNK","MA_QH","SKT")</f>
        <v>0</v>
      </c>
      <c r="W11" s="22">
        <f ca="1">+GETPIVOTDATA("TNG4",'ngaigiao (2016)'!$A$3,"MA_HT","HNK","MA_QH","SKN")</f>
        <v>0</v>
      </c>
      <c r="X11" s="22">
        <f ca="1">+GETPIVOTDATA("TNG4",'ngaigiao (2016)'!$A$3,"MA_HT","HNK","MA_QH","TMD")</f>
        <v>0</v>
      </c>
      <c r="Y11" s="22">
        <f ca="1">+GETPIVOTDATA("TNG4",'ngaigiao (2016)'!$A$3,"MA_HT","HNK","MA_QH","SKC")</f>
        <v>0</v>
      </c>
      <c r="Z11" s="22">
        <f ca="1">+GETPIVOTDATA("TNG4",'ngaigiao (2016)'!$A$3,"MA_HT","HNK","MA_QH","SKS")</f>
        <v>0</v>
      </c>
      <c r="AA11" s="52">
        <f ca="1" t="shared" si="4"/>
        <v>0</v>
      </c>
      <c r="AB11" s="22">
        <f ca="1">+GETPIVOTDATA("TNG4",'ngaigiao (2016)'!$A$3,"MA_HT","HNK","MA_QH","DGT")</f>
        <v>0</v>
      </c>
      <c r="AC11" s="22">
        <f ca="1">+GETPIVOTDATA("TNG4",'ngaigiao (2016)'!$A$3,"MA_HT","HNK","MA_QH","DTL")</f>
        <v>0</v>
      </c>
      <c r="AD11" s="22">
        <f ca="1">+GETPIVOTDATA("TNG4",'ngaigiao (2016)'!$A$3,"MA_HT","HNK","MA_QH","DNL")</f>
        <v>0</v>
      </c>
      <c r="AE11" s="22">
        <f ca="1">+GETPIVOTDATA("TNG4",'ngaigiao (2016)'!$A$3,"MA_HT","HNK","MA_QH","DBV")</f>
        <v>0</v>
      </c>
      <c r="AF11" s="22">
        <f ca="1">+GETPIVOTDATA("TNG4",'ngaigiao (2016)'!$A$3,"MA_HT","HNK","MA_QH","DVH")</f>
        <v>0</v>
      </c>
      <c r="AG11" s="22">
        <f ca="1">+GETPIVOTDATA("TNG4",'ngaigiao (2016)'!$A$3,"MA_HT","HNK","MA_QH","DYT")</f>
        <v>0</v>
      </c>
      <c r="AH11" s="22">
        <f ca="1">+GETPIVOTDATA("TNG4",'ngaigiao (2016)'!$A$3,"MA_HT","HNK","MA_QH","DGD")</f>
        <v>0</v>
      </c>
      <c r="AI11" s="22">
        <f ca="1">+GETPIVOTDATA("TNG4",'ngaigiao (2016)'!$A$3,"MA_HT","HNK","MA_QH","DTT")</f>
        <v>0</v>
      </c>
      <c r="AJ11" s="22">
        <f ca="1">+GETPIVOTDATA("TNG4",'ngaigiao (2016)'!$A$3,"MA_HT","HNK","MA_QH","NCK")</f>
        <v>0</v>
      </c>
      <c r="AK11" s="22">
        <f ca="1">+GETPIVOTDATA("TNG4",'ngaigiao (2016)'!$A$3,"MA_HT","HNK","MA_QH","DXH")</f>
        <v>0</v>
      </c>
      <c r="AL11" s="22">
        <f ca="1">+GETPIVOTDATA("TNG4",'ngaigiao (2016)'!$A$3,"MA_HT","HNK","MA_QH","DCH")</f>
        <v>0</v>
      </c>
      <c r="AM11" s="22">
        <f ca="1">+GETPIVOTDATA("TNG4",'ngaigiao (2016)'!$A$3,"MA_HT","HNK","MA_QH","DKG")</f>
        <v>0</v>
      </c>
      <c r="AN11" s="22">
        <f ca="1">+GETPIVOTDATA("TNG4",'ngaigiao (2016)'!$A$3,"MA_HT","HNK","MA_QH","DDT")</f>
        <v>0</v>
      </c>
      <c r="AO11" s="22">
        <f ca="1">+GETPIVOTDATA("TNG4",'ngaigiao (2016)'!$A$3,"MA_HT","HNK","MA_QH","DDL")</f>
        <v>0</v>
      </c>
      <c r="AP11" s="22">
        <f ca="1">+GETPIVOTDATA("TNG4",'ngaigiao (2016)'!$A$3,"MA_HT","HNK","MA_QH","DRA")</f>
        <v>0</v>
      </c>
      <c r="AQ11" s="22">
        <f ca="1">+GETPIVOTDATA("TNG4",'ngaigiao (2016)'!$A$3,"MA_HT","HNK","MA_QH","ONT")</f>
        <v>0</v>
      </c>
      <c r="AR11" s="22">
        <f ca="1">+GETPIVOTDATA("TNG4",'ngaigiao (2016)'!$A$3,"MA_HT","HNK","MA_QH","ODT")</f>
        <v>0</v>
      </c>
      <c r="AS11" s="22">
        <f ca="1">+GETPIVOTDATA("TNG4",'ngaigiao (2016)'!$A$3,"MA_HT","HNK","MA_QH","TSC")</f>
        <v>0</v>
      </c>
      <c r="AT11" s="22">
        <f ca="1">+GETPIVOTDATA("TNG4",'ngaigiao (2016)'!$A$3,"MA_HT","HNK","MA_QH","DTS")</f>
        <v>0</v>
      </c>
      <c r="AU11" s="22">
        <f ca="1">+GETPIVOTDATA("TNG4",'ngaigiao (2016)'!$A$3,"MA_HT","HNK","MA_QH","DNG")</f>
        <v>0</v>
      </c>
      <c r="AV11" s="22">
        <f ca="1">+GETPIVOTDATA("TNG4",'ngaigiao (2016)'!$A$3,"MA_HT","HNK","MA_QH","TON")</f>
        <v>0</v>
      </c>
      <c r="AW11" s="22">
        <f ca="1">+GETPIVOTDATA("TNG4",'ngaigiao (2016)'!$A$3,"MA_HT","HNK","MA_QH","NTD")</f>
        <v>0</v>
      </c>
      <c r="AX11" s="22">
        <f ca="1">+GETPIVOTDATA("TNG4",'ngaigiao (2016)'!$A$3,"MA_HT","HNK","MA_QH","SKX")</f>
        <v>0</v>
      </c>
      <c r="AY11" s="22">
        <f ca="1">+GETPIVOTDATA("TNG4",'ngaigiao (2016)'!$A$3,"MA_HT","HNK","MA_QH","DSH")</f>
        <v>0</v>
      </c>
      <c r="AZ11" s="22">
        <f ca="1">+GETPIVOTDATA("TNG4",'ngaigiao (2016)'!$A$3,"MA_HT","HNK","MA_QH","DKV")</f>
        <v>0</v>
      </c>
      <c r="BA11" s="89">
        <f ca="1">+GETPIVOTDATA("TNG4",'ngaigiao (2016)'!$A$3,"MA_HT","HNK","MA_QH","TIN")</f>
        <v>0</v>
      </c>
      <c r="BB11" s="50">
        <f ca="1">+GETPIVOTDATA("TNG4",'ngaigiao (2016)'!$A$3,"MA_HT","HNK","MA_QH","SON")</f>
        <v>0</v>
      </c>
      <c r="BC11" s="50">
        <f ca="1">+GETPIVOTDATA("TNG4",'ngaigiao (2016)'!$A$3,"MA_HT","HNK","MA_QH","MNC")</f>
        <v>0</v>
      </c>
      <c r="BD11" s="22">
        <f ca="1">+GETPIVOTDATA("TNG4",'ngaigiao (2016)'!$A$3,"MA_HT","HNK","MA_QH","PNK")</f>
        <v>0</v>
      </c>
      <c r="BE11" s="71">
        <f ca="1">+GETPIVOTDATA("TNG4",'ngaigiao (2016)'!$A$3,"MA_HT","HNK","MA_QH","CSD")</f>
        <v>0</v>
      </c>
      <c r="BF11" s="74">
        <f ca="1" t="shared" si="7"/>
        <v>0</v>
      </c>
      <c r="BG11" s="101">
        <f ca="1">J$59-$BF11</f>
        <v>0</v>
      </c>
      <c r="BH11" s="41" t="e">
        <f ca="1" t="shared" si="8"/>
        <v>#REF!</v>
      </c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</row>
    <row r="12" s="2" customFormat="1" ht="15.75" customHeight="1" spans="1:79">
      <c r="A12" s="39" t="s">
        <v>8345</v>
      </c>
      <c r="B12" s="39" t="s">
        <v>8346</v>
      </c>
      <c r="C12" s="40" t="s">
        <v>30</v>
      </c>
      <c r="D12" s="47" t="e">
        <f>+#REF!</f>
        <v>#REF!</v>
      </c>
      <c r="E12" s="42">
        <f ca="1">SUM(L12:Q12,F12,J12)</f>
        <v>0</v>
      </c>
      <c r="F12" s="52">
        <f ca="1" t="shared" ref="F12:F58" si="9">SUM(G12:I12)</f>
        <v>0</v>
      </c>
      <c r="G12" s="22">
        <f ca="1">+GETPIVOTDATA("TNG4",'ngaigiao (2016)'!$A$3,"MA_HT","CLN","MA_QH","LUC")</f>
        <v>0</v>
      </c>
      <c r="H12" s="22">
        <f ca="1">+GETPIVOTDATA("TNG4",'ngaigiao (2016)'!$A$3,"MA_HT","CLN","MA_QH","LUK")</f>
        <v>0</v>
      </c>
      <c r="I12" s="22">
        <f ca="1">+GETPIVOTDATA("TNG4",'ngaigiao (2016)'!$A$3,"MA_HT","CLN","MA_QH","LUN")</f>
        <v>0</v>
      </c>
      <c r="J12" s="22">
        <f ca="1">+GETPIVOTDATA("TNG4",'ngaigiao (2016)'!$A$3,"MA_HT","CLN","MA_QH","HNK")</f>
        <v>0</v>
      </c>
      <c r="K12" s="43" t="e">
        <f ca="1">$D12-$BF12</f>
        <v>#REF!</v>
      </c>
      <c r="L12" s="22">
        <f ca="1">+GETPIVOTDATA("TNG4",'ngaigiao (2016)'!$A$3,"MA_HT","CLN","MA_QH","RSX")</f>
        <v>0</v>
      </c>
      <c r="M12" s="22">
        <f ca="1">+GETPIVOTDATA("TNG4",'ngaigiao (2016)'!$A$3,"MA_HT","CLN","MA_QH","RPH")</f>
        <v>0</v>
      </c>
      <c r="N12" s="22">
        <f ca="1">+GETPIVOTDATA("TNG4",'ngaigiao (2016)'!$A$3,"MA_HT","CLN","MA_QH","RDD")</f>
        <v>0</v>
      </c>
      <c r="O12" s="22">
        <f ca="1">+GETPIVOTDATA("TNG4",'ngaigiao (2016)'!$A$3,"MA_HT","CLN","MA_QH","NTS")</f>
        <v>0</v>
      </c>
      <c r="P12" s="22">
        <f ca="1">+GETPIVOTDATA("TNG4",'ngaigiao (2016)'!$A$3,"MA_HT","CLN","MA_QH","LMU")</f>
        <v>0</v>
      </c>
      <c r="Q12" s="22">
        <f ca="1">+GETPIVOTDATA("TNG4",'ngaigiao (2016)'!$A$3,"MA_HT","CLN","MA_QH","NKH")</f>
        <v>0</v>
      </c>
      <c r="R12" s="42">
        <f ca="1" t="shared" si="2"/>
        <v>0</v>
      </c>
      <c r="S12" s="22">
        <f ca="1">+GETPIVOTDATA("TNG4",'ngaigiao (2016)'!$A$3,"MA_HT","CLN","MA_QH","CQP")</f>
        <v>0</v>
      </c>
      <c r="T12" s="22">
        <f ca="1">+GETPIVOTDATA("TNG4",'ngaigiao (2016)'!$A$3,"MA_HT","CLN","MA_QH","CAN")</f>
        <v>0</v>
      </c>
      <c r="U12" s="22">
        <f ca="1">+GETPIVOTDATA("TNG4",'ngaigiao (2016)'!$A$3,"MA_HT","CLN","MA_QH","SKK")</f>
        <v>0</v>
      </c>
      <c r="V12" s="22">
        <f ca="1">+GETPIVOTDATA("TNG4",'ngaigiao (2016)'!$A$3,"MA_HT","CLN","MA_QH","SKT")</f>
        <v>0</v>
      </c>
      <c r="W12" s="22">
        <f ca="1">+GETPIVOTDATA("TNG4",'ngaigiao (2016)'!$A$3,"MA_HT","CLN","MA_QH","SKN")</f>
        <v>0</v>
      </c>
      <c r="X12" s="22">
        <f ca="1">+GETPIVOTDATA("TNG4",'ngaigiao (2016)'!$A$3,"MA_HT","CLN","MA_QH","TMD")</f>
        <v>0</v>
      </c>
      <c r="Y12" s="22">
        <f ca="1">+GETPIVOTDATA("TNG4",'ngaigiao (2016)'!$A$3,"MA_HT","CLN","MA_QH","SKC")</f>
        <v>0</v>
      </c>
      <c r="Z12" s="22">
        <f ca="1">+GETPIVOTDATA("TNG4",'ngaigiao (2016)'!$A$3,"MA_HT","CLN","MA_QH","SKS")</f>
        <v>0</v>
      </c>
      <c r="AA12" s="52">
        <f ca="1" t="shared" si="4"/>
        <v>0</v>
      </c>
      <c r="AB12" s="22">
        <f ca="1">+GETPIVOTDATA("TNG4",'ngaigiao (2016)'!$A$3,"MA_HT","CLN","MA_QH","DGT")</f>
        <v>0</v>
      </c>
      <c r="AC12" s="22">
        <f ca="1">+GETPIVOTDATA("TNG4",'ngaigiao (2016)'!$A$3,"MA_HT","CLN","MA_QH","DTL")</f>
        <v>0</v>
      </c>
      <c r="AD12" s="22">
        <f ca="1">+GETPIVOTDATA("TNG4",'ngaigiao (2016)'!$A$3,"MA_HT","CLN","MA_QH","DNL")</f>
        <v>0</v>
      </c>
      <c r="AE12" s="22">
        <f ca="1">+GETPIVOTDATA("TNG4",'ngaigiao (2016)'!$A$3,"MA_HT","CLN","MA_QH","DBV")</f>
        <v>0</v>
      </c>
      <c r="AF12" s="22">
        <f ca="1">+GETPIVOTDATA("TNG4",'ngaigiao (2016)'!$A$3,"MA_HT","CLN","MA_QH","DVH")</f>
        <v>0</v>
      </c>
      <c r="AG12" s="22">
        <f ca="1">+GETPIVOTDATA("TNG4",'ngaigiao (2016)'!$A$3,"MA_HT","CLN","MA_QH","DYT")</f>
        <v>0</v>
      </c>
      <c r="AH12" s="22">
        <f ca="1">+GETPIVOTDATA("TNG4",'ngaigiao (2016)'!$A$3,"MA_HT","CLN","MA_QH","DGD")</f>
        <v>0</v>
      </c>
      <c r="AI12" s="22">
        <f ca="1">+GETPIVOTDATA("TNG4",'ngaigiao (2016)'!$A$3,"MA_HT","CLN","MA_QH","DTT")</f>
        <v>0</v>
      </c>
      <c r="AJ12" s="22">
        <f ca="1">+GETPIVOTDATA("TNG4",'ngaigiao (2016)'!$A$3,"MA_HT","CLN","MA_QH","NCK")</f>
        <v>0</v>
      </c>
      <c r="AK12" s="22">
        <f ca="1">+GETPIVOTDATA("TNG4",'ngaigiao (2016)'!$A$3,"MA_HT","CLN","MA_QH","DXH")</f>
        <v>0</v>
      </c>
      <c r="AL12" s="22">
        <f ca="1">+GETPIVOTDATA("TNG4",'ngaigiao (2016)'!$A$3,"MA_HT","CLN","MA_QH","DCH")</f>
        <v>0</v>
      </c>
      <c r="AM12" s="22">
        <f ca="1">+GETPIVOTDATA("TNG4",'ngaigiao (2016)'!$A$3,"MA_HT","CLN","MA_QH","DKG")</f>
        <v>0</v>
      </c>
      <c r="AN12" s="22">
        <f ca="1">+GETPIVOTDATA("TNG4",'ngaigiao (2016)'!$A$3,"MA_HT","CLN","MA_QH","DDT")</f>
        <v>0</v>
      </c>
      <c r="AO12" s="22">
        <f ca="1">+GETPIVOTDATA("TNG4",'ngaigiao (2016)'!$A$3,"MA_HT","CLN","MA_QH","DDL")</f>
        <v>0</v>
      </c>
      <c r="AP12" s="22">
        <f ca="1">+GETPIVOTDATA("TNG4",'ngaigiao (2016)'!$A$3,"MA_HT","CLN","MA_QH","DRA")</f>
        <v>0</v>
      </c>
      <c r="AQ12" s="22">
        <f ca="1">+GETPIVOTDATA("TNG4",'ngaigiao (2016)'!$A$3,"MA_HT","CLN","MA_QH","ONT")</f>
        <v>0</v>
      </c>
      <c r="AR12" s="22">
        <f ca="1">+GETPIVOTDATA("TNG4",'ngaigiao (2016)'!$A$3,"MA_HT","CLN","MA_QH","ODT")</f>
        <v>0</v>
      </c>
      <c r="AS12" s="22">
        <f ca="1">+GETPIVOTDATA("TNG4",'ngaigiao (2016)'!$A$3,"MA_HT","CLN","MA_QH","TSC")</f>
        <v>0</v>
      </c>
      <c r="AT12" s="22">
        <f ca="1">+GETPIVOTDATA("TNG4",'ngaigiao (2016)'!$A$3,"MA_HT","CLN","MA_QH","DTS")</f>
        <v>0</v>
      </c>
      <c r="AU12" s="22">
        <f ca="1">+GETPIVOTDATA("TNG4",'ngaigiao (2016)'!$A$3,"MA_HT","CLN","MA_QH","DNG")</f>
        <v>0</v>
      </c>
      <c r="AV12" s="22">
        <f ca="1">+GETPIVOTDATA("TNG4",'ngaigiao (2016)'!$A$3,"MA_HT","CLN","MA_QH","TON")</f>
        <v>0</v>
      </c>
      <c r="AW12" s="22">
        <f ca="1">+GETPIVOTDATA("TNG4",'ngaigiao (2016)'!$A$3,"MA_HT","CLN","MA_QH","NTD")</f>
        <v>0</v>
      </c>
      <c r="AX12" s="22">
        <f ca="1">+GETPIVOTDATA("TNG4",'ngaigiao (2016)'!$A$3,"MA_HT","CLN","MA_QH","SKX")</f>
        <v>0</v>
      </c>
      <c r="AY12" s="22">
        <f ca="1">+GETPIVOTDATA("TNG4",'ngaigiao (2016)'!$A$3,"MA_HT","CLN","MA_QH","DSH")</f>
        <v>0</v>
      </c>
      <c r="AZ12" s="22">
        <f ca="1">+GETPIVOTDATA("TNG4",'ngaigiao (2016)'!$A$3,"MA_HT","CLN","MA_QH","DKV")</f>
        <v>0</v>
      </c>
      <c r="BA12" s="89">
        <f ca="1">+GETPIVOTDATA("TNG4",'ngaigiao (2016)'!$A$3,"MA_HT","CLN","MA_QH","TIN")</f>
        <v>0</v>
      </c>
      <c r="BB12" s="50">
        <f ca="1">+GETPIVOTDATA("TNG4",'ngaigiao (2016)'!$A$3,"MA_HT","CLN","MA_QH","SON")</f>
        <v>0</v>
      </c>
      <c r="BC12" s="50">
        <f ca="1">+GETPIVOTDATA("TNG4",'ngaigiao (2016)'!$A$3,"MA_HT","CLN","MA_QH","MNC")</f>
        <v>0</v>
      </c>
      <c r="BD12" s="22">
        <f ca="1">+GETPIVOTDATA("TNG4",'ngaigiao (2016)'!$A$3,"MA_HT","CLN","MA_QH","PNK")</f>
        <v>0</v>
      </c>
      <c r="BE12" s="71">
        <f ca="1">+GETPIVOTDATA("TNG4",'ngaigiao (2016)'!$A$3,"MA_HT","CLN","MA_QH","CSD")</f>
        <v>0</v>
      </c>
      <c r="BF12" s="74">
        <f ca="1" t="shared" si="7"/>
        <v>0</v>
      </c>
      <c r="BG12" s="101">
        <f ca="1">K$59-$BF12</f>
        <v>0</v>
      </c>
      <c r="BH12" s="41" t="e">
        <f ca="1" t="shared" si="8"/>
        <v>#REF!</v>
      </c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</row>
    <row r="13" s="2" customFormat="1" ht="15.75" customHeight="1" spans="1:79">
      <c r="A13" s="39" t="s">
        <v>8347</v>
      </c>
      <c r="B13" s="39" t="s">
        <v>8348</v>
      </c>
      <c r="C13" s="40" t="s">
        <v>8307</v>
      </c>
      <c r="D13" s="47" t="e">
        <f>+#REF!</f>
        <v>#REF!</v>
      </c>
      <c r="E13" s="42">
        <f ca="1">SUM(F13,J13:K13,M13:Q13)</f>
        <v>0</v>
      </c>
      <c r="F13" s="52">
        <f ca="1" t="shared" si="9"/>
        <v>0</v>
      </c>
      <c r="G13" s="22">
        <f ca="1">+GETPIVOTDATA("TNG4",'ngaigiao (2016)'!$A$3,"MA_HT","RSX","MA_QH","LUC")</f>
        <v>0</v>
      </c>
      <c r="H13" s="22">
        <f ca="1">+GETPIVOTDATA("TNG4",'ngaigiao (2016)'!$A$3,"MA_HT","RSX","MA_QH","LUK")</f>
        <v>0</v>
      </c>
      <c r="I13" s="22">
        <f ca="1">+GETPIVOTDATA("TNG4",'ngaigiao (2016)'!$A$3,"MA_HT","RSX","MA_QH","LUN")</f>
        <v>0</v>
      </c>
      <c r="J13" s="22">
        <f ca="1">+GETPIVOTDATA("TNG4",'ngaigiao (2016)'!$A$3,"MA_HT","RSX","MA_QH","HNK")</f>
        <v>0</v>
      </c>
      <c r="K13" s="22">
        <f ca="1">+GETPIVOTDATA("TNG4",'ngaigiao (2016)'!$A$3,"MA_HT","RSX","MA_QH","CLN")</f>
        <v>0</v>
      </c>
      <c r="L13" s="43" t="e">
        <f ca="1">$D13-$BF13</f>
        <v>#REF!</v>
      </c>
      <c r="M13" s="22">
        <f ca="1">+GETPIVOTDATA("TNG4",'ngaigiao (2016)'!$A$3,"MA_HT","RSX","MA_QH","RPH")</f>
        <v>0</v>
      </c>
      <c r="N13" s="22">
        <f ca="1">+GETPIVOTDATA("TNG4",'ngaigiao (2016)'!$A$3,"MA_HT","RSX","MA_QH","RDD")</f>
        <v>0</v>
      </c>
      <c r="O13" s="22">
        <f ca="1">+GETPIVOTDATA("TNG4",'ngaigiao (2016)'!$A$3,"MA_HT","RSX","MA_QH","NTS")</f>
        <v>0</v>
      </c>
      <c r="P13" s="22">
        <f ca="1">+GETPIVOTDATA("TNG4",'ngaigiao (2016)'!$A$3,"MA_HT","RSX","MA_QH","LMU")</f>
        <v>0</v>
      </c>
      <c r="Q13" s="22">
        <f ca="1">+GETPIVOTDATA("TNG4",'ngaigiao (2016)'!$A$3,"MA_HT","RSX","MA_QH","NKH")</f>
        <v>0</v>
      </c>
      <c r="R13" s="42">
        <f ca="1" t="shared" si="2"/>
        <v>0</v>
      </c>
      <c r="S13" s="22">
        <f ca="1">+GETPIVOTDATA("TNG4",'ngaigiao (2016)'!$A$3,"MA_HT","RSX","MA_QH","CQP")</f>
        <v>0</v>
      </c>
      <c r="T13" s="22">
        <f ca="1">+GETPIVOTDATA("TNG4",'ngaigiao (2016)'!$A$3,"MA_HT","RSX","MA_QH","CAN")</f>
        <v>0</v>
      </c>
      <c r="U13" s="22">
        <f ca="1">+GETPIVOTDATA("TNG4",'ngaigiao (2016)'!$A$3,"MA_HT","RSX","MA_QH","SKK")</f>
        <v>0</v>
      </c>
      <c r="V13" s="22">
        <f ca="1">+GETPIVOTDATA("TNG4",'ngaigiao (2016)'!$A$3,"MA_HT","RSX","MA_QH","SKT")</f>
        <v>0</v>
      </c>
      <c r="W13" s="22">
        <f ca="1">+GETPIVOTDATA("TNG4",'ngaigiao (2016)'!$A$3,"MA_HT","RSX","MA_QH","SKN")</f>
        <v>0</v>
      </c>
      <c r="X13" s="22">
        <f ca="1">+GETPIVOTDATA("TNG4",'ngaigiao (2016)'!$A$3,"MA_HT","RSX","MA_QH","TMD")</f>
        <v>0</v>
      </c>
      <c r="Y13" s="22">
        <f ca="1">+GETPIVOTDATA("TNG4",'ngaigiao (2016)'!$A$3,"MA_HT","RSX","MA_QH","SKC")</f>
        <v>0</v>
      </c>
      <c r="Z13" s="22">
        <f ca="1">+GETPIVOTDATA("TNG4",'ngaigiao (2016)'!$A$3,"MA_HT","RSX","MA_QH","SKS")</f>
        <v>0</v>
      </c>
      <c r="AA13" s="52">
        <f ca="1" t="shared" si="4"/>
        <v>0</v>
      </c>
      <c r="AB13" s="22">
        <f ca="1">+GETPIVOTDATA("TNG4",'ngaigiao (2016)'!$A$3,"MA_HT","RSX","MA_QH","DGT")</f>
        <v>0</v>
      </c>
      <c r="AC13" s="22">
        <f ca="1">+GETPIVOTDATA("TNG4",'ngaigiao (2016)'!$A$3,"MA_HT","RSX","MA_QH","DTL")</f>
        <v>0</v>
      </c>
      <c r="AD13" s="22">
        <f ca="1">+GETPIVOTDATA("TNG4",'ngaigiao (2016)'!$A$3,"MA_HT","RSX","MA_QH","DNL")</f>
        <v>0</v>
      </c>
      <c r="AE13" s="22">
        <f ca="1">+GETPIVOTDATA("TNG4",'ngaigiao (2016)'!$A$3,"MA_HT","RSX","MA_QH","DBV")</f>
        <v>0</v>
      </c>
      <c r="AF13" s="22">
        <f ca="1">+GETPIVOTDATA("TNG4",'ngaigiao (2016)'!$A$3,"MA_HT","RSX","MA_QH","DVH")</f>
        <v>0</v>
      </c>
      <c r="AG13" s="22">
        <f ca="1">+GETPIVOTDATA("TNG4",'ngaigiao (2016)'!$A$3,"MA_HT","RSX","MA_QH","DYT")</f>
        <v>0</v>
      </c>
      <c r="AH13" s="22">
        <f ca="1">+GETPIVOTDATA("TNG4",'ngaigiao (2016)'!$A$3,"MA_HT","RSX","MA_QH","DGD")</f>
        <v>0</v>
      </c>
      <c r="AI13" s="22">
        <f ca="1">+GETPIVOTDATA("TNG4",'ngaigiao (2016)'!$A$3,"MA_HT","RSX","MA_QH","DTT")</f>
        <v>0</v>
      </c>
      <c r="AJ13" s="22">
        <f ca="1">+GETPIVOTDATA("TNG4",'ngaigiao (2016)'!$A$3,"MA_HT","RSX","MA_QH","NCK")</f>
        <v>0</v>
      </c>
      <c r="AK13" s="22">
        <f ca="1">+GETPIVOTDATA("TNG4",'ngaigiao (2016)'!$A$3,"MA_HT","RSX","MA_QH","DXH")</f>
        <v>0</v>
      </c>
      <c r="AL13" s="22">
        <f ca="1">+GETPIVOTDATA("TNG4",'ngaigiao (2016)'!$A$3,"MA_HT","RSX","MA_QH","DCH")</f>
        <v>0</v>
      </c>
      <c r="AM13" s="22">
        <f ca="1">+GETPIVOTDATA("TNG4",'ngaigiao (2016)'!$A$3,"MA_HT","RSX","MA_QH","DKG")</f>
        <v>0</v>
      </c>
      <c r="AN13" s="22">
        <f ca="1">+GETPIVOTDATA("TNG4",'ngaigiao (2016)'!$A$3,"MA_HT","RSX","MA_QH","DDT")</f>
        <v>0</v>
      </c>
      <c r="AO13" s="22">
        <f ca="1">+GETPIVOTDATA("TNG4",'ngaigiao (2016)'!$A$3,"MA_HT","RSX","MA_QH","DDL")</f>
        <v>0</v>
      </c>
      <c r="AP13" s="22">
        <f ca="1">+GETPIVOTDATA("TNG4",'ngaigiao (2016)'!$A$3,"MA_HT","RSX","MA_QH","DRA")</f>
        <v>0</v>
      </c>
      <c r="AQ13" s="22">
        <f ca="1">+GETPIVOTDATA("TNG4",'ngaigiao (2016)'!$A$3,"MA_HT","RSX","MA_QH","ONT")</f>
        <v>0</v>
      </c>
      <c r="AR13" s="22">
        <f ca="1">+GETPIVOTDATA("TNG4",'ngaigiao (2016)'!$A$3,"MA_HT","RSX","MA_QH","ODT")</f>
        <v>0</v>
      </c>
      <c r="AS13" s="22">
        <f ca="1">+GETPIVOTDATA("TNG4",'ngaigiao (2016)'!$A$3,"MA_HT","RSX","MA_QH","TSC")</f>
        <v>0</v>
      </c>
      <c r="AT13" s="22">
        <f ca="1">+GETPIVOTDATA("TNG4",'ngaigiao (2016)'!$A$3,"MA_HT","RSX","MA_QH","DTS")</f>
        <v>0</v>
      </c>
      <c r="AU13" s="22">
        <f ca="1">+GETPIVOTDATA("TNG4",'ngaigiao (2016)'!$A$3,"MA_HT","RSX","MA_QH","DNG")</f>
        <v>0</v>
      </c>
      <c r="AV13" s="22">
        <f ca="1">+GETPIVOTDATA("TNG4",'ngaigiao (2016)'!$A$3,"MA_HT","RSX","MA_QH","TON")</f>
        <v>0</v>
      </c>
      <c r="AW13" s="22">
        <f ca="1">+GETPIVOTDATA("TNG4",'ngaigiao (2016)'!$A$3,"MA_HT","RSX","MA_QH","NTD")</f>
        <v>0</v>
      </c>
      <c r="AX13" s="22">
        <f ca="1">+GETPIVOTDATA("TNG4",'ngaigiao (2016)'!$A$3,"MA_HT","RSX","MA_QH","SKX")</f>
        <v>0</v>
      </c>
      <c r="AY13" s="22">
        <f ca="1">+GETPIVOTDATA("TNG4",'ngaigiao (2016)'!$A$3,"MA_HT","RSX","MA_QH","DSH")</f>
        <v>0</v>
      </c>
      <c r="AZ13" s="22">
        <f ca="1">+GETPIVOTDATA("TNG4",'ngaigiao (2016)'!$A$3,"MA_HT","RSX","MA_QH","DKV")</f>
        <v>0</v>
      </c>
      <c r="BA13" s="89">
        <f ca="1">+GETPIVOTDATA("TNG4",'ngaigiao (2016)'!$A$3,"MA_HT","RSX","MA_QH","TIN")</f>
        <v>0</v>
      </c>
      <c r="BB13" s="50">
        <f ca="1">+GETPIVOTDATA("TNG4",'ngaigiao (2016)'!$A$3,"MA_HT","RSX","MA_QH","SON")</f>
        <v>0</v>
      </c>
      <c r="BC13" s="50">
        <f ca="1">+GETPIVOTDATA("TNG4",'ngaigiao (2016)'!$A$3,"MA_HT","RSX","MA_QH","MNC")</f>
        <v>0</v>
      </c>
      <c r="BD13" s="22">
        <f ca="1">+GETPIVOTDATA("TNG4",'ngaigiao (2016)'!$A$3,"MA_HT","RSX","MA_QH","PNK")</f>
        <v>0</v>
      </c>
      <c r="BE13" s="71">
        <f ca="1">+GETPIVOTDATA("TNG4",'ngaigiao (2016)'!$A$3,"MA_HT","RSX","MA_QH","CSD")</f>
        <v>0</v>
      </c>
      <c r="BF13" s="74">
        <f ca="1" t="shared" si="7"/>
        <v>0</v>
      </c>
      <c r="BG13" s="101">
        <f ca="1">L$59-$BF13</f>
        <v>0</v>
      </c>
      <c r="BH13" s="41" t="e">
        <f ca="1" t="shared" si="8"/>
        <v>#REF!</v>
      </c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</row>
    <row r="14" s="2" customFormat="1" ht="15.75" customHeight="1" spans="1:79">
      <c r="A14" s="39" t="s">
        <v>8349</v>
      </c>
      <c r="B14" s="39" t="s">
        <v>8350</v>
      </c>
      <c r="C14" s="40" t="s">
        <v>8306</v>
      </c>
      <c r="D14" s="47" t="e">
        <f>+#REF!</f>
        <v>#REF!</v>
      </c>
      <c r="E14" s="42">
        <f ca="1">SUM(F14,J14:L14,N14:Q14)</f>
        <v>0</v>
      </c>
      <c r="F14" s="52">
        <f ca="1" t="shared" si="9"/>
        <v>0</v>
      </c>
      <c r="G14" s="22">
        <f ca="1">+GETPIVOTDATA("TNG4",'ngaigiao (2016)'!$A$3,"MA_HT","RPH","MA_QH","LUC")</f>
        <v>0</v>
      </c>
      <c r="H14" s="22">
        <f ca="1">+GETPIVOTDATA("TNG4",'ngaigiao (2016)'!$A$3,"MA_HT","RPH","MA_QH","LUK")</f>
        <v>0</v>
      </c>
      <c r="I14" s="22">
        <f ca="1">+GETPIVOTDATA("TNG4",'ngaigiao (2016)'!$A$3,"MA_HT","RPH","MA_QH","LUN")</f>
        <v>0</v>
      </c>
      <c r="J14" s="22">
        <f ca="1">+GETPIVOTDATA("TNG4",'ngaigiao (2016)'!$A$3,"MA_HT","RPH","MA_QH","HNK")</f>
        <v>0</v>
      </c>
      <c r="K14" s="22">
        <f ca="1">+GETPIVOTDATA("TNG4",'ngaigiao (2016)'!$A$3,"MA_HT","RPH","MA_QH","CLN")</f>
        <v>0</v>
      </c>
      <c r="L14" s="22">
        <f ca="1">+GETPIVOTDATA("TNG4",'ngaigiao (2016)'!$A$3,"MA_HT","RPH","MA_QH","RSX")</f>
        <v>0</v>
      </c>
      <c r="M14" s="43" t="e">
        <f ca="1">$D14-$BF14</f>
        <v>#REF!</v>
      </c>
      <c r="N14" s="22">
        <f ca="1">+GETPIVOTDATA("TNG4",'ngaigiao (2016)'!$A$3,"MA_HT","RPH","MA_QH","RDD")</f>
        <v>0</v>
      </c>
      <c r="O14" s="22">
        <f ca="1">+GETPIVOTDATA("TNG4",'ngaigiao (2016)'!$A$3,"MA_HT","RPH","MA_QH","NTS")</f>
        <v>0</v>
      </c>
      <c r="P14" s="22">
        <f ca="1">+GETPIVOTDATA("TNG4",'ngaigiao (2016)'!$A$3,"MA_HT","RPH","MA_QH","LMU")</f>
        <v>0</v>
      </c>
      <c r="Q14" s="22">
        <f ca="1">+GETPIVOTDATA("TNG4",'ngaigiao (2016)'!$A$3,"MA_HT","RPH","MA_QH","NKH")</f>
        <v>0</v>
      </c>
      <c r="R14" s="42">
        <f ca="1" t="shared" si="2"/>
        <v>0</v>
      </c>
      <c r="S14" s="22">
        <f ca="1">+GETPIVOTDATA("TNG4",'ngaigiao (2016)'!$A$3,"MA_HT","RPH","MA_QH","CQP")</f>
        <v>0</v>
      </c>
      <c r="T14" s="22">
        <f ca="1">+GETPIVOTDATA("TNG4",'ngaigiao (2016)'!$A$3,"MA_HT","RPH","MA_QH","CAN")</f>
        <v>0</v>
      </c>
      <c r="U14" s="22">
        <f ca="1">+GETPIVOTDATA("TNG4",'ngaigiao (2016)'!$A$3,"MA_HT","RPH","MA_QH","SKK")</f>
        <v>0</v>
      </c>
      <c r="V14" s="22">
        <f ca="1">+GETPIVOTDATA("TNG4",'ngaigiao (2016)'!$A$3,"MA_HT","RPH","MA_QH","SKT")</f>
        <v>0</v>
      </c>
      <c r="W14" s="22">
        <f ca="1">+GETPIVOTDATA("TNG4",'ngaigiao (2016)'!$A$3,"MA_HT","RPH","MA_QH","SKN")</f>
        <v>0</v>
      </c>
      <c r="X14" s="22">
        <f ca="1">+GETPIVOTDATA("TNG4",'ngaigiao (2016)'!$A$3,"MA_HT","RPH","MA_QH","TMD")</f>
        <v>0</v>
      </c>
      <c r="Y14" s="22">
        <f ca="1">+GETPIVOTDATA("TNG4",'ngaigiao (2016)'!$A$3,"MA_HT","RPH","MA_QH","SKC")</f>
        <v>0</v>
      </c>
      <c r="Z14" s="22">
        <f ca="1">+GETPIVOTDATA("TNG4",'ngaigiao (2016)'!$A$3,"MA_HT","RPH","MA_QH","SKS")</f>
        <v>0</v>
      </c>
      <c r="AA14" s="52">
        <f ca="1" t="shared" si="4"/>
        <v>0</v>
      </c>
      <c r="AB14" s="22">
        <f ca="1">+GETPIVOTDATA("TNG4",'ngaigiao (2016)'!$A$3,"MA_HT","RPH","MA_QH","DGT")</f>
        <v>0</v>
      </c>
      <c r="AC14" s="22">
        <f ca="1">+GETPIVOTDATA("TNG4",'ngaigiao (2016)'!$A$3,"MA_HT","RPH","MA_QH","DTL")</f>
        <v>0</v>
      </c>
      <c r="AD14" s="22">
        <f ca="1">+GETPIVOTDATA("TNG4",'ngaigiao (2016)'!$A$3,"MA_HT","RPH","MA_QH","DNL")</f>
        <v>0</v>
      </c>
      <c r="AE14" s="22">
        <f ca="1">+GETPIVOTDATA("TNG4",'ngaigiao (2016)'!$A$3,"MA_HT","RPH","MA_QH","DBV")</f>
        <v>0</v>
      </c>
      <c r="AF14" s="22">
        <f ca="1">+GETPIVOTDATA("TNG4",'ngaigiao (2016)'!$A$3,"MA_HT","RPH","MA_QH","DVH")</f>
        <v>0</v>
      </c>
      <c r="AG14" s="22">
        <f ca="1">+GETPIVOTDATA("TNG4",'ngaigiao (2016)'!$A$3,"MA_HT","RPH","MA_QH","DYT")</f>
        <v>0</v>
      </c>
      <c r="AH14" s="22">
        <f ca="1">+GETPIVOTDATA("TNG4",'ngaigiao (2016)'!$A$3,"MA_HT","RPH","MA_QH","DGD")</f>
        <v>0</v>
      </c>
      <c r="AI14" s="22">
        <f ca="1">+GETPIVOTDATA("TNG4",'ngaigiao (2016)'!$A$3,"MA_HT","RPH","MA_QH","DTT")</f>
        <v>0</v>
      </c>
      <c r="AJ14" s="22">
        <f ca="1">+GETPIVOTDATA("TNG4",'ngaigiao (2016)'!$A$3,"MA_HT","RPH","MA_QH","NCK")</f>
        <v>0</v>
      </c>
      <c r="AK14" s="22">
        <f ca="1">+GETPIVOTDATA("TNG4",'ngaigiao (2016)'!$A$3,"MA_HT","RPH","MA_QH","DXH")</f>
        <v>0</v>
      </c>
      <c r="AL14" s="22">
        <f ca="1">+GETPIVOTDATA("TNG4",'ngaigiao (2016)'!$A$3,"MA_HT","RPH","MA_QH","DCH")</f>
        <v>0</v>
      </c>
      <c r="AM14" s="22">
        <f ca="1">+GETPIVOTDATA("TNG4",'ngaigiao (2016)'!$A$3,"MA_HT","RPH","MA_QH","DKG")</f>
        <v>0</v>
      </c>
      <c r="AN14" s="22">
        <f ca="1">+GETPIVOTDATA("TNG4",'ngaigiao (2016)'!$A$3,"MA_HT","RPH","MA_QH","DDT")</f>
        <v>0</v>
      </c>
      <c r="AO14" s="22">
        <f ca="1">+GETPIVOTDATA("TNG4",'ngaigiao (2016)'!$A$3,"MA_HT","RPH","MA_QH","DDL")</f>
        <v>0</v>
      </c>
      <c r="AP14" s="22">
        <f ca="1">+GETPIVOTDATA("TNG4",'ngaigiao (2016)'!$A$3,"MA_HT","RPH","MA_QH","DRA")</f>
        <v>0</v>
      </c>
      <c r="AQ14" s="22">
        <f ca="1">+GETPIVOTDATA("TNG4",'ngaigiao (2016)'!$A$3,"MA_HT","RPH","MA_QH","ONT")</f>
        <v>0</v>
      </c>
      <c r="AR14" s="22">
        <f ca="1">+GETPIVOTDATA("TNG4",'ngaigiao (2016)'!$A$3,"MA_HT","RPH","MA_QH","ODT")</f>
        <v>0</v>
      </c>
      <c r="AS14" s="22">
        <f ca="1">+GETPIVOTDATA("TNG4",'ngaigiao (2016)'!$A$3,"MA_HT","RPH","MA_QH","TSC")</f>
        <v>0</v>
      </c>
      <c r="AT14" s="22">
        <f ca="1">+GETPIVOTDATA("TNG4",'ngaigiao (2016)'!$A$3,"MA_HT","RPH","MA_QH","DTS")</f>
        <v>0</v>
      </c>
      <c r="AU14" s="22">
        <f ca="1">+GETPIVOTDATA("TNG4",'ngaigiao (2016)'!$A$3,"MA_HT","RPH","MA_QH","DNG")</f>
        <v>0</v>
      </c>
      <c r="AV14" s="22">
        <f ca="1">+GETPIVOTDATA("TNG4",'ngaigiao (2016)'!$A$3,"MA_HT","RPH","MA_QH","TON")</f>
        <v>0</v>
      </c>
      <c r="AW14" s="22">
        <f ca="1">+GETPIVOTDATA("TNG4",'ngaigiao (2016)'!$A$3,"MA_HT","RPH","MA_QH","NTD")</f>
        <v>0</v>
      </c>
      <c r="AX14" s="22">
        <f ca="1">+GETPIVOTDATA("TNG4",'ngaigiao (2016)'!$A$3,"MA_HT","RPH","MA_QH","SKX")</f>
        <v>0</v>
      </c>
      <c r="AY14" s="22">
        <f ca="1">+GETPIVOTDATA("TNG4",'ngaigiao (2016)'!$A$3,"MA_HT","RPH","MA_QH","DSH")</f>
        <v>0</v>
      </c>
      <c r="AZ14" s="22">
        <f ca="1">+GETPIVOTDATA("TNG4",'ngaigiao (2016)'!$A$3,"MA_HT","RPH","MA_QH","DKV")</f>
        <v>0</v>
      </c>
      <c r="BA14" s="89">
        <f ca="1">+GETPIVOTDATA("TNG4",'ngaigiao (2016)'!$A$3,"MA_HT","RPH","MA_QH","TIN")</f>
        <v>0</v>
      </c>
      <c r="BB14" s="50">
        <f ca="1">+GETPIVOTDATA("TNG4",'ngaigiao (2016)'!$A$3,"MA_HT","RPH","MA_QH","SON")</f>
        <v>0</v>
      </c>
      <c r="BC14" s="50">
        <f ca="1">+GETPIVOTDATA("TNG4",'ngaigiao (2016)'!$A$3,"MA_HT","RPH","MA_QH","MNC")</f>
        <v>0</v>
      </c>
      <c r="BD14" s="22">
        <f ca="1">+GETPIVOTDATA("TNG4",'ngaigiao (2016)'!$A$3,"MA_HT","RPH","MA_QH","PNK")</f>
        <v>0</v>
      </c>
      <c r="BE14" s="71">
        <f ca="1">+GETPIVOTDATA("TNG4",'ngaigiao (2016)'!$A$3,"MA_HT","RPH","MA_QH","CSD")</f>
        <v>0</v>
      </c>
      <c r="BF14" s="74">
        <f ca="1" t="shared" si="7"/>
        <v>0</v>
      </c>
      <c r="BG14" s="101">
        <f ca="1">M$59-$BF14</f>
        <v>0</v>
      </c>
      <c r="BH14" s="41" t="e">
        <f ca="1" t="shared" si="8"/>
        <v>#REF!</v>
      </c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</row>
    <row r="15" s="2" customFormat="1" ht="15.75" customHeight="1" spans="1:79">
      <c r="A15" s="39" t="s">
        <v>8351</v>
      </c>
      <c r="B15" s="39" t="s">
        <v>8352</v>
      </c>
      <c r="C15" s="40" t="s">
        <v>8305</v>
      </c>
      <c r="D15" s="47" t="e">
        <f>+#REF!</f>
        <v>#REF!</v>
      </c>
      <c r="E15" s="42">
        <f ca="1">SUM(F15,J15:M15,O15:Q15)</f>
        <v>0</v>
      </c>
      <c r="F15" s="52">
        <f ca="1" t="shared" si="9"/>
        <v>0</v>
      </c>
      <c r="G15" s="22">
        <f ca="1">+GETPIVOTDATA("TNG4",'ngaigiao (2016)'!$A$3,"MA_HT","RDD","MA_QH","LUC")</f>
        <v>0</v>
      </c>
      <c r="H15" s="22">
        <f ca="1">+GETPIVOTDATA("TNG4",'ngaigiao (2016)'!$A$3,"MA_HT","RDD","MA_QH","LUK")</f>
        <v>0</v>
      </c>
      <c r="I15" s="22">
        <f ca="1">+GETPIVOTDATA("TNG4",'ngaigiao (2016)'!$A$3,"MA_HT","RDD","MA_QH","LUN")</f>
        <v>0</v>
      </c>
      <c r="J15" s="22">
        <f ca="1">+GETPIVOTDATA("TNG4",'ngaigiao (2016)'!$A$3,"MA_HT","RDD","MA_QH","HNK")</f>
        <v>0</v>
      </c>
      <c r="K15" s="22">
        <f ca="1">+GETPIVOTDATA("TNG4",'ngaigiao (2016)'!$A$3,"MA_HT","RDD","MA_QH","CLN")</f>
        <v>0</v>
      </c>
      <c r="L15" s="22">
        <f ca="1">+GETPIVOTDATA("TNG4",'ngaigiao (2016)'!$A$3,"MA_HT","RDD","MA_QH","RSX")</f>
        <v>0</v>
      </c>
      <c r="M15" s="22">
        <f ca="1">+GETPIVOTDATA("TNG4",'ngaigiao (2016)'!$A$3,"MA_HT","RDD","MA_QH","RPH")</f>
        <v>0</v>
      </c>
      <c r="N15" s="43" t="e">
        <f ca="1">$D15-$BF15</f>
        <v>#REF!</v>
      </c>
      <c r="O15" s="22">
        <f ca="1">+GETPIVOTDATA("TNG4",'ngaigiao (2016)'!$A$3,"MA_HT","RDD","MA_QH","NTS")</f>
        <v>0</v>
      </c>
      <c r="P15" s="22">
        <f ca="1">+GETPIVOTDATA("TNG4",'ngaigiao (2016)'!$A$3,"MA_HT","RDD","MA_QH","LMU")</f>
        <v>0</v>
      </c>
      <c r="Q15" s="22">
        <f ca="1">+GETPIVOTDATA("TNG4",'ngaigiao (2016)'!$A$3,"MA_HT","RDD","MA_QH","NKH")</f>
        <v>0</v>
      </c>
      <c r="R15" s="42">
        <f ca="1" t="shared" si="2"/>
        <v>0</v>
      </c>
      <c r="S15" s="22">
        <f ca="1">+GETPIVOTDATA("TNG4",'ngaigiao (2016)'!$A$3,"MA_HT","RDD","MA_QH","CQP")</f>
        <v>0</v>
      </c>
      <c r="T15" s="22">
        <f ca="1">+GETPIVOTDATA("TNG4",'ngaigiao (2016)'!$A$3,"MA_HT","RDD","MA_QH","CAN")</f>
        <v>0</v>
      </c>
      <c r="U15" s="22">
        <f ca="1">+GETPIVOTDATA("TNG4",'ngaigiao (2016)'!$A$3,"MA_HT","RDD","MA_QH","SKK")</f>
        <v>0</v>
      </c>
      <c r="V15" s="22">
        <f ca="1">+GETPIVOTDATA("TNG4",'ngaigiao (2016)'!$A$3,"MA_HT","RDD","MA_QH","SKT")</f>
        <v>0</v>
      </c>
      <c r="W15" s="22">
        <f ca="1">+GETPIVOTDATA("TNG4",'ngaigiao (2016)'!$A$3,"MA_HT","RDD","MA_QH","SKN")</f>
        <v>0</v>
      </c>
      <c r="X15" s="22">
        <f ca="1">+GETPIVOTDATA("TNG4",'ngaigiao (2016)'!$A$3,"MA_HT","RDD","MA_QH","TMD")</f>
        <v>0</v>
      </c>
      <c r="Y15" s="22">
        <f ca="1">+GETPIVOTDATA("TNG4",'ngaigiao (2016)'!$A$3,"MA_HT","RDD","MA_QH","SKC")</f>
        <v>0</v>
      </c>
      <c r="Z15" s="22">
        <f ca="1">+GETPIVOTDATA("TNG4",'ngaigiao (2016)'!$A$3,"MA_HT","RDD","MA_QH","SKS")</f>
        <v>0</v>
      </c>
      <c r="AA15" s="52">
        <f ca="1" t="shared" si="4"/>
        <v>0</v>
      </c>
      <c r="AB15" s="22">
        <f ca="1">+GETPIVOTDATA("TNG4",'ngaigiao (2016)'!$A$3,"MA_HT","RDD","MA_QH","DGT")</f>
        <v>0</v>
      </c>
      <c r="AC15" s="22">
        <f ca="1">+GETPIVOTDATA("TNG4",'ngaigiao (2016)'!$A$3,"MA_HT","RDD","MA_QH","DTL")</f>
        <v>0</v>
      </c>
      <c r="AD15" s="22">
        <f ca="1">+GETPIVOTDATA("TNG4",'ngaigiao (2016)'!$A$3,"MA_HT","RDD","MA_QH","DNL")</f>
        <v>0</v>
      </c>
      <c r="AE15" s="22">
        <f ca="1">+GETPIVOTDATA("TNG4",'ngaigiao (2016)'!$A$3,"MA_HT","RDD","MA_QH","DBV")</f>
        <v>0</v>
      </c>
      <c r="AF15" s="22">
        <f ca="1">+GETPIVOTDATA("TNG4",'ngaigiao (2016)'!$A$3,"MA_HT","RDD","MA_QH","DVH")</f>
        <v>0</v>
      </c>
      <c r="AG15" s="22">
        <f ca="1">+GETPIVOTDATA("TNG4",'ngaigiao (2016)'!$A$3,"MA_HT","RDD","MA_QH","DYT")</f>
        <v>0</v>
      </c>
      <c r="AH15" s="22">
        <f ca="1">+GETPIVOTDATA("TNG4",'ngaigiao (2016)'!$A$3,"MA_HT","RDD","MA_QH","DGD")</f>
        <v>0</v>
      </c>
      <c r="AI15" s="22">
        <f ca="1">+GETPIVOTDATA("TNG4",'ngaigiao (2016)'!$A$3,"MA_HT","RDD","MA_QH","DTT")</f>
        <v>0</v>
      </c>
      <c r="AJ15" s="22">
        <f ca="1">+GETPIVOTDATA("TNG4",'ngaigiao (2016)'!$A$3,"MA_HT","RDD","MA_QH","NCK")</f>
        <v>0</v>
      </c>
      <c r="AK15" s="22">
        <f ca="1">+GETPIVOTDATA("TNG4",'ngaigiao (2016)'!$A$3,"MA_HT","RDD","MA_QH","DXH")</f>
        <v>0</v>
      </c>
      <c r="AL15" s="22">
        <f ca="1">+GETPIVOTDATA("TNG4",'ngaigiao (2016)'!$A$3,"MA_HT","RDD","MA_QH","DCH")</f>
        <v>0</v>
      </c>
      <c r="AM15" s="22">
        <f ca="1">+GETPIVOTDATA("TNG4",'ngaigiao (2016)'!$A$3,"MA_HT","RDD","MA_QH","DKG")</f>
        <v>0</v>
      </c>
      <c r="AN15" s="22">
        <f ca="1">+GETPIVOTDATA("TNG4",'ngaigiao (2016)'!$A$3,"MA_HT","RDD","MA_QH","DDT")</f>
        <v>0</v>
      </c>
      <c r="AO15" s="22">
        <f ca="1">+GETPIVOTDATA("TNG4",'ngaigiao (2016)'!$A$3,"MA_HT","RDD","MA_QH","DDL")</f>
        <v>0</v>
      </c>
      <c r="AP15" s="22">
        <f ca="1">+GETPIVOTDATA("TNG4",'ngaigiao (2016)'!$A$3,"MA_HT","RDD","MA_QH","DRA")</f>
        <v>0</v>
      </c>
      <c r="AQ15" s="22">
        <f ca="1">+GETPIVOTDATA("TNG4",'ngaigiao (2016)'!$A$3,"MA_HT","RDD","MA_QH","ONT")</f>
        <v>0</v>
      </c>
      <c r="AR15" s="22">
        <f ca="1">+GETPIVOTDATA("TNG4",'ngaigiao (2016)'!$A$3,"MA_HT","RDD","MA_QH","ODT")</f>
        <v>0</v>
      </c>
      <c r="AS15" s="22">
        <f ca="1">+GETPIVOTDATA("TNG4",'ngaigiao (2016)'!$A$3,"MA_HT","RDD","MA_QH","TSC")</f>
        <v>0</v>
      </c>
      <c r="AT15" s="22">
        <f ca="1">+GETPIVOTDATA("TNG4",'ngaigiao (2016)'!$A$3,"MA_HT","RDD","MA_QH","DTS")</f>
        <v>0</v>
      </c>
      <c r="AU15" s="22">
        <f ca="1">+GETPIVOTDATA("TNG4",'ngaigiao (2016)'!$A$3,"MA_HT","RDD","MA_QH","DNG")</f>
        <v>0</v>
      </c>
      <c r="AV15" s="22">
        <f ca="1">+GETPIVOTDATA("TNG4",'ngaigiao (2016)'!$A$3,"MA_HT","RDD","MA_QH","TON")</f>
        <v>0</v>
      </c>
      <c r="AW15" s="22">
        <f ca="1">+GETPIVOTDATA("TNG4",'ngaigiao (2016)'!$A$3,"MA_HT","RDD","MA_QH","NTD")</f>
        <v>0</v>
      </c>
      <c r="AX15" s="22">
        <f ca="1">+GETPIVOTDATA("TNG4",'ngaigiao (2016)'!$A$3,"MA_HT","RDD","MA_QH","SKX")</f>
        <v>0</v>
      </c>
      <c r="AY15" s="22">
        <f ca="1">+GETPIVOTDATA("TNG4",'ngaigiao (2016)'!$A$3,"MA_HT","RDD","MA_QH","DSH")</f>
        <v>0</v>
      </c>
      <c r="AZ15" s="22">
        <f ca="1">+GETPIVOTDATA("TNG4",'ngaigiao (2016)'!$A$3,"MA_HT","RDD","MA_QH","DKV")</f>
        <v>0</v>
      </c>
      <c r="BA15" s="89">
        <f ca="1">+GETPIVOTDATA("TNG4",'ngaigiao (2016)'!$A$3,"MA_HT","RDD","MA_QH","TIN")</f>
        <v>0</v>
      </c>
      <c r="BB15" s="50">
        <f ca="1">+GETPIVOTDATA("TNG4",'ngaigiao (2016)'!$A$3,"MA_HT","RDD","MA_QH","SON")</f>
        <v>0</v>
      </c>
      <c r="BC15" s="50">
        <f ca="1">+GETPIVOTDATA("TNG4",'ngaigiao (2016)'!$A$3,"MA_HT","RDD","MA_QH","MNC")</f>
        <v>0</v>
      </c>
      <c r="BD15" s="22">
        <f ca="1">+GETPIVOTDATA("TNG4",'ngaigiao (2016)'!$A$3,"MA_HT","RDD","MA_QH","PNK")</f>
        <v>0</v>
      </c>
      <c r="BE15" s="71">
        <f ca="1">+GETPIVOTDATA("TNG4",'ngaigiao (2016)'!$A$3,"MA_HT","RDD","MA_QH","CSD")</f>
        <v>0</v>
      </c>
      <c r="BF15" s="74">
        <f ca="1" t="shared" si="7"/>
        <v>0</v>
      </c>
      <c r="BG15" s="101">
        <f ca="1">N$59-$BF15</f>
        <v>0</v>
      </c>
      <c r="BH15" s="41" t="e">
        <f ca="1" t="shared" si="8"/>
        <v>#REF!</v>
      </c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</row>
    <row r="16" s="2" customFormat="1" ht="15.75" customHeight="1" spans="1:79">
      <c r="A16" s="39" t="s">
        <v>8353</v>
      </c>
      <c r="B16" s="39" t="s">
        <v>8354</v>
      </c>
      <c r="C16" s="40" t="s">
        <v>318</v>
      </c>
      <c r="D16" s="47" t="e">
        <f>+#REF!</f>
        <v>#REF!</v>
      </c>
      <c r="E16" s="42">
        <f ca="1">SUM(F16,J16:N16,P16:Q16)</f>
        <v>0</v>
      </c>
      <c r="F16" s="52">
        <f ca="1" t="shared" si="9"/>
        <v>0</v>
      </c>
      <c r="G16" s="22">
        <f ca="1">+GETPIVOTDATA("TNG4",'ngaigiao (2016)'!$A$3,"MA_HT","NTS","MA_QH","LUC")</f>
        <v>0</v>
      </c>
      <c r="H16" s="22">
        <f ca="1">+GETPIVOTDATA("TNG4",'ngaigiao (2016)'!$A$3,"MA_HT","NTS","MA_QH","LUK")</f>
        <v>0</v>
      </c>
      <c r="I16" s="22">
        <f ca="1">+GETPIVOTDATA("TNG4",'ngaigiao (2016)'!$A$3,"MA_HT","NTS","MA_QH","LUN")</f>
        <v>0</v>
      </c>
      <c r="J16" s="22">
        <f ca="1">+GETPIVOTDATA("TNG4",'ngaigiao (2016)'!$A$3,"MA_HT","NTS","MA_QH","HNK")</f>
        <v>0</v>
      </c>
      <c r="K16" s="22">
        <f ca="1">+GETPIVOTDATA("TNG4",'ngaigiao (2016)'!$A$3,"MA_HT","NTS","MA_QH","CLN")</f>
        <v>0</v>
      </c>
      <c r="L16" s="22">
        <f ca="1">+GETPIVOTDATA("TNG4",'ngaigiao (2016)'!$A$3,"MA_HT","NTS","MA_QH","RSX")</f>
        <v>0</v>
      </c>
      <c r="M16" s="22">
        <f ca="1">+GETPIVOTDATA("TNG4",'ngaigiao (2016)'!$A$3,"MA_HT","NTS","MA_QH","RPH")</f>
        <v>0</v>
      </c>
      <c r="N16" s="22">
        <f ca="1">+GETPIVOTDATA("TNG4",'ngaigiao (2016)'!$A$3,"MA_HT","NTS","MA_QH","RDD")</f>
        <v>0</v>
      </c>
      <c r="O16" s="43" t="e">
        <f ca="1">$D16-$BF16</f>
        <v>#REF!</v>
      </c>
      <c r="P16" s="22">
        <f ca="1">+GETPIVOTDATA("TNG4",'ngaigiao (2016)'!$A$3,"MA_HT","NTS","MA_QH","LMU")</f>
        <v>0</v>
      </c>
      <c r="Q16" s="22">
        <f ca="1">+GETPIVOTDATA("TNG4",'ngaigiao (2016)'!$A$3,"MA_HT","NTS","MA_QH","NKH")</f>
        <v>0</v>
      </c>
      <c r="R16" s="42">
        <f ca="1" t="shared" si="2"/>
        <v>0</v>
      </c>
      <c r="S16" s="22">
        <f ca="1">+GETPIVOTDATA("TNG4",'ngaigiao (2016)'!$A$3,"MA_HT","NTS","MA_QH","CQP")</f>
        <v>0</v>
      </c>
      <c r="T16" s="22">
        <f ca="1">+GETPIVOTDATA("TNG4",'ngaigiao (2016)'!$A$3,"MA_HT","NTS","MA_QH","CAN")</f>
        <v>0</v>
      </c>
      <c r="U16" s="22">
        <f ca="1">+GETPIVOTDATA("TNG4",'ngaigiao (2016)'!$A$3,"MA_HT","NTS","MA_QH","SKK")</f>
        <v>0</v>
      </c>
      <c r="V16" s="22">
        <f ca="1">+GETPIVOTDATA("TNG4",'ngaigiao (2016)'!$A$3,"MA_HT","NTS","MA_QH","SKT")</f>
        <v>0</v>
      </c>
      <c r="W16" s="22">
        <f ca="1">+GETPIVOTDATA("TNG4",'ngaigiao (2016)'!$A$3,"MA_HT","NTS","MA_QH","SKN")</f>
        <v>0</v>
      </c>
      <c r="X16" s="22">
        <f ca="1">+GETPIVOTDATA("TNG4",'ngaigiao (2016)'!$A$3,"MA_HT","NTS","MA_QH","TMD")</f>
        <v>0</v>
      </c>
      <c r="Y16" s="22">
        <f ca="1">+GETPIVOTDATA("TNG4",'ngaigiao (2016)'!$A$3,"MA_HT","NTS","MA_QH","SKC")</f>
        <v>0</v>
      </c>
      <c r="Z16" s="22">
        <f ca="1">+GETPIVOTDATA("TNG4",'ngaigiao (2016)'!$A$3,"MA_HT","NTS","MA_QH","SKS")</f>
        <v>0</v>
      </c>
      <c r="AA16" s="52">
        <f ca="1" t="shared" si="4"/>
        <v>0</v>
      </c>
      <c r="AB16" s="22">
        <f ca="1">+GETPIVOTDATA("TNG4",'ngaigiao (2016)'!$A$3,"MA_HT","NTS","MA_QH","DGT")</f>
        <v>0</v>
      </c>
      <c r="AC16" s="22">
        <f ca="1">+GETPIVOTDATA("TNG4",'ngaigiao (2016)'!$A$3,"MA_HT","NTS","MA_QH","DTL")</f>
        <v>0</v>
      </c>
      <c r="AD16" s="22">
        <f ca="1">+GETPIVOTDATA("TNG4",'ngaigiao (2016)'!$A$3,"MA_HT","NTS","MA_QH","DNL")</f>
        <v>0</v>
      </c>
      <c r="AE16" s="22">
        <f ca="1">+GETPIVOTDATA("TNG4",'ngaigiao (2016)'!$A$3,"MA_HT","NTS","MA_QH","DBV")</f>
        <v>0</v>
      </c>
      <c r="AF16" s="22">
        <f ca="1">+GETPIVOTDATA("TNG4",'ngaigiao (2016)'!$A$3,"MA_HT","NTS","MA_QH","DVH")</f>
        <v>0</v>
      </c>
      <c r="AG16" s="22">
        <f ca="1">+GETPIVOTDATA("TNG4",'ngaigiao (2016)'!$A$3,"MA_HT","NTS","MA_QH","DYT")</f>
        <v>0</v>
      </c>
      <c r="AH16" s="22">
        <f ca="1">+GETPIVOTDATA("TNG4",'ngaigiao (2016)'!$A$3,"MA_HT","NTS","MA_QH","DGD")</f>
        <v>0</v>
      </c>
      <c r="AI16" s="22">
        <f ca="1">+GETPIVOTDATA("TNG4",'ngaigiao (2016)'!$A$3,"MA_HT","NTS","MA_QH","DTT")</f>
        <v>0</v>
      </c>
      <c r="AJ16" s="22">
        <f ca="1">+GETPIVOTDATA("TNG4",'ngaigiao (2016)'!$A$3,"MA_HT","NTS","MA_QH","NCK")</f>
        <v>0</v>
      </c>
      <c r="AK16" s="22">
        <f ca="1">+GETPIVOTDATA("TNG4",'ngaigiao (2016)'!$A$3,"MA_HT","NTS","MA_QH","DXH")</f>
        <v>0</v>
      </c>
      <c r="AL16" s="22">
        <f ca="1">+GETPIVOTDATA("TNG4",'ngaigiao (2016)'!$A$3,"MA_HT","NTS","MA_QH","DCH")</f>
        <v>0</v>
      </c>
      <c r="AM16" s="22">
        <f ca="1">+GETPIVOTDATA("TNG4",'ngaigiao (2016)'!$A$3,"MA_HT","NTS","MA_QH","DKG")</f>
        <v>0</v>
      </c>
      <c r="AN16" s="22">
        <f ca="1">+GETPIVOTDATA("TNG4",'ngaigiao (2016)'!$A$3,"MA_HT","NTS","MA_QH","DDT")</f>
        <v>0</v>
      </c>
      <c r="AO16" s="22">
        <f ca="1">+GETPIVOTDATA("TNG4",'ngaigiao (2016)'!$A$3,"MA_HT","NTS","MA_QH","DDL")</f>
        <v>0</v>
      </c>
      <c r="AP16" s="22">
        <f ca="1">+GETPIVOTDATA("TNG4",'ngaigiao (2016)'!$A$3,"MA_HT","NTS","MA_QH","DRA")</f>
        <v>0</v>
      </c>
      <c r="AQ16" s="22">
        <f ca="1">+GETPIVOTDATA("TNG4",'ngaigiao (2016)'!$A$3,"MA_HT","NTS","MA_QH","ONT")</f>
        <v>0</v>
      </c>
      <c r="AR16" s="22">
        <f ca="1">+GETPIVOTDATA("TNG4",'ngaigiao (2016)'!$A$3,"MA_HT","NTS","MA_QH","ODT")</f>
        <v>0</v>
      </c>
      <c r="AS16" s="22">
        <f ca="1">+GETPIVOTDATA("TNG4",'ngaigiao (2016)'!$A$3,"MA_HT","NTS","MA_QH","TSC")</f>
        <v>0</v>
      </c>
      <c r="AT16" s="22">
        <f ca="1">+GETPIVOTDATA("TNG4",'ngaigiao (2016)'!$A$3,"MA_HT","NTS","MA_QH","DTS")</f>
        <v>0</v>
      </c>
      <c r="AU16" s="22">
        <f ca="1">+GETPIVOTDATA("TNG4",'ngaigiao (2016)'!$A$3,"MA_HT","NTS","MA_QH","DNG")</f>
        <v>0</v>
      </c>
      <c r="AV16" s="22">
        <f ca="1">+GETPIVOTDATA("TNG4",'ngaigiao (2016)'!$A$3,"MA_HT","NTS","MA_QH","TON")</f>
        <v>0</v>
      </c>
      <c r="AW16" s="22">
        <f ca="1">+GETPIVOTDATA("TNG4",'ngaigiao (2016)'!$A$3,"MA_HT","NTS","MA_QH","NTD")</f>
        <v>0</v>
      </c>
      <c r="AX16" s="22">
        <f ca="1">+GETPIVOTDATA("TNG4",'ngaigiao (2016)'!$A$3,"MA_HT","NTS","MA_QH","SKX")</f>
        <v>0</v>
      </c>
      <c r="AY16" s="22">
        <f ca="1">+GETPIVOTDATA("TNG4",'ngaigiao (2016)'!$A$3,"MA_HT","NTS","MA_QH","DSH")</f>
        <v>0</v>
      </c>
      <c r="AZ16" s="22">
        <f ca="1">+GETPIVOTDATA("TNG4",'ngaigiao (2016)'!$A$3,"MA_HT","NTS","MA_QH","DKV")</f>
        <v>0</v>
      </c>
      <c r="BA16" s="89">
        <f ca="1">+GETPIVOTDATA("TNG4",'ngaigiao (2016)'!$A$3,"MA_HT","NTS","MA_QH","TIN")</f>
        <v>0</v>
      </c>
      <c r="BB16" s="50">
        <f ca="1">+GETPIVOTDATA("TNG4",'ngaigiao (2016)'!$A$3,"MA_HT","NTS","MA_QH","SON")</f>
        <v>0</v>
      </c>
      <c r="BC16" s="50">
        <f ca="1">+GETPIVOTDATA("TNG4",'ngaigiao (2016)'!$A$3,"MA_HT","NTS","MA_QH","MNC")</f>
        <v>0</v>
      </c>
      <c r="BD16" s="22">
        <f ca="1">+GETPIVOTDATA("TNG4",'ngaigiao (2016)'!$A$3,"MA_HT","NTS","MA_QH","PNK")</f>
        <v>0</v>
      </c>
      <c r="BE16" s="71">
        <f ca="1">+GETPIVOTDATA("TNG4",'ngaigiao (2016)'!$A$3,"MA_HT","NTS","MA_QH","CSD")</f>
        <v>0</v>
      </c>
      <c r="BF16" s="74">
        <f ca="1" t="shared" si="7"/>
        <v>0</v>
      </c>
      <c r="BG16" s="101">
        <f ca="1">O$59-$BF16</f>
        <v>0</v>
      </c>
      <c r="BH16" s="41" t="e">
        <f ca="1" t="shared" si="8"/>
        <v>#REF!</v>
      </c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</row>
    <row r="17" s="2" customFormat="1" ht="15.75" customHeight="1" spans="1:79">
      <c r="A17" s="39" t="s">
        <v>8355</v>
      </c>
      <c r="B17" s="39" t="s">
        <v>8356</v>
      </c>
      <c r="C17" s="40" t="s">
        <v>8297</v>
      </c>
      <c r="D17" s="47" t="e">
        <f>+#REF!</f>
        <v>#REF!</v>
      </c>
      <c r="E17" s="42">
        <f ca="1">SUM(F17,J17:O17,Q17:Q17)</f>
        <v>0</v>
      </c>
      <c r="F17" s="52">
        <f ca="1" t="shared" si="9"/>
        <v>0</v>
      </c>
      <c r="G17" s="22">
        <f ca="1">+GETPIVOTDATA("TNG4",'ngaigiao (2016)'!$A$3,"MA_HT","LMU","MA_QH","LUC")</f>
        <v>0</v>
      </c>
      <c r="H17" s="22">
        <f ca="1">+GETPIVOTDATA("TNG4",'ngaigiao (2016)'!$A$3,"MA_HT","LMU","MA_QH","LUK")</f>
        <v>0</v>
      </c>
      <c r="I17" s="22">
        <f ca="1">+GETPIVOTDATA("TNG4",'ngaigiao (2016)'!$A$3,"MA_HT","LMU","MA_QH","LUN")</f>
        <v>0</v>
      </c>
      <c r="J17" s="22">
        <f ca="1">+GETPIVOTDATA("TNG4",'ngaigiao (2016)'!$A$3,"MA_HT","LMU","MA_QH","HNK")</f>
        <v>0</v>
      </c>
      <c r="K17" s="22">
        <f ca="1">+GETPIVOTDATA("TNG4",'ngaigiao (2016)'!$A$3,"MA_HT","LMU","MA_QH","CLN")</f>
        <v>0</v>
      </c>
      <c r="L17" s="22">
        <f ca="1">+GETPIVOTDATA("TNG4",'ngaigiao (2016)'!$A$3,"MA_HT","LMU","MA_QH","RSX")</f>
        <v>0</v>
      </c>
      <c r="M17" s="22">
        <f ca="1">+GETPIVOTDATA("TNG4",'ngaigiao (2016)'!$A$3,"MA_HT","LMU","MA_QH","RPH")</f>
        <v>0</v>
      </c>
      <c r="N17" s="22">
        <f ca="1">+GETPIVOTDATA("TNG4",'ngaigiao (2016)'!$A$3,"MA_HT","LMU","MA_QH","RDD")</f>
        <v>0</v>
      </c>
      <c r="O17" s="22">
        <f ca="1">+GETPIVOTDATA("TNG4",'ngaigiao (2016)'!$A$3,"MA_HT","LMU","MA_QH","NTS")</f>
        <v>0</v>
      </c>
      <c r="P17" s="43" t="e">
        <f ca="1">$D17-$BF17</f>
        <v>#REF!</v>
      </c>
      <c r="Q17" s="22">
        <f ca="1">+GETPIVOTDATA("TNG4",'ngaigiao (2016)'!$A$3,"MA_HT","LMU","MA_QH","NKH")</f>
        <v>0</v>
      </c>
      <c r="R17" s="42">
        <f ca="1" t="shared" si="2"/>
        <v>0</v>
      </c>
      <c r="S17" s="22">
        <f ca="1">+GETPIVOTDATA("TNG4",'ngaigiao (2016)'!$A$3,"MA_HT","LMU","MA_QH","CQP")</f>
        <v>0</v>
      </c>
      <c r="T17" s="22">
        <f ca="1">+GETPIVOTDATA("TNG4",'ngaigiao (2016)'!$A$3,"MA_HT","LMU","MA_QH","CAN")</f>
        <v>0</v>
      </c>
      <c r="U17" s="22">
        <f ca="1">+GETPIVOTDATA("TNG4",'ngaigiao (2016)'!$A$3,"MA_HT","LMU","MA_QH","SKK")</f>
        <v>0</v>
      </c>
      <c r="V17" s="22">
        <f ca="1">+GETPIVOTDATA("TNG4",'ngaigiao (2016)'!$A$3,"MA_HT","LMU","MA_QH","SKT")</f>
        <v>0</v>
      </c>
      <c r="W17" s="22">
        <f ca="1">+GETPIVOTDATA("TNG4",'ngaigiao (2016)'!$A$3,"MA_HT","LMU","MA_QH","SKN")</f>
        <v>0</v>
      </c>
      <c r="X17" s="22">
        <f ca="1">+GETPIVOTDATA("TNG4",'ngaigiao (2016)'!$A$3,"MA_HT","LMU","MA_QH","TMD")</f>
        <v>0</v>
      </c>
      <c r="Y17" s="22">
        <f ca="1">+GETPIVOTDATA("TNG4",'ngaigiao (2016)'!$A$3,"MA_HT","LMU","MA_QH","SKC")</f>
        <v>0</v>
      </c>
      <c r="Z17" s="22">
        <f ca="1">+GETPIVOTDATA("TNG4",'ngaigiao (2016)'!$A$3,"MA_HT","LMU","MA_QH","SKS")</f>
        <v>0</v>
      </c>
      <c r="AA17" s="52">
        <f ca="1" t="shared" si="4"/>
        <v>0</v>
      </c>
      <c r="AB17" s="22">
        <f ca="1">+GETPIVOTDATA("TNG4",'ngaigiao (2016)'!$A$3,"MA_HT","LMU","MA_QH","DGT")</f>
        <v>0</v>
      </c>
      <c r="AC17" s="22">
        <f ca="1">+GETPIVOTDATA("TNG4",'ngaigiao (2016)'!$A$3,"MA_HT","LMU","MA_QH","DTL")</f>
        <v>0</v>
      </c>
      <c r="AD17" s="22">
        <f ca="1">+GETPIVOTDATA("TNG4",'ngaigiao (2016)'!$A$3,"MA_HT","LMU","MA_QH","DNL")</f>
        <v>0</v>
      </c>
      <c r="AE17" s="22">
        <f ca="1">+GETPIVOTDATA("TNG4",'ngaigiao (2016)'!$A$3,"MA_HT","LMU","MA_QH","DBV")</f>
        <v>0</v>
      </c>
      <c r="AF17" s="22">
        <f ca="1">+GETPIVOTDATA("TNG4",'ngaigiao (2016)'!$A$3,"MA_HT","LMU","MA_QH","DVH")</f>
        <v>0</v>
      </c>
      <c r="AG17" s="22">
        <f ca="1">+GETPIVOTDATA("TNG4",'ngaigiao (2016)'!$A$3,"MA_HT","LMU","MA_QH","DYT")</f>
        <v>0</v>
      </c>
      <c r="AH17" s="22">
        <f ca="1">+GETPIVOTDATA("TNG4",'ngaigiao (2016)'!$A$3,"MA_HT","LMU","MA_QH","DGD")</f>
        <v>0</v>
      </c>
      <c r="AI17" s="22">
        <f ca="1">+GETPIVOTDATA("TNG4",'ngaigiao (2016)'!$A$3,"MA_HT","LMU","MA_QH","DTT")</f>
        <v>0</v>
      </c>
      <c r="AJ17" s="22">
        <f ca="1">+GETPIVOTDATA("TNG4",'ngaigiao (2016)'!$A$3,"MA_HT","LMU","MA_QH","NCK")</f>
        <v>0</v>
      </c>
      <c r="AK17" s="22">
        <f ca="1">+GETPIVOTDATA("TNG4",'ngaigiao (2016)'!$A$3,"MA_HT","LMU","MA_QH","DXH")</f>
        <v>0</v>
      </c>
      <c r="AL17" s="22">
        <f ca="1">+GETPIVOTDATA("TNG4",'ngaigiao (2016)'!$A$3,"MA_HT","LMU","MA_QH","DCH")</f>
        <v>0</v>
      </c>
      <c r="AM17" s="22">
        <f ca="1">+GETPIVOTDATA("TNG4",'ngaigiao (2016)'!$A$3,"MA_HT","LMU","MA_QH","DKG")</f>
        <v>0</v>
      </c>
      <c r="AN17" s="22">
        <f ca="1">+GETPIVOTDATA("TNG4",'ngaigiao (2016)'!$A$3,"MA_HT","LMU","MA_QH","DDT")</f>
        <v>0</v>
      </c>
      <c r="AO17" s="22">
        <f ca="1">+GETPIVOTDATA("TNG4",'ngaigiao (2016)'!$A$3,"MA_HT","LMU","MA_QH","DDL")</f>
        <v>0</v>
      </c>
      <c r="AP17" s="22">
        <f ca="1">+GETPIVOTDATA("TNG4",'ngaigiao (2016)'!$A$3,"MA_HT","LMU","MA_QH","DRA")</f>
        <v>0</v>
      </c>
      <c r="AQ17" s="22">
        <f ca="1">+GETPIVOTDATA("TNG4",'ngaigiao (2016)'!$A$3,"MA_HT","LMU","MA_QH","ONT")</f>
        <v>0</v>
      </c>
      <c r="AR17" s="22">
        <f ca="1">+GETPIVOTDATA("TNG4",'ngaigiao (2016)'!$A$3,"MA_HT","LMU","MA_QH","ODT")</f>
        <v>0</v>
      </c>
      <c r="AS17" s="22">
        <f ca="1">+GETPIVOTDATA("TNG4",'ngaigiao (2016)'!$A$3,"MA_HT","LMU","MA_QH","TSC")</f>
        <v>0</v>
      </c>
      <c r="AT17" s="22">
        <f ca="1">+GETPIVOTDATA("TNG4",'ngaigiao (2016)'!$A$3,"MA_HT","LMU","MA_QH","DTS")</f>
        <v>0</v>
      </c>
      <c r="AU17" s="22">
        <f ca="1">+GETPIVOTDATA("TNG4",'ngaigiao (2016)'!$A$3,"MA_HT","LMU","MA_QH","DNG")</f>
        <v>0</v>
      </c>
      <c r="AV17" s="22">
        <f ca="1">+GETPIVOTDATA("TNG4",'ngaigiao (2016)'!$A$3,"MA_HT","LMU","MA_QH","TON")</f>
        <v>0</v>
      </c>
      <c r="AW17" s="22">
        <f ca="1">+GETPIVOTDATA("TNG4",'ngaigiao (2016)'!$A$3,"MA_HT","LMU","MA_QH","NTD")</f>
        <v>0</v>
      </c>
      <c r="AX17" s="22">
        <f ca="1">+GETPIVOTDATA("TNG4",'ngaigiao (2016)'!$A$3,"MA_HT","LMU","MA_QH","SKX")</f>
        <v>0</v>
      </c>
      <c r="AY17" s="22">
        <f ca="1">+GETPIVOTDATA("TNG4",'ngaigiao (2016)'!$A$3,"MA_HT","LMU","MA_QH","DSH")</f>
        <v>0</v>
      </c>
      <c r="AZ17" s="22">
        <f ca="1">+GETPIVOTDATA("TNG4",'ngaigiao (2016)'!$A$3,"MA_HT","LMU","MA_QH","DKV")</f>
        <v>0</v>
      </c>
      <c r="BA17" s="89">
        <f ca="1">+GETPIVOTDATA("TNG4",'ngaigiao (2016)'!$A$3,"MA_HT","LMU","MA_QH","TIN")</f>
        <v>0</v>
      </c>
      <c r="BB17" s="50">
        <f ca="1">+GETPIVOTDATA("TNG4",'ngaigiao (2016)'!$A$3,"MA_HT","LMU","MA_QH","SON")</f>
        <v>0</v>
      </c>
      <c r="BC17" s="50">
        <f ca="1">+GETPIVOTDATA("TNG4",'ngaigiao (2016)'!$A$3,"MA_HT","LMU","MA_QH","MNC")</f>
        <v>0</v>
      </c>
      <c r="BD17" s="22">
        <f ca="1">+GETPIVOTDATA("TNG4",'ngaigiao (2016)'!$A$3,"MA_HT","LMU","MA_QH","PNK")</f>
        <v>0</v>
      </c>
      <c r="BE17" s="71">
        <f ca="1">+GETPIVOTDATA("TNG4",'ngaigiao (2016)'!$A$3,"MA_HT","LMU","MA_QH","CSD")</f>
        <v>0</v>
      </c>
      <c r="BF17" s="74">
        <f ca="1" t="shared" si="7"/>
        <v>0</v>
      </c>
      <c r="BG17" s="101">
        <f ca="1">P$59-$BF17</f>
        <v>0</v>
      </c>
      <c r="BH17" s="41" t="e">
        <f ca="1" t="shared" si="8"/>
        <v>#REF!</v>
      </c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</row>
    <row r="18" s="2" customFormat="1" ht="15.75" customHeight="1" spans="1:79">
      <c r="A18" s="39" t="s">
        <v>8357</v>
      </c>
      <c r="B18" s="39" t="s">
        <v>8358</v>
      </c>
      <c r="C18" s="40" t="s">
        <v>553</v>
      </c>
      <c r="D18" s="47" t="e">
        <f>+#REF!</f>
        <v>#REF!</v>
      </c>
      <c r="E18" s="42">
        <f ca="1">SUM(F18,J18:P18)</f>
        <v>0</v>
      </c>
      <c r="F18" s="52">
        <f ca="1" t="shared" si="9"/>
        <v>0</v>
      </c>
      <c r="G18" s="22">
        <f ca="1">+GETPIVOTDATA("TNG4",'ngaigiao (2016)'!$A$3,"MA_HT","NKH","MA_QH","LUC")</f>
        <v>0</v>
      </c>
      <c r="H18" s="22">
        <f ca="1">+GETPIVOTDATA("TNG4",'ngaigiao (2016)'!$A$3,"MA_HT","NKH","MA_QH","LUK")</f>
        <v>0</v>
      </c>
      <c r="I18" s="22">
        <f ca="1">+GETPIVOTDATA("TNG4",'ngaigiao (2016)'!$A$3,"MA_HT","NKH","MA_QH","LUN")</f>
        <v>0</v>
      </c>
      <c r="J18" s="22">
        <f ca="1">+GETPIVOTDATA("TNG4",'ngaigiao (2016)'!$A$3,"MA_HT","NKH","MA_QH","HNK")</f>
        <v>0</v>
      </c>
      <c r="K18" s="22">
        <f ca="1">+GETPIVOTDATA("TNG4",'ngaigiao (2016)'!$A$3,"MA_HT","NKH","MA_QH","CLN")</f>
        <v>0</v>
      </c>
      <c r="L18" s="22">
        <f ca="1">+GETPIVOTDATA("TNG4",'ngaigiao (2016)'!$A$3,"MA_HT","NKH","MA_QH","RSX")</f>
        <v>0</v>
      </c>
      <c r="M18" s="22">
        <f ca="1">+GETPIVOTDATA("TNG4",'ngaigiao (2016)'!$A$3,"MA_HT","NKH","MA_QH","RPH")</f>
        <v>0</v>
      </c>
      <c r="N18" s="22">
        <f ca="1">+GETPIVOTDATA("TNG4",'ngaigiao (2016)'!$A$3,"MA_HT","NKH","MA_QH","RDD")</f>
        <v>0</v>
      </c>
      <c r="O18" s="22">
        <f ca="1">+GETPIVOTDATA("TNG4",'ngaigiao (2016)'!$A$3,"MA_HT","NKH","MA_QH","NTS")</f>
        <v>0</v>
      </c>
      <c r="P18" s="22">
        <f ca="1">+GETPIVOTDATA("TNG4",'ngaigiao (2016)'!$A$3,"MA_HT","NKH","MA_QH","LMU")</f>
        <v>0</v>
      </c>
      <c r="Q18" s="43" t="e">
        <f ca="1">$D18-$BF18</f>
        <v>#REF!</v>
      </c>
      <c r="R18" s="42">
        <f ca="1" t="shared" si="2"/>
        <v>0</v>
      </c>
      <c r="S18" s="22">
        <f ca="1">+GETPIVOTDATA("TNG4",'ngaigiao (2016)'!$A$3,"MA_HT","NKH","MA_QH","CQP")</f>
        <v>0</v>
      </c>
      <c r="T18" s="22">
        <f ca="1">+GETPIVOTDATA("TNG4",'ngaigiao (2016)'!$A$3,"MA_HT","NKH","MA_QH","CAN")</f>
        <v>0</v>
      </c>
      <c r="U18" s="22">
        <f ca="1">+GETPIVOTDATA("TNG4",'ngaigiao (2016)'!$A$3,"MA_HT","NKH","MA_QH","SKK")</f>
        <v>0</v>
      </c>
      <c r="V18" s="22">
        <f ca="1">+GETPIVOTDATA("TNG4",'ngaigiao (2016)'!$A$3,"MA_HT","NKH","MA_QH","SKT")</f>
        <v>0</v>
      </c>
      <c r="W18" s="22">
        <f ca="1">+GETPIVOTDATA("TNG4",'ngaigiao (2016)'!$A$3,"MA_HT","NKH","MA_QH","SKN")</f>
        <v>0</v>
      </c>
      <c r="X18" s="22">
        <f ca="1">+GETPIVOTDATA("TNG4",'ngaigiao (2016)'!$A$3,"MA_HT","NKH","MA_QH","TMD")</f>
        <v>0</v>
      </c>
      <c r="Y18" s="22">
        <f ca="1">+GETPIVOTDATA("TNG4",'ngaigiao (2016)'!$A$3,"MA_HT","NKH","MA_QH","SKC")</f>
        <v>0</v>
      </c>
      <c r="Z18" s="22">
        <f ca="1">+GETPIVOTDATA("TNG4",'ngaigiao (2016)'!$A$3,"MA_HT","NKH","MA_QH","SKS")</f>
        <v>0</v>
      </c>
      <c r="AA18" s="52">
        <f ca="1" t="shared" si="4"/>
        <v>0</v>
      </c>
      <c r="AB18" s="22">
        <f ca="1">+GETPIVOTDATA("TNG4",'ngaigiao (2016)'!$A$3,"MA_HT","NKH","MA_QH","DGT")</f>
        <v>0</v>
      </c>
      <c r="AC18" s="22">
        <f ca="1">+GETPIVOTDATA("TNG4",'ngaigiao (2016)'!$A$3,"MA_HT","NKH","MA_QH","DTL")</f>
        <v>0</v>
      </c>
      <c r="AD18" s="22">
        <f ca="1">+GETPIVOTDATA("TNG4",'ngaigiao (2016)'!$A$3,"MA_HT","NKH","MA_QH","DNL")</f>
        <v>0</v>
      </c>
      <c r="AE18" s="22">
        <f ca="1">+GETPIVOTDATA("TNG4",'ngaigiao (2016)'!$A$3,"MA_HT","NKH","MA_QH","DBV")</f>
        <v>0</v>
      </c>
      <c r="AF18" s="22">
        <f ca="1">+GETPIVOTDATA("TNG4",'ngaigiao (2016)'!$A$3,"MA_HT","NKH","MA_QH","DVH")</f>
        <v>0</v>
      </c>
      <c r="AG18" s="22">
        <f ca="1">+GETPIVOTDATA("TNG4",'ngaigiao (2016)'!$A$3,"MA_HT","NKH","MA_QH","DYT")</f>
        <v>0</v>
      </c>
      <c r="AH18" s="22">
        <f ca="1">+GETPIVOTDATA("TNG4",'ngaigiao (2016)'!$A$3,"MA_HT","NKH","MA_QH","DGD")</f>
        <v>0</v>
      </c>
      <c r="AI18" s="22">
        <f ca="1">+GETPIVOTDATA("TNG4",'ngaigiao (2016)'!$A$3,"MA_HT","NKH","MA_QH","DTT")</f>
        <v>0</v>
      </c>
      <c r="AJ18" s="22">
        <f ca="1">+GETPIVOTDATA("TNG4",'ngaigiao (2016)'!$A$3,"MA_HT","NKH","MA_QH","NCK")</f>
        <v>0</v>
      </c>
      <c r="AK18" s="22">
        <f ca="1">+GETPIVOTDATA("TNG4",'ngaigiao (2016)'!$A$3,"MA_HT","NKH","MA_QH","DXH")</f>
        <v>0</v>
      </c>
      <c r="AL18" s="22">
        <f ca="1">+GETPIVOTDATA("TNG4",'ngaigiao (2016)'!$A$3,"MA_HT","NKH","MA_QH","DCH")</f>
        <v>0</v>
      </c>
      <c r="AM18" s="22">
        <f ca="1">+GETPIVOTDATA("TNG4",'ngaigiao (2016)'!$A$3,"MA_HT","NKH","MA_QH","DKG")</f>
        <v>0</v>
      </c>
      <c r="AN18" s="22">
        <f ca="1">+GETPIVOTDATA("TNG4",'ngaigiao (2016)'!$A$3,"MA_HT","NKH","MA_QH","DDT")</f>
        <v>0</v>
      </c>
      <c r="AO18" s="22">
        <f ca="1">+GETPIVOTDATA("TNG4",'ngaigiao (2016)'!$A$3,"MA_HT","NKH","MA_QH","DDL")</f>
        <v>0</v>
      </c>
      <c r="AP18" s="22">
        <f ca="1">+GETPIVOTDATA("TNG4",'ngaigiao (2016)'!$A$3,"MA_HT","NKH","MA_QH","DRA")</f>
        <v>0</v>
      </c>
      <c r="AQ18" s="22">
        <f ca="1">+GETPIVOTDATA("TNG4",'ngaigiao (2016)'!$A$3,"MA_HT","NKH","MA_QH","ONT")</f>
        <v>0</v>
      </c>
      <c r="AR18" s="22">
        <f ca="1">+GETPIVOTDATA("TNG4",'ngaigiao (2016)'!$A$3,"MA_HT","NKH","MA_QH","ODT")</f>
        <v>0</v>
      </c>
      <c r="AS18" s="22">
        <f ca="1">+GETPIVOTDATA("TNG4",'ngaigiao (2016)'!$A$3,"MA_HT","NKH","MA_QH","TSC")</f>
        <v>0</v>
      </c>
      <c r="AT18" s="22">
        <f ca="1">+GETPIVOTDATA("TNG4",'ngaigiao (2016)'!$A$3,"MA_HT","NKH","MA_QH","DTS")</f>
        <v>0</v>
      </c>
      <c r="AU18" s="22">
        <f ca="1">+GETPIVOTDATA("TNG4",'ngaigiao (2016)'!$A$3,"MA_HT","NKH","MA_QH","DNG")</f>
        <v>0</v>
      </c>
      <c r="AV18" s="22">
        <f ca="1">+GETPIVOTDATA("TNG4",'ngaigiao (2016)'!$A$3,"MA_HT","NKH","MA_QH","TON")</f>
        <v>0</v>
      </c>
      <c r="AW18" s="22">
        <f ca="1">+GETPIVOTDATA("TNG4",'ngaigiao (2016)'!$A$3,"MA_HT","NKH","MA_QH","NTD")</f>
        <v>0</v>
      </c>
      <c r="AX18" s="22">
        <f ca="1">+GETPIVOTDATA("TNG4",'ngaigiao (2016)'!$A$3,"MA_HT","NKH","MA_QH","SKX")</f>
        <v>0</v>
      </c>
      <c r="AY18" s="22">
        <f ca="1">+GETPIVOTDATA("TNG4",'ngaigiao (2016)'!$A$3,"MA_HT","NKH","MA_QH","DSH")</f>
        <v>0</v>
      </c>
      <c r="AZ18" s="22">
        <f ca="1">+GETPIVOTDATA("TNG4",'ngaigiao (2016)'!$A$3,"MA_HT","NKH","MA_QH","DKV")</f>
        <v>0</v>
      </c>
      <c r="BA18" s="89">
        <f ca="1">+GETPIVOTDATA("TNG4",'ngaigiao (2016)'!$A$3,"MA_HT","NKH","MA_QH","TIN")</f>
        <v>0</v>
      </c>
      <c r="BB18" s="50">
        <f ca="1">+GETPIVOTDATA("TNG4",'ngaigiao (2016)'!$A$3,"MA_HT","NKH","MA_QH","SON")</f>
        <v>0</v>
      </c>
      <c r="BC18" s="50">
        <f ca="1">+GETPIVOTDATA("TNG4",'ngaigiao (2016)'!$A$3,"MA_HT","NKH","MA_QH","MNC")</f>
        <v>0</v>
      </c>
      <c r="BD18" s="22">
        <f ca="1">+GETPIVOTDATA("TNG4",'ngaigiao (2016)'!$A$3,"MA_HT","NKH","MA_QH","PNK")</f>
        <v>0</v>
      </c>
      <c r="BE18" s="71">
        <f ca="1">+GETPIVOTDATA("TNG4",'ngaigiao (2016)'!$A$3,"MA_HT","NKH","MA_QH","CSD")</f>
        <v>0</v>
      </c>
      <c r="BF18" s="74">
        <f ca="1" t="shared" si="7"/>
        <v>0</v>
      </c>
      <c r="BG18" s="101">
        <f ca="1">Q$59-$BF18</f>
        <v>0</v>
      </c>
      <c r="BH18" s="41" t="e">
        <f ca="1" t="shared" si="8"/>
        <v>#REF!</v>
      </c>
      <c r="BI18" s="98"/>
      <c r="BJ18" s="98"/>
      <c r="BK18" s="98"/>
      <c r="BL18" s="98"/>
      <c r="BM18" s="107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</row>
    <row r="19" s="3" customFormat="1" ht="15.75" customHeight="1" spans="1:75">
      <c r="A19" s="35">
        <v>2</v>
      </c>
      <c r="B19" s="36" t="s">
        <v>8359</v>
      </c>
      <c r="C19" s="37" t="s">
        <v>8304</v>
      </c>
      <c r="D19" s="33" t="e">
        <f>+#REF!</f>
        <v>#REF!</v>
      </c>
      <c r="E19" s="33">
        <f ca="1">SUM(E20:E28,E41:E57)</f>
        <v>0</v>
      </c>
      <c r="F19" s="33">
        <f ca="1">SUM(F20:F28,F41:F57)</f>
        <v>0</v>
      </c>
      <c r="G19" s="33">
        <f ca="1">SUM(G20:G28,G41:G57)</f>
        <v>0</v>
      </c>
      <c r="H19" s="33">
        <f ca="1">SUM(H20:H28,H41:H57)</f>
        <v>0</v>
      </c>
      <c r="I19" s="33">
        <f ca="1">SUM(I20:I28,I41:I57)</f>
        <v>0</v>
      </c>
      <c r="J19" s="33">
        <f ca="1" t="shared" ref="J19:Q19" si="10">SUM(J20:J28,J41:J57)</f>
        <v>0</v>
      </c>
      <c r="K19" s="33">
        <f ca="1" t="shared" si="10"/>
        <v>0</v>
      </c>
      <c r="L19" s="33">
        <f ca="1" t="shared" si="10"/>
        <v>0</v>
      </c>
      <c r="M19" s="33">
        <f ca="1" t="shared" si="10"/>
        <v>0</v>
      </c>
      <c r="N19" s="33">
        <f ca="1" t="shared" si="10"/>
        <v>0</v>
      </c>
      <c r="O19" s="33">
        <f ca="1" t="shared" si="10"/>
        <v>0</v>
      </c>
      <c r="P19" s="33">
        <f ca="1" t="shared" si="10"/>
        <v>0</v>
      </c>
      <c r="Q19" s="33">
        <f ca="1" t="shared" si="10"/>
        <v>0</v>
      </c>
      <c r="R19" s="38" t="e">
        <f ca="1">$D19-$BF19</f>
        <v>#REF!</v>
      </c>
      <c r="S19" s="33">
        <f ca="1">SUM(S21:S28,S41:S57)</f>
        <v>0</v>
      </c>
      <c r="T19" s="33">
        <f ca="1">SUM(T20,T22:T28,T41:T57)</f>
        <v>0</v>
      </c>
      <c r="U19" s="33">
        <f ca="1">SUM(U20:U21,U23:U28,U41:U57)</f>
        <v>0</v>
      </c>
      <c r="V19" s="33">
        <f ca="1">SUM(V20:V22,V24:V28,V41:V57)</f>
        <v>0</v>
      </c>
      <c r="W19" s="33">
        <f ca="1">SUM(W20:W23,W25:W28,W41:W57)</f>
        <v>0</v>
      </c>
      <c r="X19" s="33">
        <f ca="1">SUM(X20:X24,X26:X28,X41:X57)</f>
        <v>0</v>
      </c>
      <c r="Y19" s="33">
        <f ca="1">SUM(Y20:Y25,Y27:Y28,Y41:Y57)</f>
        <v>0</v>
      </c>
      <c r="Z19" s="33">
        <f ca="1">SUM(Z20:Z26,Z28,Z41:Z57)</f>
        <v>0</v>
      </c>
      <c r="AA19" s="33">
        <f ca="1">SUM(AA20:AA27,AA41:AA57)</f>
        <v>0</v>
      </c>
      <c r="AB19" s="33">
        <f ca="1" t="shared" ref="AB19:AM19" si="11">SUM(AB20:AB28,AB41:AB57)</f>
        <v>0</v>
      </c>
      <c r="AC19" s="33">
        <f ca="1" t="shared" si="11"/>
        <v>0</v>
      </c>
      <c r="AD19" s="33">
        <f ca="1" t="shared" si="11"/>
        <v>0</v>
      </c>
      <c r="AE19" s="33">
        <f ca="1" t="shared" si="11"/>
        <v>0</v>
      </c>
      <c r="AF19" s="33">
        <f ca="1" t="shared" si="11"/>
        <v>0</v>
      </c>
      <c r="AG19" s="33">
        <f ca="1" t="shared" si="11"/>
        <v>0</v>
      </c>
      <c r="AH19" s="33">
        <f ca="1" t="shared" si="11"/>
        <v>0</v>
      </c>
      <c r="AI19" s="33">
        <f ca="1" t="shared" si="11"/>
        <v>0</v>
      </c>
      <c r="AJ19" s="33">
        <f ca="1" t="shared" si="11"/>
        <v>0</v>
      </c>
      <c r="AK19" s="33">
        <f ca="1" t="shared" si="11"/>
        <v>0</v>
      </c>
      <c r="AL19" s="33">
        <f ca="1" t="shared" si="11"/>
        <v>0</v>
      </c>
      <c r="AM19" s="33">
        <f ca="1" t="shared" si="11"/>
        <v>0</v>
      </c>
      <c r="AN19" s="33">
        <f ca="1">SUM(AN20:AN28,AN42:AN57)</f>
        <v>0</v>
      </c>
      <c r="AO19" s="33">
        <f ca="1">SUM(AO20:AO28,AO41,AO43:AO57)</f>
        <v>0</v>
      </c>
      <c r="AP19" s="33">
        <f ca="1">SUM(AP20:AP28,AP41:AP42,AP44:AP57)</f>
        <v>0</v>
      </c>
      <c r="AQ19" s="33">
        <f ca="1">SUM(AQ20:AQ28,AQ41:AQ43,AQ45:AQ57)</f>
        <v>0</v>
      </c>
      <c r="AR19" s="33">
        <f ca="1">SUM(AR20:AR28,AR41:AR44,AR46:AR57)</f>
        <v>0</v>
      </c>
      <c r="AS19" s="33">
        <f ca="1">SUM(AS20:AS28,AS41:AS45,AS47:AS57)</f>
        <v>0</v>
      </c>
      <c r="AT19" s="33">
        <f ca="1">SUM(AT20:AT28,AT41:AT46,AT48:AT57)</f>
        <v>0</v>
      </c>
      <c r="AU19" s="33">
        <f ca="1">SUM(AU20:AU28,AU41:AU47,AU49:AU57)</f>
        <v>0</v>
      </c>
      <c r="AV19" s="33">
        <f ca="1">SUM(AV20:AV28,AV41:AV48,AV50:AV57)</f>
        <v>0</v>
      </c>
      <c r="AW19" s="33">
        <f ca="1">SUM(AW20:AW28,AW41:AW49,AW51:AW57)</f>
        <v>0</v>
      </c>
      <c r="AX19" s="33">
        <f ca="1">SUM(AX20:AX28,AX41:AX50,AX52:AX57)</f>
        <v>0</v>
      </c>
      <c r="AY19" s="33">
        <f ca="1">SUM(AY20:AY28,AY41:AY51,AY53:AY57)</f>
        <v>0</v>
      </c>
      <c r="AZ19" s="33">
        <f ca="1">SUM(AZ20:AZ28,AZ41:AZ52,AZ54:AZ57)</f>
        <v>0</v>
      </c>
      <c r="BA19" s="33">
        <f ca="1">SUM(BA20:BA28,BA41:BA53,BA55:BA57)</f>
        <v>0</v>
      </c>
      <c r="BB19" s="33">
        <f ca="1">SUM(BB20:BB28,BB41:BB54,BB56:BB57)</f>
        <v>0</v>
      </c>
      <c r="BC19" s="33">
        <f ca="1">SUM(BC20:BC28,BC41:BC55,BC57)</f>
        <v>0</v>
      </c>
      <c r="BD19" s="33">
        <f ca="1">SUM(BD20:BD28,BD41:BD56,BD58)</f>
        <v>0</v>
      </c>
      <c r="BE19" s="33">
        <f ca="1">SUM(BE20:BE28,BE41:BE57)</f>
        <v>0</v>
      </c>
      <c r="BF19" s="74">
        <f ca="1">SUM(BE19,E19)</f>
        <v>0</v>
      </c>
      <c r="BG19" s="101">
        <f ca="1">R$59-$BF19</f>
        <v>0</v>
      </c>
      <c r="BH19" s="33" t="e">
        <f ca="1">SUM(BH20:BH28,BH41:BH57)</f>
        <v>#REF!</v>
      </c>
      <c r="BI19" s="102"/>
      <c r="BJ19" s="36" t="e">
        <f>SUM(BJ22:BJ54,BJ57:BJ57)</f>
        <v>#REF!</v>
      </c>
      <c r="BK19" s="106" t="e">
        <f ca="1">BH19-BJ19</f>
        <v>#REF!</v>
      </c>
      <c r="BL19" s="106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</row>
    <row r="20" s="2" customFormat="1" ht="15.75" customHeight="1" spans="1:79">
      <c r="A20" s="39" t="s">
        <v>69</v>
      </c>
      <c r="B20" s="39" t="s">
        <v>8360</v>
      </c>
      <c r="C20" s="40" t="s">
        <v>31</v>
      </c>
      <c r="D20" s="41" t="e">
        <f>+#REF!</f>
        <v>#REF!</v>
      </c>
      <c r="E20" s="42">
        <f ca="1">SUM(F20,J20:Q20)</f>
        <v>0</v>
      </c>
      <c r="F20" s="52">
        <f ca="1" t="shared" si="9"/>
        <v>0</v>
      </c>
      <c r="G20" s="22">
        <f ca="1">+GETPIVOTDATA("TNG4",'ngaigiao (2016)'!$A$3,"MA_HT","CQP","MA_QH","LUC")</f>
        <v>0</v>
      </c>
      <c r="H20" s="22">
        <f ca="1">+GETPIVOTDATA("TNG4",'ngaigiao (2016)'!$A$3,"MA_HT","CQP","MA_QH","LUK")</f>
        <v>0</v>
      </c>
      <c r="I20" s="22">
        <f ca="1">+GETPIVOTDATA("TNG4",'ngaigiao (2016)'!$A$3,"MA_HT","CQP","MA_QH","LUN")</f>
        <v>0</v>
      </c>
      <c r="J20" s="22">
        <f ca="1">+GETPIVOTDATA("TNG4",'ngaigiao (2016)'!$A$3,"MA_HT","CQP","MA_QH","HNK")</f>
        <v>0</v>
      </c>
      <c r="K20" s="22">
        <f ca="1">+GETPIVOTDATA("TNG4",'ngaigiao (2016)'!$A$3,"MA_HT","CQP","MA_QH","CLN")</f>
        <v>0</v>
      </c>
      <c r="L20" s="22">
        <f ca="1">+GETPIVOTDATA("TNG4",'ngaigiao (2016)'!$A$3,"MA_HT","CQP","MA_QH","RSX")</f>
        <v>0</v>
      </c>
      <c r="M20" s="22">
        <f ca="1">+GETPIVOTDATA("TNG4",'ngaigiao (2016)'!$A$3,"MA_HT","CQP","MA_QH","RPH")</f>
        <v>0</v>
      </c>
      <c r="N20" s="22">
        <f ca="1">+GETPIVOTDATA("TNG4",'ngaigiao (2016)'!$A$3,"MA_HT","CQP","MA_QH","RDD")</f>
        <v>0</v>
      </c>
      <c r="O20" s="22">
        <f ca="1">+GETPIVOTDATA("TNG4",'ngaigiao (2016)'!$A$3,"MA_HT","CQP","MA_QH","NTS")</f>
        <v>0</v>
      </c>
      <c r="P20" s="22">
        <f ca="1">+GETPIVOTDATA("TNG4",'ngaigiao (2016)'!$A$3,"MA_HT","CQP","MA_QH","LMU")</f>
        <v>0</v>
      </c>
      <c r="Q20" s="22">
        <f ca="1">+GETPIVOTDATA("TNG4",'ngaigiao (2016)'!$A$3,"MA_HT","CQP","MA_QH","NKH")</f>
        <v>0</v>
      </c>
      <c r="R20" s="42">
        <f ca="1">SUM(T20:AA20,AN20:BD20)</f>
        <v>0</v>
      </c>
      <c r="S20" s="43" t="e">
        <f ca="1">$D20-$BF20</f>
        <v>#REF!</v>
      </c>
      <c r="T20" s="22">
        <f ca="1">+GETPIVOTDATA("TNG4",'ngaigiao (2016)'!$A$3,"MA_HT","CQP","MA_QH","CAN")</f>
        <v>0</v>
      </c>
      <c r="U20" s="22">
        <f ca="1">+GETPIVOTDATA("TNG4",'ngaigiao (2016)'!$A$3,"MA_HT","CQP","MA_QH","SKK")</f>
        <v>0</v>
      </c>
      <c r="V20" s="22">
        <f ca="1">+GETPIVOTDATA("TNG4",'ngaigiao (2016)'!$A$3,"MA_HT","CQP","MA_QH","SKT")</f>
        <v>0</v>
      </c>
      <c r="W20" s="22">
        <f ca="1">+GETPIVOTDATA("TNG4",'ngaigiao (2016)'!$A$3,"MA_HT","CQP","MA_QH","SKN")</f>
        <v>0</v>
      </c>
      <c r="X20" s="22">
        <f ca="1">+GETPIVOTDATA("TNG4",'ngaigiao (2016)'!$A$3,"MA_HT","CQP","MA_QH","TMD")</f>
        <v>0</v>
      </c>
      <c r="Y20" s="22">
        <f ca="1">+GETPIVOTDATA("TNG4",'ngaigiao (2016)'!$A$3,"MA_HT","CQP","MA_QH","SKC")</f>
        <v>0</v>
      </c>
      <c r="Z20" s="22">
        <f ca="1">+GETPIVOTDATA("TNG4",'ngaigiao (2016)'!$A$3,"MA_HT","CQP","MA_QH","SKS")</f>
        <v>0</v>
      </c>
      <c r="AA20" s="52">
        <f ca="1" t="shared" ref="AA20:AA27" si="12">+SUM(AB20:AM20)</f>
        <v>0</v>
      </c>
      <c r="AB20" s="22">
        <f ca="1">+GETPIVOTDATA("TNG4",'ngaigiao (2016)'!$A$3,"MA_HT","CQP","MA_QH","DGT")</f>
        <v>0</v>
      </c>
      <c r="AC20" s="22">
        <f ca="1">+GETPIVOTDATA("TNG4",'ngaigiao (2016)'!$A$3,"MA_HT","CQP","MA_QH","DTL")</f>
        <v>0</v>
      </c>
      <c r="AD20" s="22">
        <f ca="1">+GETPIVOTDATA("TNG4",'ngaigiao (2016)'!$A$3,"MA_HT","CQP","MA_QH","DNL")</f>
        <v>0</v>
      </c>
      <c r="AE20" s="22">
        <f ca="1">+GETPIVOTDATA("TNG4",'ngaigiao (2016)'!$A$3,"MA_HT","CQP","MA_QH","DBV")</f>
        <v>0</v>
      </c>
      <c r="AF20" s="22">
        <f ca="1">+GETPIVOTDATA("TNG4",'ngaigiao (2016)'!$A$3,"MA_HT","CQP","MA_QH","DVH")</f>
        <v>0</v>
      </c>
      <c r="AG20" s="22">
        <f ca="1">+GETPIVOTDATA("TNG4",'ngaigiao (2016)'!$A$3,"MA_HT","CQP","MA_QH","DYT")</f>
        <v>0</v>
      </c>
      <c r="AH20" s="22">
        <f ca="1">+GETPIVOTDATA("TNG4",'ngaigiao (2016)'!$A$3,"MA_HT","CQP","MA_QH","DGD")</f>
        <v>0</v>
      </c>
      <c r="AI20" s="22">
        <f ca="1">+GETPIVOTDATA("TNG4",'ngaigiao (2016)'!$A$3,"MA_HT","CQP","MA_QH","DTT")</f>
        <v>0</v>
      </c>
      <c r="AJ20" s="22">
        <f ca="1">+GETPIVOTDATA("TNG4",'ngaigiao (2016)'!$A$3,"MA_HT","CQP","MA_QH","NCK")</f>
        <v>0</v>
      </c>
      <c r="AK20" s="22">
        <f ca="1">+GETPIVOTDATA("TNG4",'ngaigiao (2016)'!$A$3,"MA_HT","CQP","MA_QH","DXH")</f>
        <v>0</v>
      </c>
      <c r="AL20" s="22">
        <f ca="1">+GETPIVOTDATA("TNG4",'ngaigiao (2016)'!$A$3,"MA_HT","CQP","MA_QH","DCH")</f>
        <v>0</v>
      </c>
      <c r="AM20" s="22">
        <f ca="1">+GETPIVOTDATA("TNG4",'ngaigiao (2016)'!$A$3,"MA_HT","CQP","MA_QH","DKG")</f>
        <v>0</v>
      </c>
      <c r="AN20" s="22">
        <f ca="1">+GETPIVOTDATA("TNG4",'ngaigiao (2016)'!$A$3,"MA_HT","CQP","MA_QH","DDT")</f>
        <v>0</v>
      </c>
      <c r="AO20" s="22">
        <f ca="1">+GETPIVOTDATA("TNG4",'ngaigiao (2016)'!$A$3,"MA_HT","CQP","MA_QH","DDL")</f>
        <v>0</v>
      </c>
      <c r="AP20" s="22">
        <f ca="1">+GETPIVOTDATA("TNG4",'ngaigiao (2016)'!$A$3,"MA_HT","CQP","MA_QH","DRA")</f>
        <v>0</v>
      </c>
      <c r="AQ20" s="22">
        <f ca="1">+GETPIVOTDATA("TNG4",'ngaigiao (2016)'!$A$3,"MA_HT","CQP","MA_QH","ONT")</f>
        <v>0</v>
      </c>
      <c r="AR20" s="22">
        <f ca="1">+GETPIVOTDATA("TNG4",'ngaigiao (2016)'!$A$3,"MA_HT","CQP","MA_QH","ODT")</f>
        <v>0</v>
      </c>
      <c r="AS20" s="22">
        <f ca="1">+GETPIVOTDATA("TNG4",'ngaigiao (2016)'!$A$3,"MA_HT","CQP","MA_QH","TSC")</f>
        <v>0</v>
      </c>
      <c r="AT20" s="22">
        <f ca="1">+GETPIVOTDATA("TNG4",'ngaigiao (2016)'!$A$3,"MA_HT","CQP","MA_QH","DTS")</f>
        <v>0</v>
      </c>
      <c r="AU20" s="22">
        <f ca="1">+GETPIVOTDATA("TNG4",'ngaigiao (2016)'!$A$3,"MA_HT","CQP","MA_QH","DNG")</f>
        <v>0</v>
      </c>
      <c r="AV20" s="22">
        <f ca="1">+GETPIVOTDATA("TNG4",'ngaigiao (2016)'!$A$3,"MA_HT","CQP","MA_QH","TON")</f>
        <v>0</v>
      </c>
      <c r="AW20" s="22">
        <f ca="1">+GETPIVOTDATA("TNG4",'ngaigiao (2016)'!$A$3,"MA_HT","CQP","MA_QH","NTD")</f>
        <v>0</v>
      </c>
      <c r="AX20" s="22">
        <f ca="1">+GETPIVOTDATA("TNG4",'ngaigiao (2016)'!$A$3,"MA_HT","CQP","MA_QH","SKX")</f>
        <v>0</v>
      </c>
      <c r="AY20" s="22">
        <f ca="1">+GETPIVOTDATA("TNG4",'ngaigiao (2016)'!$A$3,"MA_HT","CQP","MA_QH","DSH")</f>
        <v>0</v>
      </c>
      <c r="AZ20" s="22">
        <f ca="1">+GETPIVOTDATA("TNG4",'ngaigiao (2016)'!$A$3,"MA_HT","CQP","MA_QH","DKV")</f>
        <v>0</v>
      </c>
      <c r="BA20" s="89">
        <f ca="1">+GETPIVOTDATA("TNG4",'ngaigiao (2016)'!$A$3,"MA_HT","CQP","MA_QH","TIN")</f>
        <v>0</v>
      </c>
      <c r="BB20" s="50">
        <f ca="1">+GETPIVOTDATA("TNG4",'ngaigiao (2016)'!$A$3,"MA_HT","CQP","MA_QH","SON")</f>
        <v>0</v>
      </c>
      <c r="BC20" s="50">
        <f ca="1">+GETPIVOTDATA("TNG4",'ngaigiao (2016)'!$A$3,"MA_HT","CQP","MA_QH","MNC")</f>
        <v>0</v>
      </c>
      <c r="BD20" s="22">
        <f ca="1">+GETPIVOTDATA("TNG4",'ngaigiao (2016)'!$A$3,"MA_HT","CQP","MA_QH","PNK")</f>
        <v>0</v>
      </c>
      <c r="BE20" s="71">
        <f ca="1">+GETPIVOTDATA("TNG4",'ngaigiao (2016)'!$A$3,"MA_HT","CQP","MA_QH","CSD")</f>
        <v>0</v>
      </c>
      <c r="BF20" s="74">
        <f ca="1" t="shared" ref="BF20:BF57" si="13">BE20+R20+E20</f>
        <v>0</v>
      </c>
      <c r="BG20" s="101">
        <f ca="1">S$59-$BF20</f>
        <v>0</v>
      </c>
      <c r="BH20" s="41" t="e">
        <f ca="1" t="shared" ref="BH20:BH58" si="14">BG20+D20</f>
        <v>#REF!</v>
      </c>
      <c r="BI20" s="98"/>
      <c r="BJ20" s="98" t="e">
        <f>#REF!</f>
        <v>#REF!</v>
      </c>
      <c r="BK20" s="107" t="e">
        <f ca="1">BH20-BJ20</f>
        <v>#REF!</v>
      </c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</row>
    <row r="21" s="2" customFormat="1" ht="15.75" customHeight="1" spans="1:79">
      <c r="A21" s="39" t="s">
        <v>232</v>
      </c>
      <c r="B21" s="39" t="s">
        <v>8361</v>
      </c>
      <c r="C21" s="40" t="s">
        <v>8283</v>
      </c>
      <c r="D21" s="41" t="e">
        <f>+#REF!</f>
        <v>#REF!</v>
      </c>
      <c r="E21" s="42">
        <f ca="1" t="shared" ref="E21:E58" si="15">SUM(F21,J21:Q21)</f>
        <v>0</v>
      </c>
      <c r="F21" s="52">
        <f ca="1" t="shared" si="9"/>
        <v>0</v>
      </c>
      <c r="G21" s="22">
        <f ca="1">+GETPIVOTDATA("TNG4",'ngaigiao (2016)'!$A$3,"MA_HT","CAN","MA_QH","LUC")</f>
        <v>0</v>
      </c>
      <c r="H21" s="22">
        <f ca="1">+GETPIVOTDATA("TNG4",'ngaigiao (2016)'!$A$3,"MA_HT","CAN","MA_QH","LUK")</f>
        <v>0</v>
      </c>
      <c r="I21" s="22">
        <f ca="1">+GETPIVOTDATA("TNG4",'ngaigiao (2016)'!$A$3,"MA_HT","CAN","MA_QH","LUN")</f>
        <v>0</v>
      </c>
      <c r="J21" s="22">
        <f ca="1">+GETPIVOTDATA("TNG4",'ngaigiao (2016)'!$A$3,"MA_HT","CAN","MA_QH","HNK")</f>
        <v>0</v>
      </c>
      <c r="K21" s="22">
        <f ca="1">+GETPIVOTDATA("TNG4",'ngaigiao (2016)'!$A$3,"MA_HT","CAN","MA_QH","CLN")</f>
        <v>0</v>
      </c>
      <c r="L21" s="22">
        <f ca="1">+GETPIVOTDATA("TNG4",'ngaigiao (2016)'!$A$3,"MA_HT","CAN","MA_QH","RSX")</f>
        <v>0</v>
      </c>
      <c r="M21" s="22">
        <f ca="1">+GETPIVOTDATA("TNG4",'ngaigiao (2016)'!$A$3,"MA_HT","CAN","MA_QH","RPH")</f>
        <v>0</v>
      </c>
      <c r="N21" s="22">
        <f ca="1">+GETPIVOTDATA("TNG4",'ngaigiao (2016)'!$A$3,"MA_HT","CAN","MA_QH","RDD")</f>
        <v>0</v>
      </c>
      <c r="O21" s="22">
        <f ca="1">+GETPIVOTDATA("TNG4",'ngaigiao (2016)'!$A$3,"MA_HT","CAN","MA_QH","NTS")</f>
        <v>0</v>
      </c>
      <c r="P21" s="22">
        <f ca="1">+GETPIVOTDATA("TNG4",'ngaigiao (2016)'!$A$3,"MA_HT","CAN","MA_QH","LMU")</f>
        <v>0</v>
      </c>
      <c r="Q21" s="22">
        <f ca="1">+GETPIVOTDATA("TNG4",'ngaigiao (2016)'!$A$3,"MA_HT","CAN","MA_QH","NKH")</f>
        <v>0</v>
      </c>
      <c r="R21" s="42">
        <f ca="1">SUM(S21,U21:AA21,AN21:BD21)</f>
        <v>0</v>
      </c>
      <c r="S21" s="22">
        <f ca="1">+GETPIVOTDATA("TNG4",'ngaigiao (2016)'!$A$3,"MA_HT","CAN","MA_QH","CQP")</f>
        <v>0</v>
      </c>
      <c r="T21" s="43" t="e">
        <f ca="1">$D21-$BF21</f>
        <v>#REF!</v>
      </c>
      <c r="U21" s="22">
        <f ca="1">+GETPIVOTDATA("TNG4",'ngaigiao (2016)'!$A$3,"MA_HT","CAN","MA_QH","SKK")</f>
        <v>0</v>
      </c>
      <c r="V21" s="22">
        <f ca="1">+GETPIVOTDATA("TNG4",'ngaigiao (2016)'!$A$3,"MA_HT","CAN","MA_QH","SKT")</f>
        <v>0</v>
      </c>
      <c r="W21" s="22">
        <f ca="1">+GETPIVOTDATA("TNG4",'ngaigiao (2016)'!$A$3,"MA_HT","CAN","MA_QH","SKN")</f>
        <v>0</v>
      </c>
      <c r="X21" s="22">
        <f ca="1">+GETPIVOTDATA("TNG4",'ngaigiao (2016)'!$A$3,"MA_HT","CAN","MA_QH","TMD")</f>
        <v>0</v>
      </c>
      <c r="Y21" s="22">
        <f ca="1">+GETPIVOTDATA("TNG4",'ngaigiao (2016)'!$A$3,"MA_HT","CAN","MA_QH","SKC")</f>
        <v>0</v>
      </c>
      <c r="Z21" s="22">
        <f ca="1">+GETPIVOTDATA("TNG4",'ngaigiao (2016)'!$A$3,"MA_HT","CAN","MA_QH","SKS")</f>
        <v>0</v>
      </c>
      <c r="AA21" s="52">
        <f ca="1" t="shared" si="12"/>
        <v>0</v>
      </c>
      <c r="AB21" s="22">
        <f ca="1">+GETPIVOTDATA("TNG4",'ngaigiao (2016)'!$A$3,"MA_HT","CAN","MA_QH","DGT")</f>
        <v>0</v>
      </c>
      <c r="AC21" s="22">
        <f ca="1">+GETPIVOTDATA("TNG4",'ngaigiao (2016)'!$A$3,"MA_HT","CAN","MA_QH","DTL")</f>
        <v>0</v>
      </c>
      <c r="AD21" s="22">
        <f ca="1">+GETPIVOTDATA("TNG4",'ngaigiao (2016)'!$A$3,"MA_HT","CAN","MA_QH","DNL")</f>
        <v>0</v>
      </c>
      <c r="AE21" s="22">
        <f ca="1">+GETPIVOTDATA("TNG4",'ngaigiao (2016)'!$A$3,"MA_HT","CAN","MA_QH","DBV")</f>
        <v>0</v>
      </c>
      <c r="AF21" s="22">
        <f ca="1">+GETPIVOTDATA("TNG4",'ngaigiao (2016)'!$A$3,"MA_HT","CAN","MA_QH","DVH")</f>
        <v>0</v>
      </c>
      <c r="AG21" s="22">
        <f ca="1">+GETPIVOTDATA("TNG4",'ngaigiao (2016)'!$A$3,"MA_HT","CAN","MA_QH","DYT")</f>
        <v>0</v>
      </c>
      <c r="AH21" s="22">
        <f ca="1">+GETPIVOTDATA("TNG4",'ngaigiao (2016)'!$A$3,"MA_HT","CAN","MA_QH","DGD")</f>
        <v>0</v>
      </c>
      <c r="AI21" s="22">
        <f ca="1">+GETPIVOTDATA("TNG4",'ngaigiao (2016)'!$A$3,"MA_HT","CAN","MA_QH","DTT")</f>
        <v>0</v>
      </c>
      <c r="AJ21" s="22">
        <f ca="1">+GETPIVOTDATA("TNG4",'ngaigiao (2016)'!$A$3,"MA_HT","CAN","MA_QH","NCK")</f>
        <v>0</v>
      </c>
      <c r="AK21" s="22">
        <f ca="1">+GETPIVOTDATA("TNG4",'ngaigiao (2016)'!$A$3,"MA_HT","CAN","MA_QH","DXH")</f>
        <v>0</v>
      </c>
      <c r="AL21" s="22">
        <f ca="1">+GETPIVOTDATA("TNG4",'ngaigiao (2016)'!$A$3,"MA_HT","CAN","MA_QH","DCH")</f>
        <v>0</v>
      </c>
      <c r="AM21" s="22">
        <f ca="1">+GETPIVOTDATA("TNG4",'ngaigiao (2016)'!$A$3,"MA_HT","CAN","MA_QH","DKG")</f>
        <v>0</v>
      </c>
      <c r="AN21" s="22">
        <f ca="1">+GETPIVOTDATA("TNG4",'ngaigiao (2016)'!$A$3,"MA_HT","CAN","MA_QH","DDT")</f>
        <v>0</v>
      </c>
      <c r="AO21" s="22">
        <f ca="1">+GETPIVOTDATA("TNG4",'ngaigiao (2016)'!$A$3,"MA_HT","CAN","MA_QH","DDL")</f>
        <v>0</v>
      </c>
      <c r="AP21" s="22">
        <f ca="1">+GETPIVOTDATA("TNG4",'ngaigiao (2016)'!$A$3,"MA_HT","CAN","MA_QH","DRA")</f>
        <v>0</v>
      </c>
      <c r="AQ21" s="22">
        <f ca="1">+GETPIVOTDATA("TNG4",'ngaigiao (2016)'!$A$3,"MA_HT","CAN","MA_QH","ONT")</f>
        <v>0</v>
      </c>
      <c r="AR21" s="22">
        <f ca="1">+GETPIVOTDATA("TNG4",'ngaigiao (2016)'!$A$3,"MA_HT","CAN","MA_QH","ODT")</f>
        <v>0</v>
      </c>
      <c r="AS21" s="22">
        <f ca="1">+GETPIVOTDATA("TNG4",'ngaigiao (2016)'!$A$3,"MA_HT","CAN","MA_QH","TSC")</f>
        <v>0</v>
      </c>
      <c r="AT21" s="22">
        <f ca="1">+GETPIVOTDATA("TNG4",'ngaigiao (2016)'!$A$3,"MA_HT","CAN","MA_QH","DTS")</f>
        <v>0</v>
      </c>
      <c r="AU21" s="22">
        <f ca="1">+GETPIVOTDATA("TNG4",'ngaigiao (2016)'!$A$3,"MA_HT","CAN","MA_QH","DNG")</f>
        <v>0</v>
      </c>
      <c r="AV21" s="22">
        <f ca="1">+GETPIVOTDATA("TNG4",'ngaigiao (2016)'!$A$3,"MA_HT","CAN","MA_QH","TON")</f>
        <v>0</v>
      </c>
      <c r="AW21" s="22">
        <f ca="1">+GETPIVOTDATA("TNG4",'ngaigiao (2016)'!$A$3,"MA_HT","CAN","MA_QH","NTD")</f>
        <v>0</v>
      </c>
      <c r="AX21" s="22">
        <f ca="1">+GETPIVOTDATA("TNG4",'ngaigiao (2016)'!$A$3,"MA_HT","CAN","MA_QH","SKX")</f>
        <v>0</v>
      </c>
      <c r="AY21" s="22">
        <f ca="1">+GETPIVOTDATA("TNG4",'ngaigiao (2016)'!$A$3,"MA_HT","CAN","MA_QH","DSH")</f>
        <v>0</v>
      </c>
      <c r="AZ21" s="22">
        <f ca="1">+GETPIVOTDATA("TNG4",'ngaigiao (2016)'!$A$3,"MA_HT","CAN","MA_QH","DKV")</f>
        <v>0</v>
      </c>
      <c r="BA21" s="89">
        <f ca="1">+GETPIVOTDATA("TNG4",'ngaigiao (2016)'!$A$3,"MA_HT","CAN","MA_QH","TIN")</f>
        <v>0</v>
      </c>
      <c r="BB21" s="50">
        <f ca="1">+GETPIVOTDATA("TNG4",'ngaigiao (2016)'!$A$3,"MA_HT","CAN","MA_QH","SON")</f>
        <v>0</v>
      </c>
      <c r="BC21" s="50">
        <f ca="1">+GETPIVOTDATA("TNG4",'ngaigiao (2016)'!$A$3,"MA_HT","CAN","MA_QH","MNC")</f>
        <v>0</v>
      </c>
      <c r="BD21" s="22">
        <f ca="1">+GETPIVOTDATA("TNG4",'ngaigiao (2016)'!$A$3,"MA_HT","CAN","MA_QH","PNK")</f>
        <v>0</v>
      </c>
      <c r="BE21" s="71">
        <f ca="1">+GETPIVOTDATA("TNG4",'ngaigiao (2016)'!$A$3,"MA_HT","CAN","MA_QH","CSD")</f>
        <v>0</v>
      </c>
      <c r="BF21" s="74">
        <f ca="1" t="shared" si="13"/>
        <v>0</v>
      </c>
      <c r="BG21" s="101">
        <f ca="1">T$59-$BF21</f>
        <v>0</v>
      </c>
      <c r="BH21" s="41" t="e">
        <f ca="1" t="shared" si="14"/>
        <v>#REF!</v>
      </c>
      <c r="BI21" s="98"/>
      <c r="BJ21" s="98" t="e">
        <f>#REF!</f>
        <v>#REF!</v>
      </c>
      <c r="BK21" s="107" t="e">
        <f ca="1">BH21-BJ21</f>
        <v>#REF!</v>
      </c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</row>
    <row r="22" s="2" customFormat="1" ht="15.75" customHeight="1" spans="1:79">
      <c r="A22" s="39" t="s">
        <v>8362</v>
      </c>
      <c r="B22" s="53" t="s">
        <v>8363</v>
      </c>
      <c r="C22" s="40" t="s">
        <v>47</v>
      </c>
      <c r="D22" s="41" t="e">
        <f>+#REF!</f>
        <v>#REF!</v>
      </c>
      <c r="E22" s="42">
        <f ca="1" t="shared" si="15"/>
        <v>0</v>
      </c>
      <c r="F22" s="52">
        <f ca="1" t="shared" si="9"/>
        <v>0</v>
      </c>
      <c r="G22" s="22">
        <f ca="1">+GETPIVOTDATA("TNG4",'ngaigiao (2016)'!$A$3,"MA_HT","SKK","MA_QH","LUC")</f>
        <v>0</v>
      </c>
      <c r="H22" s="22">
        <f ca="1">+GETPIVOTDATA("TNG4",'ngaigiao (2016)'!$A$3,"MA_HT","SKK","MA_QH","LUK")</f>
        <v>0</v>
      </c>
      <c r="I22" s="22">
        <f ca="1">+GETPIVOTDATA("TNG4",'ngaigiao (2016)'!$A$3,"MA_HT","SKK","MA_QH","LUN")</f>
        <v>0</v>
      </c>
      <c r="J22" s="22">
        <f ca="1">+GETPIVOTDATA("TNG4",'ngaigiao (2016)'!$A$3,"MA_HT","SKK","MA_QH","HNK")</f>
        <v>0</v>
      </c>
      <c r="K22" s="22">
        <f ca="1">+GETPIVOTDATA("TNG4",'ngaigiao (2016)'!$A$3,"MA_HT","SKK","MA_QH","CLN")</f>
        <v>0</v>
      </c>
      <c r="L22" s="22">
        <f ca="1">+GETPIVOTDATA("TNG4",'ngaigiao (2016)'!$A$3,"MA_HT","SKK","MA_QH","RSX")</f>
        <v>0</v>
      </c>
      <c r="M22" s="22">
        <f ca="1">+GETPIVOTDATA("TNG4",'ngaigiao (2016)'!$A$3,"MA_HT","SKK","MA_QH","RPH")</f>
        <v>0</v>
      </c>
      <c r="N22" s="22">
        <f ca="1">+GETPIVOTDATA("TNG4",'ngaigiao (2016)'!$A$3,"MA_HT","SKK","MA_QH","RDD")</f>
        <v>0</v>
      </c>
      <c r="O22" s="22">
        <f ca="1">+GETPIVOTDATA("TNG4",'ngaigiao (2016)'!$A$3,"MA_HT","SKK","MA_QH","NTS")</f>
        <v>0</v>
      </c>
      <c r="P22" s="22">
        <f ca="1">+GETPIVOTDATA("TNG4",'ngaigiao (2016)'!$A$3,"MA_HT","SKK","MA_QH","LMU")</f>
        <v>0</v>
      </c>
      <c r="Q22" s="22">
        <f ca="1">+GETPIVOTDATA("TNG4",'ngaigiao (2016)'!$A$3,"MA_HT","SKK","MA_QH","NKH")</f>
        <v>0</v>
      </c>
      <c r="R22" s="42">
        <f ca="1">SUM(S22:T22,V22:AA22,AN22:BD22)</f>
        <v>0</v>
      </c>
      <c r="S22" s="22">
        <f ca="1">+GETPIVOTDATA("TNG4",'ngaigiao (2016)'!$A$3,"MA_HT","SKK","MA_QH","CQP")</f>
        <v>0</v>
      </c>
      <c r="T22" s="22">
        <f ca="1">+GETPIVOTDATA("TNG4",'ngaigiao (2016)'!$A$3,"MA_HT","SKK","MA_QH","CAN")</f>
        <v>0</v>
      </c>
      <c r="U22" s="43" t="e">
        <f ca="1">$D22-$BF22</f>
        <v>#REF!</v>
      </c>
      <c r="V22" s="22">
        <f ca="1">+GETPIVOTDATA("TNG4",'ngaigiao (2016)'!$A$3,"MA_HT","SKK","MA_QH","SKT")</f>
        <v>0</v>
      </c>
      <c r="W22" s="22">
        <f ca="1">+GETPIVOTDATA("TNG4",'ngaigiao (2016)'!$A$3,"MA_HT","SKK","MA_QH","SKN")</f>
        <v>0</v>
      </c>
      <c r="X22" s="22">
        <f ca="1">+GETPIVOTDATA("TNG4",'ngaigiao (2016)'!$A$3,"MA_HT","SKK","MA_QH","TMD")</f>
        <v>0</v>
      </c>
      <c r="Y22" s="22">
        <f ca="1">+GETPIVOTDATA("TNG4",'ngaigiao (2016)'!$A$3,"MA_HT","SKK","MA_QH","SKC")</f>
        <v>0</v>
      </c>
      <c r="Z22" s="22">
        <f ca="1">+GETPIVOTDATA("TNG4",'ngaigiao (2016)'!$A$3,"MA_HT","SKK","MA_QH","SKS")</f>
        <v>0</v>
      </c>
      <c r="AA22" s="52">
        <f ca="1" t="shared" si="12"/>
        <v>0</v>
      </c>
      <c r="AB22" s="22">
        <f ca="1">+GETPIVOTDATA("TNG4",'ngaigiao (2016)'!$A$3,"MA_HT","SKK","MA_QH","DGT")</f>
        <v>0</v>
      </c>
      <c r="AC22" s="22">
        <f ca="1">+GETPIVOTDATA("TNG4",'ngaigiao (2016)'!$A$3,"MA_HT","SKK","MA_QH","DTL")</f>
        <v>0</v>
      </c>
      <c r="AD22" s="22">
        <f ca="1">+GETPIVOTDATA("TNG4",'ngaigiao (2016)'!$A$3,"MA_HT","SKK","MA_QH","DNL")</f>
        <v>0</v>
      </c>
      <c r="AE22" s="22">
        <f ca="1">+GETPIVOTDATA("TNG4",'ngaigiao (2016)'!$A$3,"MA_HT","SKK","MA_QH","DBV")</f>
        <v>0</v>
      </c>
      <c r="AF22" s="22">
        <f ca="1">+GETPIVOTDATA("TNG4",'ngaigiao (2016)'!$A$3,"MA_HT","SKK","MA_QH","DVH")</f>
        <v>0</v>
      </c>
      <c r="AG22" s="22">
        <f ca="1">+GETPIVOTDATA("TNG4",'ngaigiao (2016)'!$A$3,"MA_HT","SKK","MA_QH","DYT")</f>
        <v>0</v>
      </c>
      <c r="AH22" s="22">
        <f ca="1">+GETPIVOTDATA("TNG4",'ngaigiao (2016)'!$A$3,"MA_HT","SKK","MA_QH","DGD")</f>
        <v>0</v>
      </c>
      <c r="AI22" s="22">
        <f ca="1">+GETPIVOTDATA("TNG4",'ngaigiao (2016)'!$A$3,"MA_HT","SKK","MA_QH","DTT")</f>
        <v>0</v>
      </c>
      <c r="AJ22" s="22">
        <f ca="1">+GETPIVOTDATA("TNG4",'ngaigiao (2016)'!$A$3,"MA_HT","SKK","MA_QH","NCK")</f>
        <v>0</v>
      </c>
      <c r="AK22" s="22">
        <f ca="1">+GETPIVOTDATA("TNG4",'ngaigiao (2016)'!$A$3,"MA_HT","SKK","MA_QH","DXH")</f>
        <v>0</v>
      </c>
      <c r="AL22" s="22">
        <f ca="1">+GETPIVOTDATA("TNG4",'ngaigiao (2016)'!$A$3,"MA_HT","SKK","MA_QH","DCH")</f>
        <v>0</v>
      </c>
      <c r="AM22" s="22">
        <f ca="1">+GETPIVOTDATA("TNG4",'ngaigiao (2016)'!$A$3,"MA_HT","SKK","MA_QH","DKG")</f>
        <v>0</v>
      </c>
      <c r="AN22" s="22">
        <f ca="1">+GETPIVOTDATA("TNG4",'ngaigiao (2016)'!$A$3,"MA_HT","SKK","MA_QH","DDT")</f>
        <v>0</v>
      </c>
      <c r="AO22" s="22">
        <f ca="1">+GETPIVOTDATA("TNG4",'ngaigiao (2016)'!$A$3,"MA_HT","SKK","MA_QH","DDL")</f>
        <v>0</v>
      </c>
      <c r="AP22" s="22">
        <f ca="1">+GETPIVOTDATA("TNG4",'ngaigiao (2016)'!$A$3,"MA_HT","SKK","MA_QH","DRA")</f>
        <v>0</v>
      </c>
      <c r="AQ22" s="22">
        <f ca="1">+GETPIVOTDATA("TNG4",'ngaigiao (2016)'!$A$3,"MA_HT","SKK","MA_QH","ONT")</f>
        <v>0</v>
      </c>
      <c r="AR22" s="22">
        <f ca="1">+GETPIVOTDATA("TNG4",'ngaigiao (2016)'!$A$3,"MA_HT","SKK","MA_QH","ODT")</f>
        <v>0</v>
      </c>
      <c r="AS22" s="22">
        <f ca="1">+GETPIVOTDATA("TNG4",'ngaigiao (2016)'!$A$3,"MA_HT","SKK","MA_QH","TSC")</f>
        <v>0</v>
      </c>
      <c r="AT22" s="22">
        <f ca="1">+GETPIVOTDATA("TNG4",'ngaigiao (2016)'!$A$3,"MA_HT","SKK","MA_QH","DTS")</f>
        <v>0</v>
      </c>
      <c r="AU22" s="22">
        <f ca="1">+GETPIVOTDATA("TNG4",'ngaigiao (2016)'!$A$3,"MA_HT","SKK","MA_QH","DNG")</f>
        <v>0</v>
      </c>
      <c r="AV22" s="22">
        <f ca="1">+GETPIVOTDATA("TNG4",'ngaigiao (2016)'!$A$3,"MA_HT","SKK","MA_QH","TON")</f>
        <v>0</v>
      </c>
      <c r="AW22" s="22">
        <f ca="1">+GETPIVOTDATA("TNG4",'ngaigiao (2016)'!$A$3,"MA_HT","SKK","MA_QH","NTD")</f>
        <v>0</v>
      </c>
      <c r="AX22" s="22">
        <f ca="1">+GETPIVOTDATA("TNG4",'ngaigiao (2016)'!$A$3,"MA_HT","SKK","MA_QH","SKX")</f>
        <v>0</v>
      </c>
      <c r="AY22" s="22">
        <f ca="1">+GETPIVOTDATA("TNG4",'ngaigiao (2016)'!$A$3,"MA_HT","SKK","MA_QH","DSH")</f>
        <v>0</v>
      </c>
      <c r="AZ22" s="22">
        <f ca="1">+GETPIVOTDATA("TNG4",'ngaigiao (2016)'!$A$3,"MA_HT","SKK","MA_QH","DKV")</f>
        <v>0</v>
      </c>
      <c r="BA22" s="89">
        <f ca="1">+GETPIVOTDATA("TNG4",'ngaigiao (2016)'!$A$3,"MA_HT","SKK","MA_QH","TIN")</f>
        <v>0</v>
      </c>
      <c r="BB22" s="50">
        <f ca="1">+GETPIVOTDATA("TNG4",'ngaigiao (2016)'!$A$3,"MA_HT","SKK","MA_QH","SON")</f>
        <v>0</v>
      </c>
      <c r="BC22" s="50">
        <f ca="1">+GETPIVOTDATA("TNG4",'ngaigiao (2016)'!$A$3,"MA_HT","SKK","MA_QH","MNC")</f>
        <v>0</v>
      </c>
      <c r="BD22" s="22">
        <f ca="1">+GETPIVOTDATA("TNG4",'ngaigiao (2016)'!$A$3,"MA_HT","SKK","MA_QH","PNK")</f>
        <v>0</v>
      </c>
      <c r="BE22" s="71">
        <f ca="1">+GETPIVOTDATA("TNG4",'ngaigiao (2016)'!$A$3,"MA_HT","SKK","MA_QH","CSD")</f>
        <v>0</v>
      </c>
      <c r="BF22" s="74">
        <f ca="1" t="shared" si="13"/>
        <v>0</v>
      </c>
      <c r="BG22" s="101">
        <f ca="1">U$59-$BF22</f>
        <v>0</v>
      </c>
      <c r="BH22" s="41" t="e">
        <f ca="1" t="shared" si="14"/>
        <v>#REF!</v>
      </c>
      <c r="BI22" s="98"/>
      <c r="BJ22" s="107" t="e">
        <f>#REF!</f>
        <v>#REF!</v>
      </c>
      <c r="BK22" s="107" t="e">
        <f ca="1">BH22-BJ22</f>
        <v>#REF!</v>
      </c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</row>
    <row r="23" s="2" customFormat="1" ht="15.75" customHeight="1" spans="1:79">
      <c r="A23" s="39" t="s">
        <v>8364</v>
      </c>
      <c r="B23" s="53" t="s">
        <v>8365</v>
      </c>
      <c r="C23" s="40" t="s">
        <v>8308</v>
      </c>
      <c r="D23" s="41" t="e">
        <f>+#REF!</f>
        <v>#REF!</v>
      </c>
      <c r="E23" s="42">
        <f ca="1" t="shared" si="15"/>
        <v>0</v>
      </c>
      <c r="F23" s="52">
        <f ca="1" t="shared" si="9"/>
        <v>0</v>
      </c>
      <c r="G23" s="22">
        <f ca="1">+GETPIVOTDATA("TNG4",'ngaigiao (2016)'!$A$3,"MA_HT","SKT","MA_QH","LUC")</f>
        <v>0</v>
      </c>
      <c r="H23" s="22">
        <f ca="1">+GETPIVOTDATA("TNG4",'ngaigiao (2016)'!$A$3,"MA_HT","SKT","MA_QH","LUK")</f>
        <v>0</v>
      </c>
      <c r="I23" s="22">
        <f ca="1">+GETPIVOTDATA("TNG4",'ngaigiao (2016)'!$A$3,"MA_HT","SKT","MA_QH","LUN")</f>
        <v>0</v>
      </c>
      <c r="J23" s="22">
        <f ca="1">+GETPIVOTDATA("TNG4",'ngaigiao (2016)'!$A$3,"MA_HT","SKT","MA_QH","HNK")</f>
        <v>0</v>
      </c>
      <c r="K23" s="22">
        <f ca="1">+GETPIVOTDATA("TNG4",'ngaigiao (2016)'!$A$3,"MA_HT","SKT","MA_QH","CLN")</f>
        <v>0</v>
      </c>
      <c r="L23" s="22">
        <f ca="1">+GETPIVOTDATA("TNG4",'ngaigiao (2016)'!$A$3,"MA_HT","SKT","MA_QH","RSX")</f>
        <v>0</v>
      </c>
      <c r="M23" s="22">
        <f ca="1">+GETPIVOTDATA("TNG4",'ngaigiao (2016)'!$A$3,"MA_HT","SKT","MA_QH","RPH")</f>
        <v>0</v>
      </c>
      <c r="N23" s="22">
        <f ca="1">+GETPIVOTDATA("TNG4",'ngaigiao (2016)'!$A$3,"MA_HT","SKT","MA_QH","RDD")</f>
        <v>0</v>
      </c>
      <c r="O23" s="22">
        <f ca="1">+GETPIVOTDATA("TNG4",'ngaigiao (2016)'!$A$3,"MA_HT","SKT","MA_QH","NTS")</f>
        <v>0</v>
      </c>
      <c r="P23" s="22">
        <f ca="1">+GETPIVOTDATA("TNG4",'ngaigiao (2016)'!$A$3,"MA_HT","SKT","MA_QH","LMU")</f>
        <v>0</v>
      </c>
      <c r="Q23" s="22">
        <f ca="1">+GETPIVOTDATA("TNG4",'ngaigiao (2016)'!$A$3,"MA_HT","SKT","MA_QH","NKH")</f>
        <v>0</v>
      </c>
      <c r="R23" s="42">
        <f ca="1">SUM(S23:U23,W23:AA23,AN23:BD23)</f>
        <v>0</v>
      </c>
      <c r="S23" s="22">
        <f ca="1">+GETPIVOTDATA("TNG4",'ngaigiao (2016)'!$A$3,"MA_HT","SKT","MA_QH","CQP")</f>
        <v>0</v>
      </c>
      <c r="T23" s="22">
        <f ca="1">+GETPIVOTDATA("TNG4",'ngaigiao (2016)'!$A$3,"MA_HT","SKT","MA_QH","CAN")</f>
        <v>0</v>
      </c>
      <c r="U23" s="22">
        <f ca="1">+GETPIVOTDATA("TNG4",'ngaigiao (2016)'!$A$3,"MA_HT","SKT","MA_QH","SKK")</f>
        <v>0</v>
      </c>
      <c r="V23" s="43" t="e">
        <f ca="1">$D23-$BF23</f>
        <v>#REF!</v>
      </c>
      <c r="W23" s="22">
        <f ca="1">+GETPIVOTDATA("TNG4",'ngaigiao (2016)'!$A$3,"MA_HT","SKT","MA_QH","SKN")</f>
        <v>0</v>
      </c>
      <c r="X23" s="22">
        <f ca="1">+GETPIVOTDATA("TNG4",'ngaigiao (2016)'!$A$3,"MA_HT","SKT","MA_QH","TMD")</f>
        <v>0</v>
      </c>
      <c r="Y23" s="22">
        <f ca="1">+GETPIVOTDATA("TNG4",'ngaigiao (2016)'!$A$3,"MA_HT","SKT","MA_QH","SKC")</f>
        <v>0</v>
      </c>
      <c r="Z23" s="22">
        <f ca="1">+GETPIVOTDATA("TNG4",'ngaigiao (2016)'!$A$3,"MA_HT","SKT","MA_QH","SKS")</f>
        <v>0</v>
      </c>
      <c r="AA23" s="52">
        <f ca="1" t="shared" si="12"/>
        <v>0</v>
      </c>
      <c r="AB23" s="22">
        <f ca="1">+GETPIVOTDATA("TNG4",'ngaigiao (2016)'!$A$3,"MA_HT","SKT","MA_QH","DGT")</f>
        <v>0</v>
      </c>
      <c r="AC23" s="22">
        <f ca="1">+GETPIVOTDATA("TNG4",'ngaigiao (2016)'!$A$3,"MA_HT","SKT","MA_QH","DTL")</f>
        <v>0</v>
      </c>
      <c r="AD23" s="22">
        <f ca="1">+GETPIVOTDATA("TNG4",'ngaigiao (2016)'!$A$3,"MA_HT","SKT","MA_QH","DNL")</f>
        <v>0</v>
      </c>
      <c r="AE23" s="22">
        <f ca="1">+GETPIVOTDATA("TNG4",'ngaigiao (2016)'!$A$3,"MA_HT","SKT","MA_QH","DBV")</f>
        <v>0</v>
      </c>
      <c r="AF23" s="22">
        <f ca="1">+GETPIVOTDATA("TNG4",'ngaigiao (2016)'!$A$3,"MA_HT","SKT","MA_QH","DVH")</f>
        <v>0</v>
      </c>
      <c r="AG23" s="22">
        <f ca="1">+GETPIVOTDATA("TNG4",'ngaigiao (2016)'!$A$3,"MA_HT","SKT","MA_QH","DYT")</f>
        <v>0</v>
      </c>
      <c r="AH23" s="22">
        <f ca="1">+GETPIVOTDATA("TNG4",'ngaigiao (2016)'!$A$3,"MA_HT","SKT","MA_QH","DGD")</f>
        <v>0</v>
      </c>
      <c r="AI23" s="22">
        <f ca="1">+GETPIVOTDATA("TNG4",'ngaigiao (2016)'!$A$3,"MA_HT","SKT","MA_QH","DTT")</f>
        <v>0</v>
      </c>
      <c r="AJ23" s="22">
        <f ca="1">+GETPIVOTDATA("TNG4",'ngaigiao (2016)'!$A$3,"MA_HT","SKT","MA_QH","NCK")</f>
        <v>0</v>
      </c>
      <c r="AK23" s="22">
        <f ca="1">+GETPIVOTDATA("TNG4",'ngaigiao (2016)'!$A$3,"MA_HT","SKT","MA_QH","DXH")</f>
        <v>0</v>
      </c>
      <c r="AL23" s="22">
        <f ca="1">+GETPIVOTDATA("TNG4",'ngaigiao (2016)'!$A$3,"MA_HT","SKT","MA_QH","DCH")</f>
        <v>0</v>
      </c>
      <c r="AM23" s="22">
        <f ca="1">+GETPIVOTDATA("TNG4",'ngaigiao (2016)'!$A$3,"MA_HT","SKT","MA_QH","DKG")</f>
        <v>0</v>
      </c>
      <c r="AN23" s="22">
        <f ca="1">+GETPIVOTDATA("TNG4",'ngaigiao (2016)'!$A$3,"MA_HT","SKT","MA_QH","DDT")</f>
        <v>0</v>
      </c>
      <c r="AO23" s="22">
        <f ca="1">+GETPIVOTDATA("TNG4",'ngaigiao (2016)'!$A$3,"MA_HT","SKT","MA_QH","DDL")</f>
        <v>0</v>
      </c>
      <c r="AP23" s="22">
        <f ca="1">+GETPIVOTDATA("TNG4",'ngaigiao (2016)'!$A$3,"MA_HT","SKT","MA_QH","DRA")</f>
        <v>0</v>
      </c>
      <c r="AQ23" s="22">
        <f ca="1">+GETPIVOTDATA("TNG4",'ngaigiao (2016)'!$A$3,"MA_HT","SKT","MA_QH","ONT")</f>
        <v>0</v>
      </c>
      <c r="AR23" s="22">
        <f ca="1">+GETPIVOTDATA("TNG4",'ngaigiao (2016)'!$A$3,"MA_HT","SKT","MA_QH","ODT")</f>
        <v>0</v>
      </c>
      <c r="AS23" s="22">
        <f ca="1">+GETPIVOTDATA("TNG4",'ngaigiao (2016)'!$A$3,"MA_HT","SKT","MA_QH","TSC")</f>
        <v>0</v>
      </c>
      <c r="AT23" s="22">
        <f ca="1">+GETPIVOTDATA("TNG4",'ngaigiao (2016)'!$A$3,"MA_HT","SKT","MA_QH","DTS")</f>
        <v>0</v>
      </c>
      <c r="AU23" s="22">
        <f ca="1">+GETPIVOTDATA("TNG4",'ngaigiao (2016)'!$A$3,"MA_HT","SKT","MA_QH","DNG")</f>
        <v>0</v>
      </c>
      <c r="AV23" s="22">
        <f ca="1">+GETPIVOTDATA("TNG4",'ngaigiao (2016)'!$A$3,"MA_HT","SKT","MA_QH","TON")</f>
        <v>0</v>
      </c>
      <c r="AW23" s="22">
        <f ca="1">+GETPIVOTDATA("TNG4",'ngaigiao (2016)'!$A$3,"MA_HT","SKT","MA_QH","NTD")</f>
        <v>0</v>
      </c>
      <c r="AX23" s="22">
        <f ca="1">+GETPIVOTDATA("TNG4",'ngaigiao (2016)'!$A$3,"MA_HT","SKT","MA_QH","SKX")</f>
        <v>0</v>
      </c>
      <c r="AY23" s="22">
        <f ca="1">+GETPIVOTDATA("TNG4",'ngaigiao (2016)'!$A$3,"MA_HT","SKT","MA_QH","DSH")</f>
        <v>0</v>
      </c>
      <c r="AZ23" s="22">
        <f ca="1">+GETPIVOTDATA("TNG4",'ngaigiao (2016)'!$A$3,"MA_HT","SKT","MA_QH","DKV")</f>
        <v>0</v>
      </c>
      <c r="BA23" s="89">
        <f ca="1">+GETPIVOTDATA("TNG4",'ngaigiao (2016)'!$A$3,"MA_HT","SKT","MA_QH","TIN")</f>
        <v>0</v>
      </c>
      <c r="BB23" s="50">
        <f ca="1">+GETPIVOTDATA("TNG4",'ngaigiao (2016)'!$A$3,"MA_HT","SKT","MA_QH","SON")</f>
        <v>0</v>
      </c>
      <c r="BC23" s="50">
        <f ca="1">+GETPIVOTDATA("TNG4",'ngaigiao (2016)'!$A$3,"MA_HT","SKT","MA_QH","MNC")</f>
        <v>0</v>
      </c>
      <c r="BD23" s="22">
        <f ca="1">+GETPIVOTDATA("TNG4",'ngaigiao (2016)'!$A$3,"MA_HT","SKT","MA_QH","PNK")</f>
        <v>0</v>
      </c>
      <c r="BE23" s="71">
        <f ca="1">+GETPIVOTDATA("TNG4",'ngaigiao (2016)'!$A$3,"MA_HT","SKT","MA_QH","CSD")</f>
        <v>0</v>
      </c>
      <c r="BF23" s="74">
        <f ca="1" t="shared" si="13"/>
        <v>0</v>
      </c>
      <c r="BG23" s="101">
        <f ca="1">V$59-$BF23</f>
        <v>0</v>
      </c>
      <c r="BH23" s="41" t="e">
        <f ca="1" t="shared" si="14"/>
        <v>#REF!</v>
      </c>
      <c r="BI23" s="98"/>
      <c r="BJ23" s="107"/>
      <c r="BK23" s="107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</row>
    <row r="24" s="2" customFormat="1" ht="15.75" customHeight="1" spans="1:79">
      <c r="A24" s="39" t="s">
        <v>8366</v>
      </c>
      <c r="B24" s="53" t="s">
        <v>8367</v>
      </c>
      <c r="C24" s="40" t="s">
        <v>56</v>
      </c>
      <c r="D24" s="41" t="e">
        <f>+#REF!</f>
        <v>#REF!</v>
      </c>
      <c r="E24" s="42">
        <f ca="1" t="shared" si="15"/>
        <v>0</v>
      </c>
      <c r="F24" s="52">
        <f ca="1" t="shared" si="9"/>
        <v>0</v>
      </c>
      <c r="G24" s="22">
        <f ca="1">+GETPIVOTDATA("TNG4",'ngaigiao (2016)'!$A$3,"MA_HT","SKN","MA_QH","LUC")</f>
        <v>0</v>
      </c>
      <c r="H24" s="22">
        <f ca="1">+GETPIVOTDATA("TNG4",'ngaigiao (2016)'!$A$3,"MA_HT","SKN","MA_QH","LUK")</f>
        <v>0</v>
      </c>
      <c r="I24" s="22">
        <f ca="1">+GETPIVOTDATA("TNG4",'ngaigiao (2016)'!$A$3,"MA_HT","SKN","MA_QH","LUN")</f>
        <v>0</v>
      </c>
      <c r="J24" s="22">
        <f ca="1">+GETPIVOTDATA("TNG4",'ngaigiao (2016)'!$A$3,"MA_HT","SKN","MA_QH","HNK")</f>
        <v>0</v>
      </c>
      <c r="K24" s="22">
        <f ca="1">+GETPIVOTDATA("TNG4",'ngaigiao (2016)'!$A$3,"MA_HT","SKN","MA_QH","CLN")</f>
        <v>0</v>
      </c>
      <c r="L24" s="22">
        <f ca="1">+GETPIVOTDATA("TNG4",'ngaigiao (2016)'!$A$3,"MA_HT","SKN","MA_QH","RSX")</f>
        <v>0</v>
      </c>
      <c r="M24" s="22">
        <f ca="1">+GETPIVOTDATA("TNG4",'ngaigiao (2016)'!$A$3,"MA_HT","SKN","MA_QH","RPH")</f>
        <v>0</v>
      </c>
      <c r="N24" s="22">
        <f ca="1">+GETPIVOTDATA("TNG4",'ngaigiao (2016)'!$A$3,"MA_HT","SKN","MA_QH","RDD")</f>
        <v>0</v>
      </c>
      <c r="O24" s="22">
        <f ca="1">+GETPIVOTDATA("TNG4",'ngaigiao (2016)'!$A$3,"MA_HT","SKN","MA_QH","NTS")</f>
        <v>0</v>
      </c>
      <c r="P24" s="22">
        <f ca="1">+GETPIVOTDATA("TNG4",'ngaigiao (2016)'!$A$3,"MA_HT","SKN","MA_QH","LMU")</f>
        <v>0</v>
      </c>
      <c r="Q24" s="22">
        <f ca="1">+GETPIVOTDATA("TNG4",'ngaigiao (2016)'!$A$3,"MA_HT","SKN","MA_QH","NKH")</f>
        <v>0</v>
      </c>
      <c r="R24" s="42">
        <f ca="1">SUM(S24:V24,X24:AA24,AN24:BD24)</f>
        <v>0</v>
      </c>
      <c r="S24" s="22">
        <f ca="1">+GETPIVOTDATA("TNG4",'ngaigiao (2016)'!$A$3,"MA_HT","SKN","MA_QH","CQP")</f>
        <v>0</v>
      </c>
      <c r="T24" s="22">
        <f ca="1">+GETPIVOTDATA("TNG4",'ngaigiao (2016)'!$A$3,"MA_HT","SKN","MA_QH","CAN")</f>
        <v>0</v>
      </c>
      <c r="U24" s="22">
        <f ca="1">+GETPIVOTDATA("TNG4",'ngaigiao (2016)'!$A$3,"MA_HT","SKN","MA_QH","SKK")</f>
        <v>0</v>
      </c>
      <c r="V24" s="22">
        <f ca="1">+GETPIVOTDATA("TNG4",'ngaigiao (2016)'!$A$3,"MA_HT","SKN","MA_QH","SKT")</f>
        <v>0</v>
      </c>
      <c r="W24" s="43" t="e">
        <f ca="1">$D24-$BF24</f>
        <v>#REF!</v>
      </c>
      <c r="X24" s="22">
        <f ca="1">+GETPIVOTDATA("TNG4",'ngaigiao (2016)'!$A$3,"MA_HT","SKN","MA_QH","TMD")</f>
        <v>0</v>
      </c>
      <c r="Y24" s="22">
        <f ca="1">+GETPIVOTDATA("TNG4",'ngaigiao (2016)'!$A$3,"MA_HT","SKN","MA_QH","SKC")</f>
        <v>0</v>
      </c>
      <c r="Z24" s="22">
        <f ca="1">+GETPIVOTDATA("TNG4",'ngaigiao (2016)'!$A$3,"MA_HT","SKN","MA_QH","SKS")</f>
        <v>0</v>
      </c>
      <c r="AA24" s="52">
        <f ca="1" t="shared" si="12"/>
        <v>0</v>
      </c>
      <c r="AB24" s="22">
        <f ca="1">+GETPIVOTDATA("TNG4",'ngaigiao (2016)'!$A$3,"MA_HT","SKN","MA_QH","DGT")</f>
        <v>0</v>
      </c>
      <c r="AC24" s="22">
        <f ca="1">+GETPIVOTDATA("TNG4",'ngaigiao (2016)'!$A$3,"MA_HT","SKN","MA_QH","DTL")</f>
        <v>0</v>
      </c>
      <c r="AD24" s="22">
        <f ca="1">+GETPIVOTDATA("TNG4",'ngaigiao (2016)'!$A$3,"MA_HT","SKN","MA_QH","DNL")</f>
        <v>0</v>
      </c>
      <c r="AE24" s="22">
        <f ca="1">+GETPIVOTDATA("TNG4",'ngaigiao (2016)'!$A$3,"MA_HT","SKN","MA_QH","DBV")</f>
        <v>0</v>
      </c>
      <c r="AF24" s="22">
        <f ca="1">+GETPIVOTDATA("TNG4",'ngaigiao (2016)'!$A$3,"MA_HT","SKN","MA_QH","DVH")</f>
        <v>0</v>
      </c>
      <c r="AG24" s="22">
        <f ca="1">+GETPIVOTDATA("TNG4",'ngaigiao (2016)'!$A$3,"MA_HT","SKN","MA_QH","DYT")</f>
        <v>0</v>
      </c>
      <c r="AH24" s="22">
        <f ca="1">+GETPIVOTDATA("TNG4",'ngaigiao (2016)'!$A$3,"MA_HT","SKN","MA_QH","DGD")</f>
        <v>0</v>
      </c>
      <c r="AI24" s="22">
        <f ca="1">+GETPIVOTDATA("TNG4",'ngaigiao (2016)'!$A$3,"MA_HT","SKN","MA_QH","DTT")</f>
        <v>0</v>
      </c>
      <c r="AJ24" s="22">
        <f ca="1">+GETPIVOTDATA("TNG4",'ngaigiao (2016)'!$A$3,"MA_HT","SKN","MA_QH","NCK")</f>
        <v>0</v>
      </c>
      <c r="AK24" s="22">
        <f ca="1">+GETPIVOTDATA("TNG4",'ngaigiao (2016)'!$A$3,"MA_HT","SKN","MA_QH","DXH")</f>
        <v>0</v>
      </c>
      <c r="AL24" s="22">
        <f ca="1">+GETPIVOTDATA("TNG4",'ngaigiao (2016)'!$A$3,"MA_HT","SKN","MA_QH","DCH")</f>
        <v>0</v>
      </c>
      <c r="AM24" s="22">
        <f ca="1">+GETPIVOTDATA("TNG4",'ngaigiao (2016)'!$A$3,"MA_HT","SKN","MA_QH","DKG")</f>
        <v>0</v>
      </c>
      <c r="AN24" s="22">
        <f ca="1">+GETPIVOTDATA("TNG4",'ngaigiao (2016)'!$A$3,"MA_HT","SKN","MA_QH","DDT")</f>
        <v>0</v>
      </c>
      <c r="AO24" s="22">
        <f ca="1">+GETPIVOTDATA("TNG4",'ngaigiao (2016)'!$A$3,"MA_HT","SKN","MA_QH","DDL")</f>
        <v>0</v>
      </c>
      <c r="AP24" s="22">
        <f ca="1">+GETPIVOTDATA("TNG4",'ngaigiao (2016)'!$A$3,"MA_HT","SKN","MA_QH","DRA")</f>
        <v>0</v>
      </c>
      <c r="AQ24" s="22">
        <f ca="1">+GETPIVOTDATA("TNG4",'ngaigiao (2016)'!$A$3,"MA_HT","SKN","MA_QH","ONT")</f>
        <v>0</v>
      </c>
      <c r="AR24" s="22">
        <f ca="1">+GETPIVOTDATA("TNG4",'ngaigiao (2016)'!$A$3,"MA_HT","SKN","MA_QH","ODT")</f>
        <v>0</v>
      </c>
      <c r="AS24" s="22">
        <f ca="1">+GETPIVOTDATA("TNG4",'ngaigiao (2016)'!$A$3,"MA_HT","SKN","MA_QH","TSC")</f>
        <v>0</v>
      </c>
      <c r="AT24" s="22">
        <f ca="1">+GETPIVOTDATA("TNG4",'ngaigiao (2016)'!$A$3,"MA_HT","SKN","MA_QH","DTS")</f>
        <v>0</v>
      </c>
      <c r="AU24" s="22">
        <f ca="1">+GETPIVOTDATA("TNG4",'ngaigiao (2016)'!$A$3,"MA_HT","SKN","MA_QH","DNG")</f>
        <v>0</v>
      </c>
      <c r="AV24" s="22">
        <f ca="1">+GETPIVOTDATA("TNG4",'ngaigiao (2016)'!$A$3,"MA_HT","SKN","MA_QH","TON")</f>
        <v>0</v>
      </c>
      <c r="AW24" s="22">
        <f ca="1">+GETPIVOTDATA("TNG4",'ngaigiao (2016)'!$A$3,"MA_HT","SKN","MA_QH","NTD")</f>
        <v>0</v>
      </c>
      <c r="AX24" s="22">
        <f ca="1">+GETPIVOTDATA("TNG4",'ngaigiao (2016)'!$A$3,"MA_HT","SKN","MA_QH","SKX")</f>
        <v>0</v>
      </c>
      <c r="AY24" s="22">
        <f ca="1">+GETPIVOTDATA("TNG4",'ngaigiao (2016)'!$A$3,"MA_HT","SKN","MA_QH","DSH")</f>
        <v>0</v>
      </c>
      <c r="AZ24" s="22">
        <f ca="1">+GETPIVOTDATA("TNG4",'ngaigiao (2016)'!$A$3,"MA_HT","SKN","MA_QH","DKV")</f>
        <v>0</v>
      </c>
      <c r="BA24" s="89">
        <f ca="1">+GETPIVOTDATA("TNG4",'ngaigiao (2016)'!$A$3,"MA_HT","SKN","MA_QH","TIN")</f>
        <v>0</v>
      </c>
      <c r="BB24" s="50">
        <f ca="1">+GETPIVOTDATA("TNG4",'ngaigiao (2016)'!$A$3,"MA_HT","SKN","MA_QH","SON")</f>
        <v>0</v>
      </c>
      <c r="BC24" s="50">
        <f ca="1">+GETPIVOTDATA("TNG4",'ngaigiao (2016)'!$A$3,"MA_HT","SKN","MA_QH","MNC")</f>
        <v>0</v>
      </c>
      <c r="BD24" s="22">
        <f ca="1">+GETPIVOTDATA("TNG4",'ngaigiao (2016)'!$A$3,"MA_HT","SKN","MA_QH","PNK")</f>
        <v>0</v>
      </c>
      <c r="BE24" s="71">
        <f ca="1">+GETPIVOTDATA("TNG4",'ngaigiao (2016)'!$A$3,"MA_HT","SKN","MA_QH","CSD")</f>
        <v>0</v>
      </c>
      <c r="BF24" s="74">
        <f ca="1" t="shared" si="13"/>
        <v>0</v>
      </c>
      <c r="BG24" s="101">
        <f ca="1">W$59-$BF24</f>
        <v>0</v>
      </c>
      <c r="BH24" s="41" t="e">
        <f ca="1" t="shared" si="14"/>
        <v>#REF!</v>
      </c>
      <c r="BI24" s="98"/>
      <c r="BJ24" s="107"/>
      <c r="BK24" s="107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</row>
    <row r="25" s="2" customFormat="1" ht="15.75" customHeight="1" spans="1:79">
      <c r="A25" s="39" t="s">
        <v>8368</v>
      </c>
      <c r="B25" s="39" t="s">
        <v>8369</v>
      </c>
      <c r="C25" s="40" t="s">
        <v>265</v>
      </c>
      <c r="D25" s="41" t="e">
        <f>+#REF!</f>
        <v>#REF!</v>
      </c>
      <c r="E25" s="42">
        <f ca="1" t="shared" si="15"/>
        <v>0</v>
      </c>
      <c r="F25" s="52">
        <f ca="1" t="shared" si="9"/>
        <v>0</v>
      </c>
      <c r="G25" s="22">
        <f ca="1">+GETPIVOTDATA("TNG4",'ngaigiao (2016)'!$A$3,"MA_HT","TMD","MA_QH","LUC")</f>
        <v>0</v>
      </c>
      <c r="H25" s="22">
        <f ca="1">+GETPIVOTDATA("TNG4",'ngaigiao (2016)'!$A$3,"MA_HT","TMD","MA_QH","LUK")</f>
        <v>0</v>
      </c>
      <c r="I25" s="22">
        <f ca="1">+GETPIVOTDATA("TNG4",'ngaigiao (2016)'!$A$3,"MA_HT","TMD","MA_QH","LUN")</f>
        <v>0</v>
      </c>
      <c r="J25" s="22">
        <f ca="1">+GETPIVOTDATA("TNG4",'ngaigiao (2016)'!$A$3,"MA_HT","TMD","MA_QH","HNK")</f>
        <v>0</v>
      </c>
      <c r="K25" s="22">
        <f ca="1">+GETPIVOTDATA("TNG4",'ngaigiao (2016)'!$A$3,"MA_HT","TMD","MA_QH","CLN")</f>
        <v>0</v>
      </c>
      <c r="L25" s="22">
        <f ca="1">+GETPIVOTDATA("TNG4",'ngaigiao (2016)'!$A$3,"MA_HT","TMD","MA_QH","RSX")</f>
        <v>0</v>
      </c>
      <c r="M25" s="22">
        <f ca="1">+GETPIVOTDATA("TNG4",'ngaigiao (2016)'!$A$3,"MA_HT","TMD","MA_QH","RPH")</f>
        <v>0</v>
      </c>
      <c r="N25" s="22">
        <f ca="1">+GETPIVOTDATA("TNG4",'ngaigiao (2016)'!$A$3,"MA_HT","TMD","MA_QH","RDD")</f>
        <v>0</v>
      </c>
      <c r="O25" s="22">
        <f ca="1">+GETPIVOTDATA("TNG4",'ngaigiao (2016)'!$A$3,"MA_HT","TMD","MA_QH","NTS")</f>
        <v>0</v>
      </c>
      <c r="P25" s="22">
        <f ca="1">+GETPIVOTDATA("TNG4",'ngaigiao (2016)'!$A$3,"MA_HT","TMD","MA_QH","LMU")</f>
        <v>0</v>
      </c>
      <c r="Q25" s="22">
        <f ca="1">+GETPIVOTDATA("TNG4",'ngaigiao (2016)'!$A$3,"MA_HT","TMD","MA_QH","NKH")</f>
        <v>0</v>
      </c>
      <c r="R25" s="42">
        <f ca="1">SUM(S25:W25,Y25:AA25,AN25:BD25)</f>
        <v>0</v>
      </c>
      <c r="S25" s="22">
        <f ca="1">+GETPIVOTDATA("TNG4",'ngaigiao (2016)'!$A$3,"MA_HT","TMD","MA_QH","CQP")</f>
        <v>0</v>
      </c>
      <c r="T25" s="22">
        <f ca="1">+GETPIVOTDATA("TNG4",'ngaigiao (2016)'!$A$3,"MA_HT","TMD","MA_QH","CAN")</f>
        <v>0</v>
      </c>
      <c r="U25" s="22">
        <f ca="1">+GETPIVOTDATA("TNG4",'ngaigiao (2016)'!$A$3,"MA_HT","TMD","MA_QH","SKK")</f>
        <v>0</v>
      </c>
      <c r="V25" s="22">
        <f ca="1">+GETPIVOTDATA("TNG4",'ngaigiao (2016)'!$A$3,"MA_HT","TMD","MA_QH","SKT")</f>
        <v>0</v>
      </c>
      <c r="W25" s="22">
        <f ca="1">+GETPIVOTDATA("TNG4",'ngaigiao (2016)'!$A$3,"MA_HT","TMD","MA_QH","SKN")</f>
        <v>0</v>
      </c>
      <c r="X25" s="43" t="e">
        <f ca="1">$D25-$BF25</f>
        <v>#REF!</v>
      </c>
      <c r="Y25" s="22">
        <f ca="1">+GETPIVOTDATA("TNG4",'ngaigiao (2016)'!$A$3,"MA_HT","TMD","MA_QH","SKC")</f>
        <v>0</v>
      </c>
      <c r="Z25" s="22">
        <f ca="1">+GETPIVOTDATA("TNG4",'ngaigiao (2016)'!$A$3,"MA_HT","TMD","MA_QH","SKS")</f>
        <v>0</v>
      </c>
      <c r="AA25" s="52">
        <f ca="1" t="shared" si="12"/>
        <v>0</v>
      </c>
      <c r="AB25" s="22">
        <f ca="1">+GETPIVOTDATA("TNG4",'ngaigiao (2016)'!$A$3,"MA_HT","TMD","MA_QH","DGT")</f>
        <v>0</v>
      </c>
      <c r="AC25" s="22">
        <f ca="1">+GETPIVOTDATA("TNG4",'ngaigiao (2016)'!$A$3,"MA_HT","TMD","MA_QH","DTL")</f>
        <v>0</v>
      </c>
      <c r="AD25" s="22">
        <f ca="1">+GETPIVOTDATA("TNG4",'ngaigiao (2016)'!$A$3,"MA_HT","TMD","MA_QH","DNL")</f>
        <v>0</v>
      </c>
      <c r="AE25" s="22">
        <f ca="1">+GETPIVOTDATA("TNG4",'ngaigiao (2016)'!$A$3,"MA_HT","TMD","MA_QH","DBV")</f>
        <v>0</v>
      </c>
      <c r="AF25" s="22">
        <f ca="1">+GETPIVOTDATA("TNG4",'ngaigiao (2016)'!$A$3,"MA_HT","TMD","MA_QH","DVH")</f>
        <v>0</v>
      </c>
      <c r="AG25" s="22">
        <f ca="1">+GETPIVOTDATA("TNG4",'ngaigiao (2016)'!$A$3,"MA_HT","TMD","MA_QH","DYT")</f>
        <v>0</v>
      </c>
      <c r="AH25" s="22">
        <f ca="1">+GETPIVOTDATA("TNG4",'ngaigiao (2016)'!$A$3,"MA_HT","TMD","MA_QH","DGD")</f>
        <v>0</v>
      </c>
      <c r="AI25" s="22">
        <f ca="1">+GETPIVOTDATA("TNG4",'ngaigiao (2016)'!$A$3,"MA_HT","TMD","MA_QH","DTT")</f>
        <v>0</v>
      </c>
      <c r="AJ25" s="22">
        <f ca="1">+GETPIVOTDATA("TNG4",'ngaigiao (2016)'!$A$3,"MA_HT","TMD","MA_QH","NCK")</f>
        <v>0</v>
      </c>
      <c r="AK25" s="22">
        <f ca="1">+GETPIVOTDATA("TNG4",'ngaigiao (2016)'!$A$3,"MA_HT","TMD","MA_QH","DXH")</f>
        <v>0</v>
      </c>
      <c r="AL25" s="22">
        <f ca="1">+GETPIVOTDATA("TNG4",'ngaigiao (2016)'!$A$3,"MA_HT","TMD","MA_QH","DCH")</f>
        <v>0</v>
      </c>
      <c r="AM25" s="22">
        <f ca="1">+GETPIVOTDATA("TNG4",'ngaigiao (2016)'!$A$3,"MA_HT","TMD","MA_QH","DKG")</f>
        <v>0</v>
      </c>
      <c r="AN25" s="22">
        <f ca="1">+GETPIVOTDATA("TNG4",'ngaigiao (2016)'!$A$3,"MA_HT","TMD","MA_QH","DDT")</f>
        <v>0</v>
      </c>
      <c r="AO25" s="22">
        <f ca="1">+GETPIVOTDATA("TNG4",'ngaigiao (2016)'!$A$3,"MA_HT","TMD","MA_QH","DDL")</f>
        <v>0</v>
      </c>
      <c r="AP25" s="22">
        <f ca="1">+GETPIVOTDATA("TNG4",'ngaigiao (2016)'!$A$3,"MA_HT","TMD","MA_QH","DRA")</f>
        <v>0</v>
      </c>
      <c r="AQ25" s="22">
        <f ca="1">+GETPIVOTDATA("TNG4",'ngaigiao (2016)'!$A$3,"MA_HT","TMD","MA_QH","ONT")</f>
        <v>0</v>
      </c>
      <c r="AR25" s="22">
        <f ca="1">+GETPIVOTDATA("TNG4",'ngaigiao (2016)'!$A$3,"MA_HT","TMD","MA_QH","ODT")</f>
        <v>0</v>
      </c>
      <c r="AS25" s="22">
        <f ca="1">+GETPIVOTDATA("TNG4",'ngaigiao (2016)'!$A$3,"MA_HT","TMD","MA_QH","TSC")</f>
        <v>0</v>
      </c>
      <c r="AT25" s="22">
        <f ca="1">+GETPIVOTDATA("TNG4",'ngaigiao (2016)'!$A$3,"MA_HT","TMD","MA_QH","DTS")</f>
        <v>0</v>
      </c>
      <c r="AU25" s="22">
        <f ca="1">+GETPIVOTDATA("TNG4",'ngaigiao (2016)'!$A$3,"MA_HT","TMD","MA_QH","DNG")</f>
        <v>0</v>
      </c>
      <c r="AV25" s="22">
        <f ca="1">+GETPIVOTDATA("TNG4",'ngaigiao (2016)'!$A$3,"MA_HT","TMD","MA_QH","TON")</f>
        <v>0</v>
      </c>
      <c r="AW25" s="22">
        <f ca="1">+GETPIVOTDATA("TNG4",'ngaigiao (2016)'!$A$3,"MA_HT","TMD","MA_QH","NTD")</f>
        <v>0</v>
      </c>
      <c r="AX25" s="22">
        <f ca="1">+GETPIVOTDATA("TNG4",'ngaigiao (2016)'!$A$3,"MA_HT","TMD","MA_QH","SKX")</f>
        <v>0</v>
      </c>
      <c r="AY25" s="22">
        <f ca="1">+GETPIVOTDATA("TNG4",'ngaigiao (2016)'!$A$3,"MA_HT","TMD","MA_QH","DSH")</f>
        <v>0</v>
      </c>
      <c r="AZ25" s="22">
        <f ca="1">+GETPIVOTDATA("TNG4",'ngaigiao (2016)'!$A$3,"MA_HT","TMD","MA_QH","DKV")</f>
        <v>0</v>
      </c>
      <c r="BA25" s="89">
        <f ca="1">+GETPIVOTDATA("TNG4",'ngaigiao (2016)'!$A$3,"MA_HT","TMD","MA_QH","TIN")</f>
        <v>0</v>
      </c>
      <c r="BB25" s="50">
        <f ca="1">+GETPIVOTDATA("TNG4",'ngaigiao (2016)'!$A$3,"MA_HT","TMD","MA_QH","SON")</f>
        <v>0</v>
      </c>
      <c r="BC25" s="50">
        <f ca="1">+GETPIVOTDATA("TNG4",'ngaigiao (2016)'!$A$3,"MA_HT","TMD","MA_QH","MNC")</f>
        <v>0</v>
      </c>
      <c r="BD25" s="22">
        <f ca="1">+GETPIVOTDATA("TNG4",'ngaigiao (2016)'!$A$3,"MA_HT","TMD","MA_QH","PNK")</f>
        <v>0</v>
      </c>
      <c r="BE25" s="71">
        <f ca="1">+GETPIVOTDATA("TNG4",'ngaigiao (2016)'!$A$3,"MA_HT","TMD","MA_QH","CSD")</f>
        <v>0</v>
      </c>
      <c r="BF25" s="74">
        <f ca="1" t="shared" si="13"/>
        <v>0</v>
      </c>
      <c r="BG25" s="101">
        <f ca="1">X$59-$BF25</f>
        <v>0</v>
      </c>
      <c r="BH25" s="41" t="e">
        <f ca="1" t="shared" si="14"/>
        <v>#REF!</v>
      </c>
      <c r="BI25" s="98"/>
      <c r="BJ25" s="107" t="e">
        <f>#REF!</f>
        <v>#REF!</v>
      </c>
      <c r="BK25" s="107" t="e">
        <f ca="1">BH25-BJ25</f>
        <v>#REF!</v>
      </c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</row>
    <row r="26" s="2" customFormat="1" ht="15.75" customHeight="1" spans="1:79">
      <c r="A26" s="39" t="s">
        <v>8370</v>
      </c>
      <c r="B26" s="39" t="s">
        <v>8371</v>
      </c>
      <c r="C26" s="40" t="s">
        <v>204</v>
      </c>
      <c r="D26" s="41" t="e">
        <f>+#REF!</f>
        <v>#REF!</v>
      </c>
      <c r="E26" s="42">
        <f ca="1" t="shared" si="15"/>
        <v>0</v>
      </c>
      <c r="F26" s="52">
        <f ca="1" t="shared" si="9"/>
        <v>0</v>
      </c>
      <c r="G26" s="22">
        <f ca="1">+GETPIVOTDATA("TNG4",'ngaigiao (2016)'!$A$3,"MA_HT","SKC","MA_QH","LUC")</f>
        <v>0</v>
      </c>
      <c r="H26" s="22">
        <f ca="1">+GETPIVOTDATA("TNG4",'ngaigiao (2016)'!$A$3,"MA_HT","SKC","MA_QH","LUK")</f>
        <v>0</v>
      </c>
      <c r="I26" s="22">
        <f ca="1">+GETPIVOTDATA("TNG4",'ngaigiao (2016)'!$A$3,"MA_HT","SKC","MA_QH","LUN")</f>
        <v>0</v>
      </c>
      <c r="J26" s="22">
        <f ca="1">+GETPIVOTDATA("TNG4",'ngaigiao (2016)'!$A$3,"MA_HT","SKC","MA_QH","HNK")</f>
        <v>0</v>
      </c>
      <c r="K26" s="22">
        <f ca="1">+GETPIVOTDATA("TNG4",'ngaigiao (2016)'!$A$3,"MA_HT","SKC","MA_QH","CLN")</f>
        <v>0</v>
      </c>
      <c r="L26" s="22">
        <f ca="1">+GETPIVOTDATA("TNG4",'ngaigiao (2016)'!$A$3,"MA_HT","SKC","MA_QH","RSX")</f>
        <v>0</v>
      </c>
      <c r="M26" s="22">
        <f ca="1">+GETPIVOTDATA("TNG4",'ngaigiao (2016)'!$A$3,"MA_HT","SKC","MA_QH","RPH")</f>
        <v>0</v>
      </c>
      <c r="N26" s="22">
        <f ca="1">+GETPIVOTDATA("TNG4",'ngaigiao (2016)'!$A$3,"MA_HT","SKC","MA_QH","RDD")</f>
        <v>0</v>
      </c>
      <c r="O26" s="22">
        <f ca="1">+GETPIVOTDATA("TNG4",'ngaigiao (2016)'!$A$3,"MA_HT","SKC","MA_QH","NTS")</f>
        <v>0</v>
      </c>
      <c r="P26" s="22">
        <f ca="1">+GETPIVOTDATA("TNG4",'ngaigiao (2016)'!$A$3,"MA_HT","SKC","MA_QH","LMU")</f>
        <v>0</v>
      </c>
      <c r="Q26" s="22">
        <f ca="1">+GETPIVOTDATA("TNG4",'ngaigiao (2016)'!$A$3,"MA_HT","SKC","MA_QH","NKH")</f>
        <v>0</v>
      </c>
      <c r="R26" s="42">
        <f ca="1">SUM(S26:X26,Z26,AN26:BD26)</f>
        <v>0</v>
      </c>
      <c r="S26" s="22">
        <f ca="1">+GETPIVOTDATA("TNG4",'ngaigiao (2016)'!$A$3,"MA_HT","SKC","MA_QH","CQP")</f>
        <v>0</v>
      </c>
      <c r="T26" s="22">
        <f ca="1">+GETPIVOTDATA("TNG4",'ngaigiao (2016)'!$A$3,"MA_HT","SKC","MA_QH","CAN")</f>
        <v>0</v>
      </c>
      <c r="U26" s="22">
        <f ca="1">+GETPIVOTDATA("TNG4",'ngaigiao (2016)'!$A$3,"MA_HT","SKC","MA_QH","SKK")</f>
        <v>0</v>
      </c>
      <c r="V26" s="22">
        <f ca="1">+GETPIVOTDATA("TNG4",'ngaigiao (2016)'!$A$3,"MA_HT","SKC","MA_QH","SKT")</f>
        <v>0</v>
      </c>
      <c r="W26" s="22">
        <f ca="1">+GETPIVOTDATA("TNG4",'ngaigiao (2016)'!$A$3,"MA_HT","SKC","MA_QH","SKN")</f>
        <v>0</v>
      </c>
      <c r="X26" s="22">
        <f ca="1">+GETPIVOTDATA("TNG4",'ngaigiao (2016)'!$A$3,"MA_HT","SKC","MA_QH","TMD")</f>
        <v>0</v>
      </c>
      <c r="Y26" s="43" t="e">
        <f ca="1">$D26-$BF26</f>
        <v>#REF!</v>
      </c>
      <c r="Z26" s="22">
        <f ca="1">+GETPIVOTDATA("TNG4",'ngaigiao (2016)'!$A$3,"MA_HT","SKC","MA_QH","SKS")</f>
        <v>0</v>
      </c>
      <c r="AA26" s="52">
        <f ca="1" t="shared" si="12"/>
        <v>0</v>
      </c>
      <c r="AB26" s="22">
        <f ca="1">+GETPIVOTDATA("TNG4",'ngaigiao (2016)'!$A$3,"MA_HT","SKC","MA_QH","DGT")</f>
        <v>0</v>
      </c>
      <c r="AC26" s="22">
        <f ca="1">+GETPIVOTDATA("TNG4",'ngaigiao (2016)'!$A$3,"MA_HT","SKC","MA_QH","DTL")</f>
        <v>0</v>
      </c>
      <c r="AD26" s="22">
        <f ca="1">+GETPIVOTDATA("TNG4",'ngaigiao (2016)'!$A$3,"MA_HT","SKC","MA_QH","DNL")</f>
        <v>0</v>
      </c>
      <c r="AE26" s="22">
        <f ca="1">+GETPIVOTDATA("TNG4",'ngaigiao (2016)'!$A$3,"MA_HT","SKC","MA_QH","DBV")</f>
        <v>0</v>
      </c>
      <c r="AF26" s="22">
        <f ca="1">+GETPIVOTDATA("TNG4",'ngaigiao (2016)'!$A$3,"MA_HT","SKC","MA_QH","DVH")</f>
        <v>0</v>
      </c>
      <c r="AG26" s="22">
        <f ca="1">+GETPIVOTDATA("TNG4",'ngaigiao (2016)'!$A$3,"MA_HT","SKC","MA_QH","DYT")</f>
        <v>0</v>
      </c>
      <c r="AH26" s="22">
        <f ca="1">+GETPIVOTDATA("TNG4",'ngaigiao (2016)'!$A$3,"MA_HT","SKC","MA_QH","DGD")</f>
        <v>0</v>
      </c>
      <c r="AI26" s="22">
        <f ca="1">+GETPIVOTDATA("TNG4",'ngaigiao (2016)'!$A$3,"MA_HT","SKC","MA_QH","DTT")</f>
        <v>0</v>
      </c>
      <c r="AJ26" s="22">
        <f ca="1">+GETPIVOTDATA("TNG4",'ngaigiao (2016)'!$A$3,"MA_HT","SKC","MA_QH","NCK")</f>
        <v>0</v>
      </c>
      <c r="AK26" s="22">
        <f ca="1">+GETPIVOTDATA("TNG4",'ngaigiao (2016)'!$A$3,"MA_HT","SKC","MA_QH","DXH")</f>
        <v>0</v>
      </c>
      <c r="AL26" s="22">
        <f ca="1">+GETPIVOTDATA("TNG4",'ngaigiao (2016)'!$A$3,"MA_HT","SKC","MA_QH","DCH")</f>
        <v>0</v>
      </c>
      <c r="AM26" s="22">
        <f ca="1">+GETPIVOTDATA("TNG4",'ngaigiao (2016)'!$A$3,"MA_HT","SKC","MA_QH","DKG")</f>
        <v>0</v>
      </c>
      <c r="AN26" s="22">
        <f ca="1">+GETPIVOTDATA("TNG4",'ngaigiao (2016)'!$A$3,"MA_HT","SKC","MA_QH","DDT")</f>
        <v>0</v>
      </c>
      <c r="AO26" s="22">
        <f ca="1">+GETPIVOTDATA("TNG4",'ngaigiao (2016)'!$A$3,"MA_HT","SKC","MA_QH","DDL")</f>
        <v>0</v>
      </c>
      <c r="AP26" s="22">
        <f ca="1">+GETPIVOTDATA("TNG4",'ngaigiao (2016)'!$A$3,"MA_HT","SKC","MA_QH","DRA")</f>
        <v>0</v>
      </c>
      <c r="AQ26" s="22">
        <f ca="1">+GETPIVOTDATA("TNG4",'ngaigiao (2016)'!$A$3,"MA_HT","SKC","MA_QH","ONT")</f>
        <v>0</v>
      </c>
      <c r="AR26" s="22">
        <f ca="1">+GETPIVOTDATA("TNG4",'ngaigiao (2016)'!$A$3,"MA_HT","SKC","MA_QH","ODT")</f>
        <v>0</v>
      </c>
      <c r="AS26" s="22">
        <f ca="1">+GETPIVOTDATA("TNG4",'ngaigiao (2016)'!$A$3,"MA_HT","SKC","MA_QH","TSC")</f>
        <v>0</v>
      </c>
      <c r="AT26" s="22">
        <f ca="1">+GETPIVOTDATA("TNG4",'ngaigiao (2016)'!$A$3,"MA_HT","SKC","MA_QH","DTS")</f>
        <v>0</v>
      </c>
      <c r="AU26" s="22">
        <f ca="1">+GETPIVOTDATA("TNG4",'ngaigiao (2016)'!$A$3,"MA_HT","SKC","MA_QH","DNG")</f>
        <v>0</v>
      </c>
      <c r="AV26" s="22">
        <f ca="1">+GETPIVOTDATA("TNG4",'ngaigiao (2016)'!$A$3,"MA_HT","SKC","MA_QH","TON")</f>
        <v>0</v>
      </c>
      <c r="AW26" s="22">
        <f ca="1">+GETPIVOTDATA("TNG4",'ngaigiao (2016)'!$A$3,"MA_HT","SKC","MA_QH","NTD")</f>
        <v>0</v>
      </c>
      <c r="AX26" s="22">
        <f ca="1">+GETPIVOTDATA("TNG4",'ngaigiao (2016)'!$A$3,"MA_HT","SKC","MA_QH","SKX")</f>
        <v>0</v>
      </c>
      <c r="AY26" s="22">
        <f ca="1">+GETPIVOTDATA("TNG4",'ngaigiao (2016)'!$A$3,"MA_HT","SKC","MA_QH","DSH")</f>
        <v>0</v>
      </c>
      <c r="AZ26" s="22">
        <f ca="1">+GETPIVOTDATA("TNG4",'ngaigiao (2016)'!$A$3,"MA_HT","SKC","MA_QH","DKV")</f>
        <v>0</v>
      </c>
      <c r="BA26" s="89">
        <f ca="1">+GETPIVOTDATA("TNG4",'ngaigiao (2016)'!$A$3,"MA_HT","SKC","MA_QH","TIN")</f>
        <v>0</v>
      </c>
      <c r="BB26" s="50">
        <f ca="1">+GETPIVOTDATA("TNG4",'ngaigiao (2016)'!$A$3,"MA_HT","SKC","MA_QH","SON")</f>
        <v>0</v>
      </c>
      <c r="BC26" s="50">
        <f ca="1">+GETPIVOTDATA("TNG4",'ngaigiao (2016)'!$A$3,"MA_HT","SKC","MA_QH","MNC")</f>
        <v>0</v>
      </c>
      <c r="BD26" s="22">
        <f ca="1">+GETPIVOTDATA("TNG4",'ngaigiao (2016)'!$A$3,"MA_HT","SKC","MA_QH","PNK")</f>
        <v>0</v>
      </c>
      <c r="BE26" s="71">
        <f ca="1">+GETPIVOTDATA("TNG4",'ngaigiao (2016)'!$A$3,"MA_HT","SKC","MA_QH","CSD")</f>
        <v>0</v>
      </c>
      <c r="BF26" s="74">
        <f ca="1" t="shared" si="13"/>
        <v>0</v>
      </c>
      <c r="BG26" s="101">
        <f ca="1">Y$59-$BF26</f>
        <v>0</v>
      </c>
      <c r="BH26" s="41" t="e">
        <f ca="1" t="shared" si="14"/>
        <v>#REF!</v>
      </c>
      <c r="BI26" s="98"/>
      <c r="BJ26" s="107" t="e">
        <f>#REF!</f>
        <v>#REF!</v>
      </c>
      <c r="BK26" s="107" t="e">
        <f ca="1">BH26-BJ26</f>
        <v>#REF!</v>
      </c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</row>
    <row r="27" s="2" customFormat="1" ht="15.75" customHeight="1" spans="1:79">
      <c r="A27" s="39" t="s">
        <v>8372</v>
      </c>
      <c r="B27" s="53" t="s">
        <v>8373</v>
      </c>
      <c r="C27" s="40" t="s">
        <v>174</v>
      </c>
      <c r="D27" s="41" t="e">
        <f>+#REF!</f>
        <v>#REF!</v>
      </c>
      <c r="E27" s="42">
        <f ca="1" t="shared" si="15"/>
        <v>0</v>
      </c>
      <c r="F27" s="52">
        <f ca="1" t="shared" si="9"/>
        <v>0</v>
      </c>
      <c r="G27" s="22">
        <f ca="1">+GETPIVOTDATA("TNG4",'ngaigiao (2016)'!$A$3,"MA_HT","SKS","MA_QH","LUC")</f>
        <v>0</v>
      </c>
      <c r="H27" s="22">
        <f ca="1">+GETPIVOTDATA("TNG4",'ngaigiao (2016)'!$A$3,"MA_HT","SKS","MA_QH","LUK")</f>
        <v>0</v>
      </c>
      <c r="I27" s="22">
        <f ca="1">+GETPIVOTDATA("TNG4",'ngaigiao (2016)'!$A$3,"MA_HT","SKS","MA_QH","LUN")</f>
        <v>0</v>
      </c>
      <c r="J27" s="22">
        <f ca="1">+GETPIVOTDATA("TNG4",'ngaigiao (2016)'!$A$3,"MA_HT","SKS","MA_QH","HNK")</f>
        <v>0</v>
      </c>
      <c r="K27" s="22">
        <f ca="1">+GETPIVOTDATA("TNG4",'ngaigiao (2016)'!$A$3,"MA_HT","SKS","MA_QH","CLN")</f>
        <v>0</v>
      </c>
      <c r="L27" s="22">
        <f ca="1">+GETPIVOTDATA("TNG4",'ngaigiao (2016)'!$A$3,"MA_HT","SKS","MA_QH","RSX")</f>
        <v>0</v>
      </c>
      <c r="M27" s="22">
        <f ca="1">+GETPIVOTDATA("TNG4",'ngaigiao (2016)'!$A$3,"MA_HT","SKS","MA_QH","RPH")</f>
        <v>0</v>
      </c>
      <c r="N27" s="22">
        <f ca="1">+GETPIVOTDATA("TNG4",'ngaigiao (2016)'!$A$3,"MA_HT","SKS","MA_QH","RDD")</f>
        <v>0</v>
      </c>
      <c r="O27" s="22">
        <f ca="1">+GETPIVOTDATA("TNG4",'ngaigiao (2016)'!$A$3,"MA_HT","SKS","MA_QH","NTS")</f>
        <v>0</v>
      </c>
      <c r="P27" s="22">
        <f ca="1">+GETPIVOTDATA("TNG4",'ngaigiao (2016)'!$A$3,"MA_HT","SKS","MA_QH","LMU")</f>
        <v>0</v>
      </c>
      <c r="Q27" s="22">
        <f ca="1">+GETPIVOTDATA("TNG4",'ngaigiao (2016)'!$A$3,"MA_HT","SKS","MA_QH","NKH")</f>
        <v>0</v>
      </c>
      <c r="R27" s="42">
        <f ca="1">SUM(S27:Y27,AA27,AN27:BD27)</f>
        <v>0</v>
      </c>
      <c r="S27" s="22">
        <f ca="1">+GETPIVOTDATA("TNG4",'ngaigiao (2016)'!$A$3,"MA_HT","SKS","MA_QH","CQP")</f>
        <v>0</v>
      </c>
      <c r="T27" s="22">
        <f ca="1">+GETPIVOTDATA("TNG4",'ngaigiao (2016)'!$A$3,"MA_HT","SKS","MA_QH","CAN")</f>
        <v>0</v>
      </c>
      <c r="U27" s="22">
        <f ca="1">+GETPIVOTDATA("TNG4",'ngaigiao (2016)'!$A$3,"MA_HT","SKS","MA_QH","SKK")</f>
        <v>0</v>
      </c>
      <c r="V27" s="22">
        <f ca="1">+GETPIVOTDATA("TNG4",'ngaigiao (2016)'!$A$3,"MA_HT","SKS","MA_QH","SKT")</f>
        <v>0</v>
      </c>
      <c r="W27" s="22">
        <f ca="1">+GETPIVOTDATA("TNG4",'ngaigiao (2016)'!$A$3,"MA_HT","SKS","MA_QH","SKN")</f>
        <v>0</v>
      </c>
      <c r="X27" s="22">
        <f ca="1">+GETPIVOTDATA("TNG4",'ngaigiao (2016)'!$A$3,"MA_HT","SKS","MA_QH","TMD")</f>
        <v>0</v>
      </c>
      <c r="Y27" s="22">
        <f ca="1">+GETPIVOTDATA("TNG4",'ngaigiao (2016)'!$A$3,"MA_HT","SKS","MA_QH","SKC")</f>
        <v>0</v>
      </c>
      <c r="Z27" s="43" t="e">
        <f ca="1">$D27-$BF27</f>
        <v>#REF!</v>
      </c>
      <c r="AA27" s="52">
        <f ca="1" t="shared" si="12"/>
        <v>0</v>
      </c>
      <c r="AB27" s="22">
        <f ca="1">+GETPIVOTDATA("TNG4",'ngaigiao (2016)'!$A$3,"MA_HT","SKS","MA_QH","DGT")</f>
        <v>0</v>
      </c>
      <c r="AC27" s="22">
        <f ca="1">+GETPIVOTDATA("TNG4",'ngaigiao (2016)'!$A$3,"MA_HT","SKS","MA_QH","DTL")</f>
        <v>0</v>
      </c>
      <c r="AD27" s="22">
        <f ca="1">+GETPIVOTDATA("TNG4",'ngaigiao (2016)'!$A$3,"MA_HT","SKS","MA_QH","DNL")</f>
        <v>0</v>
      </c>
      <c r="AE27" s="22">
        <f ca="1">+GETPIVOTDATA("TNG4",'ngaigiao (2016)'!$A$3,"MA_HT","SKS","MA_QH","DBV")</f>
        <v>0</v>
      </c>
      <c r="AF27" s="22">
        <f ca="1">+GETPIVOTDATA("TNG4",'ngaigiao (2016)'!$A$3,"MA_HT","SKS","MA_QH","DVH")</f>
        <v>0</v>
      </c>
      <c r="AG27" s="22">
        <f ca="1">+GETPIVOTDATA("TNG4",'ngaigiao (2016)'!$A$3,"MA_HT","SKS","MA_QH","DYT")</f>
        <v>0</v>
      </c>
      <c r="AH27" s="22">
        <f ca="1">+GETPIVOTDATA("TNG4",'ngaigiao (2016)'!$A$3,"MA_HT","SKS","MA_QH","DGD")</f>
        <v>0</v>
      </c>
      <c r="AI27" s="22">
        <f ca="1">+GETPIVOTDATA("TNG4",'ngaigiao (2016)'!$A$3,"MA_HT","SKS","MA_QH","DTT")</f>
        <v>0</v>
      </c>
      <c r="AJ27" s="22">
        <f ca="1">+GETPIVOTDATA("TNG4",'ngaigiao (2016)'!$A$3,"MA_HT","SKS","MA_QH","NCK")</f>
        <v>0</v>
      </c>
      <c r="AK27" s="22">
        <f ca="1">+GETPIVOTDATA("TNG4",'ngaigiao (2016)'!$A$3,"MA_HT","SKS","MA_QH","DXH")</f>
        <v>0</v>
      </c>
      <c r="AL27" s="22">
        <f ca="1">+GETPIVOTDATA("TNG4",'ngaigiao (2016)'!$A$3,"MA_HT","SKS","MA_QH","DCH")</f>
        <v>0</v>
      </c>
      <c r="AM27" s="22">
        <f ca="1">+GETPIVOTDATA("TNG4",'ngaigiao (2016)'!$A$3,"MA_HT","SKS","MA_QH","DKG")</f>
        <v>0</v>
      </c>
      <c r="AN27" s="22">
        <f ca="1">+GETPIVOTDATA("TNG4",'ngaigiao (2016)'!$A$3,"MA_HT","SKS","MA_QH","DDT")</f>
        <v>0</v>
      </c>
      <c r="AO27" s="22">
        <f ca="1">+GETPIVOTDATA("TNG4",'ngaigiao (2016)'!$A$3,"MA_HT","SKS","MA_QH","DDL")</f>
        <v>0</v>
      </c>
      <c r="AP27" s="22">
        <f ca="1">+GETPIVOTDATA("TNG4",'ngaigiao (2016)'!$A$3,"MA_HT","SKS","MA_QH","DRA")</f>
        <v>0</v>
      </c>
      <c r="AQ27" s="22">
        <f ca="1">+GETPIVOTDATA("TNG4",'ngaigiao (2016)'!$A$3,"MA_HT","SKS","MA_QH","ONT")</f>
        <v>0</v>
      </c>
      <c r="AR27" s="22">
        <f ca="1">+GETPIVOTDATA("TNG4",'ngaigiao (2016)'!$A$3,"MA_HT","SKS","MA_QH","ODT")</f>
        <v>0</v>
      </c>
      <c r="AS27" s="22">
        <f ca="1">+GETPIVOTDATA("TNG4",'ngaigiao (2016)'!$A$3,"MA_HT","SKS","MA_QH","TSC")</f>
        <v>0</v>
      </c>
      <c r="AT27" s="22">
        <f ca="1">+GETPIVOTDATA("TNG4",'ngaigiao (2016)'!$A$3,"MA_HT","SKS","MA_QH","DTS")</f>
        <v>0</v>
      </c>
      <c r="AU27" s="22">
        <f ca="1">+GETPIVOTDATA("TNG4",'ngaigiao (2016)'!$A$3,"MA_HT","SKS","MA_QH","DNG")</f>
        <v>0</v>
      </c>
      <c r="AV27" s="22">
        <f ca="1">+GETPIVOTDATA("TNG4",'ngaigiao (2016)'!$A$3,"MA_HT","SKS","MA_QH","TON")</f>
        <v>0</v>
      </c>
      <c r="AW27" s="22">
        <f ca="1">+GETPIVOTDATA("TNG4",'ngaigiao (2016)'!$A$3,"MA_HT","SKS","MA_QH","NTD")</f>
        <v>0</v>
      </c>
      <c r="AX27" s="22">
        <f ca="1">+GETPIVOTDATA("TNG4",'ngaigiao (2016)'!$A$3,"MA_HT","SKS","MA_QH","SKX")</f>
        <v>0</v>
      </c>
      <c r="AY27" s="22">
        <f ca="1">+GETPIVOTDATA("TNG4",'ngaigiao (2016)'!$A$3,"MA_HT","SKS","MA_QH","DSH")</f>
        <v>0</v>
      </c>
      <c r="AZ27" s="22">
        <f ca="1">+GETPIVOTDATA("TNG4",'ngaigiao (2016)'!$A$3,"MA_HT","SKS","MA_QH","DKV")</f>
        <v>0</v>
      </c>
      <c r="BA27" s="89">
        <f ca="1">+GETPIVOTDATA("TNG4",'ngaigiao (2016)'!$A$3,"MA_HT","SKS","MA_QH","TIN")</f>
        <v>0</v>
      </c>
      <c r="BB27" s="50">
        <f ca="1">+GETPIVOTDATA("TNG4",'ngaigiao (2016)'!$A$3,"MA_HT","SKS","MA_QH","SON")</f>
        <v>0</v>
      </c>
      <c r="BC27" s="50">
        <f ca="1">+GETPIVOTDATA("TNG4",'ngaigiao (2016)'!$A$3,"MA_HT","SKS","MA_QH","MNC")</f>
        <v>0</v>
      </c>
      <c r="BD27" s="22">
        <f ca="1">+GETPIVOTDATA("TNG4",'ngaigiao (2016)'!$A$3,"MA_HT","SKS","MA_QH","PNK")</f>
        <v>0</v>
      </c>
      <c r="BE27" s="71">
        <f ca="1">+GETPIVOTDATA("TNG4",'ngaigiao (2016)'!$A$3,"MA_HT","SKS","MA_QH","CSD")</f>
        <v>0</v>
      </c>
      <c r="BF27" s="74">
        <f ca="1" t="shared" si="13"/>
        <v>0</v>
      </c>
      <c r="BG27" s="101">
        <f ca="1">Z$59-$BF27</f>
        <v>0</v>
      </c>
      <c r="BH27" s="41" t="e">
        <f ca="1" t="shared" si="14"/>
        <v>#REF!</v>
      </c>
      <c r="BI27" s="98"/>
      <c r="BJ27" s="107" t="e">
        <f>#REF!</f>
        <v>#REF!</v>
      </c>
      <c r="BK27" s="107" t="e">
        <f ca="1">BH27-BJ27</f>
        <v>#REF!</v>
      </c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</row>
    <row r="28" s="2" customFormat="1" ht="15.75" customHeight="1" spans="1:79">
      <c r="A28" s="39" t="s">
        <v>8374</v>
      </c>
      <c r="B28" s="53" t="s">
        <v>8375</v>
      </c>
      <c r="C28" s="40" t="s">
        <v>8288</v>
      </c>
      <c r="D28" s="41" t="e">
        <f>+#REF!</f>
        <v>#REF!</v>
      </c>
      <c r="E28" s="42">
        <f ca="1" t="shared" si="15"/>
        <v>0</v>
      </c>
      <c r="F28" s="52">
        <f ca="1" t="shared" si="9"/>
        <v>0</v>
      </c>
      <c r="G28" s="44">
        <f ca="1">SUM(G29:G39)</f>
        <v>0</v>
      </c>
      <c r="H28" s="44">
        <f ca="1" t="shared" ref="H28:Q28" si="16">SUM(H29:H39)</f>
        <v>0</v>
      </c>
      <c r="I28" s="44">
        <f ca="1" t="shared" si="16"/>
        <v>0</v>
      </c>
      <c r="J28" s="44">
        <f ca="1" t="shared" si="16"/>
        <v>0</v>
      </c>
      <c r="K28" s="44">
        <f ca="1" t="shared" si="16"/>
        <v>0</v>
      </c>
      <c r="L28" s="44">
        <f ca="1" t="shared" si="16"/>
        <v>0</v>
      </c>
      <c r="M28" s="44">
        <f ca="1" t="shared" si="16"/>
        <v>0</v>
      </c>
      <c r="N28" s="44">
        <f ca="1" t="shared" si="16"/>
        <v>0</v>
      </c>
      <c r="O28" s="44">
        <f ca="1" t="shared" si="16"/>
        <v>0</v>
      </c>
      <c r="P28" s="44">
        <f ca="1" t="shared" si="16"/>
        <v>0</v>
      </c>
      <c r="Q28" s="44">
        <f ca="1" t="shared" si="16"/>
        <v>0</v>
      </c>
      <c r="R28" s="44">
        <f ca="1">SUM(S28:Z28,AN28:BD28)</f>
        <v>0</v>
      </c>
      <c r="S28" s="44">
        <f ca="1">SUM(S29:S39)</f>
        <v>0</v>
      </c>
      <c r="T28" s="44">
        <f ca="1" t="shared" ref="T28:Z28" si="17">SUM(T29:T39)</f>
        <v>0</v>
      </c>
      <c r="U28" s="44">
        <f ca="1" t="shared" si="17"/>
        <v>0</v>
      </c>
      <c r="V28" s="44">
        <f ca="1" t="shared" si="17"/>
        <v>0</v>
      </c>
      <c r="W28" s="44">
        <f ca="1" t="shared" si="17"/>
        <v>0</v>
      </c>
      <c r="X28" s="44">
        <f ca="1" t="shared" si="17"/>
        <v>0</v>
      </c>
      <c r="Y28" s="44">
        <f ca="1" t="shared" si="17"/>
        <v>0</v>
      </c>
      <c r="Z28" s="44">
        <f ca="1" t="shared" si="17"/>
        <v>0</v>
      </c>
      <c r="AA28" s="43" t="e">
        <f ca="1">$D28-$BF28</f>
        <v>#REF!</v>
      </c>
      <c r="AB28" s="44">
        <f ca="1">SUM(AB30:AB39)</f>
        <v>0</v>
      </c>
      <c r="AC28" s="44">
        <f ca="1">SUM(AC29,AC31:AC39)</f>
        <v>0</v>
      </c>
      <c r="AD28" s="44">
        <f ca="1">SUM(AD29:AD30,AD32:AD39)</f>
        <v>0</v>
      </c>
      <c r="AE28" s="44">
        <f ca="1">SUM(AE29:AE31,AE33:AE39)</f>
        <v>0</v>
      </c>
      <c r="AF28" s="44">
        <f ca="1">SUM(AF29:AF32,AF34:AF39)</f>
        <v>0</v>
      </c>
      <c r="AG28" s="44">
        <f ca="1">SUM(AG29:AG33,AG35:AG39)</f>
        <v>0</v>
      </c>
      <c r="AH28" s="44">
        <f ca="1">SUM(AH29:AH34,AH36:AH39)</f>
        <v>0</v>
      </c>
      <c r="AI28" s="44">
        <f ca="1">SUM(AI29:AI35,AI37:AI39)</f>
        <v>0</v>
      </c>
      <c r="AJ28" s="44">
        <f ca="1">SUM(AJ29:AJ36,AJ38:AJ39)</f>
        <v>0</v>
      </c>
      <c r="AK28" s="44">
        <f ca="1">SUM(AK29:AK37,AK39)</f>
        <v>0</v>
      </c>
      <c r="AL28" s="44">
        <f ca="1">SUM(AL29:AL38)</f>
        <v>0</v>
      </c>
      <c r="AM28" s="44">
        <f ca="1">SUM(AM29:AM38)</f>
        <v>0</v>
      </c>
      <c r="AN28" s="44">
        <f ca="1" t="shared" ref="AN28:BE28" si="18">SUM(AN29:AN39)</f>
        <v>0</v>
      </c>
      <c r="AO28" s="44">
        <f ca="1" t="shared" si="18"/>
        <v>0</v>
      </c>
      <c r="AP28" s="44">
        <f ca="1" t="shared" si="18"/>
        <v>0</v>
      </c>
      <c r="AQ28" s="44">
        <f ca="1" t="shared" si="18"/>
        <v>0</v>
      </c>
      <c r="AR28" s="44">
        <f ca="1" t="shared" si="18"/>
        <v>0</v>
      </c>
      <c r="AS28" s="44">
        <f ca="1" t="shared" si="18"/>
        <v>0</v>
      </c>
      <c r="AT28" s="44">
        <f ca="1" t="shared" si="18"/>
        <v>0</v>
      </c>
      <c r="AU28" s="44">
        <f ca="1" t="shared" si="18"/>
        <v>0</v>
      </c>
      <c r="AV28" s="44">
        <f ca="1" t="shared" si="18"/>
        <v>0</v>
      </c>
      <c r="AW28" s="44">
        <f ca="1" t="shared" si="18"/>
        <v>0</v>
      </c>
      <c r="AX28" s="44">
        <f ca="1" t="shared" si="18"/>
        <v>0</v>
      </c>
      <c r="AY28" s="44">
        <f ca="1" t="shared" si="18"/>
        <v>0</v>
      </c>
      <c r="AZ28" s="44">
        <f ca="1" t="shared" si="18"/>
        <v>0</v>
      </c>
      <c r="BA28" s="44">
        <f ca="1" t="shared" si="18"/>
        <v>0</v>
      </c>
      <c r="BB28" s="44">
        <f ca="1" t="shared" si="18"/>
        <v>0</v>
      </c>
      <c r="BC28" s="44">
        <f ca="1" t="shared" si="18"/>
        <v>0</v>
      </c>
      <c r="BD28" s="44">
        <f ca="1" t="shared" si="18"/>
        <v>0</v>
      </c>
      <c r="BE28" s="44">
        <f ca="1" t="shared" si="18"/>
        <v>0</v>
      </c>
      <c r="BF28" s="74">
        <f ca="1" t="shared" si="13"/>
        <v>0</v>
      </c>
      <c r="BG28" s="101">
        <f ca="1">AA$59-$BF28</f>
        <v>0</v>
      </c>
      <c r="BH28" s="41" t="e">
        <f ca="1" t="shared" si="14"/>
        <v>#REF!</v>
      </c>
      <c r="BI28" s="98"/>
      <c r="BJ28" s="107"/>
      <c r="BK28" s="107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</row>
    <row r="29" s="4" customFormat="1" ht="16.5" customHeight="1" spans="1:79">
      <c r="A29" s="45" t="s">
        <v>8376</v>
      </c>
      <c r="B29" s="45" t="s">
        <v>8377</v>
      </c>
      <c r="C29" s="46" t="s">
        <v>94</v>
      </c>
      <c r="D29" s="47" t="e">
        <f>+#REF!</f>
        <v>#REF!</v>
      </c>
      <c r="E29" s="42">
        <f ca="1" t="shared" si="15"/>
        <v>0</v>
      </c>
      <c r="F29" s="52">
        <f ca="1" t="shared" si="9"/>
        <v>0</v>
      </c>
      <c r="G29" s="50">
        <f ca="1">+GETPIVOTDATA("TNG4",'ngaigiao (2016)'!$A$3,"MA_HT","DGT","MA_QH","LUC")</f>
        <v>0</v>
      </c>
      <c r="H29" s="50">
        <f ca="1">+GETPIVOTDATA("TNG4",'ngaigiao (2016)'!$A$3,"MA_HT","DGT","MA_QH","LUK")</f>
        <v>0</v>
      </c>
      <c r="I29" s="50">
        <f ca="1">+GETPIVOTDATA("TNG4",'ngaigiao (2016)'!$A$3,"MA_HT","DGT","MA_QH","LUN")</f>
        <v>0</v>
      </c>
      <c r="J29" s="50">
        <f ca="1">+GETPIVOTDATA("TNG4",'ngaigiao (2016)'!$A$3,"MA_HT","DGT","MA_QH","HNK")</f>
        <v>0</v>
      </c>
      <c r="K29" s="50">
        <f ca="1">+GETPIVOTDATA("TNG4",'ngaigiao (2016)'!$A$3,"MA_HT","DGT","MA_QH","CLN")</f>
        <v>0</v>
      </c>
      <c r="L29" s="50">
        <f ca="1">+GETPIVOTDATA("TNG4",'ngaigiao (2016)'!$A$3,"MA_HT","DGT","MA_QH","RSX")</f>
        <v>0</v>
      </c>
      <c r="M29" s="50">
        <f ca="1">+GETPIVOTDATA("TNG4",'ngaigiao (2016)'!$A$3,"MA_HT","DGT","MA_QH","RPH")</f>
        <v>0</v>
      </c>
      <c r="N29" s="50">
        <f ca="1">+GETPIVOTDATA("TNG4",'ngaigiao (2016)'!$A$3,"MA_HT","DGT","MA_QH","RDD")</f>
        <v>0</v>
      </c>
      <c r="O29" s="50">
        <f ca="1">+GETPIVOTDATA("TNG4",'ngaigiao (2016)'!$A$3,"MA_HT","DGT","MA_QH","NTS")</f>
        <v>0</v>
      </c>
      <c r="P29" s="50">
        <f ca="1">+GETPIVOTDATA("TNG4",'ngaigiao (2016)'!$A$3,"MA_HT","DGT","MA_QH","LMU")</f>
        <v>0</v>
      </c>
      <c r="Q29" s="50">
        <f ca="1">+GETPIVOTDATA("TNG4",'ngaigiao (2016)'!$A$3,"MA_HT","DGT","MA_QH","NKH")</f>
        <v>0</v>
      </c>
      <c r="R29" s="48">
        <f ca="1">SUM(S29:AA29,AN29:BD29)</f>
        <v>0</v>
      </c>
      <c r="S29" s="50">
        <f ca="1">+GETPIVOTDATA("TNG4",'ngaigiao (2016)'!$A$3,"MA_HT","DGT","MA_QH","CQP")</f>
        <v>0</v>
      </c>
      <c r="T29" s="50">
        <f ca="1">+GETPIVOTDATA("TNG4",'ngaigiao (2016)'!$A$3,"MA_HT","DGT","MA_QH","CAN")</f>
        <v>0</v>
      </c>
      <c r="U29" s="50">
        <f ca="1">+GETPIVOTDATA("TNG4",'ngaigiao (2016)'!$A$3,"MA_HT","DGT","MA_QH","SKK")</f>
        <v>0</v>
      </c>
      <c r="V29" s="50">
        <f ca="1">+GETPIVOTDATA("TNG4",'ngaigiao (2016)'!$A$3,"MA_HT","DGT","MA_QH","SKT")</f>
        <v>0</v>
      </c>
      <c r="W29" s="50">
        <f ca="1">+GETPIVOTDATA("TNG4",'ngaigiao (2016)'!$A$3,"MA_HT","DGT","MA_QH","SKN")</f>
        <v>0</v>
      </c>
      <c r="X29" s="50">
        <f ca="1">+GETPIVOTDATA("TNG4",'ngaigiao (2016)'!$A$3,"MA_HT","DGT","MA_QH","TMD")</f>
        <v>0</v>
      </c>
      <c r="Y29" s="50">
        <f ca="1">+GETPIVOTDATA("TNG4",'ngaigiao (2016)'!$A$3,"MA_HT","DGT","MA_QH","SKC")</f>
        <v>0</v>
      </c>
      <c r="Z29" s="50">
        <f ca="1">+GETPIVOTDATA("TNG4",'ngaigiao (2016)'!$A$3,"MA_HT","DGT","MA_QH","SKS")</f>
        <v>0</v>
      </c>
      <c r="AA29" s="52">
        <f ca="1">+SUM(AC29:AM29)</f>
        <v>0</v>
      </c>
      <c r="AB29" s="49" t="e">
        <f ca="1">$D29-$BF29</f>
        <v>#REF!</v>
      </c>
      <c r="AC29" s="50">
        <f ca="1">+GETPIVOTDATA("TNG4",'ngaigiao (2016)'!$A$3,"MA_HT","DGT","MA_QH","DTL")</f>
        <v>0</v>
      </c>
      <c r="AD29" s="50">
        <f ca="1">+GETPIVOTDATA("TNG4",'ngaigiao (2016)'!$A$3,"MA_HT","DGT","MA_QH","DNL")</f>
        <v>0</v>
      </c>
      <c r="AE29" s="50">
        <f ca="1">+GETPIVOTDATA("TNG4",'ngaigiao (2016)'!$A$3,"MA_HT","DGT","MA_QH","DBV")</f>
        <v>0</v>
      </c>
      <c r="AF29" s="50">
        <f ca="1">+GETPIVOTDATA("TNG4",'ngaigiao (2016)'!$A$3,"MA_HT","DGT","MA_QH","DVH")</f>
        <v>0</v>
      </c>
      <c r="AG29" s="50">
        <f ca="1">+GETPIVOTDATA("TNG4",'ngaigiao (2016)'!$A$3,"MA_HT","DGT","MA_QH","DYT")</f>
        <v>0</v>
      </c>
      <c r="AH29" s="50">
        <f ca="1">+GETPIVOTDATA("TNG4",'ngaigiao (2016)'!$A$3,"MA_HT","DGT","MA_QH","DGD")</f>
        <v>0</v>
      </c>
      <c r="AI29" s="50">
        <f ca="1">+GETPIVOTDATA("TNG4",'ngaigiao (2016)'!$A$3,"MA_HT","DGT","MA_QH","DTT")</f>
        <v>0</v>
      </c>
      <c r="AJ29" s="50">
        <f ca="1">+GETPIVOTDATA("TNG4",'ngaigiao (2016)'!$A$3,"MA_HT","DGT","MA_QH","NCK")</f>
        <v>0</v>
      </c>
      <c r="AK29" s="50">
        <f ca="1">+GETPIVOTDATA("TNG4",'ngaigiao (2016)'!$A$3,"MA_HT","DGT","MA_QH","DXH")</f>
        <v>0</v>
      </c>
      <c r="AL29" s="50">
        <f ca="1">+GETPIVOTDATA("TNG4",'ngaigiao (2016)'!$A$3,"MA_HT","DGT","MA_QH","DCH")</f>
        <v>0</v>
      </c>
      <c r="AM29" s="50">
        <f ca="1">+GETPIVOTDATA("TNG4",'ngaigiao (2016)'!$A$3,"MA_HT","DGT","MA_QH","DKG")</f>
        <v>0</v>
      </c>
      <c r="AN29" s="50">
        <f ca="1">+GETPIVOTDATA("TNG4",'ngaigiao (2016)'!$A$3,"MA_HT","DGT","MA_QH","DDT")</f>
        <v>0</v>
      </c>
      <c r="AO29" s="50">
        <f ca="1">+GETPIVOTDATA("TNG4",'ngaigiao (2016)'!$A$3,"MA_HT","DGT","MA_QH","DDL")</f>
        <v>0</v>
      </c>
      <c r="AP29" s="50">
        <f ca="1">+GETPIVOTDATA("TNG4",'ngaigiao (2016)'!$A$3,"MA_HT","DGT","MA_QH","DRA")</f>
        <v>0</v>
      </c>
      <c r="AQ29" s="50">
        <f ca="1">+GETPIVOTDATA("TNG4",'ngaigiao (2016)'!$A$3,"MA_HT","DGT","MA_QH","ONT")</f>
        <v>0</v>
      </c>
      <c r="AR29" s="50">
        <f ca="1">+GETPIVOTDATA("TNG4",'ngaigiao (2016)'!$A$3,"MA_HT","DGT","MA_QH","ODT")</f>
        <v>0</v>
      </c>
      <c r="AS29" s="50">
        <f ca="1">+GETPIVOTDATA("TNG4",'ngaigiao (2016)'!$A$3,"MA_HT","DGT","MA_QH","TSC")</f>
        <v>0</v>
      </c>
      <c r="AT29" s="50">
        <f ca="1">+GETPIVOTDATA("TNG4",'ngaigiao (2016)'!$A$3,"MA_HT","DGT","MA_QH","DTS")</f>
        <v>0</v>
      </c>
      <c r="AU29" s="50">
        <f ca="1">+GETPIVOTDATA("TNG4",'ngaigiao (2016)'!$A$3,"MA_HT","DGT","MA_QH","DNG")</f>
        <v>0</v>
      </c>
      <c r="AV29" s="50">
        <f ca="1">+GETPIVOTDATA("TNG4",'ngaigiao (2016)'!$A$3,"MA_HT","DGT","MA_QH","TON")</f>
        <v>0</v>
      </c>
      <c r="AW29" s="50">
        <f ca="1">+GETPIVOTDATA("TNG4",'ngaigiao (2016)'!$A$3,"MA_HT","DGT","MA_QH","NTD")</f>
        <v>0</v>
      </c>
      <c r="AX29" s="50">
        <f ca="1">+GETPIVOTDATA("TNG4",'ngaigiao (2016)'!$A$3,"MA_HT","DGT","MA_QH","SKX")</f>
        <v>0</v>
      </c>
      <c r="AY29" s="50">
        <f ca="1">+GETPIVOTDATA("TNG4",'ngaigiao (2016)'!$A$3,"MA_HT","DGT","MA_QH","DSH")</f>
        <v>0</v>
      </c>
      <c r="AZ29" s="50">
        <f ca="1">+GETPIVOTDATA("TNG4",'ngaigiao (2016)'!$A$3,"MA_HT","DGT","MA_QH","DKV")</f>
        <v>0</v>
      </c>
      <c r="BA29" s="88">
        <f ca="1">+GETPIVOTDATA("TNG4",'ngaigiao (2016)'!$A$3,"MA_HT","DGT","MA_QH","TIN")</f>
        <v>0</v>
      </c>
      <c r="BB29" s="50">
        <f ca="1">+GETPIVOTDATA("TNG4",'ngaigiao (2016)'!$A$3,"MA_HT","DGT","MA_QH","SON")</f>
        <v>0</v>
      </c>
      <c r="BC29" s="50">
        <f ca="1">+GETPIVOTDATA("TNG4",'ngaigiao (2016)'!$A$3,"MA_HT","DGT","MA_QH","MNC")</f>
        <v>0</v>
      </c>
      <c r="BD29" s="50">
        <f ca="1">+GETPIVOTDATA("TNG4",'ngaigiao (2016)'!$A$3,"MA_HT","DGT","MA_QH","PNK")</f>
        <v>0</v>
      </c>
      <c r="BE29" s="80">
        <f ca="1">+GETPIVOTDATA("TNG4",'ngaigiao (2016)'!$A$3,"MA_HT","DGT","MA_QH","CSD")</f>
        <v>0</v>
      </c>
      <c r="BF29" s="103">
        <f ca="1" t="shared" si="13"/>
        <v>0</v>
      </c>
      <c r="BG29" s="104">
        <f ca="1">AB$59-$BF29</f>
        <v>0</v>
      </c>
      <c r="BH29" s="47" t="e">
        <f ca="1" t="shared" si="14"/>
        <v>#REF!</v>
      </c>
      <c r="BI29" s="105"/>
      <c r="BJ29" s="105" t="e">
        <f>#REF!</f>
        <v>#REF!</v>
      </c>
      <c r="BK29" s="108" t="e">
        <f ca="1" t="shared" ref="BK29:BK40" si="19">BH29-BJ29</f>
        <v>#REF!</v>
      </c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</row>
    <row r="30" s="4" customFormat="1" ht="16.5" customHeight="1" spans="1:79">
      <c r="A30" s="45" t="s">
        <v>8378</v>
      </c>
      <c r="B30" s="45" t="s">
        <v>8379</v>
      </c>
      <c r="C30" s="46" t="s">
        <v>216</v>
      </c>
      <c r="D30" s="47" t="e">
        <f>+#REF!</f>
        <v>#REF!</v>
      </c>
      <c r="E30" s="42">
        <f ca="1" t="shared" si="15"/>
        <v>0</v>
      </c>
      <c r="F30" s="52">
        <f ca="1" t="shared" si="9"/>
        <v>0</v>
      </c>
      <c r="G30" s="50">
        <f ca="1">+GETPIVOTDATA("TNG4",'ngaigiao (2016)'!$A$3,"MA_HT","DTL","MA_QH","LUC")</f>
        <v>0</v>
      </c>
      <c r="H30" s="50">
        <f ca="1">+GETPIVOTDATA("TNG4",'ngaigiao (2016)'!$A$3,"MA_HT","DTL","MA_QH","LUK")</f>
        <v>0</v>
      </c>
      <c r="I30" s="50">
        <f ca="1">+GETPIVOTDATA("TNG4",'ngaigiao (2016)'!$A$3,"MA_HT","DTL","MA_QH","LUN")</f>
        <v>0</v>
      </c>
      <c r="J30" s="50">
        <f ca="1">+GETPIVOTDATA("TNG4",'ngaigiao (2016)'!$A$3,"MA_HT","DTL","MA_QH","HNK")</f>
        <v>0</v>
      </c>
      <c r="K30" s="50">
        <f ca="1">+GETPIVOTDATA("TNG4",'ngaigiao (2016)'!$A$3,"MA_HT","DTL","MA_QH","CLN")</f>
        <v>0</v>
      </c>
      <c r="L30" s="50">
        <f ca="1">+GETPIVOTDATA("TNG4",'ngaigiao (2016)'!$A$3,"MA_HT","DTL","MA_QH","RSX")</f>
        <v>0</v>
      </c>
      <c r="M30" s="50">
        <f ca="1">+GETPIVOTDATA("TNG4",'ngaigiao (2016)'!$A$3,"MA_HT","DTL","MA_QH","RPH")</f>
        <v>0</v>
      </c>
      <c r="N30" s="50">
        <f ca="1">+GETPIVOTDATA("TNG4",'ngaigiao (2016)'!$A$3,"MA_HT","DTL","MA_QH","RDD")</f>
        <v>0</v>
      </c>
      <c r="O30" s="50">
        <f ca="1">+GETPIVOTDATA("TNG4",'ngaigiao (2016)'!$A$3,"MA_HT","DTL","MA_QH","NTS")</f>
        <v>0</v>
      </c>
      <c r="P30" s="50">
        <f ca="1">+GETPIVOTDATA("TNG4",'ngaigiao (2016)'!$A$3,"MA_HT","DTL","MA_QH","LMU")</f>
        <v>0</v>
      </c>
      <c r="Q30" s="50">
        <f ca="1">+GETPIVOTDATA("TNG4",'ngaigiao (2016)'!$A$3,"MA_HT","DTL","MA_QH","NKH")</f>
        <v>0</v>
      </c>
      <c r="R30" s="48">
        <f ca="1" t="shared" ref="R30:R40" si="20">SUM(S30:AA30,AN30:BD30)</f>
        <v>0</v>
      </c>
      <c r="S30" s="50">
        <f ca="1">+GETPIVOTDATA("TNG4",'ngaigiao (2016)'!$A$3,"MA_HT","DTL","MA_QH","CQP")</f>
        <v>0</v>
      </c>
      <c r="T30" s="50">
        <f ca="1">+GETPIVOTDATA("TNG4",'ngaigiao (2016)'!$A$3,"MA_HT","DTL","MA_QH","CAN")</f>
        <v>0</v>
      </c>
      <c r="U30" s="50">
        <f ca="1">+GETPIVOTDATA("TNG4",'ngaigiao (2016)'!$A$3,"MA_HT","DTL","MA_QH","SKK")</f>
        <v>0</v>
      </c>
      <c r="V30" s="50">
        <f ca="1">+GETPIVOTDATA("TNG4",'ngaigiao (2016)'!$A$3,"MA_HT","DTL","MA_QH","SKT")</f>
        <v>0</v>
      </c>
      <c r="W30" s="50">
        <f ca="1">+GETPIVOTDATA("TNG4",'ngaigiao (2016)'!$A$3,"MA_HT","DTL","MA_QH","SKN")</f>
        <v>0</v>
      </c>
      <c r="X30" s="50">
        <f ca="1">+GETPIVOTDATA("TNG4",'ngaigiao (2016)'!$A$3,"MA_HT","DTL","MA_QH","TMD")</f>
        <v>0</v>
      </c>
      <c r="Y30" s="50">
        <f ca="1">+GETPIVOTDATA("TNG4",'ngaigiao (2016)'!$A$3,"MA_HT","DTL","MA_QH","SKC")</f>
        <v>0</v>
      </c>
      <c r="Z30" s="50">
        <f ca="1">+GETPIVOTDATA("TNG4",'ngaigiao (2016)'!$A$3,"MA_HT","DTL","MA_QH","SKS")</f>
        <v>0</v>
      </c>
      <c r="AA30" s="52">
        <f ca="1">+SUM(AB30,AD30:AM30)</f>
        <v>0</v>
      </c>
      <c r="AB30" s="50">
        <f ca="1">+GETPIVOTDATA("TNG4",'ngaigiao (2016)'!$A$3,"MA_HT","DTL","MA_QH","DGT")</f>
        <v>0</v>
      </c>
      <c r="AC30" s="49" t="e">
        <f ca="1">$D30-$BF30</f>
        <v>#REF!</v>
      </c>
      <c r="AD30" s="50">
        <f ca="1">+GETPIVOTDATA("TNG4",'ngaigiao (2016)'!$A$3,"MA_HT","DTL","MA_QH","DNL")</f>
        <v>0</v>
      </c>
      <c r="AE30" s="50">
        <f ca="1">+GETPIVOTDATA("TNG4",'ngaigiao (2016)'!$A$3,"MA_HT","DTL","MA_QH","DBV")</f>
        <v>0</v>
      </c>
      <c r="AF30" s="50">
        <f ca="1">+GETPIVOTDATA("TNG4",'ngaigiao (2016)'!$A$3,"MA_HT","DTL","MA_QH","DVH")</f>
        <v>0</v>
      </c>
      <c r="AG30" s="50">
        <f ca="1">+GETPIVOTDATA("TNG4",'ngaigiao (2016)'!$A$3,"MA_HT","DTL","MA_QH","DYT")</f>
        <v>0</v>
      </c>
      <c r="AH30" s="50">
        <f ca="1">+GETPIVOTDATA("TNG4",'ngaigiao (2016)'!$A$3,"MA_HT","DTL","MA_QH","DGD")</f>
        <v>0</v>
      </c>
      <c r="AI30" s="50">
        <f ca="1">+GETPIVOTDATA("TNG4",'ngaigiao (2016)'!$A$3,"MA_HT","DTL","MA_QH","DTT")</f>
        <v>0</v>
      </c>
      <c r="AJ30" s="50">
        <f ca="1">+GETPIVOTDATA("TNG4",'ngaigiao (2016)'!$A$3,"MA_HT","DTL","MA_QH","NCK")</f>
        <v>0</v>
      </c>
      <c r="AK30" s="50">
        <f ca="1">+GETPIVOTDATA("TNG4",'ngaigiao (2016)'!$A$3,"MA_HT","DTL","MA_QH","DXH")</f>
        <v>0</v>
      </c>
      <c r="AL30" s="50">
        <f ca="1">+GETPIVOTDATA("TNG4",'ngaigiao (2016)'!$A$3,"MA_HT","DTL","MA_QH","DCH")</f>
        <v>0</v>
      </c>
      <c r="AM30" s="50">
        <f ca="1">+GETPIVOTDATA("TNG4",'ngaigiao (2016)'!$A$3,"MA_HT","DTL","MA_QH","DKG")</f>
        <v>0</v>
      </c>
      <c r="AN30" s="50">
        <f ca="1">+GETPIVOTDATA("TNG4",'ngaigiao (2016)'!$A$3,"MA_HT","DTL","MA_QH","DDT")</f>
        <v>0</v>
      </c>
      <c r="AO30" s="50">
        <f ca="1">+GETPIVOTDATA("TNG4",'ngaigiao (2016)'!$A$3,"MA_HT","DTL","MA_QH","DDL")</f>
        <v>0</v>
      </c>
      <c r="AP30" s="50">
        <f ca="1">+GETPIVOTDATA("TNG4",'ngaigiao (2016)'!$A$3,"MA_HT","DTL","MA_QH","DRA")</f>
        <v>0</v>
      </c>
      <c r="AQ30" s="50">
        <f ca="1">+GETPIVOTDATA("TNG4",'ngaigiao (2016)'!$A$3,"MA_HT","DTL","MA_QH","ONT")</f>
        <v>0</v>
      </c>
      <c r="AR30" s="50">
        <f ca="1">+GETPIVOTDATA("TNG4",'ngaigiao (2016)'!$A$3,"MA_HT","DTL","MA_QH","ODT")</f>
        <v>0</v>
      </c>
      <c r="AS30" s="50">
        <f ca="1">+GETPIVOTDATA("TNG4",'ngaigiao (2016)'!$A$3,"MA_HT","DTL","MA_QH","TSC")</f>
        <v>0</v>
      </c>
      <c r="AT30" s="50">
        <f ca="1">+GETPIVOTDATA("TNG4",'ngaigiao (2016)'!$A$3,"MA_HT","DTL","MA_QH","DTS")</f>
        <v>0</v>
      </c>
      <c r="AU30" s="50">
        <f ca="1">+GETPIVOTDATA("TNG4",'ngaigiao (2016)'!$A$3,"MA_HT","DTL","MA_QH","DNG")</f>
        <v>0</v>
      </c>
      <c r="AV30" s="50">
        <f ca="1">+GETPIVOTDATA("TNG4",'ngaigiao (2016)'!$A$3,"MA_HT","DTL","MA_QH","TON")</f>
        <v>0</v>
      </c>
      <c r="AW30" s="50">
        <f ca="1">+GETPIVOTDATA("TNG4",'ngaigiao (2016)'!$A$3,"MA_HT","DTL","MA_QH","NTD")</f>
        <v>0</v>
      </c>
      <c r="AX30" s="50">
        <f ca="1">+GETPIVOTDATA("TNG4",'ngaigiao (2016)'!$A$3,"MA_HT","DTL","MA_QH","SKX")</f>
        <v>0</v>
      </c>
      <c r="AY30" s="50">
        <f ca="1">+GETPIVOTDATA("TNG4",'ngaigiao (2016)'!$A$3,"MA_HT","DTL","MA_QH","DSH")</f>
        <v>0</v>
      </c>
      <c r="AZ30" s="50">
        <f ca="1">+GETPIVOTDATA("TNG4",'ngaigiao (2016)'!$A$3,"MA_HT","DTL","MA_QH","DKV")</f>
        <v>0</v>
      </c>
      <c r="BA30" s="88">
        <f ca="1">+GETPIVOTDATA("TNG4",'ngaigiao (2016)'!$A$3,"MA_HT","DTL","MA_QH","TIN")</f>
        <v>0</v>
      </c>
      <c r="BB30" s="50">
        <f ca="1">+GETPIVOTDATA("TNG4",'ngaigiao (2016)'!$A$3,"MA_HT","DTL","MA_QH","SON")</f>
        <v>0</v>
      </c>
      <c r="BC30" s="50">
        <f ca="1">+GETPIVOTDATA("TNG4",'ngaigiao (2016)'!$A$3,"MA_HT","DTL","MA_QH","MNC")</f>
        <v>0</v>
      </c>
      <c r="BD30" s="50">
        <f ca="1">+GETPIVOTDATA("TNG4",'ngaigiao (2016)'!$A$3,"MA_HT","DTL","MA_QH","PNK")</f>
        <v>0</v>
      </c>
      <c r="BE30" s="80">
        <f ca="1">+GETPIVOTDATA("TNG4",'ngaigiao (2016)'!$A$3,"MA_HT","DTL","MA_QH","CSD")</f>
        <v>0</v>
      </c>
      <c r="BF30" s="103">
        <f ca="1" t="shared" si="13"/>
        <v>0</v>
      </c>
      <c r="BG30" s="104">
        <f ca="1">AC$59-$BF30</f>
        <v>0</v>
      </c>
      <c r="BH30" s="47" t="e">
        <f ca="1" t="shared" si="14"/>
        <v>#REF!</v>
      </c>
      <c r="BI30" s="105"/>
      <c r="BJ30" s="105" t="e">
        <f>#REF!</f>
        <v>#REF!</v>
      </c>
      <c r="BK30" s="108" t="e">
        <f ca="1" t="shared" si="19"/>
        <v>#REF!</v>
      </c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</row>
    <row r="31" s="4" customFormat="1" ht="16.5" customHeight="1" spans="1:79">
      <c r="A31" s="45" t="s">
        <v>8380</v>
      </c>
      <c r="B31" s="45" t="s">
        <v>8381</v>
      </c>
      <c r="C31" s="46" t="s">
        <v>71</v>
      </c>
      <c r="D31" s="47" t="e">
        <f>+#REF!</f>
        <v>#REF!</v>
      </c>
      <c r="E31" s="42">
        <f ca="1" t="shared" si="15"/>
        <v>0</v>
      </c>
      <c r="F31" s="52">
        <f ca="1" t="shared" si="9"/>
        <v>0</v>
      </c>
      <c r="G31" s="50">
        <f ca="1">+GETPIVOTDATA("TNG4",'ngaigiao (2016)'!$A$3,"MA_HT","DNL","MA_QH","LUC")</f>
        <v>0</v>
      </c>
      <c r="H31" s="50">
        <f ca="1">+GETPIVOTDATA("TNG4",'ngaigiao (2016)'!$A$3,"MA_HT","DNL","MA_QH","LUK")</f>
        <v>0</v>
      </c>
      <c r="I31" s="50">
        <f ca="1">+GETPIVOTDATA("TNG4",'ngaigiao (2016)'!$A$3,"MA_HT","DNL","MA_QH","LUN")</f>
        <v>0</v>
      </c>
      <c r="J31" s="50">
        <f ca="1">+GETPIVOTDATA("TNG4",'ngaigiao (2016)'!$A$3,"MA_HT","DNL","MA_QH","HNK")</f>
        <v>0</v>
      </c>
      <c r="K31" s="50">
        <f ca="1">+GETPIVOTDATA("TNG4",'ngaigiao (2016)'!$A$3,"MA_HT","DNL","MA_QH","CLN")</f>
        <v>0</v>
      </c>
      <c r="L31" s="50">
        <f ca="1">+GETPIVOTDATA("TNG4",'ngaigiao (2016)'!$A$3,"MA_HT","DNL","MA_QH","RSX")</f>
        <v>0</v>
      </c>
      <c r="M31" s="50">
        <f ca="1">+GETPIVOTDATA("TNG4",'ngaigiao (2016)'!$A$3,"MA_HT","DNL","MA_QH","RPH")</f>
        <v>0</v>
      </c>
      <c r="N31" s="50">
        <f ca="1">+GETPIVOTDATA("TNG4",'ngaigiao (2016)'!$A$3,"MA_HT","DNL","MA_QH","RDD")</f>
        <v>0</v>
      </c>
      <c r="O31" s="50">
        <f ca="1">+GETPIVOTDATA("TNG4",'ngaigiao (2016)'!$A$3,"MA_HT","DNL","MA_QH","NTS")</f>
        <v>0</v>
      </c>
      <c r="P31" s="50">
        <f ca="1">+GETPIVOTDATA("TNG4",'ngaigiao (2016)'!$A$3,"MA_HT","DNL","MA_QH","LMU")</f>
        <v>0</v>
      </c>
      <c r="Q31" s="50">
        <f ca="1">+GETPIVOTDATA("TNG4",'ngaigiao (2016)'!$A$3,"MA_HT","DNL","MA_QH","NKH")</f>
        <v>0</v>
      </c>
      <c r="R31" s="48">
        <f ca="1" t="shared" si="20"/>
        <v>0</v>
      </c>
      <c r="S31" s="50">
        <f ca="1">+GETPIVOTDATA("TNG4",'ngaigiao (2016)'!$A$3,"MA_HT","DNL","MA_QH","CQP")</f>
        <v>0</v>
      </c>
      <c r="T31" s="50">
        <f ca="1">+GETPIVOTDATA("TNG4",'ngaigiao (2016)'!$A$3,"MA_HT","DNL","MA_QH","CAN")</f>
        <v>0</v>
      </c>
      <c r="U31" s="50">
        <f ca="1">+GETPIVOTDATA("TNG4",'ngaigiao (2016)'!$A$3,"MA_HT","DNL","MA_QH","SKK")</f>
        <v>0</v>
      </c>
      <c r="V31" s="50">
        <f ca="1">+GETPIVOTDATA("TNG4",'ngaigiao (2016)'!$A$3,"MA_HT","DNL","MA_QH","SKT")</f>
        <v>0</v>
      </c>
      <c r="W31" s="50">
        <f ca="1">+GETPIVOTDATA("TNG4",'ngaigiao (2016)'!$A$3,"MA_HT","DNL","MA_QH","SKN")</f>
        <v>0</v>
      </c>
      <c r="X31" s="50">
        <f ca="1">+GETPIVOTDATA("TNG4",'ngaigiao (2016)'!$A$3,"MA_HT","DNL","MA_QH","TMD")</f>
        <v>0</v>
      </c>
      <c r="Y31" s="50">
        <f ca="1">+GETPIVOTDATA("TNG4",'ngaigiao (2016)'!$A$3,"MA_HT","DNL","MA_QH","SKC")</f>
        <v>0</v>
      </c>
      <c r="Z31" s="50">
        <f ca="1">+GETPIVOTDATA("TNG4",'ngaigiao (2016)'!$A$3,"MA_HT","DNL","MA_QH","SKS")</f>
        <v>0</v>
      </c>
      <c r="AA31" s="52">
        <f ca="1">+SUM(AB31:AC31,AE31:AM31)</f>
        <v>0</v>
      </c>
      <c r="AB31" s="50">
        <f ca="1">+GETPIVOTDATA("TNG4",'ngaigiao (2016)'!$A$3,"MA_HT","DNL","MA_QH","DGT")</f>
        <v>0</v>
      </c>
      <c r="AC31" s="50">
        <f ca="1">+GETPIVOTDATA("TNG4",'ngaigiao (2016)'!$A$3,"MA_HT","DNL","MA_QH","DTL")</f>
        <v>0</v>
      </c>
      <c r="AD31" s="49" t="e">
        <f ca="1">$D31-$BF31</f>
        <v>#REF!</v>
      </c>
      <c r="AE31" s="50">
        <f ca="1">+GETPIVOTDATA("TNG4",'ngaigiao (2016)'!$A$3,"MA_HT","DNL","MA_QH","DBV")</f>
        <v>0</v>
      </c>
      <c r="AF31" s="50">
        <f ca="1">+GETPIVOTDATA("TNG4",'ngaigiao (2016)'!$A$3,"MA_HT","DNL","MA_QH","DVH")</f>
        <v>0</v>
      </c>
      <c r="AG31" s="50">
        <f ca="1">+GETPIVOTDATA("TNG4",'ngaigiao (2016)'!$A$3,"MA_HT","DNL","MA_QH","DYT")</f>
        <v>0</v>
      </c>
      <c r="AH31" s="50">
        <f ca="1">+GETPIVOTDATA("TNG4",'ngaigiao (2016)'!$A$3,"MA_HT","DNL","MA_QH","DGD")</f>
        <v>0</v>
      </c>
      <c r="AI31" s="50">
        <f ca="1">+GETPIVOTDATA("TNG4",'ngaigiao (2016)'!$A$3,"MA_HT","DNL","MA_QH","DTT")</f>
        <v>0</v>
      </c>
      <c r="AJ31" s="50">
        <f ca="1">+GETPIVOTDATA("TNG4",'ngaigiao (2016)'!$A$3,"MA_HT","DNL","MA_QH","NCK")</f>
        <v>0</v>
      </c>
      <c r="AK31" s="50">
        <f ca="1">+GETPIVOTDATA("TNG4",'ngaigiao (2016)'!$A$3,"MA_HT","DNL","MA_QH","DXH")</f>
        <v>0</v>
      </c>
      <c r="AL31" s="50">
        <f ca="1">+GETPIVOTDATA("TNG4",'ngaigiao (2016)'!$A$3,"MA_HT","DNL","MA_QH","DCH")</f>
        <v>0</v>
      </c>
      <c r="AM31" s="50">
        <f ca="1">+GETPIVOTDATA("TNG4",'ngaigiao (2016)'!$A$3,"MA_HT","DNL","MA_QH","DKG")</f>
        <v>0</v>
      </c>
      <c r="AN31" s="50">
        <f ca="1">+GETPIVOTDATA("TNG4",'ngaigiao (2016)'!$A$3,"MA_HT","DNL","MA_QH","DDT")</f>
        <v>0</v>
      </c>
      <c r="AO31" s="50">
        <f ca="1">+GETPIVOTDATA("TNG4",'ngaigiao (2016)'!$A$3,"MA_HT","DNL","MA_QH","DDL")</f>
        <v>0</v>
      </c>
      <c r="AP31" s="50">
        <f ca="1">+GETPIVOTDATA("TNG4",'ngaigiao (2016)'!$A$3,"MA_HT","DNL","MA_QH","DRA")</f>
        <v>0</v>
      </c>
      <c r="AQ31" s="50">
        <f ca="1">+GETPIVOTDATA("TNG4",'ngaigiao (2016)'!$A$3,"MA_HT","DNL","MA_QH","ONT")</f>
        <v>0</v>
      </c>
      <c r="AR31" s="50">
        <f ca="1">+GETPIVOTDATA("TNG4",'ngaigiao (2016)'!$A$3,"MA_HT","DNL","MA_QH","ODT")</f>
        <v>0</v>
      </c>
      <c r="AS31" s="50">
        <f ca="1">+GETPIVOTDATA("TNG4",'ngaigiao (2016)'!$A$3,"MA_HT","DNL","MA_QH","TSC")</f>
        <v>0</v>
      </c>
      <c r="AT31" s="50">
        <f ca="1">+GETPIVOTDATA("TNG4",'ngaigiao (2016)'!$A$3,"MA_HT","DNL","MA_QH","DTS")</f>
        <v>0</v>
      </c>
      <c r="AU31" s="50">
        <f ca="1">+GETPIVOTDATA("TNG4",'ngaigiao (2016)'!$A$3,"MA_HT","DNL","MA_QH","DNG")</f>
        <v>0</v>
      </c>
      <c r="AV31" s="50">
        <f ca="1">+GETPIVOTDATA("TNG4",'ngaigiao (2016)'!$A$3,"MA_HT","DNL","MA_QH","TON")</f>
        <v>0</v>
      </c>
      <c r="AW31" s="50">
        <f ca="1">+GETPIVOTDATA("TNG4",'ngaigiao (2016)'!$A$3,"MA_HT","DNL","MA_QH","NTD")</f>
        <v>0</v>
      </c>
      <c r="AX31" s="50">
        <f ca="1">+GETPIVOTDATA("TNG4",'ngaigiao (2016)'!$A$3,"MA_HT","DNL","MA_QH","SKX")</f>
        <v>0</v>
      </c>
      <c r="AY31" s="50">
        <f ca="1">+GETPIVOTDATA("TNG4",'ngaigiao (2016)'!$A$3,"MA_HT","DNL","MA_QH","DSH")</f>
        <v>0</v>
      </c>
      <c r="AZ31" s="50">
        <f ca="1">+GETPIVOTDATA("TNG4",'ngaigiao (2016)'!$A$3,"MA_HT","DNL","MA_QH","DKV")</f>
        <v>0</v>
      </c>
      <c r="BA31" s="88">
        <f ca="1">+GETPIVOTDATA("TNG4",'ngaigiao (2016)'!$A$3,"MA_HT","DNL","MA_QH","TIN")</f>
        <v>0</v>
      </c>
      <c r="BB31" s="50">
        <f ca="1">+GETPIVOTDATA("TNG4",'ngaigiao (2016)'!$A$3,"MA_HT","DNL","MA_QH","SON")</f>
        <v>0</v>
      </c>
      <c r="BC31" s="50">
        <f ca="1">+GETPIVOTDATA("TNG4",'ngaigiao (2016)'!$A$3,"MA_HT","DNL","MA_QH","MNC")</f>
        <v>0</v>
      </c>
      <c r="BD31" s="50">
        <f ca="1">+GETPIVOTDATA("TNG4",'ngaigiao (2016)'!$A$3,"MA_HT","DNL","MA_QH","PNK")</f>
        <v>0</v>
      </c>
      <c r="BE31" s="80">
        <f ca="1">+GETPIVOTDATA("TNG4",'ngaigiao (2016)'!$A$3,"MA_HT","DNL","MA_QH","CSD")</f>
        <v>0</v>
      </c>
      <c r="BF31" s="103">
        <f ca="1" t="shared" si="13"/>
        <v>0</v>
      </c>
      <c r="BG31" s="104">
        <f ca="1">AD$59-$BF31</f>
        <v>0</v>
      </c>
      <c r="BH31" s="47" t="e">
        <f ca="1" t="shared" si="14"/>
        <v>#REF!</v>
      </c>
      <c r="BI31" s="105"/>
      <c r="BJ31" s="105" t="e">
        <f>#REF!</f>
        <v>#REF!</v>
      </c>
      <c r="BK31" s="108" t="e">
        <f ca="1" t="shared" si="19"/>
        <v>#REF!</v>
      </c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</row>
    <row r="32" s="4" customFormat="1" ht="16.5" customHeight="1" spans="1:79">
      <c r="A32" s="45" t="s">
        <v>8382</v>
      </c>
      <c r="B32" s="45" t="s">
        <v>8383</v>
      </c>
      <c r="C32" s="46" t="s">
        <v>8285</v>
      </c>
      <c r="D32" s="47" t="e">
        <f>+#REF!</f>
        <v>#REF!</v>
      </c>
      <c r="E32" s="42">
        <f ca="1" t="shared" si="15"/>
        <v>0</v>
      </c>
      <c r="F32" s="52">
        <f ca="1" t="shared" si="9"/>
        <v>0</v>
      </c>
      <c r="G32" s="50">
        <f ca="1">+GETPIVOTDATA("TNG4",'ngaigiao (2016)'!$A$3,"MA_HT","DBV","MA_QH","LUC")</f>
        <v>0</v>
      </c>
      <c r="H32" s="50">
        <f ca="1">+GETPIVOTDATA("TNG4",'ngaigiao (2016)'!$A$3,"MA_HT","DBV","MA_QH","LUK")</f>
        <v>0</v>
      </c>
      <c r="I32" s="50">
        <f ca="1">+GETPIVOTDATA("TNG4",'ngaigiao (2016)'!$A$3,"MA_HT","DBV","MA_QH","LUN")</f>
        <v>0</v>
      </c>
      <c r="J32" s="50">
        <f ca="1">+GETPIVOTDATA("TNG4",'ngaigiao (2016)'!$A$3,"MA_HT","DBV","MA_QH","HNK")</f>
        <v>0</v>
      </c>
      <c r="K32" s="50">
        <f ca="1">+GETPIVOTDATA("TNG4",'ngaigiao (2016)'!$A$3,"MA_HT","DBV","MA_QH","CLN")</f>
        <v>0</v>
      </c>
      <c r="L32" s="50">
        <f ca="1">+GETPIVOTDATA("TNG4",'ngaigiao (2016)'!$A$3,"MA_HT","DBV","MA_QH","RSX")</f>
        <v>0</v>
      </c>
      <c r="M32" s="50">
        <f ca="1">+GETPIVOTDATA("TNG4",'ngaigiao (2016)'!$A$3,"MA_HT","DBV","MA_QH","RPH")</f>
        <v>0</v>
      </c>
      <c r="N32" s="50">
        <f ca="1">+GETPIVOTDATA("TNG4",'ngaigiao (2016)'!$A$3,"MA_HT","DBV","MA_QH","RDD")</f>
        <v>0</v>
      </c>
      <c r="O32" s="50">
        <f ca="1">+GETPIVOTDATA("TNG4",'ngaigiao (2016)'!$A$3,"MA_HT","DBV","MA_QH","NTS")</f>
        <v>0</v>
      </c>
      <c r="P32" s="50">
        <f ca="1">+GETPIVOTDATA("TNG4",'ngaigiao (2016)'!$A$3,"MA_HT","DBV","MA_QH","LMU")</f>
        <v>0</v>
      </c>
      <c r="Q32" s="50">
        <f ca="1">+GETPIVOTDATA("TNG4",'ngaigiao (2016)'!$A$3,"MA_HT","DBV","MA_QH","NKH")</f>
        <v>0</v>
      </c>
      <c r="R32" s="48">
        <f ca="1" t="shared" si="20"/>
        <v>0</v>
      </c>
      <c r="S32" s="50">
        <f ca="1">+GETPIVOTDATA("TNG4",'ngaigiao (2016)'!$A$3,"MA_HT","DBV","MA_QH","CQP")</f>
        <v>0</v>
      </c>
      <c r="T32" s="50">
        <f ca="1">+GETPIVOTDATA("TNG4",'ngaigiao (2016)'!$A$3,"MA_HT","DBV","MA_QH","CAN")</f>
        <v>0</v>
      </c>
      <c r="U32" s="50">
        <f ca="1">+GETPIVOTDATA("TNG4",'ngaigiao (2016)'!$A$3,"MA_HT","DBV","MA_QH","SKK")</f>
        <v>0</v>
      </c>
      <c r="V32" s="50">
        <f ca="1">+GETPIVOTDATA("TNG4",'ngaigiao (2016)'!$A$3,"MA_HT","DBV","MA_QH","SKT")</f>
        <v>0</v>
      </c>
      <c r="W32" s="50">
        <f ca="1">+GETPIVOTDATA("TNG4",'ngaigiao (2016)'!$A$3,"MA_HT","DBV","MA_QH","SKN")</f>
        <v>0</v>
      </c>
      <c r="X32" s="50">
        <f ca="1">+GETPIVOTDATA("TNG4",'ngaigiao (2016)'!$A$3,"MA_HT","DBV","MA_QH","TMD")</f>
        <v>0</v>
      </c>
      <c r="Y32" s="50">
        <f ca="1">+GETPIVOTDATA("TNG4",'ngaigiao (2016)'!$A$3,"MA_HT","DBV","MA_QH","SKC")</f>
        <v>0</v>
      </c>
      <c r="Z32" s="50">
        <f ca="1">+GETPIVOTDATA("TNG4",'ngaigiao (2016)'!$A$3,"MA_HT","DBV","MA_QH","SKS")</f>
        <v>0</v>
      </c>
      <c r="AA32" s="52">
        <f ca="1">+SUM(AB32:AD32,AF32:AM32)</f>
        <v>0</v>
      </c>
      <c r="AB32" s="50">
        <f ca="1">+GETPIVOTDATA("TNG4",'ngaigiao (2016)'!$A$3,"MA_HT","DBV","MA_QH","DGT")</f>
        <v>0</v>
      </c>
      <c r="AC32" s="50">
        <f ca="1">+GETPIVOTDATA("TNG4",'ngaigiao (2016)'!$A$3,"MA_HT","DBV","MA_QH","DTL")</f>
        <v>0</v>
      </c>
      <c r="AD32" s="50">
        <f ca="1">+GETPIVOTDATA("TNG4",'ngaigiao (2016)'!$A$3,"MA_HT","DBV","MA_QH","DNL")</f>
        <v>0</v>
      </c>
      <c r="AE32" s="49" t="e">
        <f ca="1">$D32-$BF32</f>
        <v>#REF!</v>
      </c>
      <c r="AF32" s="50">
        <f ca="1">+GETPIVOTDATA("TNG4",'ngaigiao (2016)'!$A$3,"MA_HT","DBV","MA_QH","DVH")</f>
        <v>0</v>
      </c>
      <c r="AG32" s="50">
        <f ca="1">+GETPIVOTDATA("TNG4",'ngaigiao (2016)'!$A$3,"MA_HT","DBV","MA_QH","DYT")</f>
        <v>0</v>
      </c>
      <c r="AH32" s="50">
        <f ca="1">+GETPIVOTDATA("TNG4",'ngaigiao (2016)'!$A$3,"MA_HT","DBV","MA_QH","DGD")</f>
        <v>0</v>
      </c>
      <c r="AI32" s="50">
        <f ca="1">+GETPIVOTDATA("TNG4",'ngaigiao (2016)'!$A$3,"MA_HT","DBV","MA_QH","DTT")</f>
        <v>0</v>
      </c>
      <c r="AJ32" s="50">
        <f ca="1">+GETPIVOTDATA("TNG4",'ngaigiao (2016)'!$A$3,"MA_HT","DBV","MA_QH","NCK")</f>
        <v>0</v>
      </c>
      <c r="AK32" s="50">
        <f ca="1">+GETPIVOTDATA("TNG4",'ngaigiao (2016)'!$A$3,"MA_HT","DBV","MA_QH","DXH")</f>
        <v>0</v>
      </c>
      <c r="AL32" s="50">
        <f ca="1">+GETPIVOTDATA("TNG4",'ngaigiao (2016)'!$A$3,"MA_HT","DBV","MA_QH","DCH")</f>
        <v>0</v>
      </c>
      <c r="AM32" s="50">
        <f ca="1">+GETPIVOTDATA("TNG4",'ngaigiao (2016)'!$A$3,"MA_HT","DBV","MA_QH","DKG")</f>
        <v>0</v>
      </c>
      <c r="AN32" s="50">
        <f ca="1">+GETPIVOTDATA("TNG4",'ngaigiao (2016)'!$A$3,"MA_HT","DBV","MA_QH","DDT")</f>
        <v>0</v>
      </c>
      <c r="AO32" s="50">
        <f ca="1">+GETPIVOTDATA("TNG4",'ngaigiao (2016)'!$A$3,"MA_HT","DBV","MA_QH","DDL")</f>
        <v>0</v>
      </c>
      <c r="AP32" s="50">
        <f ca="1">+GETPIVOTDATA("TNG4",'ngaigiao (2016)'!$A$3,"MA_HT","DBV","MA_QH","DRA")</f>
        <v>0</v>
      </c>
      <c r="AQ32" s="50">
        <f ca="1">+GETPIVOTDATA("TNG4",'ngaigiao (2016)'!$A$3,"MA_HT","DBV","MA_QH","ONT")</f>
        <v>0</v>
      </c>
      <c r="AR32" s="50">
        <f ca="1">+GETPIVOTDATA("TNG4",'ngaigiao (2016)'!$A$3,"MA_HT","DBV","MA_QH","ODT")</f>
        <v>0</v>
      </c>
      <c r="AS32" s="50">
        <f ca="1">+GETPIVOTDATA("TNG4",'ngaigiao (2016)'!$A$3,"MA_HT","DBV","MA_QH","TSC")</f>
        <v>0</v>
      </c>
      <c r="AT32" s="50">
        <f ca="1">+GETPIVOTDATA("TNG4",'ngaigiao (2016)'!$A$3,"MA_HT","DBV","MA_QH","DTS")</f>
        <v>0</v>
      </c>
      <c r="AU32" s="50">
        <f ca="1">+GETPIVOTDATA("TNG4",'ngaigiao (2016)'!$A$3,"MA_HT","DBV","MA_QH","DNG")</f>
        <v>0</v>
      </c>
      <c r="AV32" s="50">
        <f ca="1">+GETPIVOTDATA("TNG4",'ngaigiao (2016)'!$A$3,"MA_HT","DBV","MA_QH","TON")</f>
        <v>0</v>
      </c>
      <c r="AW32" s="50">
        <f ca="1">+GETPIVOTDATA("TNG4",'ngaigiao (2016)'!$A$3,"MA_HT","DBV","MA_QH","NTD")</f>
        <v>0</v>
      </c>
      <c r="AX32" s="50">
        <f ca="1">+GETPIVOTDATA("TNG4",'ngaigiao (2016)'!$A$3,"MA_HT","DBV","MA_QH","SKX")</f>
        <v>0</v>
      </c>
      <c r="AY32" s="50">
        <f ca="1">+GETPIVOTDATA("TNG4",'ngaigiao (2016)'!$A$3,"MA_HT","DBV","MA_QH","DSH")</f>
        <v>0</v>
      </c>
      <c r="AZ32" s="50">
        <f ca="1">+GETPIVOTDATA("TNG4",'ngaigiao (2016)'!$A$3,"MA_HT","DBV","MA_QH","DKV")</f>
        <v>0</v>
      </c>
      <c r="BA32" s="88">
        <f ca="1">+GETPIVOTDATA("TNG4",'ngaigiao (2016)'!$A$3,"MA_HT","DBV","MA_QH","TIN")</f>
        <v>0</v>
      </c>
      <c r="BB32" s="50">
        <f ca="1">+GETPIVOTDATA("TNG4",'ngaigiao (2016)'!$A$3,"MA_HT","DBV","MA_QH","SON")</f>
        <v>0</v>
      </c>
      <c r="BC32" s="50">
        <f ca="1">+GETPIVOTDATA("TNG4",'ngaigiao (2016)'!$A$3,"MA_HT","DBV","MA_QH","MNC")</f>
        <v>0</v>
      </c>
      <c r="BD32" s="50">
        <f ca="1">+GETPIVOTDATA("TNG4",'ngaigiao (2016)'!$A$3,"MA_HT","DBV","MA_QH","PNK")</f>
        <v>0</v>
      </c>
      <c r="BE32" s="80">
        <f ca="1">+GETPIVOTDATA("TNG4",'ngaigiao (2016)'!$A$3,"MA_HT","DBV","MA_QH","CSD")</f>
        <v>0</v>
      </c>
      <c r="BF32" s="103">
        <f ca="1" t="shared" si="13"/>
        <v>0</v>
      </c>
      <c r="BG32" s="104">
        <f ca="1">AE$59-$BF32</f>
        <v>0</v>
      </c>
      <c r="BH32" s="47" t="e">
        <f ca="1" t="shared" si="14"/>
        <v>#REF!</v>
      </c>
      <c r="BI32" s="105"/>
      <c r="BJ32" s="105" t="e">
        <f>#REF!</f>
        <v>#REF!</v>
      </c>
      <c r="BK32" s="108" t="e">
        <f ca="1" t="shared" si="19"/>
        <v>#REF!</v>
      </c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</row>
    <row r="33" s="4" customFormat="1" ht="16.5" customHeight="1" spans="1:79">
      <c r="A33" s="45" t="s">
        <v>8384</v>
      </c>
      <c r="B33" s="45" t="s">
        <v>8385</v>
      </c>
      <c r="C33" s="46" t="s">
        <v>212</v>
      </c>
      <c r="D33" s="47" t="e">
        <f>+#REF!</f>
        <v>#REF!</v>
      </c>
      <c r="E33" s="42">
        <f ca="1" t="shared" si="15"/>
        <v>0</v>
      </c>
      <c r="F33" s="52">
        <f ca="1" t="shared" si="9"/>
        <v>0</v>
      </c>
      <c r="G33" s="50">
        <f ca="1">+GETPIVOTDATA("TNG4",'ngaigiao (2016)'!$A$3,"MA_HT","DVH","MA_QH","LUC")</f>
        <v>0</v>
      </c>
      <c r="H33" s="50">
        <f ca="1">+GETPIVOTDATA("TNG4",'ngaigiao (2016)'!$A$3,"MA_HT","DVH","MA_QH","LUK")</f>
        <v>0</v>
      </c>
      <c r="I33" s="50">
        <f ca="1">+GETPIVOTDATA("TNG4",'ngaigiao (2016)'!$A$3,"MA_HT","DVH","MA_QH","LUN")</f>
        <v>0</v>
      </c>
      <c r="J33" s="50">
        <f ca="1">+GETPIVOTDATA("TNG4",'ngaigiao (2016)'!$A$3,"MA_HT","DVH","MA_QH","HNK")</f>
        <v>0</v>
      </c>
      <c r="K33" s="50">
        <f ca="1">+GETPIVOTDATA("TNG4",'ngaigiao (2016)'!$A$3,"MA_HT","DVH","MA_QH","CLN")</f>
        <v>0</v>
      </c>
      <c r="L33" s="50">
        <f ca="1">+GETPIVOTDATA("TNG4",'ngaigiao (2016)'!$A$3,"MA_HT","DVH","MA_QH","RSX")</f>
        <v>0</v>
      </c>
      <c r="M33" s="50">
        <f ca="1">+GETPIVOTDATA("TNG4",'ngaigiao (2016)'!$A$3,"MA_HT","DVH","MA_QH","RPH")</f>
        <v>0</v>
      </c>
      <c r="N33" s="50">
        <f ca="1">+GETPIVOTDATA("TNG4",'ngaigiao (2016)'!$A$3,"MA_HT","DVH","MA_QH","RDD")</f>
        <v>0</v>
      </c>
      <c r="O33" s="50">
        <f ca="1">+GETPIVOTDATA("TNG4",'ngaigiao (2016)'!$A$3,"MA_HT","DVH","MA_QH","NTS")</f>
        <v>0</v>
      </c>
      <c r="P33" s="50">
        <f ca="1">+GETPIVOTDATA("TNG4",'ngaigiao (2016)'!$A$3,"MA_HT","DVH","MA_QH","LMU")</f>
        <v>0</v>
      </c>
      <c r="Q33" s="50">
        <f ca="1">+GETPIVOTDATA("TNG4",'ngaigiao (2016)'!$A$3,"MA_HT","DVH","MA_QH","NKH")</f>
        <v>0</v>
      </c>
      <c r="R33" s="48">
        <f ca="1" t="shared" si="20"/>
        <v>0</v>
      </c>
      <c r="S33" s="50">
        <f ca="1">+GETPIVOTDATA("TNG4",'ngaigiao (2016)'!$A$3,"MA_HT","DVH","MA_QH","CQP")</f>
        <v>0</v>
      </c>
      <c r="T33" s="50">
        <f ca="1">+GETPIVOTDATA("TNG4",'ngaigiao (2016)'!$A$3,"MA_HT","DVH","MA_QH","CAN")</f>
        <v>0</v>
      </c>
      <c r="U33" s="50">
        <f ca="1">+GETPIVOTDATA("TNG4",'ngaigiao (2016)'!$A$3,"MA_HT","DVH","MA_QH","SKK")</f>
        <v>0</v>
      </c>
      <c r="V33" s="50">
        <f ca="1">+GETPIVOTDATA("TNG4",'ngaigiao (2016)'!$A$3,"MA_HT","DVH","MA_QH","SKT")</f>
        <v>0</v>
      </c>
      <c r="W33" s="50">
        <f ca="1">+GETPIVOTDATA("TNG4",'ngaigiao (2016)'!$A$3,"MA_HT","DVH","MA_QH","SKN")</f>
        <v>0</v>
      </c>
      <c r="X33" s="50">
        <f ca="1">+GETPIVOTDATA("TNG4",'ngaigiao (2016)'!$A$3,"MA_HT","DVH","MA_QH","TMD")</f>
        <v>0</v>
      </c>
      <c r="Y33" s="50">
        <f ca="1">+GETPIVOTDATA("TNG4",'ngaigiao (2016)'!$A$3,"MA_HT","DVH","MA_QH","SKC")</f>
        <v>0</v>
      </c>
      <c r="Z33" s="50">
        <f ca="1">+GETPIVOTDATA("TNG4",'ngaigiao (2016)'!$A$3,"MA_HT","DVH","MA_QH","SKS")</f>
        <v>0</v>
      </c>
      <c r="AA33" s="52">
        <f ca="1">+SUM(AB33:AE33,AG33:AM33)</f>
        <v>0</v>
      </c>
      <c r="AB33" s="50">
        <f ca="1">+GETPIVOTDATA("TNG4",'ngaigiao (2016)'!$A$3,"MA_HT","DVH","MA_QH","DGT")</f>
        <v>0</v>
      </c>
      <c r="AC33" s="50">
        <f ca="1">+GETPIVOTDATA("TNG4",'ngaigiao (2016)'!$A$3,"MA_HT","DVH","MA_QH","DTL")</f>
        <v>0</v>
      </c>
      <c r="AD33" s="50">
        <f ca="1">+GETPIVOTDATA("TNG4",'ngaigiao (2016)'!$A$3,"MA_HT","DVH","MA_QH","DNL")</f>
        <v>0</v>
      </c>
      <c r="AE33" s="50">
        <f ca="1">+GETPIVOTDATA("TNG4",'ngaigiao (2016)'!$A$3,"MA_HT","DVH","MA_QH","DBV")</f>
        <v>0</v>
      </c>
      <c r="AF33" s="49" t="e">
        <f ca="1">$D33-$BF33</f>
        <v>#REF!</v>
      </c>
      <c r="AG33" s="50">
        <f ca="1">+GETPIVOTDATA("TNG4",'ngaigiao (2016)'!$A$3,"MA_HT","DVH","MA_QH","DYT")</f>
        <v>0</v>
      </c>
      <c r="AH33" s="50">
        <f ca="1">+GETPIVOTDATA("TNG4",'ngaigiao (2016)'!$A$3,"MA_HT","DVH","MA_QH","DGD")</f>
        <v>0</v>
      </c>
      <c r="AI33" s="50">
        <f ca="1">+GETPIVOTDATA("TNG4",'ngaigiao (2016)'!$A$3,"MA_HT","DVH","MA_QH","DTT")</f>
        <v>0</v>
      </c>
      <c r="AJ33" s="50">
        <f ca="1">+GETPIVOTDATA("TNG4",'ngaigiao (2016)'!$A$3,"MA_HT","DVH","MA_QH","NCK")</f>
        <v>0</v>
      </c>
      <c r="AK33" s="50">
        <f ca="1">+GETPIVOTDATA("TNG4",'ngaigiao (2016)'!$A$3,"MA_HT","DVH","MA_QH","DXH")</f>
        <v>0</v>
      </c>
      <c r="AL33" s="50">
        <f ca="1">+GETPIVOTDATA("TNG4",'ngaigiao (2016)'!$A$3,"MA_HT","DVH","MA_QH","DCH")</f>
        <v>0</v>
      </c>
      <c r="AM33" s="50">
        <f ca="1">+GETPIVOTDATA("TNG4",'ngaigiao (2016)'!$A$3,"MA_HT","DVH","MA_QH","DKG")</f>
        <v>0</v>
      </c>
      <c r="AN33" s="50">
        <f ca="1">+GETPIVOTDATA("TNG4",'ngaigiao (2016)'!$A$3,"MA_HT","DVH","MA_QH","DDT")</f>
        <v>0</v>
      </c>
      <c r="AO33" s="50">
        <f ca="1">+GETPIVOTDATA("TNG4",'ngaigiao (2016)'!$A$3,"MA_HT","DVH","MA_QH","DDL")</f>
        <v>0</v>
      </c>
      <c r="AP33" s="50">
        <f ca="1">+GETPIVOTDATA("TNG4",'ngaigiao (2016)'!$A$3,"MA_HT","DVH","MA_QH","DRA")</f>
        <v>0</v>
      </c>
      <c r="AQ33" s="50">
        <f ca="1">+GETPIVOTDATA("TNG4",'ngaigiao (2016)'!$A$3,"MA_HT","DVH","MA_QH","ONT")</f>
        <v>0</v>
      </c>
      <c r="AR33" s="50">
        <f ca="1">+GETPIVOTDATA("TNG4",'ngaigiao (2016)'!$A$3,"MA_HT","DVH","MA_QH","ODT")</f>
        <v>0</v>
      </c>
      <c r="AS33" s="50">
        <f ca="1">+GETPIVOTDATA("TNG4",'ngaigiao (2016)'!$A$3,"MA_HT","DVH","MA_QH","TSC")</f>
        <v>0</v>
      </c>
      <c r="AT33" s="50">
        <f ca="1">+GETPIVOTDATA("TNG4",'ngaigiao (2016)'!$A$3,"MA_HT","DVH","MA_QH","DTS")</f>
        <v>0</v>
      </c>
      <c r="AU33" s="50">
        <f ca="1">+GETPIVOTDATA("TNG4",'ngaigiao (2016)'!$A$3,"MA_HT","DVH","MA_QH","DNG")</f>
        <v>0</v>
      </c>
      <c r="AV33" s="50">
        <f ca="1">+GETPIVOTDATA("TNG4",'ngaigiao (2016)'!$A$3,"MA_HT","DVH","MA_QH","TON")</f>
        <v>0</v>
      </c>
      <c r="AW33" s="50">
        <f ca="1">+GETPIVOTDATA("TNG4",'ngaigiao (2016)'!$A$3,"MA_HT","DVH","MA_QH","NTD")</f>
        <v>0</v>
      </c>
      <c r="AX33" s="50">
        <f ca="1">+GETPIVOTDATA("TNG4",'ngaigiao (2016)'!$A$3,"MA_HT","DVH","MA_QH","SKX")</f>
        <v>0</v>
      </c>
      <c r="AY33" s="50">
        <f ca="1">+GETPIVOTDATA("TNG4",'ngaigiao (2016)'!$A$3,"MA_HT","DVH","MA_QH","DSH")</f>
        <v>0</v>
      </c>
      <c r="AZ33" s="50">
        <f ca="1">+GETPIVOTDATA("TNG4",'ngaigiao (2016)'!$A$3,"MA_HT","DVH","MA_QH","DKV")</f>
        <v>0</v>
      </c>
      <c r="BA33" s="88">
        <f ca="1">+GETPIVOTDATA("TNG4",'ngaigiao (2016)'!$A$3,"MA_HT","DVH","MA_QH","TIN")</f>
        <v>0</v>
      </c>
      <c r="BB33" s="50">
        <f ca="1">+GETPIVOTDATA("TNG4",'ngaigiao (2016)'!$A$3,"MA_HT","DVH","MA_QH","SON")</f>
        <v>0</v>
      </c>
      <c r="BC33" s="50">
        <f ca="1">+GETPIVOTDATA("TNG4",'ngaigiao (2016)'!$A$3,"MA_HT","DVH","MA_QH","MNC")</f>
        <v>0</v>
      </c>
      <c r="BD33" s="50">
        <f ca="1">+GETPIVOTDATA("TNG4",'ngaigiao (2016)'!$A$3,"MA_HT","DVH","MA_QH","PNK")</f>
        <v>0</v>
      </c>
      <c r="BE33" s="80">
        <f ca="1">+GETPIVOTDATA("TNG4",'ngaigiao (2016)'!$A$3,"MA_HT","DVH","MA_QH","CSD")</f>
        <v>0</v>
      </c>
      <c r="BF33" s="103">
        <f ca="1" t="shared" si="13"/>
        <v>0</v>
      </c>
      <c r="BG33" s="104">
        <f ca="1">AF$59-$BF33</f>
        <v>0</v>
      </c>
      <c r="BH33" s="47" t="e">
        <f ca="1" t="shared" si="14"/>
        <v>#REF!</v>
      </c>
      <c r="BI33" s="105"/>
      <c r="BJ33" s="105" t="e">
        <f>#REF!</f>
        <v>#REF!</v>
      </c>
      <c r="BK33" s="108" t="e">
        <f ca="1" t="shared" si="19"/>
        <v>#REF!</v>
      </c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</row>
    <row r="34" s="4" customFormat="1" ht="16.5" customHeight="1" spans="1:79">
      <c r="A34" s="45" t="s">
        <v>8386</v>
      </c>
      <c r="B34" s="45" t="s">
        <v>8387</v>
      </c>
      <c r="C34" s="46" t="s">
        <v>8296</v>
      </c>
      <c r="D34" s="47" t="e">
        <f>+#REF!</f>
        <v>#REF!</v>
      </c>
      <c r="E34" s="42">
        <f ca="1" t="shared" si="15"/>
        <v>0</v>
      </c>
      <c r="F34" s="52">
        <f ca="1" t="shared" si="9"/>
        <v>0</v>
      </c>
      <c r="G34" s="50">
        <f ca="1">+GETPIVOTDATA("TNG4",'ngaigiao (2016)'!$A$3,"MA_HT","DYT","MA_QH","LUC")</f>
        <v>0</v>
      </c>
      <c r="H34" s="50">
        <f ca="1">+GETPIVOTDATA("TNG4",'ngaigiao (2016)'!$A$3,"MA_HT","DYT","MA_QH","LUK")</f>
        <v>0</v>
      </c>
      <c r="I34" s="50">
        <f ca="1">+GETPIVOTDATA("TNG4",'ngaigiao (2016)'!$A$3,"MA_HT","DYT","MA_QH","LUN")</f>
        <v>0</v>
      </c>
      <c r="J34" s="50">
        <f ca="1">+GETPIVOTDATA("TNG4",'ngaigiao (2016)'!$A$3,"MA_HT","DYT","MA_QH","HNK")</f>
        <v>0</v>
      </c>
      <c r="K34" s="50">
        <f ca="1">+GETPIVOTDATA("TNG4",'ngaigiao (2016)'!$A$3,"MA_HT","DYT","MA_QH","CLN")</f>
        <v>0</v>
      </c>
      <c r="L34" s="50">
        <f ca="1">+GETPIVOTDATA("TNG4",'ngaigiao (2016)'!$A$3,"MA_HT","DYT","MA_QH","RSX")</f>
        <v>0</v>
      </c>
      <c r="M34" s="50">
        <f ca="1">+GETPIVOTDATA("TNG4",'ngaigiao (2016)'!$A$3,"MA_HT","DYT","MA_QH","RPH")</f>
        <v>0</v>
      </c>
      <c r="N34" s="50">
        <f ca="1">+GETPIVOTDATA("TNG4",'ngaigiao (2016)'!$A$3,"MA_HT","DYT","MA_QH","RDD")</f>
        <v>0</v>
      </c>
      <c r="O34" s="50">
        <f ca="1">+GETPIVOTDATA("TNG4",'ngaigiao (2016)'!$A$3,"MA_HT","DYT","MA_QH","NTS")</f>
        <v>0</v>
      </c>
      <c r="P34" s="50">
        <f ca="1">+GETPIVOTDATA("TNG4",'ngaigiao (2016)'!$A$3,"MA_HT","DYT","MA_QH","LMU")</f>
        <v>0</v>
      </c>
      <c r="Q34" s="50">
        <f ca="1">+GETPIVOTDATA("TNG4",'ngaigiao (2016)'!$A$3,"MA_HT","DYT","MA_QH","NKH")</f>
        <v>0</v>
      </c>
      <c r="R34" s="48">
        <f ca="1" t="shared" si="20"/>
        <v>0</v>
      </c>
      <c r="S34" s="50">
        <f ca="1">+GETPIVOTDATA("TNG4",'ngaigiao (2016)'!$A$3,"MA_HT","DYT","MA_QH","CQP")</f>
        <v>0</v>
      </c>
      <c r="T34" s="50">
        <f ca="1">+GETPIVOTDATA("TNG4",'ngaigiao (2016)'!$A$3,"MA_HT","DYT","MA_QH","CAN")</f>
        <v>0</v>
      </c>
      <c r="U34" s="50">
        <f ca="1">+GETPIVOTDATA("TNG4",'ngaigiao (2016)'!$A$3,"MA_HT","DYT","MA_QH","SKK")</f>
        <v>0</v>
      </c>
      <c r="V34" s="50">
        <f ca="1">+GETPIVOTDATA("TNG4",'ngaigiao (2016)'!$A$3,"MA_HT","DYT","MA_QH","SKT")</f>
        <v>0</v>
      </c>
      <c r="W34" s="50">
        <f ca="1">+GETPIVOTDATA("TNG4",'ngaigiao (2016)'!$A$3,"MA_HT","DYT","MA_QH","SKN")</f>
        <v>0</v>
      </c>
      <c r="X34" s="50">
        <f ca="1">+GETPIVOTDATA("TNG4",'ngaigiao (2016)'!$A$3,"MA_HT","DYT","MA_QH","TMD")</f>
        <v>0</v>
      </c>
      <c r="Y34" s="50">
        <f ca="1">+GETPIVOTDATA("TNG4",'ngaigiao (2016)'!$A$3,"MA_HT","DYT","MA_QH","SKC")</f>
        <v>0</v>
      </c>
      <c r="Z34" s="50">
        <f ca="1">+GETPIVOTDATA("TNG4",'ngaigiao (2016)'!$A$3,"MA_HT","DYT","MA_QH","SKS")</f>
        <v>0</v>
      </c>
      <c r="AA34" s="52">
        <f ca="1">+SUM(AB34:AF34,AH34:AM34)</f>
        <v>0</v>
      </c>
      <c r="AB34" s="50">
        <f ca="1">+GETPIVOTDATA("TNG4",'ngaigiao (2016)'!$A$3,"MA_HT","DYT","MA_QH","DGT")</f>
        <v>0</v>
      </c>
      <c r="AC34" s="50">
        <f ca="1">+GETPIVOTDATA("TNG4",'ngaigiao (2016)'!$A$3,"MA_HT","DYT","MA_QH","DTL")</f>
        <v>0</v>
      </c>
      <c r="AD34" s="50">
        <f ca="1">+GETPIVOTDATA("TNG4",'ngaigiao (2016)'!$A$3,"MA_HT","DYT","MA_QH","DNL")</f>
        <v>0</v>
      </c>
      <c r="AE34" s="50">
        <f ca="1">+GETPIVOTDATA("TNG4",'ngaigiao (2016)'!$A$3,"MA_HT","DYT","MA_QH","DBV")</f>
        <v>0</v>
      </c>
      <c r="AF34" s="50">
        <f ca="1">+GETPIVOTDATA("TNG4",'ngaigiao (2016)'!$A$3,"MA_HT","DYT","MA_QH","DVH")</f>
        <v>0</v>
      </c>
      <c r="AG34" s="49" t="e">
        <f ca="1">$D34-$BF34</f>
        <v>#REF!</v>
      </c>
      <c r="AH34" s="50">
        <f ca="1">+GETPIVOTDATA("TNG4",'ngaigiao (2016)'!$A$3,"MA_HT","DYT","MA_QH","DGD")</f>
        <v>0</v>
      </c>
      <c r="AI34" s="50">
        <f ca="1">+GETPIVOTDATA("TNG4",'ngaigiao (2016)'!$A$3,"MA_HT","DYT","MA_QH","DTT")</f>
        <v>0</v>
      </c>
      <c r="AJ34" s="50">
        <f ca="1">+GETPIVOTDATA("TNG4",'ngaigiao (2016)'!$A$3,"MA_HT","DYT","MA_QH","NCK")</f>
        <v>0</v>
      </c>
      <c r="AK34" s="50">
        <f ca="1">+GETPIVOTDATA("TNG4",'ngaigiao (2016)'!$A$3,"MA_HT","DYT","MA_QH","DXH")</f>
        <v>0</v>
      </c>
      <c r="AL34" s="50">
        <f ca="1">+GETPIVOTDATA("TNG4",'ngaigiao (2016)'!$A$3,"MA_HT","DYT","MA_QH","DCH")</f>
        <v>0</v>
      </c>
      <c r="AM34" s="50">
        <f ca="1">+GETPIVOTDATA("TNG4",'ngaigiao (2016)'!$A$3,"MA_HT","DYT","MA_QH","DKG")</f>
        <v>0</v>
      </c>
      <c r="AN34" s="50">
        <f ca="1">+GETPIVOTDATA("TNG4",'ngaigiao (2016)'!$A$3,"MA_HT","DYT","MA_QH","DDT")</f>
        <v>0</v>
      </c>
      <c r="AO34" s="50">
        <f ca="1">+GETPIVOTDATA("TNG4",'ngaigiao (2016)'!$A$3,"MA_HT","DYT","MA_QH","DDL")</f>
        <v>0</v>
      </c>
      <c r="AP34" s="50">
        <f ca="1">+GETPIVOTDATA("TNG4",'ngaigiao (2016)'!$A$3,"MA_HT","DYT","MA_QH","DRA")</f>
        <v>0</v>
      </c>
      <c r="AQ34" s="50">
        <f ca="1">+GETPIVOTDATA("TNG4",'ngaigiao (2016)'!$A$3,"MA_HT","DYT","MA_QH","ONT")</f>
        <v>0</v>
      </c>
      <c r="AR34" s="50">
        <f ca="1">+GETPIVOTDATA("TNG4",'ngaigiao (2016)'!$A$3,"MA_HT","DYT","MA_QH","ODT")</f>
        <v>0</v>
      </c>
      <c r="AS34" s="50">
        <f ca="1">+GETPIVOTDATA("TNG4",'ngaigiao (2016)'!$A$3,"MA_HT","DYT","MA_QH","TSC")</f>
        <v>0</v>
      </c>
      <c r="AT34" s="50">
        <f ca="1">+GETPIVOTDATA("TNG4",'ngaigiao (2016)'!$A$3,"MA_HT","DYT","MA_QH","DTS")</f>
        <v>0</v>
      </c>
      <c r="AU34" s="50">
        <f ca="1">+GETPIVOTDATA("TNG4",'ngaigiao (2016)'!$A$3,"MA_HT","DYT","MA_QH","DNG")</f>
        <v>0</v>
      </c>
      <c r="AV34" s="50">
        <f ca="1">+GETPIVOTDATA("TNG4",'ngaigiao (2016)'!$A$3,"MA_HT","DYT","MA_QH","TON")</f>
        <v>0</v>
      </c>
      <c r="AW34" s="50">
        <f ca="1">+GETPIVOTDATA("TNG4",'ngaigiao (2016)'!$A$3,"MA_HT","DYT","MA_QH","NTD")</f>
        <v>0</v>
      </c>
      <c r="AX34" s="50">
        <f ca="1">+GETPIVOTDATA("TNG4",'ngaigiao (2016)'!$A$3,"MA_HT","DYT","MA_QH","SKX")</f>
        <v>0</v>
      </c>
      <c r="AY34" s="50">
        <f ca="1">+GETPIVOTDATA("TNG4",'ngaigiao (2016)'!$A$3,"MA_HT","DYT","MA_QH","DSH")</f>
        <v>0</v>
      </c>
      <c r="AZ34" s="50">
        <f ca="1">+GETPIVOTDATA("TNG4",'ngaigiao (2016)'!$A$3,"MA_HT","DYT","MA_QH","DKV")</f>
        <v>0</v>
      </c>
      <c r="BA34" s="88">
        <f ca="1">+GETPIVOTDATA("TNG4",'ngaigiao (2016)'!$A$3,"MA_HT","DYT","MA_QH","TIN")</f>
        <v>0</v>
      </c>
      <c r="BB34" s="50">
        <f ca="1">+GETPIVOTDATA("TNG4",'ngaigiao (2016)'!$A$3,"MA_HT","DYT","MA_QH","SON")</f>
        <v>0</v>
      </c>
      <c r="BC34" s="50">
        <f ca="1">+GETPIVOTDATA("TNG4",'ngaigiao (2016)'!$A$3,"MA_HT","DYT","MA_QH","MNC")</f>
        <v>0</v>
      </c>
      <c r="BD34" s="50">
        <f ca="1">+GETPIVOTDATA("TNG4",'ngaigiao (2016)'!$A$3,"MA_HT","DYT","MA_QH","PNK")</f>
        <v>0</v>
      </c>
      <c r="BE34" s="80">
        <f ca="1">+GETPIVOTDATA("TNG4",'ngaigiao (2016)'!$A$3,"MA_HT","DYT","MA_QH","CSD")</f>
        <v>0</v>
      </c>
      <c r="BF34" s="103">
        <f ca="1" t="shared" si="13"/>
        <v>0</v>
      </c>
      <c r="BG34" s="104">
        <f ca="1">AG$59-$BF34</f>
        <v>0</v>
      </c>
      <c r="BH34" s="47" t="e">
        <f ca="1" t="shared" si="14"/>
        <v>#REF!</v>
      </c>
      <c r="BI34" s="105"/>
      <c r="BJ34" s="105" t="e">
        <f>#REF!</f>
        <v>#REF!</v>
      </c>
      <c r="BK34" s="108" t="e">
        <f ca="1" t="shared" si="19"/>
        <v>#REF!</v>
      </c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</row>
    <row r="35" s="4" customFormat="1" ht="16.5" customHeight="1" spans="1:79">
      <c r="A35" s="45" t="s">
        <v>8388</v>
      </c>
      <c r="B35" s="45" t="s">
        <v>8389</v>
      </c>
      <c r="C35" s="46" t="s">
        <v>165</v>
      </c>
      <c r="D35" s="47" t="e">
        <f>+#REF!</f>
        <v>#REF!</v>
      </c>
      <c r="E35" s="42">
        <f ca="1" t="shared" si="15"/>
        <v>0</v>
      </c>
      <c r="F35" s="52">
        <f ca="1" t="shared" si="9"/>
        <v>0</v>
      </c>
      <c r="G35" s="50">
        <f ca="1">+GETPIVOTDATA("TNG4",'ngaigiao (2016)'!$A$3,"MA_HT","DGD","MA_QH","LUC")</f>
        <v>0</v>
      </c>
      <c r="H35" s="50">
        <f ca="1">+GETPIVOTDATA("TNG4",'ngaigiao (2016)'!$A$3,"MA_HT","DGD","MA_QH","LUK")</f>
        <v>0</v>
      </c>
      <c r="I35" s="50">
        <f ca="1">+GETPIVOTDATA("TNG4",'ngaigiao (2016)'!$A$3,"MA_HT","DGD","MA_QH","LUN")</f>
        <v>0</v>
      </c>
      <c r="J35" s="50">
        <f ca="1">+GETPIVOTDATA("TNG4",'ngaigiao (2016)'!$A$3,"MA_HT","DGD","MA_QH","HNK")</f>
        <v>0</v>
      </c>
      <c r="K35" s="50">
        <f ca="1">+GETPIVOTDATA("TNG4",'ngaigiao (2016)'!$A$3,"MA_HT","DGD","MA_QH","CLN")</f>
        <v>0</v>
      </c>
      <c r="L35" s="50">
        <f ca="1">+GETPIVOTDATA("TNG4",'ngaigiao (2016)'!$A$3,"MA_HT","DGD","MA_QH","RSX")</f>
        <v>0</v>
      </c>
      <c r="M35" s="50">
        <f ca="1">+GETPIVOTDATA("TNG4",'ngaigiao (2016)'!$A$3,"MA_HT","DGD","MA_QH","RPH")</f>
        <v>0</v>
      </c>
      <c r="N35" s="50">
        <f ca="1">+GETPIVOTDATA("TNG4",'ngaigiao (2016)'!$A$3,"MA_HT","DGD","MA_QH","RDD")</f>
        <v>0</v>
      </c>
      <c r="O35" s="50">
        <f ca="1">+GETPIVOTDATA("TNG4",'ngaigiao (2016)'!$A$3,"MA_HT","DGD","MA_QH","NTS")</f>
        <v>0</v>
      </c>
      <c r="P35" s="50">
        <f ca="1">+GETPIVOTDATA("TNG4",'ngaigiao (2016)'!$A$3,"MA_HT","DGD","MA_QH","LMU")</f>
        <v>0</v>
      </c>
      <c r="Q35" s="50">
        <f ca="1">+GETPIVOTDATA("TNG4",'ngaigiao (2016)'!$A$3,"MA_HT","DGD","MA_QH","NKH")</f>
        <v>0</v>
      </c>
      <c r="R35" s="48">
        <f ca="1" t="shared" si="20"/>
        <v>0</v>
      </c>
      <c r="S35" s="50">
        <f ca="1">+GETPIVOTDATA("TNG4",'ngaigiao (2016)'!$A$3,"MA_HT","DGD","MA_QH","CQP")</f>
        <v>0</v>
      </c>
      <c r="T35" s="50">
        <f ca="1">+GETPIVOTDATA("TNG4",'ngaigiao (2016)'!$A$3,"MA_HT","DGD","MA_QH","CAN")</f>
        <v>0</v>
      </c>
      <c r="U35" s="50">
        <f ca="1">+GETPIVOTDATA("TNG4",'ngaigiao (2016)'!$A$3,"MA_HT","DGD","MA_QH","SKK")</f>
        <v>0</v>
      </c>
      <c r="V35" s="50">
        <f ca="1">+GETPIVOTDATA("TNG4",'ngaigiao (2016)'!$A$3,"MA_HT","DGD","MA_QH","SKT")</f>
        <v>0</v>
      </c>
      <c r="W35" s="50">
        <f ca="1">+GETPIVOTDATA("TNG4",'ngaigiao (2016)'!$A$3,"MA_HT","DGD","MA_QH","SKN")</f>
        <v>0</v>
      </c>
      <c r="X35" s="50">
        <f ca="1">+GETPIVOTDATA("TNG4",'ngaigiao (2016)'!$A$3,"MA_HT","DGD","MA_QH","TMD")</f>
        <v>0</v>
      </c>
      <c r="Y35" s="50">
        <f ca="1">+GETPIVOTDATA("TNG4",'ngaigiao (2016)'!$A$3,"MA_HT","DGD","MA_QH","SKC")</f>
        <v>0</v>
      </c>
      <c r="Z35" s="50">
        <f ca="1">+GETPIVOTDATA("TNG4",'ngaigiao (2016)'!$A$3,"MA_HT","DGD","MA_QH","SKS")</f>
        <v>0</v>
      </c>
      <c r="AA35" s="52">
        <f ca="1">+SUM(AB35:AG35,AI35:AM35)</f>
        <v>0</v>
      </c>
      <c r="AB35" s="50">
        <f ca="1">+GETPIVOTDATA("TNG4",'ngaigiao (2016)'!$A$3,"MA_HT","DGD","MA_QH","DGT")</f>
        <v>0</v>
      </c>
      <c r="AC35" s="50">
        <f ca="1">+GETPIVOTDATA("TNG4",'ngaigiao (2016)'!$A$3,"MA_HT","DGD","MA_QH","DTL")</f>
        <v>0</v>
      </c>
      <c r="AD35" s="50">
        <f ca="1">+GETPIVOTDATA("TNG4",'ngaigiao (2016)'!$A$3,"MA_HT","DGD","MA_QH","DNL")</f>
        <v>0</v>
      </c>
      <c r="AE35" s="50">
        <f ca="1">+GETPIVOTDATA("TNG4",'ngaigiao (2016)'!$A$3,"MA_HT","DGD","MA_QH","DBV")</f>
        <v>0</v>
      </c>
      <c r="AF35" s="50">
        <f ca="1">+GETPIVOTDATA("TNG4",'ngaigiao (2016)'!$A$3,"MA_HT","DGD","MA_QH","DVH")</f>
        <v>0</v>
      </c>
      <c r="AG35" s="50">
        <f ca="1">+GETPIVOTDATA("TNG4",'ngaigiao (2016)'!$A$3,"MA_HT","DGD","MA_QH","DYT")</f>
        <v>0</v>
      </c>
      <c r="AH35" s="49" t="e">
        <f ca="1">$D35-$BF35</f>
        <v>#REF!</v>
      </c>
      <c r="AI35" s="50">
        <f ca="1">+GETPIVOTDATA("TNG4",'ngaigiao (2016)'!$A$3,"MA_HT","DGD","MA_QH","DTT")</f>
        <v>0</v>
      </c>
      <c r="AJ35" s="50">
        <f ca="1">+GETPIVOTDATA("TNG4",'ngaigiao (2016)'!$A$3,"MA_HT","DGD","MA_QH","NCK")</f>
        <v>0</v>
      </c>
      <c r="AK35" s="50">
        <f ca="1">+GETPIVOTDATA("TNG4",'ngaigiao (2016)'!$A$3,"MA_HT","DGD","MA_QH","DXH")</f>
        <v>0</v>
      </c>
      <c r="AL35" s="50">
        <f ca="1">+GETPIVOTDATA("TNG4",'ngaigiao (2016)'!$A$3,"MA_HT","DGD","MA_QH","DCH")</f>
        <v>0</v>
      </c>
      <c r="AM35" s="50">
        <f ca="1">+GETPIVOTDATA("TNG4",'ngaigiao (2016)'!$A$3,"MA_HT","DGD","MA_QH","DKG")</f>
        <v>0</v>
      </c>
      <c r="AN35" s="50">
        <f ca="1">+GETPIVOTDATA("TNG4",'ngaigiao (2016)'!$A$3,"MA_HT","DGD","MA_QH","DDT")</f>
        <v>0</v>
      </c>
      <c r="AO35" s="50">
        <f ca="1">+GETPIVOTDATA("TNG4",'ngaigiao (2016)'!$A$3,"MA_HT","DGD","MA_QH","DDL")</f>
        <v>0</v>
      </c>
      <c r="AP35" s="50">
        <f ca="1">+GETPIVOTDATA("TNG4",'ngaigiao (2016)'!$A$3,"MA_HT","DGD","MA_QH","DRA")</f>
        <v>0</v>
      </c>
      <c r="AQ35" s="50">
        <f ca="1">+GETPIVOTDATA("TNG4",'ngaigiao (2016)'!$A$3,"MA_HT","DGD","MA_QH","ONT")</f>
        <v>0</v>
      </c>
      <c r="AR35" s="50">
        <f ca="1">+GETPIVOTDATA("TNG4",'ngaigiao (2016)'!$A$3,"MA_HT","DGD","MA_QH","ODT")</f>
        <v>0</v>
      </c>
      <c r="AS35" s="50">
        <f ca="1">+GETPIVOTDATA("TNG4",'ngaigiao (2016)'!$A$3,"MA_HT","DGD","MA_QH","TSC")</f>
        <v>0</v>
      </c>
      <c r="AT35" s="50">
        <f ca="1">+GETPIVOTDATA("TNG4",'ngaigiao (2016)'!$A$3,"MA_HT","DGD","MA_QH","DTS")</f>
        <v>0</v>
      </c>
      <c r="AU35" s="50">
        <f ca="1">+GETPIVOTDATA("TNG4",'ngaigiao (2016)'!$A$3,"MA_HT","DGD","MA_QH","DNG")</f>
        <v>0</v>
      </c>
      <c r="AV35" s="50">
        <f ca="1">+GETPIVOTDATA("TNG4",'ngaigiao (2016)'!$A$3,"MA_HT","DGD","MA_QH","TON")</f>
        <v>0</v>
      </c>
      <c r="AW35" s="50">
        <f ca="1">+GETPIVOTDATA("TNG4",'ngaigiao (2016)'!$A$3,"MA_HT","DGD","MA_QH","NTD")</f>
        <v>0</v>
      </c>
      <c r="AX35" s="50">
        <f ca="1">+GETPIVOTDATA("TNG4",'ngaigiao (2016)'!$A$3,"MA_HT","DGD","MA_QH","SKX")</f>
        <v>0</v>
      </c>
      <c r="AY35" s="50">
        <f ca="1">+GETPIVOTDATA("TNG4",'ngaigiao (2016)'!$A$3,"MA_HT","DGD","MA_QH","DSH")</f>
        <v>0</v>
      </c>
      <c r="AZ35" s="50">
        <f ca="1">+GETPIVOTDATA("TNG4",'ngaigiao (2016)'!$A$3,"MA_HT","DGD","MA_QH","DKV")</f>
        <v>0</v>
      </c>
      <c r="BA35" s="88">
        <f ca="1">+GETPIVOTDATA("TNG4",'ngaigiao (2016)'!$A$3,"MA_HT","DGD","MA_QH","TIN")</f>
        <v>0</v>
      </c>
      <c r="BB35" s="50">
        <f ca="1">+GETPIVOTDATA("TNG4",'ngaigiao (2016)'!$A$3,"MA_HT","DGD","MA_QH","SON")</f>
        <v>0</v>
      </c>
      <c r="BC35" s="50">
        <f ca="1">+GETPIVOTDATA("TNG4",'ngaigiao (2016)'!$A$3,"MA_HT","DGD","MA_QH","MNC")</f>
        <v>0</v>
      </c>
      <c r="BD35" s="50">
        <f ca="1">+GETPIVOTDATA("TNG4",'ngaigiao (2016)'!$A$3,"MA_HT","DGD","MA_QH","PNK")</f>
        <v>0</v>
      </c>
      <c r="BE35" s="80">
        <f ca="1">+GETPIVOTDATA("TNG4",'ngaigiao (2016)'!$A$3,"MA_HT","DGD","MA_QH","CSD")</f>
        <v>0</v>
      </c>
      <c r="BF35" s="103">
        <f ca="1" t="shared" si="13"/>
        <v>0</v>
      </c>
      <c r="BG35" s="104">
        <f ca="1">AH$59-$BF35</f>
        <v>0</v>
      </c>
      <c r="BH35" s="47" t="e">
        <f ca="1" t="shared" si="14"/>
        <v>#REF!</v>
      </c>
      <c r="BI35" s="105"/>
      <c r="BJ35" s="105" t="e">
        <f>#REF!</f>
        <v>#REF!</v>
      </c>
      <c r="BK35" s="108" t="e">
        <f ca="1" t="shared" si="19"/>
        <v>#REF!</v>
      </c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</row>
    <row r="36" s="4" customFormat="1" ht="16.5" customHeight="1" spans="1:79">
      <c r="A36" s="45" t="s">
        <v>8390</v>
      </c>
      <c r="B36" s="45" t="s">
        <v>8391</v>
      </c>
      <c r="C36" s="46" t="s">
        <v>8294</v>
      </c>
      <c r="D36" s="47" t="e">
        <f>+#REF!</f>
        <v>#REF!</v>
      </c>
      <c r="E36" s="42">
        <f ca="1" t="shared" si="15"/>
        <v>0</v>
      </c>
      <c r="F36" s="52">
        <f ca="1" t="shared" si="9"/>
        <v>0</v>
      </c>
      <c r="G36" s="50">
        <f ca="1">+GETPIVOTDATA("TNG4",'ngaigiao (2016)'!$A$3,"MA_HT","DTT","MA_QH","LUC")</f>
        <v>0</v>
      </c>
      <c r="H36" s="50">
        <f ca="1">+GETPIVOTDATA("TNG4",'ngaigiao (2016)'!$A$3,"MA_HT","DTT","MA_QH","LUK")</f>
        <v>0</v>
      </c>
      <c r="I36" s="50">
        <f ca="1">+GETPIVOTDATA("TNG4",'ngaigiao (2016)'!$A$3,"MA_HT","DTT","MA_QH","LUN")</f>
        <v>0</v>
      </c>
      <c r="J36" s="50">
        <f ca="1">+GETPIVOTDATA("TNG4",'ngaigiao (2016)'!$A$3,"MA_HT","DTT","MA_QH","HNK")</f>
        <v>0</v>
      </c>
      <c r="K36" s="50">
        <f ca="1">+GETPIVOTDATA("TNG4",'ngaigiao (2016)'!$A$3,"MA_HT","DTT","MA_QH","CLN")</f>
        <v>0</v>
      </c>
      <c r="L36" s="50">
        <f ca="1">+GETPIVOTDATA("TNG4",'ngaigiao (2016)'!$A$3,"MA_HT","DTT","MA_QH","RSX")</f>
        <v>0</v>
      </c>
      <c r="M36" s="50">
        <f ca="1">+GETPIVOTDATA("TNG4",'ngaigiao (2016)'!$A$3,"MA_HT","DTT","MA_QH","RPH")</f>
        <v>0</v>
      </c>
      <c r="N36" s="50">
        <f ca="1">+GETPIVOTDATA("TNG4",'ngaigiao (2016)'!$A$3,"MA_HT","DTT","MA_QH","RDD")</f>
        <v>0</v>
      </c>
      <c r="O36" s="50">
        <f ca="1">+GETPIVOTDATA("TNG4",'ngaigiao (2016)'!$A$3,"MA_HT","DTT","MA_QH","NTS")</f>
        <v>0</v>
      </c>
      <c r="P36" s="50">
        <f ca="1">+GETPIVOTDATA("TNG4",'ngaigiao (2016)'!$A$3,"MA_HT","DTT","MA_QH","LMU")</f>
        <v>0</v>
      </c>
      <c r="Q36" s="50">
        <f ca="1">+GETPIVOTDATA("TNG4",'ngaigiao (2016)'!$A$3,"MA_HT","DTT","MA_QH","NKH")</f>
        <v>0</v>
      </c>
      <c r="R36" s="48">
        <f ca="1" t="shared" si="20"/>
        <v>0</v>
      </c>
      <c r="S36" s="50">
        <f ca="1">+GETPIVOTDATA("TNG4",'ngaigiao (2016)'!$A$3,"MA_HT","DTT","MA_QH","CQP")</f>
        <v>0</v>
      </c>
      <c r="T36" s="50">
        <f ca="1">+GETPIVOTDATA("TNG4",'ngaigiao (2016)'!$A$3,"MA_HT","DTT","MA_QH","CAN")</f>
        <v>0</v>
      </c>
      <c r="U36" s="50">
        <f ca="1">+GETPIVOTDATA("TNG4",'ngaigiao (2016)'!$A$3,"MA_HT","DTT","MA_QH","SKK")</f>
        <v>0</v>
      </c>
      <c r="V36" s="50">
        <f ca="1">+GETPIVOTDATA("TNG4",'ngaigiao (2016)'!$A$3,"MA_HT","DTT","MA_QH","SKT")</f>
        <v>0</v>
      </c>
      <c r="W36" s="50">
        <f ca="1">+GETPIVOTDATA("TNG4",'ngaigiao (2016)'!$A$3,"MA_HT","DTT","MA_QH","SKN")</f>
        <v>0</v>
      </c>
      <c r="X36" s="50">
        <f ca="1">+GETPIVOTDATA("TNG4",'ngaigiao (2016)'!$A$3,"MA_HT","DTT","MA_QH","TMD")</f>
        <v>0</v>
      </c>
      <c r="Y36" s="50">
        <f ca="1">+GETPIVOTDATA("TNG4",'ngaigiao (2016)'!$A$3,"MA_HT","DTT","MA_QH","SKC")</f>
        <v>0</v>
      </c>
      <c r="Z36" s="50">
        <f ca="1">+GETPIVOTDATA("TNG4",'ngaigiao (2016)'!$A$3,"MA_HT","DTT","MA_QH","SKS")</f>
        <v>0</v>
      </c>
      <c r="AA36" s="52">
        <f ca="1">+SUM(AB36:AH36,AJ36:AM36)</f>
        <v>0</v>
      </c>
      <c r="AB36" s="50">
        <f ca="1">+GETPIVOTDATA("TNG4",'ngaigiao (2016)'!$A$3,"MA_HT","DTT","MA_QH","DGT")</f>
        <v>0</v>
      </c>
      <c r="AC36" s="50">
        <f ca="1">+GETPIVOTDATA("TNG4",'ngaigiao (2016)'!$A$3,"MA_HT","DTT","MA_QH","DTL")</f>
        <v>0</v>
      </c>
      <c r="AD36" s="50">
        <f ca="1">+GETPIVOTDATA("TNG4",'ngaigiao (2016)'!$A$3,"MA_HT","DTT","MA_QH","DNL")</f>
        <v>0</v>
      </c>
      <c r="AE36" s="50">
        <f ca="1">+GETPIVOTDATA("TNG4",'ngaigiao (2016)'!$A$3,"MA_HT","DTT","MA_QH","DBV")</f>
        <v>0</v>
      </c>
      <c r="AF36" s="50">
        <f ca="1">+GETPIVOTDATA("TNG4",'ngaigiao (2016)'!$A$3,"MA_HT","DTT","MA_QH","DVH")</f>
        <v>0</v>
      </c>
      <c r="AG36" s="50">
        <f ca="1">+GETPIVOTDATA("TNG4",'ngaigiao (2016)'!$A$3,"MA_HT","DTT","MA_QH","DYT")</f>
        <v>0</v>
      </c>
      <c r="AH36" s="50">
        <f ca="1">+GETPIVOTDATA("TNG4",'ngaigiao (2016)'!$A$3,"MA_HT","DTT","MA_QH","DGD")</f>
        <v>0</v>
      </c>
      <c r="AI36" s="49" t="e">
        <f ca="1">$D36-$BF36</f>
        <v>#REF!</v>
      </c>
      <c r="AJ36" s="50">
        <f ca="1">+GETPIVOTDATA("TNG4",'ngaigiao (2016)'!$A$3,"MA_HT","DTT","MA_QH","NCK")</f>
        <v>0</v>
      </c>
      <c r="AK36" s="50">
        <f ca="1">+GETPIVOTDATA("TNG4",'ngaigiao (2016)'!$A$3,"MA_HT","DTT","MA_QH","DXH")</f>
        <v>0</v>
      </c>
      <c r="AL36" s="50">
        <f ca="1">+GETPIVOTDATA("TNG4",'ngaigiao (2016)'!$A$3,"MA_HT","DTT","MA_QH","DCH")</f>
        <v>0</v>
      </c>
      <c r="AM36" s="50">
        <f ca="1">+GETPIVOTDATA("TNG4",'ngaigiao (2016)'!$A$3,"MA_HT","DTT","MA_QH","DKG")</f>
        <v>0</v>
      </c>
      <c r="AN36" s="50">
        <f ca="1">+GETPIVOTDATA("TNG4",'ngaigiao (2016)'!$A$3,"MA_HT","DTT","MA_QH","DDT")</f>
        <v>0</v>
      </c>
      <c r="AO36" s="50">
        <f ca="1">+GETPIVOTDATA("TNG4",'ngaigiao (2016)'!$A$3,"MA_HT","DTT","MA_QH","DDL")</f>
        <v>0</v>
      </c>
      <c r="AP36" s="50">
        <f ca="1">+GETPIVOTDATA("TNG4",'ngaigiao (2016)'!$A$3,"MA_HT","DTT","MA_QH","DRA")</f>
        <v>0</v>
      </c>
      <c r="AQ36" s="50">
        <f ca="1">+GETPIVOTDATA("TNG4",'ngaigiao (2016)'!$A$3,"MA_HT","DTT","MA_QH","ONT")</f>
        <v>0</v>
      </c>
      <c r="AR36" s="50">
        <f ca="1">+GETPIVOTDATA("TNG4",'ngaigiao (2016)'!$A$3,"MA_HT","DTT","MA_QH","ODT")</f>
        <v>0</v>
      </c>
      <c r="AS36" s="50">
        <f ca="1">+GETPIVOTDATA("TNG4",'ngaigiao (2016)'!$A$3,"MA_HT","DTT","MA_QH","TSC")</f>
        <v>0</v>
      </c>
      <c r="AT36" s="50">
        <f ca="1">+GETPIVOTDATA("TNG4",'ngaigiao (2016)'!$A$3,"MA_HT","DTT","MA_QH","DTS")</f>
        <v>0</v>
      </c>
      <c r="AU36" s="50">
        <f ca="1">+GETPIVOTDATA("TNG4",'ngaigiao (2016)'!$A$3,"MA_HT","DTT","MA_QH","DNG")</f>
        <v>0</v>
      </c>
      <c r="AV36" s="50">
        <f ca="1">+GETPIVOTDATA("TNG4",'ngaigiao (2016)'!$A$3,"MA_HT","DTT","MA_QH","TON")</f>
        <v>0</v>
      </c>
      <c r="AW36" s="50">
        <f ca="1">+GETPIVOTDATA("TNG4",'ngaigiao (2016)'!$A$3,"MA_HT","DTT","MA_QH","NTD")</f>
        <v>0</v>
      </c>
      <c r="AX36" s="50">
        <f ca="1">+GETPIVOTDATA("TNG4",'ngaigiao (2016)'!$A$3,"MA_HT","DTT","MA_QH","SKX")</f>
        <v>0</v>
      </c>
      <c r="AY36" s="50">
        <f ca="1">+GETPIVOTDATA("TNG4",'ngaigiao (2016)'!$A$3,"MA_HT","DTT","MA_QH","DSH")</f>
        <v>0</v>
      </c>
      <c r="AZ36" s="50">
        <f ca="1">+GETPIVOTDATA("TNG4",'ngaigiao (2016)'!$A$3,"MA_HT","DTT","MA_QH","DKV")</f>
        <v>0</v>
      </c>
      <c r="BA36" s="88">
        <f ca="1">+GETPIVOTDATA("TNG4",'ngaigiao (2016)'!$A$3,"MA_HT","DTT","MA_QH","TIN")</f>
        <v>0</v>
      </c>
      <c r="BB36" s="50">
        <f ca="1">+GETPIVOTDATA("TNG4",'ngaigiao (2016)'!$A$3,"MA_HT","DTT","MA_QH","SON")</f>
        <v>0</v>
      </c>
      <c r="BC36" s="50">
        <f ca="1">+GETPIVOTDATA("TNG4",'ngaigiao (2016)'!$A$3,"MA_HT","DTT","MA_QH","MNC")</f>
        <v>0</v>
      </c>
      <c r="BD36" s="50">
        <f ca="1">+GETPIVOTDATA("TNG4",'ngaigiao (2016)'!$A$3,"MA_HT","DTT","MA_QH","PNK")</f>
        <v>0</v>
      </c>
      <c r="BE36" s="80">
        <f ca="1">+GETPIVOTDATA("TNG4",'ngaigiao (2016)'!$A$3,"MA_HT","DTT","MA_QH","CSD")</f>
        <v>0</v>
      </c>
      <c r="BF36" s="103">
        <f ca="1" t="shared" si="13"/>
        <v>0</v>
      </c>
      <c r="BG36" s="104">
        <f ca="1">AI$59-$BF36</f>
        <v>0</v>
      </c>
      <c r="BH36" s="47" t="e">
        <f ca="1" t="shared" si="14"/>
        <v>#REF!</v>
      </c>
      <c r="BI36" s="105"/>
      <c r="BJ36" s="105" t="e">
        <f>#REF!</f>
        <v>#REF!</v>
      </c>
      <c r="BK36" s="108" t="e">
        <f ca="1" t="shared" si="19"/>
        <v>#REF!</v>
      </c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</row>
    <row r="37" s="4" customFormat="1" ht="16.5" customHeight="1" spans="1:79">
      <c r="A37" s="45" t="s">
        <v>8392</v>
      </c>
      <c r="B37" s="45" t="s">
        <v>8393</v>
      </c>
      <c r="C37" s="46" t="s">
        <v>8302</v>
      </c>
      <c r="D37" s="47" t="e">
        <f>+#REF!</f>
        <v>#REF!</v>
      </c>
      <c r="E37" s="42">
        <f ca="1" t="shared" si="15"/>
        <v>0</v>
      </c>
      <c r="F37" s="52">
        <f ca="1" t="shared" si="9"/>
        <v>0</v>
      </c>
      <c r="G37" s="50">
        <f ca="1">+GETPIVOTDATA("TNG4",'ngaigiao (2016)'!$A$3,"MA_HT","NCK","MA_QH","LUC")</f>
        <v>0</v>
      </c>
      <c r="H37" s="50">
        <f ca="1">+GETPIVOTDATA("TNG4",'ngaigiao (2016)'!$A$3,"MA_HT","NCK","MA_QH","LUK")</f>
        <v>0</v>
      </c>
      <c r="I37" s="50">
        <f ca="1">+GETPIVOTDATA("TNG4",'ngaigiao (2016)'!$A$3,"MA_HT","NCK","MA_QH","LUN")</f>
        <v>0</v>
      </c>
      <c r="J37" s="50">
        <f ca="1">+GETPIVOTDATA("TNG4",'ngaigiao (2016)'!$A$3,"MA_HT","NCK","MA_QH","HNK")</f>
        <v>0</v>
      </c>
      <c r="K37" s="50">
        <f ca="1">+GETPIVOTDATA("TNG4",'ngaigiao (2016)'!$A$3,"MA_HT","NCK","MA_QH","CLN")</f>
        <v>0</v>
      </c>
      <c r="L37" s="50">
        <f ca="1">+GETPIVOTDATA("TNG4",'ngaigiao (2016)'!$A$3,"MA_HT","NCK","MA_QH","RSX")</f>
        <v>0</v>
      </c>
      <c r="M37" s="50">
        <f ca="1">+GETPIVOTDATA("TNG4",'ngaigiao (2016)'!$A$3,"MA_HT","NCK","MA_QH","RPH")</f>
        <v>0</v>
      </c>
      <c r="N37" s="50">
        <f ca="1">+GETPIVOTDATA("TNG4",'ngaigiao (2016)'!$A$3,"MA_HT","NCK","MA_QH","RDD")</f>
        <v>0</v>
      </c>
      <c r="O37" s="50">
        <f ca="1">+GETPIVOTDATA("TNG4",'ngaigiao (2016)'!$A$3,"MA_HT","NCK","MA_QH","NTS")</f>
        <v>0</v>
      </c>
      <c r="P37" s="50">
        <f ca="1">+GETPIVOTDATA("TNG4",'ngaigiao (2016)'!$A$3,"MA_HT","NCK","MA_QH","LMU")</f>
        <v>0</v>
      </c>
      <c r="Q37" s="50">
        <f ca="1">+GETPIVOTDATA("TNG4",'ngaigiao (2016)'!$A$3,"MA_HT","NCK","MA_QH","NKH")</f>
        <v>0</v>
      </c>
      <c r="R37" s="48">
        <f ca="1" t="shared" si="20"/>
        <v>0</v>
      </c>
      <c r="S37" s="50">
        <f ca="1">+GETPIVOTDATA("TNG4",'ngaigiao (2016)'!$A$3,"MA_HT","NCK","MA_QH","CQP")</f>
        <v>0</v>
      </c>
      <c r="T37" s="50">
        <f ca="1">+GETPIVOTDATA("TNG4",'ngaigiao (2016)'!$A$3,"MA_HT","NCK","MA_QH","CAN")</f>
        <v>0</v>
      </c>
      <c r="U37" s="50">
        <f ca="1">+GETPIVOTDATA("TNG4",'ngaigiao (2016)'!$A$3,"MA_HT","NCK","MA_QH","SKK")</f>
        <v>0</v>
      </c>
      <c r="V37" s="50">
        <f ca="1">+GETPIVOTDATA("TNG4",'ngaigiao (2016)'!$A$3,"MA_HT","NCK","MA_QH","SKT")</f>
        <v>0</v>
      </c>
      <c r="W37" s="50">
        <f ca="1">+GETPIVOTDATA("TNG4",'ngaigiao (2016)'!$A$3,"MA_HT","NCK","MA_QH","SKN")</f>
        <v>0</v>
      </c>
      <c r="X37" s="50">
        <f ca="1">+GETPIVOTDATA("TNG4",'ngaigiao (2016)'!$A$3,"MA_HT","NCK","MA_QH","TMD")</f>
        <v>0</v>
      </c>
      <c r="Y37" s="50">
        <f ca="1">+GETPIVOTDATA("TNG4",'ngaigiao (2016)'!$A$3,"MA_HT","NCK","MA_QH","SKC")</f>
        <v>0</v>
      </c>
      <c r="Z37" s="50">
        <f ca="1">+GETPIVOTDATA("TNG4",'ngaigiao (2016)'!$A$3,"MA_HT","NCK","MA_QH","SKS")</f>
        <v>0</v>
      </c>
      <c r="AA37" s="52">
        <f ca="1">+SUM(AB37:AI37,AK37:AM37)</f>
        <v>0</v>
      </c>
      <c r="AB37" s="50">
        <f ca="1">+GETPIVOTDATA("TNG4",'ngaigiao (2016)'!$A$3,"MA_HT","NCK","MA_QH","DGT")</f>
        <v>0</v>
      </c>
      <c r="AC37" s="50">
        <f ca="1">+GETPIVOTDATA("TNG4",'ngaigiao (2016)'!$A$3,"MA_HT","NCK","MA_QH","DTL")</f>
        <v>0</v>
      </c>
      <c r="AD37" s="50">
        <f ca="1">+GETPIVOTDATA("TNG4",'ngaigiao (2016)'!$A$3,"MA_HT","NCK","MA_QH","DNL")</f>
        <v>0</v>
      </c>
      <c r="AE37" s="50">
        <f ca="1">+GETPIVOTDATA("TNG4",'ngaigiao (2016)'!$A$3,"MA_HT","NCK","MA_QH","DBV")</f>
        <v>0</v>
      </c>
      <c r="AF37" s="50">
        <f ca="1">+GETPIVOTDATA("TNG4",'ngaigiao (2016)'!$A$3,"MA_HT","NCK","MA_QH","DVH")</f>
        <v>0</v>
      </c>
      <c r="AG37" s="50">
        <f ca="1">+GETPIVOTDATA("TNG4",'ngaigiao (2016)'!$A$3,"MA_HT","NCK","MA_QH","DYT")</f>
        <v>0</v>
      </c>
      <c r="AH37" s="50">
        <f ca="1">+GETPIVOTDATA("TNG4",'ngaigiao (2016)'!$A$3,"MA_HT","NCK","MA_QH","DGD")</f>
        <v>0</v>
      </c>
      <c r="AI37" s="50">
        <f ca="1">+GETPIVOTDATA("TNG4",'ngaigiao (2016)'!$A$3,"MA_HT","NCK","MA_QH","DTT")</f>
        <v>0</v>
      </c>
      <c r="AJ37" s="49" t="e">
        <f ca="1">$D37-$BF37</f>
        <v>#REF!</v>
      </c>
      <c r="AK37" s="50">
        <f ca="1">+GETPIVOTDATA("TNG4",'ngaigiao (2016)'!$A$3,"MA_HT","NCK","MA_QH","DXH")</f>
        <v>0</v>
      </c>
      <c r="AL37" s="50">
        <f ca="1">+GETPIVOTDATA("TNG4",'ngaigiao (2016)'!$A$3,"MA_HT","NCK","MA_QH","DCH")</f>
        <v>0</v>
      </c>
      <c r="AM37" s="50">
        <f ca="1">+GETPIVOTDATA("TNG4",'ngaigiao (2016)'!$A$3,"MA_HT","NCK","MA_QH","DKG")</f>
        <v>0</v>
      </c>
      <c r="AN37" s="50">
        <f ca="1">+GETPIVOTDATA("TNG4",'ngaigiao (2016)'!$A$3,"MA_HT","NCK","MA_QH","DDT")</f>
        <v>0</v>
      </c>
      <c r="AO37" s="50">
        <f ca="1">+GETPIVOTDATA("TNG4",'ngaigiao (2016)'!$A$3,"MA_HT","NCK","MA_QH","DDL")</f>
        <v>0</v>
      </c>
      <c r="AP37" s="50">
        <f ca="1">+GETPIVOTDATA("TNG4",'ngaigiao (2016)'!$A$3,"MA_HT","NCK","MA_QH","DRA")</f>
        <v>0</v>
      </c>
      <c r="AQ37" s="50">
        <f ca="1">+GETPIVOTDATA("TNG4",'ngaigiao (2016)'!$A$3,"MA_HT","NCK","MA_QH","ONT")</f>
        <v>0</v>
      </c>
      <c r="AR37" s="50">
        <f ca="1">+GETPIVOTDATA("TNG4",'ngaigiao (2016)'!$A$3,"MA_HT","NCK","MA_QH","ODT")</f>
        <v>0</v>
      </c>
      <c r="AS37" s="50">
        <f ca="1">+GETPIVOTDATA("TNG4",'ngaigiao (2016)'!$A$3,"MA_HT","NCK","MA_QH","TSC")</f>
        <v>0</v>
      </c>
      <c r="AT37" s="50">
        <f ca="1">+GETPIVOTDATA("TNG4",'ngaigiao (2016)'!$A$3,"MA_HT","NCK","MA_QH","DTS")</f>
        <v>0</v>
      </c>
      <c r="AU37" s="50">
        <f ca="1">+GETPIVOTDATA("TNG4",'ngaigiao (2016)'!$A$3,"MA_HT","NCK","MA_QH","DNG")</f>
        <v>0</v>
      </c>
      <c r="AV37" s="50">
        <f ca="1">+GETPIVOTDATA("TNG4",'ngaigiao (2016)'!$A$3,"MA_HT","NCK","MA_QH","TON")</f>
        <v>0</v>
      </c>
      <c r="AW37" s="50">
        <f ca="1">+GETPIVOTDATA("TNG4",'ngaigiao (2016)'!$A$3,"MA_HT","NCK","MA_QH","NTD")</f>
        <v>0</v>
      </c>
      <c r="AX37" s="50">
        <f ca="1">+GETPIVOTDATA("TNG4",'ngaigiao (2016)'!$A$3,"MA_HT","NCK","MA_QH","SKX")</f>
        <v>0</v>
      </c>
      <c r="AY37" s="50">
        <f ca="1">+GETPIVOTDATA("TNG4",'ngaigiao (2016)'!$A$3,"MA_HT","NCK","MA_QH","DSH")</f>
        <v>0</v>
      </c>
      <c r="AZ37" s="50">
        <f ca="1">+GETPIVOTDATA("TNG4",'ngaigiao (2016)'!$A$3,"MA_HT","NCK","MA_QH","DKV")</f>
        <v>0</v>
      </c>
      <c r="BA37" s="88">
        <f ca="1">+GETPIVOTDATA("TNG4",'ngaigiao (2016)'!$A$3,"MA_HT","NCK","MA_QH","TIN")</f>
        <v>0</v>
      </c>
      <c r="BB37" s="50">
        <f ca="1">+GETPIVOTDATA("TNG4",'ngaigiao (2016)'!$A$3,"MA_HT","NCK","MA_QH","SON")</f>
        <v>0</v>
      </c>
      <c r="BC37" s="50">
        <f ca="1">+GETPIVOTDATA("TNG4",'ngaigiao (2016)'!$A$3,"MA_HT","NCK","MA_QH","MNC")</f>
        <v>0</v>
      </c>
      <c r="BD37" s="50">
        <f ca="1">+GETPIVOTDATA("TNG4",'ngaigiao (2016)'!$A$3,"MA_HT","NCK","MA_QH","PNK")</f>
        <v>0</v>
      </c>
      <c r="BE37" s="80">
        <f ca="1">+GETPIVOTDATA("TNG4",'ngaigiao (2016)'!$A$3,"MA_HT","NCK","MA_QH","CSD")</f>
        <v>0</v>
      </c>
      <c r="BF37" s="103">
        <f ca="1" t="shared" si="13"/>
        <v>0</v>
      </c>
      <c r="BG37" s="104">
        <f ca="1">AJ$59-$BF37</f>
        <v>0</v>
      </c>
      <c r="BH37" s="47" t="e">
        <f ca="1" t="shared" si="14"/>
        <v>#REF!</v>
      </c>
      <c r="BI37" s="105"/>
      <c r="BJ37" s="105" t="e">
        <f>#REF!</f>
        <v>#REF!</v>
      </c>
      <c r="BK37" s="108" t="e">
        <f ca="1" t="shared" si="19"/>
        <v>#REF!</v>
      </c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</row>
    <row r="38" s="4" customFormat="1" ht="16.5" customHeight="1" spans="1:79">
      <c r="A38" s="45" t="s">
        <v>8394</v>
      </c>
      <c r="B38" s="45" t="s">
        <v>8395</v>
      </c>
      <c r="C38" s="46" t="s">
        <v>8295</v>
      </c>
      <c r="D38" s="47" t="e">
        <f>+#REF!</f>
        <v>#REF!</v>
      </c>
      <c r="E38" s="42">
        <f ca="1" t="shared" si="15"/>
        <v>0</v>
      </c>
      <c r="F38" s="52">
        <f ca="1" t="shared" si="9"/>
        <v>0</v>
      </c>
      <c r="G38" s="50">
        <f ca="1">+GETPIVOTDATA("TNG4",'ngaigiao (2016)'!$A$3,"MA_HT","DXH","MA_QH","LUC")</f>
        <v>0</v>
      </c>
      <c r="H38" s="50">
        <f ca="1">+GETPIVOTDATA("TNG4",'ngaigiao (2016)'!$A$3,"MA_HT","DXH","MA_QH","LUK")</f>
        <v>0</v>
      </c>
      <c r="I38" s="50">
        <f ca="1">+GETPIVOTDATA("TNG4",'ngaigiao (2016)'!$A$3,"MA_HT","DXH","MA_QH","LUN")</f>
        <v>0</v>
      </c>
      <c r="J38" s="50">
        <f ca="1">+GETPIVOTDATA("TNG4",'ngaigiao (2016)'!$A$3,"MA_HT","DXH","MA_QH","HNK")</f>
        <v>0</v>
      </c>
      <c r="K38" s="50">
        <f ca="1">+GETPIVOTDATA("TNG4",'ngaigiao (2016)'!$A$3,"MA_HT","DXH","MA_QH","CLN")</f>
        <v>0</v>
      </c>
      <c r="L38" s="50">
        <f ca="1">+GETPIVOTDATA("TNG4",'ngaigiao (2016)'!$A$3,"MA_HT","DXH","MA_QH","RSX")</f>
        <v>0</v>
      </c>
      <c r="M38" s="50">
        <f ca="1">+GETPIVOTDATA("TNG4",'ngaigiao (2016)'!$A$3,"MA_HT","DXH","MA_QH","RPH")</f>
        <v>0</v>
      </c>
      <c r="N38" s="50">
        <f ca="1">+GETPIVOTDATA("TNG4",'ngaigiao (2016)'!$A$3,"MA_HT","DXH","MA_QH","RDD")</f>
        <v>0</v>
      </c>
      <c r="O38" s="50">
        <f ca="1">+GETPIVOTDATA("TNG4",'ngaigiao (2016)'!$A$3,"MA_HT","DXH","MA_QH","NTS")</f>
        <v>0</v>
      </c>
      <c r="P38" s="50">
        <f ca="1">+GETPIVOTDATA("TNG4",'ngaigiao (2016)'!$A$3,"MA_HT","DXH","MA_QH","LMU")</f>
        <v>0</v>
      </c>
      <c r="Q38" s="50">
        <f ca="1">+GETPIVOTDATA("TNG4",'ngaigiao (2016)'!$A$3,"MA_HT","DXH","MA_QH","NKH")</f>
        <v>0</v>
      </c>
      <c r="R38" s="48">
        <f ca="1" t="shared" si="20"/>
        <v>0</v>
      </c>
      <c r="S38" s="50">
        <f ca="1">+GETPIVOTDATA("TNG4",'ngaigiao (2016)'!$A$3,"MA_HT","DXH","MA_QH","CQP")</f>
        <v>0</v>
      </c>
      <c r="T38" s="50">
        <f ca="1">+GETPIVOTDATA("TNG4",'ngaigiao (2016)'!$A$3,"MA_HT","DXH","MA_QH","CAN")</f>
        <v>0</v>
      </c>
      <c r="U38" s="50">
        <f ca="1">+GETPIVOTDATA("TNG4",'ngaigiao (2016)'!$A$3,"MA_HT","DXH","MA_QH","SKK")</f>
        <v>0</v>
      </c>
      <c r="V38" s="50">
        <f ca="1">+GETPIVOTDATA("TNG4",'ngaigiao (2016)'!$A$3,"MA_HT","DXH","MA_QH","SKT")</f>
        <v>0</v>
      </c>
      <c r="W38" s="50">
        <f ca="1">+GETPIVOTDATA("TNG4",'ngaigiao (2016)'!$A$3,"MA_HT","DXH","MA_QH","SKN")</f>
        <v>0</v>
      </c>
      <c r="X38" s="50">
        <f ca="1">+GETPIVOTDATA("TNG4",'ngaigiao (2016)'!$A$3,"MA_HT","DXH","MA_QH","TMD")</f>
        <v>0</v>
      </c>
      <c r="Y38" s="50">
        <f ca="1">+GETPIVOTDATA("TNG4",'ngaigiao (2016)'!$A$3,"MA_HT","DXH","MA_QH","SKC")</f>
        <v>0</v>
      </c>
      <c r="Z38" s="50">
        <f ca="1">+GETPIVOTDATA("TNG4",'ngaigiao (2016)'!$A$3,"MA_HT","DXH","MA_QH","SKS")</f>
        <v>0</v>
      </c>
      <c r="AA38" s="52">
        <f ca="1">+SUM(AB38:AJ38,AL38:AM38)</f>
        <v>0</v>
      </c>
      <c r="AB38" s="50">
        <f ca="1">+GETPIVOTDATA("TNG4",'ngaigiao (2016)'!$A$3,"MA_HT","DXH","MA_QH","DGT")</f>
        <v>0</v>
      </c>
      <c r="AC38" s="50">
        <f ca="1">+GETPIVOTDATA("TNG4",'ngaigiao (2016)'!$A$3,"MA_HT","DXH","MA_QH","DTL")</f>
        <v>0</v>
      </c>
      <c r="AD38" s="50">
        <f ca="1">+GETPIVOTDATA("TNG4",'ngaigiao (2016)'!$A$3,"MA_HT","DXH","MA_QH","DNL")</f>
        <v>0</v>
      </c>
      <c r="AE38" s="50">
        <f ca="1">+GETPIVOTDATA("TNG4",'ngaigiao (2016)'!$A$3,"MA_HT","DXH","MA_QH","DBV")</f>
        <v>0</v>
      </c>
      <c r="AF38" s="50">
        <f ca="1">+GETPIVOTDATA("TNG4",'ngaigiao (2016)'!$A$3,"MA_HT","DXH","MA_QH","DVH")</f>
        <v>0</v>
      </c>
      <c r="AG38" s="50">
        <f ca="1">+GETPIVOTDATA("TNG4",'ngaigiao (2016)'!$A$3,"MA_HT","DXH","MA_QH","DYT")</f>
        <v>0</v>
      </c>
      <c r="AH38" s="50">
        <f ca="1">+GETPIVOTDATA("TNG4",'ngaigiao (2016)'!$A$3,"MA_HT","DXH","MA_QH","DGD")</f>
        <v>0</v>
      </c>
      <c r="AI38" s="50">
        <f ca="1">+GETPIVOTDATA("TNG4",'ngaigiao (2016)'!$A$3,"MA_HT","DXH","MA_QH","DTT")</f>
        <v>0</v>
      </c>
      <c r="AJ38" s="50">
        <f ca="1">+GETPIVOTDATA("TNG4",'ngaigiao (2016)'!$A$3,"MA_HT","DXH","MA_QH","NCK")</f>
        <v>0</v>
      </c>
      <c r="AK38" s="49" t="e">
        <f ca="1">$D38-$BF38</f>
        <v>#REF!</v>
      </c>
      <c r="AL38" s="50">
        <f ca="1">+GETPIVOTDATA("TNG4",'ngaigiao (2016)'!$A$3,"MA_HT","DXH","MA_QH","DCH")</f>
        <v>0</v>
      </c>
      <c r="AM38" s="50">
        <f ca="1">+GETPIVOTDATA("TNG4",'ngaigiao (2016)'!$A$3,"MA_HT","DXH","MA_QH","DKG")</f>
        <v>0</v>
      </c>
      <c r="AN38" s="50">
        <f ca="1">+GETPIVOTDATA("TNG4",'ngaigiao (2016)'!$A$3,"MA_HT","DXH","MA_QH","DDT")</f>
        <v>0</v>
      </c>
      <c r="AO38" s="50">
        <f ca="1">+GETPIVOTDATA("TNG4",'ngaigiao (2016)'!$A$3,"MA_HT","DXH","MA_QH","DDL")</f>
        <v>0</v>
      </c>
      <c r="AP38" s="50">
        <f ca="1">+GETPIVOTDATA("TNG4",'ngaigiao (2016)'!$A$3,"MA_HT","DXH","MA_QH","DRA")</f>
        <v>0</v>
      </c>
      <c r="AQ38" s="50">
        <f ca="1">+GETPIVOTDATA("TNG4",'ngaigiao (2016)'!$A$3,"MA_HT","DXH","MA_QH","ONT")</f>
        <v>0</v>
      </c>
      <c r="AR38" s="50">
        <f ca="1">+GETPIVOTDATA("TNG4",'ngaigiao (2016)'!$A$3,"MA_HT","DXH","MA_QH","ODT")</f>
        <v>0</v>
      </c>
      <c r="AS38" s="50">
        <f ca="1">+GETPIVOTDATA("TNG4",'ngaigiao (2016)'!$A$3,"MA_HT","DXH","MA_QH","TSC")</f>
        <v>0</v>
      </c>
      <c r="AT38" s="50">
        <f ca="1">+GETPIVOTDATA("TNG4",'ngaigiao (2016)'!$A$3,"MA_HT","DXH","MA_QH","DTS")</f>
        <v>0</v>
      </c>
      <c r="AU38" s="50">
        <f ca="1">+GETPIVOTDATA("TNG4",'ngaigiao (2016)'!$A$3,"MA_HT","DXH","MA_QH","DNG")</f>
        <v>0</v>
      </c>
      <c r="AV38" s="50">
        <f ca="1">+GETPIVOTDATA("TNG4",'ngaigiao (2016)'!$A$3,"MA_HT","DXH","MA_QH","TON")</f>
        <v>0</v>
      </c>
      <c r="AW38" s="50">
        <f ca="1">+GETPIVOTDATA("TNG4",'ngaigiao (2016)'!$A$3,"MA_HT","DXH","MA_QH","NTD")</f>
        <v>0</v>
      </c>
      <c r="AX38" s="50">
        <f ca="1">+GETPIVOTDATA("TNG4",'ngaigiao (2016)'!$A$3,"MA_HT","DXH","MA_QH","SKX")</f>
        <v>0</v>
      </c>
      <c r="AY38" s="50">
        <f ca="1">+GETPIVOTDATA("TNG4",'ngaigiao (2016)'!$A$3,"MA_HT","DXH","MA_QH","DSH")</f>
        <v>0</v>
      </c>
      <c r="AZ38" s="50">
        <f ca="1">+GETPIVOTDATA("TNG4",'ngaigiao (2016)'!$A$3,"MA_HT","DXH","MA_QH","DKV")</f>
        <v>0</v>
      </c>
      <c r="BA38" s="88">
        <f ca="1">+GETPIVOTDATA("TNG4",'ngaigiao (2016)'!$A$3,"MA_HT","DXH","MA_QH","TIN")</f>
        <v>0</v>
      </c>
      <c r="BB38" s="50">
        <f ca="1">+GETPIVOTDATA("TNG4",'ngaigiao (2016)'!$A$3,"MA_HT","DXH","MA_QH","SON")</f>
        <v>0</v>
      </c>
      <c r="BC38" s="50">
        <f ca="1">+GETPIVOTDATA("TNG4",'ngaigiao (2016)'!$A$3,"MA_HT","DXH","MA_QH","MNC")</f>
        <v>0</v>
      </c>
      <c r="BD38" s="50">
        <f ca="1">+GETPIVOTDATA("TNG4",'ngaigiao (2016)'!$A$3,"MA_HT","DXH","MA_QH","PNK")</f>
        <v>0</v>
      </c>
      <c r="BE38" s="80">
        <f ca="1">+GETPIVOTDATA("TNG4",'ngaigiao (2016)'!$A$3,"MA_HT","DXH","MA_QH","CSD")</f>
        <v>0</v>
      </c>
      <c r="BF38" s="103">
        <f ca="1" t="shared" si="13"/>
        <v>0</v>
      </c>
      <c r="BG38" s="104">
        <f ca="1">AK$59-$BF38</f>
        <v>0</v>
      </c>
      <c r="BH38" s="47" t="e">
        <f ca="1" t="shared" si="14"/>
        <v>#REF!</v>
      </c>
      <c r="BI38" s="105"/>
      <c r="BJ38" s="105" t="e">
        <f>#REF!</f>
        <v>#REF!</v>
      </c>
      <c r="BK38" s="108" t="e">
        <f ca="1" t="shared" si="19"/>
        <v>#REF!</v>
      </c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</row>
    <row r="39" s="5" customFormat="1" ht="16.5" customHeight="1" spans="1:79">
      <c r="A39" s="45" t="s">
        <v>8396</v>
      </c>
      <c r="B39" s="45" t="s">
        <v>8397</v>
      </c>
      <c r="C39" s="46" t="s">
        <v>178</v>
      </c>
      <c r="D39" s="47" t="e">
        <f>+#REF!</f>
        <v>#REF!</v>
      </c>
      <c r="E39" s="42">
        <f ca="1" t="shared" si="15"/>
        <v>0</v>
      </c>
      <c r="F39" s="52">
        <f ca="1" t="shared" si="9"/>
        <v>0</v>
      </c>
      <c r="G39" s="50">
        <f ca="1">+GETPIVOTDATA("TNG4",'ngaigiao (2016)'!$A$3,"MA_HT","DCH","MA_QH","LUC")</f>
        <v>0</v>
      </c>
      <c r="H39" s="50">
        <f ca="1">+GETPIVOTDATA("TNG4",'ngaigiao (2016)'!$A$3,"MA_HT","DCH","MA_QH","LUK")</f>
        <v>0</v>
      </c>
      <c r="I39" s="50">
        <f ca="1">+GETPIVOTDATA("TNG4",'ngaigiao (2016)'!$A$3,"MA_HT","DCH","MA_QH","LUN")</f>
        <v>0</v>
      </c>
      <c r="J39" s="50">
        <f ca="1">+GETPIVOTDATA("TNG4",'ngaigiao (2016)'!$A$3,"MA_HT","DCH","MA_QH","HNK")</f>
        <v>0</v>
      </c>
      <c r="K39" s="50">
        <f ca="1">+GETPIVOTDATA("TNG4",'ngaigiao (2016)'!$A$3,"MA_HT","DCH","MA_QH","CLN")</f>
        <v>0</v>
      </c>
      <c r="L39" s="50">
        <f ca="1">+GETPIVOTDATA("TNG4",'ngaigiao (2016)'!$A$3,"MA_HT","DCH","MA_QH","RSX")</f>
        <v>0</v>
      </c>
      <c r="M39" s="50">
        <f ca="1">+GETPIVOTDATA("TNG4",'ngaigiao (2016)'!$A$3,"MA_HT","DCH","MA_QH","RPH")</f>
        <v>0</v>
      </c>
      <c r="N39" s="50">
        <f ca="1">+GETPIVOTDATA("TNG4",'ngaigiao (2016)'!$A$3,"MA_HT","DCH","MA_QH","RDD")</f>
        <v>0</v>
      </c>
      <c r="O39" s="50">
        <f ca="1">+GETPIVOTDATA("TNG4",'ngaigiao (2016)'!$A$3,"MA_HT","DCH","MA_QH","NTS")</f>
        <v>0</v>
      </c>
      <c r="P39" s="50">
        <f ca="1">+GETPIVOTDATA("TNG4",'ngaigiao (2016)'!$A$3,"MA_HT","DCH","MA_QH","LMU")</f>
        <v>0</v>
      </c>
      <c r="Q39" s="50">
        <f ca="1">+GETPIVOTDATA("TNG4",'ngaigiao (2016)'!$A$3,"MA_HT","DCH","MA_QH","NKH")</f>
        <v>0</v>
      </c>
      <c r="R39" s="48">
        <f ca="1" t="shared" si="20"/>
        <v>0</v>
      </c>
      <c r="S39" s="50">
        <f ca="1">+GETPIVOTDATA("TNG4",'ngaigiao (2016)'!$A$3,"MA_HT","DCH","MA_QH","CQP")</f>
        <v>0</v>
      </c>
      <c r="T39" s="50">
        <f ca="1">+GETPIVOTDATA("TNG4",'ngaigiao (2016)'!$A$3,"MA_HT","DCH","MA_QH","CAN")</f>
        <v>0</v>
      </c>
      <c r="U39" s="50">
        <f ca="1">+GETPIVOTDATA("TNG4",'ngaigiao (2016)'!$A$3,"MA_HT","DCH","MA_QH","SKK")</f>
        <v>0</v>
      </c>
      <c r="V39" s="50">
        <f ca="1">+GETPIVOTDATA("TNG4",'ngaigiao (2016)'!$A$3,"MA_HT","DCH","MA_QH","SKT")</f>
        <v>0</v>
      </c>
      <c r="W39" s="50">
        <f ca="1">+GETPIVOTDATA("TNG4",'ngaigiao (2016)'!$A$3,"MA_HT","DCH","MA_QH","SKN")</f>
        <v>0</v>
      </c>
      <c r="X39" s="50">
        <f ca="1">+GETPIVOTDATA("TNG4",'ngaigiao (2016)'!$A$3,"MA_HT","DCH","MA_QH","TMD")</f>
        <v>0</v>
      </c>
      <c r="Y39" s="50">
        <f ca="1">+GETPIVOTDATA("TNG4",'ngaigiao (2016)'!$A$3,"MA_HT","DCH","MA_QH","SKC")</f>
        <v>0</v>
      </c>
      <c r="Z39" s="50">
        <f ca="1">+GETPIVOTDATA("TNG4",'ngaigiao (2016)'!$A$3,"MA_HT","DCH","MA_QH","SKS")</f>
        <v>0</v>
      </c>
      <c r="AA39" s="52">
        <f ca="1">+SUM(AB39:AK39,AM39)</f>
        <v>0</v>
      </c>
      <c r="AB39" s="50">
        <f ca="1">+GETPIVOTDATA("TNG4",'ngaigiao (2016)'!$A$3,"MA_HT","DCH","MA_QH","DGT")</f>
        <v>0</v>
      </c>
      <c r="AC39" s="50">
        <f ca="1">+GETPIVOTDATA("TNG4",'ngaigiao (2016)'!$A$3,"MA_HT","DCH","MA_QH","DTL")</f>
        <v>0</v>
      </c>
      <c r="AD39" s="50">
        <f ca="1">+GETPIVOTDATA("TNG4",'ngaigiao (2016)'!$A$3,"MA_HT","DCH","MA_QH","DNL")</f>
        <v>0</v>
      </c>
      <c r="AE39" s="50">
        <f ca="1">+GETPIVOTDATA("TNG4",'ngaigiao (2016)'!$A$3,"MA_HT","DCH","MA_QH","DBV")</f>
        <v>0</v>
      </c>
      <c r="AF39" s="50">
        <f ca="1">+GETPIVOTDATA("TNG4",'ngaigiao (2016)'!$A$3,"MA_HT","DCH","MA_QH","DVH")</f>
        <v>0</v>
      </c>
      <c r="AG39" s="50">
        <f ca="1">+GETPIVOTDATA("TNG4",'ngaigiao (2016)'!$A$3,"MA_HT","DCH","MA_QH","DYT")</f>
        <v>0</v>
      </c>
      <c r="AH39" s="50">
        <f ca="1">+GETPIVOTDATA("TNG4",'ngaigiao (2016)'!$A$3,"MA_HT","DCH","MA_QH","DGD")</f>
        <v>0</v>
      </c>
      <c r="AI39" s="50">
        <f ca="1">+GETPIVOTDATA("TNG4",'ngaigiao (2016)'!$A$3,"MA_HT","DCH","MA_QH","DTT")</f>
        <v>0</v>
      </c>
      <c r="AJ39" s="50">
        <f ca="1">+GETPIVOTDATA("TNG4",'ngaigiao (2016)'!$A$3,"MA_HT","DCH","MA_QH","NCK")</f>
        <v>0</v>
      </c>
      <c r="AK39" s="50">
        <f ca="1">+GETPIVOTDATA("TNG4",'ngaigiao (2016)'!$A$3,"MA_HT","DCH","MA_QH","DXH")</f>
        <v>0</v>
      </c>
      <c r="AL39" s="49" t="e">
        <f ca="1">$D39-$BF39</f>
        <v>#REF!</v>
      </c>
      <c r="AM39" s="50">
        <f ca="1">+GETPIVOTDATA("TNG4",'ngaigiao (2016)'!$A$3,"MA_HT","DXH","MA_QH","DKG")</f>
        <v>0</v>
      </c>
      <c r="AN39" s="50">
        <f ca="1">+GETPIVOTDATA("TNG4",'ngaigiao (2016)'!$A$3,"MA_HT","DCH","MA_QH","DDT")</f>
        <v>0</v>
      </c>
      <c r="AO39" s="50">
        <f ca="1">+GETPIVOTDATA("TNG4",'ngaigiao (2016)'!$A$3,"MA_HT","DCH","MA_QH","DDL")</f>
        <v>0</v>
      </c>
      <c r="AP39" s="50">
        <f ca="1">+GETPIVOTDATA("TNG4",'ngaigiao (2016)'!$A$3,"MA_HT","DCH","MA_QH","DRA")</f>
        <v>0</v>
      </c>
      <c r="AQ39" s="50">
        <f ca="1">+GETPIVOTDATA("TNG4",'ngaigiao (2016)'!$A$3,"MA_HT","DCH","MA_QH","ONT")</f>
        <v>0</v>
      </c>
      <c r="AR39" s="50">
        <f ca="1">+GETPIVOTDATA("TNG4",'ngaigiao (2016)'!$A$3,"MA_HT","DCH","MA_QH","ODT")</f>
        <v>0</v>
      </c>
      <c r="AS39" s="50">
        <f ca="1">+GETPIVOTDATA("TNG4",'ngaigiao (2016)'!$A$3,"MA_HT","DCH","MA_QH","TSC")</f>
        <v>0</v>
      </c>
      <c r="AT39" s="50">
        <f ca="1">+GETPIVOTDATA("TNG4",'ngaigiao (2016)'!$A$3,"MA_HT","DCH","MA_QH","DTS")</f>
        <v>0</v>
      </c>
      <c r="AU39" s="50">
        <f ca="1">+GETPIVOTDATA("TNG4",'ngaigiao (2016)'!$A$3,"MA_HT","DCH","MA_QH","DNG")</f>
        <v>0</v>
      </c>
      <c r="AV39" s="50">
        <f ca="1">+GETPIVOTDATA("TNG4",'ngaigiao (2016)'!$A$3,"MA_HT","DCH","MA_QH","TON")</f>
        <v>0</v>
      </c>
      <c r="AW39" s="50">
        <f ca="1">+GETPIVOTDATA("TNG4",'ngaigiao (2016)'!$A$3,"MA_HT","DCH","MA_QH","NTD")</f>
        <v>0</v>
      </c>
      <c r="AX39" s="50">
        <f ca="1">+GETPIVOTDATA("TNG4",'ngaigiao (2016)'!$A$3,"MA_HT","DCH","MA_QH","SKX")</f>
        <v>0</v>
      </c>
      <c r="AY39" s="50">
        <f ca="1">+GETPIVOTDATA("TNG4",'ngaigiao (2016)'!$A$3,"MA_HT","DCH","MA_QH","DSH")</f>
        <v>0</v>
      </c>
      <c r="AZ39" s="50">
        <f ca="1">+GETPIVOTDATA("TNG4",'ngaigiao (2016)'!$A$3,"MA_HT","DCH","MA_QH","DKV")</f>
        <v>0</v>
      </c>
      <c r="BA39" s="88">
        <f ca="1">+GETPIVOTDATA("TNG4",'ngaigiao (2016)'!$A$3,"MA_HT","DCH","MA_QH","TIN")</f>
        <v>0</v>
      </c>
      <c r="BB39" s="50">
        <f ca="1">+GETPIVOTDATA("TNG4",'ngaigiao (2016)'!$A$3,"MA_HT","DCH","MA_QH","SON")</f>
        <v>0</v>
      </c>
      <c r="BC39" s="50">
        <f ca="1">+GETPIVOTDATA("TNG4",'ngaigiao (2016)'!$A$3,"MA_HT","DCH","MA_QH","MNC")</f>
        <v>0</v>
      </c>
      <c r="BD39" s="50">
        <f ca="1">+GETPIVOTDATA("TNG4",'ngaigiao (2016)'!$A$3,"MA_HT","DCH","MA_QH","PNK")</f>
        <v>0</v>
      </c>
      <c r="BE39" s="80">
        <f ca="1">+GETPIVOTDATA("TNG4",'ngaigiao (2016)'!$A$3,"MA_HT","DCH","MA_QH","CSD")</f>
        <v>0</v>
      </c>
      <c r="BF39" s="103">
        <f ca="1" t="shared" si="13"/>
        <v>0</v>
      </c>
      <c r="BG39" s="104">
        <f ca="1">AL$59-$BF39</f>
        <v>0</v>
      </c>
      <c r="BH39" s="47" t="e">
        <f ca="1" t="shared" si="14"/>
        <v>#REF!</v>
      </c>
      <c r="BI39" s="109"/>
      <c r="BJ39" s="109" t="e">
        <f>#REF!</f>
        <v>#REF!</v>
      </c>
      <c r="BK39" s="110" t="e">
        <f ca="1" t="shared" si="19"/>
        <v>#REF!</v>
      </c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</row>
    <row r="40" s="5" customFormat="1" ht="16.5" customHeight="1" spans="1:79">
      <c r="A40" s="45" t="s">
        <v>8398</v>
      </c>
      <c r="B40" s="45" t="s">
        <v>8399</v>
      </c>
      <c r="C40" s="46" t="s">
        <v>8312</v>
      </c>
      <c r="D40" s="47" t="e">
        <f>+#REF!</f>
        <v>#REF!</v>
      </c>
      <c r="E40" s="42">
        <f ca="1" t="shared" si="15"/>
        <v>0</v>
      </c>
      <c r="F40" s="52">
        <f ca="1" t="shared" si="9"/>
        <v>0</v>
      </c>
      <c r="G40" s="50">
        <f ca="1">+GETPIVOTDATA("TNG4",'ngaigiao (2016)'!$A$3,"MA_HT","DKG","MA_QH","LUC")</f>
        <v>0</v>
      </c>
      <c r="H40" s="50">
        <f ca="1">+GETPIVOTDATA("TNG4",'ngaigiao (2016)'!$A$3,"MA_HT","DKG","MA_QH","LUK")</f>
        <v>0</v>
      </c>
      <c r="I40" s="50">
        <f ca="1">+GETPIVOTDATA("TNG4",'ngaigiao (2016)'!$A$3,"MA_HT","DKG","MA_QH","LUN")</f>
        <v>0</v>
      </c>
      <c r="J40" s="50">
        <f ca="1">+GETPIVOTDATA("TNG4",'ngaigiao (2016)'!$A$3,"MA_HT","DKG","MA_QH","HNK")</f>
        <v>0</v>
      </c>
      <c r="K40" s="50">
        <f ca="1">+GETPIVOTDATA("TNG4",'ngaigiao (2016)'!$A$3,"MA_HT","DKG","MA_QH","CLN")</f>
        <v>0</v>
      </c>
      <c r="L40" s="50">
        <f ca="1">+GETPIVOTDATA("TNG4",'ngaigiao (2016)'!$A$3,"MA_HT","DKG","MA_QH","RSX")</f>
        <v>0</v>
      </c>
      <c r="M40" s="50">
        <f ca="1">+GETPIVOTDATA("TNG4",'ngaigiao (2016)'!$A$3,"MA_HT","DKG","MA_QH","RPH")</f>
        <v>0</v>
      </c>
      <c r="N40" s="50">
        <f ca="1">+GETPIVOTDATA("TNG4",'ngaigiao (2016)'!$A$3,"MA_HT","DKG","MA_QH","RDD")</f>
        <v>0</v>
      </c>
      <c r="O40" s="50">
        <f ca="1">+GETPIVOTDATA("TNG4",'ngaigiao (2016)'!$A$3,"MA_HT","DKG","MA_QH","NTS")</f>
        <v>0</v>
      </c>
      <c r="P40" s="50">
        <f ca="1">+GETPIVOTDATA("TNG4",'ngaigiao (2016)'!$A$3,"MA_HT","DKG","MA_QH","LMU")</f>
        <v>0</v>
      </c>
      <c r="Q40" s="50">
        <f ca="1">+GETPIVOTDATA("TNG4",'ngaigiao (2016)'!$A$3,"MA_HT","DKG","MA_QH","NKH")</f>
        <v>0</v>
      </c>
      <c r="R40" s="48">
        <f ca="1" t="shared" si="20"/>
        <v>0</v>
      </c>
      <c r="S40" s="50">
        <f ca="1">+GETPIVOTDATA("TNG4",'ngaigiao (2016)'!$A$3,"MA_HT","DKG","MA_QH","CQP")</f>
        <v>0</v>
      </c>
      <c r="T40" s="50">
        <f ca="1">+GETPIVOTDATA("TNG4",'ngaigiao (2016)'!$A$3,"MA_HT","DKG","MA_QH","CAN")</f>
        <v>0</v>
      </c>
      <c r="U40" s="50">
        <f ca="1">+GETPIVOTDATA("TNG4",'ngaigiao (2016)'!$A$3,"MA_HT","DKG","MA_QH","SKK")</f>
        <v>0</v>
      </c>
      <c r="V40" s="50">
        <f ca="1">+GETPIVOTDATA("TNG4",'ngaigiao (2016)'!$A$3,"MA_HT","DKG","MA_QH","SKT")</f>
        <v>0</v>
      </c>
      <c r="W40" s="50">
        <f ca="1">+GETPIVOTDATA("TNG4",'ngaigiao (2016)'!$A$3,"MA_HT","DKG","MA_QH","SKN")</f>
        <v>0</v>
      </c>
      <c r="X40" s="50">
        <f ca="1">+GETPIVOTDATA("TNG4",'ngaigiao (2016)'!$A$3,"MA_HT","DKG","MA_QH","TMD")</f>
        <v>0</v>
      </c>
      <c r="Y40" s="50">
        <f ca="1">+GETPIVOTDATA("TNG4",'ngaigiao (2016)'!$A$3,"MA_HT","DKG","MA_QH","SKC")</f>
        <v>0</v>
      </c>
      <c r="Z40" s="50">
        <f ca="1">+GETPIVOTDATA("TNG4",'ngaigiao (2016)'!$A$3,"MA_HT","DKG","MA_QH","SKS")</f>
        <v>0</v>
      </c>
      <c r="AA40" s="52">
        <f ca="1">+SUM(AB40:AL40)</f>
        <v>0</v>
      </c>
      <c r="AB40" s="50">
        <f ca="1">+GETPIVOTDATA("TNG4",'ngaigiao (2016)'!$A$3,"MA_HT","DKG","MA_QH","DGT")</f>
        <v>0</v>
      </c>
      <c r="AC40" s="50">
        <f ca="1">+GETPIVOTDATA("TNG4",'ngaigiao (2016)'!$A$3,"MA_HT","DKG","MA_QH","DTL")</f>
        <v>0</v>
      </c>
      <c r="AD40" s="50">
        <f ca="1">+GETPIVOTDATA("TNG4",'ngaigiao (2016)'!$A$3,"MA_HT","DKG","MA_QH","DNL")</f>
        <v>0</v>
      </c>
      <c r="AE40" s="50">
        <f ca="1">+GETPIVOTDATA("TNG4",'ngaigiao (2016)'!$A$3,"MA_HT","DKG","MA_QH","DBV")</f>
        <v>0</v>
      </c>
      <c r="AF40" s="50">
        <f ca="1">+GETPIVOTDATA("TNG4",'ngaigiao (2016)'!$A$3,"MA_HT","DKG","MA_QH","DVH")</f>
        <v>0</v>
      </c>
      <c r="AG40" s="50">
        <f ca="1">+GETPIVOTDATA("TNG4",'ngaigiao (2016)'!$A$3,"MA_HT","DKG","MA_QH","DYT")</f>
        <v>0</v>
      </c>
      <c r="AH40" s="50">
        <f ca="1">+GETPIVOTDATA("TNG4",'ngaigiao (2016)'!$A$3,"MA_HT","DKG","MA_QH","DGD")</f>
        <v>0</v>
      </c>
      <c r="AI40" s="50">
        <f ca="1">+GETPIVOTDATA("TNG4",'ngaigiao (2016)'!$A$3,"MA_HT","DKG","MA_QH","DTT")</f>
        <v>0</v>
      </c>
      <c r="AJ40" s="50">
        <f ca="1">+GETPIVOTDATA("TNG4",'ngaigiao (2016)'!$A$3,"MA_HT","DKG","MA_QH","NCK")</f>
        <v>0</v>
      </c>
      <c r="AK40" s="50">
        <f ca="1">+GETPIVOTDATA("TNG4",'ngaigiao (2016)'!$A$3,"MA_HT","DKG","MA_QH","DXH")</f>
        <v>0</v>
      </c>
      <c r="AL40" s="60">
        <f ca="1">+GETPIVOTDATA("TNG4",'ngaigiao (2016)'!$A$3,"MA_HT","DDT","MA_QH","DKG")</f>
        <v>0</v>
      </c>
      <c r="AM40" s="49" t="e">
        <f ca="1">$D40-$BF40</f>
        <v>#REF!</v>
      </c>
      <c r="AN40" s="50">
        <f ca="1">+GETPIVOTDATA("TNG4",'ngaigiao (2016)'!$A$3,"MA_HT","DKG","MA_QH","DDT")</f>
        <v>0</v>
      </c>
      <c r="AO40" s="50">
        <f ca="1">+GETPIVOTDATA("TNG4",'ngaigiao (2016)'!$A$3,"MA_HT","DKG","MA_QH","DDL")</f>
        <v>0</v>
      </c>
      <c r="AP40" s="50">
        <f ca="1">+GETPIVOTDATA("TNG4",'ngaigiao (2016)'!$A$3,"MA_HT","DKG","MA_QH","DRA")</f>
        <v>0</v>
      </c>
      <c r="AQ40" s="50">
        <f ca="1">+GETPIVOTDATA("TNG4",'ngaigiao (2016)'!$A$3,"MA_HT","DKG","MA_QH","ONT")</f>
        <v>0</v>
      </c>
      <c r="AR40" s="50">
        <f ca="1">+GETPIVOTDATA("TNG4",'ngaigiao (2016)'!$A$3,"MA_HT","DKG","MA_QH","ODT")</f>
        <v>0</v>
      </c>
      <c r="AS40" s="50">
        <f ca="1">+GETPIVOTDATA("TNG4",'ngaigiao (2016)'!$A$3,"MA_HT","DKG","MA_QH","TSC")</f>
        <v>0</v>
      </c>
      <c r="AT40" s="50">
        <f ca="1">+GETPIVOTDATA("TNG4",'ngaigiao (2016)'!$A$3,"MA_HT","DKG","MA_QH","DTS")</f>
        <v>0</v>
      </c>
      <c r="AU40" s="50">
        <f ca="1">+GETPIVOTDATA("TNG4",'ngaigiao (2016)'!$A$3,"MA_HT","DKG","MA_QH","DNG")</f>
        <v>0</v>
      </c>
      <c r="AV40" s="50">
        <f ca="1">+GETPIVOTDATA("TNG4",'ngaigiao (2016)'!$A$3,"MA_HT","DKG","MA_QH","TON")</f>
        <v>0</v>
      </c>
      <c r="AW40" s="50">
        <f ca="1">+GETPIVOTDATA("TNG4",'ngaigiao (2016)'!$A$3,"MA_HT","DKG","MA_QH","NTD")</f>
        <v>0</v>
      </c>
      <c r="AX40" s="50">
        <f ca="1">+GETPIVOTDATA("TNG4",'ngaigiao (2016)'!$A$3,"MA_HT","DKG","MA_QH","SKX")</f>
        <v>0</v>
      </c>
      <c r="AY40" s="50">
        <f ca="1">+GETPIVOTDATA("TNG4",'ngaigiao (2016)'!$A$3,"MA_HT","DKG","MA_QH","DSH")</f>
        <v>0</v>
      </c>
      <c r="AZ40" s="50">
        <f ca="1">+GETPIVOTDATA("TNG4",'ngaigiao (2016)'!$A$3,"MA_HT","DKG","MA_QH","DKV")</f>
        <v>0</v>
      </c>
      <c r="BA40" s="88">
        <f ca="1">+GETPIVOTDATA("TNG4",'ngaigiao (2016)'!$A$3,"MA_HT","DKG","MA_QH","TIN")</f>
        <v>0</v>
      </c>
      <c r="BB40" s="50">
        <f ca="1">+GETPIVOTDATA("TNG4",'ngaigiao (2016)'!$A$3,"MA_HT","DKG","MA_QH","SON")</f>
        <v>0</v>
      </c>
      <c r="BC40" s="50">
        <f ca="1">+GETPIVOTDATA("TNG4",'ngaigiao (2016)'!$A$3,"MA_HT","DKG","MA_QH","MNC")</f>
        <v>0</v>
      </c>
      <c r="BD40" s="50">
        <f ca="1">+GETPIVOTDATA("TNG4",'ngaigiao (2016)'!$A$3,"MA_HT","DKG","MA_QH","PNK")</f>
        <v>0</v>
      </c>
      <c r="BE40" s="80">
        <f ca="1">+GETPIVOTDATA("TNG4",'ngaigiao (2016)'!$A$3,"MA_HT","DKG","MA_QH","CSD")</f>
        <v>0</v>
      </c>
      <c r="BF40" s="103">
        <f ca="1" t="shared" si="13"/>
        <v>0</v>
      </c>
      <c r="BG40" s="104">
        <f ca="1">AM$59-$BF40</f>
        <v>0</v>
      </c>
      <c r="BH40" s="47" t="e">
        <f ca="1" t="shared" si="14"/>
        <v>#REF!</v>
      </c>
      <c r="BI40" s="109"/>
      <c r="BJ40" s="109" t="e">
        <f>#REF!</f>
        <v>#REF!</v>
      </c>
      <c r="BK40" s="110" t="e">
        <f ca="1" t="shared" si="19"/>
        <v>#REF!</v>
      </c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</row>
    <row r="41" s="6" customFormat="1" ht="15.75" customHeight="1" spans="1:79">
      <c r="A41" s="54" t="s">
        <v>8400</v>
      </c>
      <c r="B41" s="55" t="s">
        <v>8401</v>
      </c>
      <c r="C41" s="56" t="s">
        <v>8287</v>
      </c>
      <c r="D41" s="57" t="e">
        <f>+#REF!</f>
        <v>#REF!</v>
      </c>
      <c r="E41" s="58">
        <f ca="1" t="shared" si="15"/>
        <v>0</v>
      </c>
      <c r="F41" s="59">
        <f ca="1" t="shared" si="9"/>
        <v>0</v>
      </c>
      <c r="G41" s="60">
        <f ca="1">+GETPIVOTDATA("TNG4",'ngaigiao (2016)'!$A$3,"MA_HT","DDT","MA_QH","LUC")</f>
        <v>0</v>
      </c>
      <c r="H41" s="60">
        <f ca="1">+GETPIVOTDATA("TNG4",'ngaigiao (2016)'!$A$3,"MA_HT","DDT","MA_QH","LUK")</f>
        <v>0</v>
      </c>
      <c r="I41" s="60">
        <f ca="1">+GETPIVOTDATA("TNG4",'ngaigiao (2016)'!$A$3,"MA_HT","DDT","MA_QH","LUN")</f>
        <v>0</v>
      </c>
      <c r="J41" s="60">
        <f ca="1">+GETPIVOTDATA("TNG4",'ngaigiao (2016)'!$A$3,"MA_HT","DDT","MA_QH","HNK")</f>
        <v>0</v>
      </c>
      <c r="K41" s="60">
        <f ca="1">+GETPIVOTDATA("TNG4",'ngaigiao (2016)'!$A$3,"MA_HT","DDT","MA_QH","CLN")</f>
        <v>0</v>
      </c>
      <c r="L41" s="60">
        <f ca="1">+GETPIVOTDATA("TNG4",'ngaigiao (2016)'!$A$3,"MA_HT","DDT","MA_QH","RSX")</f>
        <v>0</v>
      </c>
      <c r="M41" s="60">
        <f ca="1">+GETPIVOTDATA("TNG4",'ngaigiao (2016)'!$A$3,"MA_HT","DDT","MA_QH","RPH")</f>
        <v>0</v>
      </c>
      <c r="N41" s="60">
        <f ca="1">+GETPIVOTDATA("TNG4",'ngaigiao (2016)'!$A$3,"MA_HT","DDT","MA_QH","RDD")</f>
        <v>0</v>
      </c>
      <c r="O41" s="60">
        <f ca="1">+GETPIVOTDATA("TNG4",'ngaigiao (2016)'!$A$3,"MA_HT","DDT","MA_QH","NTS")</f>
        <v>0</v>
      </c>
      <c r="P41" s="60">
        <f ca="1">+GETPIVOTDATA("TNG4",'ngaigiao (2016)'!$A$3,"MA_HT","DDT","MA_QH","LMU")</f>
        <v>0</v>
      </c>
      <c r="Q41" s="60">
        <f ca="1">+GETPIVOTDATA("TNG4",'ngaigiao (2016)'!$A$3,"MA_HT","DDT","MA_QH","NKH")</f>
        <v>0</v>
      </c>
      <c r="R41" s="78">
        <f ca="1">SUM(S41:AA41,AO41:BD41)</f>
        <v>0</v>
      </c>
      <c r="S41" s="60">
        <f ca="1">+GETPIVOTDATA("TNG4",'ngaigiao (2016)'!$A$3,"MA_HT","DDT","MA_QH","CQP")</f>
        <v>0</v>
      </c>
      <c r="T41" s="60">
        <f ca="1">+GETPIVOTDATA("TNG4",'ngaigiao (2016)'!$A$3,"MA_HT","DDT","MA_QH","CAN")</f>
        <v>0</v>
      </c>
      <c r="U41" s="60">
        <f ca="1">+GETPIVOTDATA("TNG4",'ngaigiao (2016)'!$A$3,"MA_HT","DDT","MA_QH","SKK")</f>
        <v>0</v>
      </c>
      <c r="V41" s="60">
        <f ca="1">+GETPIVOTDATA("TNG4",'ngaigiao (2016)'!$A$3,"MA_HT","DDT","MA_QH","SKT")</f>
        <v>0</v>
      </c>
      <c r="W41" s="60">
        <f ca="1">+GETPIVOTDATA("TNG4",'ngaigiao (2016)'!$A$3,"MA_HT","DDT","MA_QH","SKN")</f>
        <v>0</v>
      </c>
      <c r="X41" s="60">
        <f ca="1">+GETPIVOTDATA("TNG4",'ngaigiao (2016)'!$A$3,"MA_HT","DDT","MA_QH","TMD")</f>
        <v>0</v>
      </c>
      <c r="Y41" s="60">
        <f ca="1">+GETPIVOTDATA("TNG4",'ngaigiao (2016)'!$A$3,"MA_HT","DDT","MA_QH","SKC")</f>
        <v>0</v>
      </c>
      <c r="Z41" s="60">
        <f ca="1">+GETPIVOTDATA("TNG4",'ngaigiao (2016)'!$A$3,"MA_HT","DDT","MA_QH","SKS")</f>
        <v>0</v>
      </c>
      <c r="AA41" s="59">
        <f ca="1" t="shared" ref="AA41:AA58" si="21">+SUM(AB41:AM41)</f>
        <v>0</v>
      </c>
      <c r="AB41" s="60">
        <f ca="1">+GETPIVOTDATA("TNG4",'ngaigiao (2016)'!$A$3,"MA_HT","DDT","MA_QH","DGT")</f>
        <v>0</v>
      </c>
      <c r="AC41" s="60">
        <f ca="1">+GETPIVOTDATA("TNG4",'ngaigiao (2016)'!$A$3,"MA_HT","DDT","MA_QH","DTL")</f>
        <v>0</v>
      </c>
      <c r="AD41" s="60">
        <f ca="1">+GETPIVOTDATA("TNG4",'ngaigiao (2016)'!$A$3,"MA_HT","DDT","MA_QH","DNL")</f>
        <v>0</v>
      </c>
      <c r="AE41" s="60">
        <f ca="1">+GETPIVOTDATA("TNG4",'ngaigiao (2016)'!$A$3,"MA_HT","DDT","MA_QH","DBV")</f>
        <v>0</v>
      </c>
      <c r="AF41" s="60">
        <f ca="1">+GETPIVOTDATA("TNG4",'ngaigiao (2016)'!$A$3,"MA_HT","DDT","MA_QH","DVH")</f>
        <v>0</v>
      </c>
      <c r="AG41" s="60">
        <f ca="1">+GETPIVOTDATA("TNG4",'ngaigiao (2016)'!$A$3,"MA_HT","DDT","MA_QH","DYT")</f>
        <v>0</v>
      </c>
      <c r="AH41" s="60">
        <f ca="1">+GETPIVOTDATA("TNG4",'ngaigiao (2016)'!$A$3,"MA_HT","DDT","MA_QH","DGD")</f>
        <v>0</v>
      </c>
      <c r="AI41" s="60">
        <f ca="1">+GETPIVOTDATA("TNG4",'ngaigiao (2016)'!$A$3,"MA_HT","DDT","MA_QH","DTT")</f>
        <v>0</v>
      </c>
      <c r="AJ41" s="60">
        <f ca="1">+GETPIVOTDATA("TNG4",'ngaigiao (2016)'!$A$3,"MA_HT","DDT","MA_QH","NCK")</f>
        <v>0</v>
      </c>
      <c r="AK41" s="60">
        <f ca="1">+GETPIVOTDATA("TNG4",'ngaigiao (2016)'!$A$3,"MA_HT","DDT","MA_QH","DXH")</f>
        <v>0</v>
      </c>
      <c r="AL41" s="60">
        <f ca="1">+GETPIVOTDATA("TNG4",'ngaigiao (2016)'!$A$3,"MA_HT","DDT","MA_QH","DCH")</f>
        <v>0</v>
      </c>
      <c r="AM41" s="60">
        <f ca="1">+GETPIVOTDATA("TNG4",'ngaigiao (2016)'!$A$3,"MA_HT","DDT","MA_QH","DKG")</f>
        <v>0</v>
      </c>
      <c r="AN41" s="81" t="e">
        <f ca="1">$D41-$BF41</f>
        <v>#REF!</v>
      </c>
      <c r="AO41" s="60">
        <f ca="1">+GETPIVOTDATA("TNG4",'ngaigiao (2016)'!$A$3,"MA_HT","DDT","MA_QH","DDL")</f>
        <v>0</v>
      </c>
      <c r="AP41" s="60">
        <f ca="1">+GETPIVOTDATA("TNG4",'ngaigiao (2016)'!$A$3,"MA_HT","DDT","MA_QH","DRA")</f>
        <v>0</v>
      </c>
      <c r="AQ41" s="60">
        <f ca="1">+GETPIVOTDATA("TNG4",'ngaigiao (2016)'!$A$3,"MA_HT","DDT","MA_QH","ONT")</f>
        <v>0</v>
      </c>
      <c r="AR41" s="60">
        <f ca="1">+GETPIVOTDATA("TNG4",'ngaigiao (2016)'!$A$3,"MA_HT","DDT","MA_QH","ODT")</f>
        <v>0</v>
      </c>
      <c r="AS41" s="60">
        <f ca="1">+GETPIVOTDATA("TNG4",'ngaigiao (2016)'!$A$3,"MA_HT","DDT","MA_QH","TSC")</f>
        <v>0</v>
      </c>
      <c r="AT41" s="60">
        <f ca="1">+GETPIVOTDATA("TNG4",'ngaigiao (2016)'!$A$3,"MA_HT","DDT","MA_QH","DTS")</f>
        <v>0</v>
      </c>
      <c r="AU41" s="60">
        <f ca="1">+GETPIVOTDATA("TNG4",'ngaigiao (2016)'!$A$3,"MA_HT","DDT","MA_QH","DNG")</f>
        <v>0</v>
      </c>
      <c r="AV41" s="60">
        <f ca="1">+GETPIVOTDATA("TNG4",'ngaigiao (2016)'!$A$3,"MA_HT","DDT","MA_QH","TON")</f>
        <v>0</v>
      </c>
      <c r="AW41" s="60">
        <f ca="1">+GETPIVOTDATA("TNG4",'ngaigiao (2016)'!$A$3,"MA_HT","DDT","MA_QH","NTD")</f>
        <v>0</v>
      </c>
      <c r="AX41" s="60">
        <f ca="1">+GETPIVOTDATA("TNG4",'ngaigiao (2016)'!$A$3,"MA_HT","DDT","MA_QH","SKX")</f>
        <v>0</v>
      </c>
      <c r="AY41" s="60">
        <f ca="1">+GETPIVOTDATA("TNG4",'ngaigiao (2016)'!$A$3,"MA_HT","DDT","MA_QH","DSH")</f>
        <v>0</v>
      </c>
      <c r="AZ41" s="60">
        <f ca="1">+GETPIVOTDATA("TNG4",'ngaigiao (2016)'!$A$3,"MA_HT","DDT","MA_QH","DKV")</f>
        <v>0</v>
      </c>
      <c r="BA41" s="90">
        <f ca="1">+GETPIVOTDATA("TNG4",'ngaigiao (2016)'!$A$3,"MA_HT","DDT","MA_QH","TIN")</f>
        <v>0</v>
      </c>
      <c r="BB41" s="91">
        <f ca="1">+GETPIVOTDATA("TNG4",'ngaigiao (2016)'!$A$3,"MA_HT","DDT","MA_QH","SON")</f>
        <v>0</v>
      </c>
      <c r="BC41" s="91">
        <f ca="1">+GETPIVOTDATA("TNG4",'ngaigiao (2016)'!$A$3,"MA_HT","DDT","MA_QH","MNC")</f>
        <v>0</v>
      </c>
      <c r="BD41" s="60">
        <f ca="1">+GETPIVOTDATA("TNG4",'ngaigiao (2016)'!$A$3,"MA_HT","DDT","MA_QH","PNK")</f>
        <v>0</v>
      </c>
      <c r="BE41" s="111">
        <f ca="1">+GETPIVOTDATA("TNG4",'ngaigiao (2016)'!$A$3,"MA_HT","DDT","MA_QH","CSD")</f>
        <v>0</v>
      </c>
      <c r="BF41" s="112">
        <f ca="1" t="shared" si="13"/>
        <v>0</v>
      </c>
      <c r="BG41" s="113">
        <f ca="1">AN$59-$BF41</f>
        <v>0</v>
      </c>
      <c r="BH41" s="57" t="e">
        <f ca="1" t="shared" si="14"/>
        <v>#REF!</v>
      </c>
      <c r="BI41" s="114"/>
      <c r="BJ41" s="115"/>
      <c r="BK41" s="115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</row>
    <row r="42" s="2" customFormat="1" ht="15.75" customHeight="1" spans="1:79">
      <c r="A42" s="39" t="s">
        <v>8402</v>
      </c>
      <c r="B42" s="53" t="s">
        <v>8403</v>
      </c>
      <c r="C42" s="40" t="s">
        <v>8286</v>
      </c>
      <c r="D42" s="41" t="e">
        <f>+#REF!</f>
        <v>#REF!</v>
      </c>
      <c r="E42" s="42">
        <f ca="1" t="shared" si="15"/>
        <v>0</v>
      </c>
      <c r="F42" s="52">
        <f ca="1" t="shared" si="9"/>
        <v>0</v>
      </c>
      <c r="G42" s="22">
        <f ca="1">+GETPIVOTDATA("TNG4",'ngaigiao (2016)'!$A$3,"MA_HT","DDL","MA_QH","LUC")</f>
        <v>0</v>
      </c>
      <c r="H42" s="22">
        <f ca="1">+GETPIVOTDATA("TNG4",'ngaigiao (2016)'!$A$3,"MA_HT","DDL","MA_QH","LUK")</f>
        <v>0</v>
      </c>
      <c r="I42" s="22">
        <f ca="1">+GETPIVOTDATA("TNG4",'ngaigiao (2016)'!$A$3,"MA_HT","DDL","MA_QH","LUN")</f>
        <v>0</v>
      </c>
      <c r="J42" s="22">
        <f ca="1">+GETPIVOTDATA("TNG4",'ngaigiao (2016)'!$A$3,"MA_HT","DDL","MA_QH","HNK")</f>
        <v>0</v>
      </c>
      <c r="K42" s="22">
        <f ca="1">+GETPIVOTDATA("TNG4",'ngaigiao (2016)'!$A$3,"MA_HT","DDL","MA_QH","CLN")</f>
        <v>0</v>
      </c>
      <c r="L42" s="22">
        <f ca="1">+GETPIVOTDATA("TNG4",'ngaigiao (2016)'!$A$3,"MA_HT","DDL","MA_QH","RSX")</f>
        <v>0</v>
      </c>
      <c r="M42" s="22">
        <f ca="1">+GETPIVOTDATA("TNG4",'ngaigiao (2016)'!$A$3,"MA_HT","DDL","MA_QH","RPH")</f>
        <v>0</v>
      </c>
      <c r="N42" s="22">
        <f ca="1">+GETPIVOTDATA("TNG4",'ngaigiao (2016)'!$A$3,"MA_HT","DDL","MA_QH","RDD")</f>
        <v>0</v>
      </c>
      <c r="O42" s="22">
        <f ca="1">+GETPIVOTDATA("TNG4",'ngaigiao (2016)'!$A$3,"MA_HT","DDL","MA_QH","NTS")</f>
        <v>0</v>
      </c>
      <c r="P42" s="22">
        <f ca="1">+GETPIVOTDATA("TNG4",'ngaigiao (2016)'!$A$3,"MA_HT","DDL","MA_QH","LMU")</f>
        <v>0</v>
      </c>
      <c r="Q42" s="22">
        <f ca="1">+GETPIVOTDATA("TNG4",'ngaigiao (2016)'!$A$3,"MA_HT","DDL","MA_QH","NKH")</f>
        <v>0</v>
      </c>
      <c r="R42" s="79">
        <f ca="1">SUM(S42:AA42,AN42,AP42:BD42)</f>
        <v>0</v>
      </c>
      <c r="S42" s="22">
        <f ca="1">+GETPIVOTDATA("TNG4",'ngaigiao (2016)'!$A$3,"MA_HT","DDL","MA_QH","CQP")</f>
        <v>0</v>
      </c>
      <c r="T42" s="22">
        <f ca="1">+GETPIVOTDATA("TNG4",'ngaigiao (2016)'!$A$3,"MA_HT","DDL","MA_QH","CAN")</f>
        <v>0</v>
      </c>
      <c r="U42" s="22">
        <f ca="1">+GETPIVOTDATA("TNG4",'ngaigiao (2016)'!$A$3,"MA_HT","DDL","MA_QH","SKK")</f>
        <v>0</v>
      </c>
      <c r="V42" s="22">
        <f ca="1">+GETPIVOTDATA("TNG4",'ngaigiao (2016)'!$A$3,"MA_HT","DDL","MA_QH","SKT")</f>
        <v>0</v>
      </c>
      <c r="W42" s="22">
        <f ca="1">+GETPIVOTDATA("TNG4",'ngaigiao (2016)'!$A$3,"MA_HT","DDL","MA_QH","SKN")</f>
        <v>0</v>
      </c>
      <c r="X42" s="22">
        <f ca="1">+GETPIVOTDATA("TNG4",'ngaigiao (2016)'!$A$3,"MA_HT","DDL","MA_QH","TMD")</f>
        <v>0</v>
      </c>
      <c r="Y42" s="22">
        <f ca="1">+GETPIVOTDATA("TNG4",'ngaigiao (2016)'!$A$3,"MA_HT","DDL","MA_QH","SKC")</f>
        <v>0</v>
      </c>
      <c r="Z42" s="22">
        <f ca="1">+GETPIVOTDATA("TNG4",'ngaigiao (2016)'!$A$3,"MA_HT","DDL","MA_QH","SKS")</f>
        <v>0</v>
      </c>
      <c r="AA42" s="52">
        <f ca="1" t="shared" si="21"/>
        <v>0</v>
      </c>
      <c r="AB42" s="22">
        <f ca="1">+GETPIVOTDATA("TNG4",'ngaigiao (2016)'!$A$3,"MA_HT","DDL","MA_QH","DGT")</f>
        <v>0</v>
      </c>
      <c r="AC42" s="22">
        <f ca="1">+GETPIVOTDATA("TNG4",'ngaigiao (2016)'!$A$3,"MA_HT","DDL","MA_QH","DTL")</f>
        <v>0</v>
      </c>
      <c r="AD42" s="22">
        <f ca="1">+GETPIVOTDATA("TNG4",'ngaigiao (2016)'!$A$3,"MA_HT","DDL","MA_QH","DNL")</f>
        <v>0</v>
      </c>
      <c r="AE42" s="22">
        <f ca="1">+GETPIVOTDATA("TNG4",'ngaigiao (2016)'!$A$3,"MA_HT","DDL","MA_QH","DBV")</f>
        <v>0</v>
      </c>
      <c r="AF42" s="22">
        <f ca="1">+GETPIVOTDATA("TNG4",'ngaigiao (2016)'!$A$3,"MA_HT","DDL","MA_QH","DVH")</f>
        <v>0</v>
      </c>
      <c r="AG42" s="22">
        <f ca="1">+GETPIVOTDATA("TNG4",'ngaigiao (2016)'!$A$3,"MA_HT","DDL","MA_QH","DYT")</f>
        <v>0</v>
      </c>
      <c r="AH42" s="22">
        <f ca="1">+GETPIVOTDATA("TNG4",'ngaigiao (2016)'!$A$3,"MA_HT","DDL","MA_QH","DGD")</f>
        <v>0</v>
      </c>
      <c r="AI42" s="22">
        <f ca="1">+GETPIVOTDATA("TNG4",'ngaigiao (2016)'!$A$3,"MA_HT","DDL","MA_QH","DTT")</f>
        <v>0</v>
      </c>
      <c r="AJ42" s="22">
        <f ca="1">+GETPIVOTDATA("TNG4",'ngaigiao (2016)'!$A$3,"MA_HT","DDL","MA_QH","NCK")</f>
        <v>0</v>
      </c>
      <c r="AK42" s="22">
        <f ca="1">+GETPIVOTDATA("TNG4",'ngaigiao (2016)'!$A$3,"MA_HT","DDL","MA_QH","DXH")</f>
        <v>0</v>
      </c>
      <c r="AL42" s="22">
        <f ca="1">+GETPIVOTDATA("TNG4",'ngaigiao (2016)'!$A$3,"MA_HT","DDL","MA_QH","DCH")</f>
        <v>0</v>
      </c>
      <c r="AM42" s="22">
        <f ca="1">+GETPIVOTDATA("TNG4",'ngaigiao (2016)'!$A$3,"MA_HT","DDL","MA_QH","DKG")</f>
        <v>0</v>
      </c>
      <c r="AN42" s="22">
        <f ca="1">+GETPIVOTDATA("TNG4",'ngaigiao (2016)'!$A$3,"MA_HT","DDL","MA_QH","DDT")</f>
        <v>0</v>
      </c>
      <c r="AO42" s="43" t="e">
        <f ca="1">$D42-$BF42</f>
        <v>#REF!</v>
      </c>
      <c r="AP42" s="22">
        <f ca="1">+GETPIVOTDATA("TNG4",'ngaigiao (2016)'!$A$3,"MA_HT","DDL","MA_QH","DRA")</f>
        <v>0</v>
      </c>
      <c r="AQ42" s="22">
        <f ca="1">+GETPIVOTDATA("TNG4",'ngaigiao (2016)'!$A$3,"MA_HT","DDL","MA_QH","ONT")</f>
        <v>0</v>
      </c>
      <c r="AR42" s="22">
        <f ca="1">+GETPIVOTDATA("TNG4",'ngaigiao (2016)'!$A$3,"MA_HT","DDL","MA_QH","ODT")</f>
        <v>0</v>
      </c>
      <c r="AS42" s="22">
        <f ca="1">+GETPIVOTDATA("TNG4",'ngaigiao (2016)'!$A$3,"MA_HT","DDL","MA_QH","TSC")</f>
        <v>0</v>
      </c>
      <c r="AT42" s="22">
        <f ca="1">+GETPIVOTDATA("TNG4",'ngaigiao (2016)'!$A$3,"MA_HT","DDL","MA_QH","DTS")</f>
        <v>0</v>
      </c>
      <c r="AU42" s="22">
        <f ca="1">+GETPIVOTDATA("TNG4",'ngaigiao (2016)'!$A$3,"MA_HT","DDL","MA_QH","DNG")</f>
        <v>0</v>
      </c>
      <c r="AV42" s="22">
        <f ca="1">+GETPIVOTDATA("TNG4",'ngaigiao (2016)'!$A$3,"MA_HT","DDL","MA_QH","TON")</f>
        <v>0</v>
      </c>
      <c r="AW42" s="22">
        <f ca="1">+GETPIVOTDATA("TNG4",'ngaigiao (2016)'!$A$3,"MA_HT","DDL","MA_QH","NTD")</f>
        <v>0</v>
      </c>
      <c r="AX42" s="22">
        <f ca="1">+GETPIVOTDATA("TNG4",'ngaigiao (2016)'!$A$3,"MA_HT","DDL","MA_QH","SKX")</f>
        <v>0</v>
      </c>
      <c r="AY42" s="22">
        <f ca="1">+GETPIVOTDATA("TNG4",'ngaigiao (2016)'!$A$3,"MA_HT","DDL","MA_QH","DSH")</f>
        <v>0</v>
      </c>
      <c r="AZ42" s="22">
        <f ca="1">+GETPIVOTDATA("TNG4",'ngaigiao (2016)'!$A$3,"MA_HT","DDL","MA_QH","DKV")</f>
        <v>0</v>
      </c>
      <c r="BA42" s="89">
        <f ca="1">+GETPIVOTDATA("TNG4",'ngaigiao (2016)'!$A$3,"MA_HT","DDL","MA_QH","TIN")</f>
        <v>0</v>
      </c>
      <c r="BB42" s="50">
        <f ca="1">+GETPIVOTDATA("TNG4",'ngaigiao (2016)'!$A$3,"MA_HT","DDL","MA_QH","SON")</f>
        <v>0</v>
      </c>
      <c r="BC42" s="50">
        <f ca="1">+GETPIVOTDATA("TNG4",'ngaigiao (2016)'!$A$3,"MA_HT","DDL","MA_QH","MNC")</f>
        <v>0</v>
      </c>
      <c r="BD42" s="22">
        <f ca="1">+GETPIVOTDATA("TNG4",'ngaigiao (2016)'!$A$3,"MA_HT","DDL","MA_QH","PNK")</f>
        <v>0</v>
      </c>
      <c r="BE42" s="71">
        <f ca="1">+GETPIVOTDATA("TNG4",'ngaigiao (2016)'!$A$3,"MA_HT","DDL","MA_QH","CSD")</f>
        <v>0</v>
      </c>
      <c r="BF42" s="74">
        <f ca="1" t="shared" si="13"/>
        <v>0</v>
      </c>
      <c r="BG42" s="101">
        <f ca="1">AO$59-$BF42</f>
        <v>0</v>
      </c>
      <c r="BH42" s="41" t="e">
        <f ca="1" t="shared" si="14"/>
        <v>#REF!</v>
      </c>
      <c r="BI42" s="98"/>
      <c r="BJ42" s="107"/>
      <c r="BK42" s="10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</row>
    <row r="43" s="2" customFormat="1" ht="15.75" customHeight="1" spans="1:79">
      <c r="A43" s="39" t="s">
        <v>8404</v>
      </c>
      <c r="B43" s="53" t="s">
        <v>8405</v>
      </c>
      <c r="C43" s="40" t="s">
        <v>8291</v>
      </c>
      <c r="D43" s="41" t="e">
        <f>+#REF!</f>
        <v>#REF!</v>
      </c>
      <c r="E43" s="42">
        <f ca="1" t="shared" si="15"/>
        <v>0</v>
      </c>
      <c r="F43" s="52">
        <f ca="1" t="shared" si="9"/>
        <v>0</v>
      </c>
      <c r="G43" s="22">
        <f ca="1">+GETPIVOTDATA("TNG4",'ngaigiao (2016)'!$A$3,"MA_HT","DRA","MA_QH","LUC")</f>
        <v>0</v>
      </c>
      <c r="H43" s="22">
        <f ca="1">+GETPIVOTDATA("TNG4",'ngaigiao (2016)'!$A$3,"MA_HT","DRA","MA_QH","LUK")</f>
        <v>0</v>
      </c>
      <c r="I43" s="22">
        <f ca="1">+GETPIVOTDATA("TNG4",'ngaigiao (2016)'!$A$3,"MA_HT","DRA","MA_QH","LUN")</f>
        <v>0</v>
      </c>
      <c r="J43" s="22">
        <f ca="1">+GETPIVOTDATA("TNG4",'ngaigiao (2016)'!$A$3,"MA_HT","DRA","MA_QH","HNK")</f>
        <v>0</v>
      </c>
      <c r="K43" s="22">
        <f ca="1">+GETPIVOTDATA("TNG4",'ngaigiao (2016)'!$A$3,"MA_HT","DRA","MA_QH","CLN")</f>
        <v>0</v>
      </c>
      <c r="L43" s="22">
        <f ca="1">+GETPIVOTDATA("TNG4",'ngaigiao (2016)'!$A$3,"MA_HT","DRA","MA_QH","RSX")</f>
        <v>0</v>
      </c>
      <c r="M43" s="22">
        <f ca="1">+GETPIVOTDATA("TNG4",'ngaigiao (2016)'!$A$3,"MA_HT","DRA","MA_QH","RPH")</f>
        <v>0</v>
      </c>
      <c r="N43" s="22">
        <f ca="1">+GETPIVOTDATA("TNG4",'ngaigiao (2016)'!$A$3,"MA_HT","DRA","MA_QH","RDD")</f>
        <v>0</v>
      </c>
      <c r="O43" s="22">
        <f ca="1">+GETPIVOTDATA("TNG4",'ngaigiao (2016)'!$A$3,"MA_HT","DRA","MA_QH","NTS")</f>
        <v>0</v>
      </c>
      <c r="P43" s="22">
        <f ca="1">+GETPIVOTDATA("TNG4",'ngaigiao (2016)'!$A$3,"MA_HT","DRA","MA_QH","LMU")</f>
        <v>0</v>
      </c>
      <c r="Q43" s="22">
        <f ca="1">+GETPIVOTDATA("TNG4",'ngaigiao (2016)'!$A$3,"MA_HT","DRA","MA_QH","NKH")</f>
        <v>0</v>
      </c>
      <c r="R43" s="79">
        <f ca="1">SUM(S43:AA43,AN43:AO43,AQ43:BD43)</f>
        <v>0</v>
      </c>
      <c r="S43" s="22">
        <f ca="1">+GETPIVOTDATA("TNG4",'ngaigiao (2016)'!$A$3,"MA_HT","DRA","MA_QH","CQP")</f>
        <v>0</v>
      </c>
      <c r="T43" s="22">
        <f ca="1">+GETPIVOTDATA("TNG4",'ngaigiao (2016)'!$A$3,"MA_HT","DRA","MA_QH","CAN")</f>
        <v>0</v>
      </c>
      <c r="U43" s="22">
        <f ca="1">+GETPIVOTDATA("TNG4",'ngaigiao (2016)'!$A$3,"MA_HT","DRA","MA_QH","SKK")</f>
        <v>0</v>
      </c>
      <c r="V43" s="22">
        <f ca="1">+GETPIVOTDATA("TNG4",'ngaigiao (2016)'!$A$3,"MA_HT","DRA","MA_QH","SKT")</f>
        <v>0</v>
      </c>
      <c r="W43" s="22">
        <f ca="1">+GETPIVOTDATA("TNG4",'ngaigiao (2016)'!$A$3,"MA_HT","DRA","MA_QH","SKN")</f>
        <v>0</v>
      </c>
      <c r="X43" s="22">
        <f ca="1">+GETPIVOTDATA("TNG4",'ngaigiao (2016)'!$A$3,"MA_HT","DRA","MA_QH","TMD")</f>
        <v>0</v>
      </c>
      <c r="Y43" s="22">
        <f ca="1">+GETPIVOTDATA("TNG4",'ngaigiao (2016)'!$A$3,"MA_HT","DRA","MA_QH","SKC")</f>
        <v>0</v>
      </c>
      <c r="Z43" s="22">
        <f ca="1">+GETPIVOTDATA("TNG4",'ngaigiao (2016)'!$A$3,"MA_HT","DRA","MA_QH","SKS")</f>
        <v>0</v>
      </c>
      <c r="AA43" s="52">
        <f ca="1" t="shared" si="21"/>
        <v>0</v>
      </c>
      <c r="AB43" s="22">
        <f ca="1">+GETPIVOTDATA("TNG4",'ngaigiao (2016)'!$A$3,"MA_HT","DRA","MA_QH","DGT")</f>
        <v>0</v>
      </c>
      <c r="AC43" s="22">
        <f ca="1">+GETPIVOTDATA("TNG4",'ngaigiao (2016)'!$A$3,"MA_HT","DRA","MA_QH","DTL")</f>
        <v>0</v>
      </c>
      <c r="AD43" s="22">
        <f ca="1">+GETPIVOTDATA("TNG4",'ngaigiao (2016)'!$A$3,"MA_HT","DRA","MA_QH","DNL")</f>
        <v>0</v>
      </c>
      <c r="AE43" s="22">
        <f ca="1">+GETPIVOTDATA("TNG4",'ngaigiao (2016)'!$A$3,"MA_HT","DRA","MA_QH","DBV")</f>
        <v>0</v>
      </c>
      <c r="AF43" s="22">
        <f ca="1">+GETPIVOTDATA("TNG4",'ngaigiao (2016)'!$A$3,"MA_HT","DRA","MA_QH","DVH")</f>
        <v>0</v>
      </c>
      <c r="AG43" s="22">
        <f ca="1">+GETPIVOTDATA("TNG4",'ngaigiao (2016)'!$A$3,"MA_HT","DRA","MA_QH","DYT")</f>
        <v>0</v>
      </c>
      <c r="AH43" s="22">
        <f ca="1">+GETPIVOTDATA("TNG4",'ngaigiao (2016)'!$A$3,"MA_HT","DRA","MA_QH","DGD")</f>
        <v>0</v>
      </c>
      <c r="AI43" s="22">
        <f ca="1">+GETPIVOTDATA("TNG4",'ngaigiao (2016)'!$A$3,"MA_HT","DRA","MA_QH","DTT")</f>
        <v>0</v>
      </c>
      <c r="AJ43" s="22">
        <f ca="1">+GETPIVOTDATA("TNG4",'ngaigiao (2016)'!$A$3,"MA_HT","DRA","MA_QH","NCK")</f>
        <v>0</v>
      </c>
      <c r="AK43" s="22">
        <f ca="1">+GETPIVOTDATA("TNG4",'ngaigiao (2016)'!$A$3,"MA_HT","DRA","MA_QH","DXH")</f>
        <v>0</v>
      </c>
      <c r="AL43" s="22">
        <f ca="1">+GETPIVOTDATA("TNG4",'ngaigiao (2016)'!$A$3,"MA_HT","DRA","MA_QH","DCH")</f>
        <v>0</v>
      </c>
      <c r="AM43" s="22">
        <f ca="1">+GETPIVOTDATA("TNG4",'ngaigiao (2016)'!$A$3,"MA_HT","DRA","MA_QH","DKG")</f>
        <v>0</v>
      </c>
      <c r="AN43" s="22">
        <f ca="1">+GETPIVOTDATA("TNG4",'ngaigiao (2016)'!$A$3,"MA_HT","DRA","MA_QH","DDT")</f>
        <v>0</v>
      </c>
      <c r="AO43" s="22">
        <f ca="1">+GETPIVOTDATA("TNG4",'ngaigiao (2016)'!$A$3,"MA_HT","DRA","MA_QH","DDL")</f>
        <v>0</v>
      </c>
      <c r="AP43" s="43" t="e">
        <f ca="1">$D43-$BF43</f>
        <v>#REF!</v>
      </c>
      <c r="AQ43" s="22">
        <f ca="1">+GETPIVOTDATA("TNG4",'ngaigiao (2016)'!$A$3,"MA_HT","DRA","MA_QH","ONT")</f>
        <v>0</v>
      </c>
      <c r="AR43" s="22">
        <f ca="1">+GETPIVOTDATA("TNG4",'ngaigiao (2016)'!$A$3,"MA_HT","DRA","MA_QH","ODT")</f>
        <v>0</v>
      </c>
      <c r="AS43" s="22">
        <f ca="1">+GETPIVOTDATA("TNG4",'ngaigiao (2016)'!$A$3,"MA_HT","DRA","MA_QH","TSC")</f>
        <v>0</v>
      </c>
      <c r="AT43" s="22">
        <f ca="1">+GETPIVOTDATA("TNG4",'ngaigiao (2016)'!$A$3,"MA_HT","DRA","MA_QH","DTS")</f>
        <v>0</v>
      </c>
      <c r="AU43" s="22">
        <f ca="1">+GETPIVOTDATA("TNG4",'ngaigiao (2016)'!$A$3,"MA_HT","DRA","MA_QH","DNG")</f>
        <v>0</v>
      </c>
      <c r="AV43" s="22">
        <f ca="1">+GETPIVOTDATA("TNG4",'ngaigiao (2016)'!$A$3,"MA_HT","DRA","MA_QH","TON")</f>
        <v>0</v>
      </c>
      <c r="AW43" s="22">
        <f ca="1">+GETPIVOTDATA("TNG4",'ngaigiao (2016)'!$A$3,"MA_HT","DRA","MA_QH","NTD")</f>
        <v>0</v>
      </c>
      <c r="AX43" s="22">
        <f ca="1">+GETPIVOTDATA("TNG4",'ngaigiao (2016)'!$A$3,"MA_HT","DRA","MA_QH","SKX")</f>
        <v>0</v>
      </c>
      <c r="AY43" s="22">
        <f ca="1">+GETPIVOTDATA("TNG4",'ngaigiao (2016)'!$A$3,"MA_HT","DRA","MA_QH","DSH")</f>
        <v>0</v>
      </c>
      <c r="AZ43" s="22">
        <f ca="1">+GETPIVOTDATA("TNG4",'ngaigiao (2016)'!$A$3,"MA_HT","DRA","MA_QH","DKV")</f>
        <v>0</v>
      </c>
      <c r="BA43" s="89">
        <f ca="1">+GETPIVOTDATA("TNG4",'ngaigiao (2016)'!$A$3,"MA_HT","DRA","MA_QH","TIN")</f>
        <v>0</v>
      </c>
      <c r="BB43" s="50">
        <f ca="1">+GETPIVOTDATA("TNG4",'ngaigiao (2016)'!$A$3,"MA_HT","DRA","MA_QH","SON")</f>
        <v>0</v>
      </c>
      <c r="BC43" s="50">
        <f ca="1">+GETPIVOTDATA("TNG4",'ngaigiao (2016)'!$A$3,"MA_HT","DRA","MA_QH","MNC")</f>
        <v>0</v>
      </c>
      <c r="BD43" s="22">
        <f ca="1">+GETPIVOTDATA("TNG4",'ngaigiao (2016)'!$A$3,"MA_HT","DRA","MA_QH","PNK")</f>
        <v>0</v>
      </c>
      <c r="BE43" s="71">
        <f ca="1">+GETPIVOTDATA("TNG4",'ngaigiao (2016)'!$A$3,"MA_HT","DRA","MA_QH","CSD")</f>
        <v>0</v>
      </c>
      <c r="BF43" s="74">
        <f ca="1" t="shared" si="13"/>
        <v>0</v>
      </c>
      <c r="BG43" s="101">
        <f ca="1">AP$59-$BF43</f>
        <v>0</v>
      </c>
      <c r="BH43" s="41" t="e">
        <f ca="1" t="shared" si="14"/>
        <v>#REF!</v>
      </c>
      <c r="BI43" s="98"/>
      <c r="BJ43" s="107" t="e">
        <f>#REF!</f>
        <v>#REF!</v>
      </c>
      <c r="BK43" s="107" t="e">
        <f ca="1">BH43-BJ43</f>
        <v>#REF!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</row>
    <row r="44" s="2" customFormat="1" ht="15.75" customHeight="1" spans="1:79">
      <c r="A44" s="39" t="s">
        <v>8406</v>
      </c>
      <c r="B44" s="53" t="s">
        <v>8407</v>
      </c>
      <c r="C44" s="40" t="s">
        <v>188</v>
      </c>
      <c r="D44" s="41" t="e">
        <f>+#REF!</f>
        <v>#REF!</v>
      </c>
      <c r="E44" s="42">
        <f ca="1" t="shared" si="15"/>
        <v>0</v>
      </c>
      <c r="F44" s="52">
        <f ca="1" t="shared" si="9"/>
        <v>0</v>
      </c>
      <c r="G44" s="22">
        <f ca="1">+GETPIVOTDATA("TNG4",'ngaigiao (2016)'!$A$3,"MA_HT","ONT","MA_QH","LUC")</f>
        <v>0</v>
      </c>
      <c r="H44" s="22">
        <f ca="1">+GETPIVOTDATA("TNG4",'ngaigiao (2016)'!$A$3,"MA_HT","ONT","MA_QH","LUK")</f>
        <v>0</v>
      </c>
      <c r="I44" s="22">
        <f ca="1">+GETPIVOTDATA("TNG4",'ngaigiao (2016)'!$A$3,"MA_HT","ONT","MA_QH","LUN")</f>
        <v>0</v>
      </c>
      <c r="J44" s="22">
        <f ca="1">+GETPIVOTDATA("TNG4",'ngaigiao (2016)'!$A$3,"MA_HT","ONT","MA_QH","HNK")</f>
        <v>0</v>
      </c>
      <c r="K44" s="22">
        <f ca="1">+GETPIVOTDATA("TNG4",'ngaigiao (2016)'!$A$3,"MA_HT","ONT","MA_QH","CLN")</f>
        <v>0</v>
      </c>
      <c r="L44" s="22">
        <f ca="1">+GETPIVOTDATA("TNG4",'ngaigiao (2016)'!$A$3,"MA_HT","ONT","MA_QH","RSX")</f>
        <v>0</v>
      </c>
      <c r="M44" s="22">
        <f ca="1">+GETPIVOTDATA("TNG4",'ngaigiao (2016)'!$A$3,"MA_HT","ONT","MA_QH","RPH")</f>
        <v>0</v>
      </c>
      <c r="N44" s="22">
        <f ca="1">+GETPIVOTDATA("TNG4",'ngaigiao (2016)'!$A$3,"MA_HT","ONT","MA_QH","RDD")</f>
        <v>0</v>
      </c>
      <c r="O44" s="22">
        <f ca="1">+GETPIVOTDATA("TNG4",'ngaigiao (2016)'!$A$3,"MA_HT","ONT","MA_QH","NTS")</f>
        <v>0</v>
      </c>
      <c r="P44" s="22">
        <f ca="1">+GETPIVOTDATA("TNG4",'ngaigiao (2016)'!$A$3,"MA_HT","ONT","MA_QH","LMU")</f>
        <v>0</v>
      </c>
      <c r="Q44" s="22">
        <f ca="1">+GETPIVOTDATA("TNG4",'ngaigiao (2016)'!$A$3,"MA_HT","ONT","MA_QH","NKH")</f>
        <v>0</v>
      </c>
      <c r="R44" s="79">
        <f ca="1">SUM(S44:AA44,AN44:AP44,AR44:BD44)</f>
        <v>0</v>
      </c>
      <c r="S44" s="22">
        <f ca="1">+GETPIVOTDATA("TNG4",'ngaigiao (2016)'!$A$3,"MA_HT","ONT","MA_QH","CQP")</f>
        <v>0</v>
      </c>
      <c r="T44" s="22">
        <f ca="1">+GETPIVOTDATA("TNG4",'ngaigiao (2016)'!$A$3,"MA_HT","ONT","MA_QH","CAN")</f>
        <v>0</v>
      </c>
      <c r="U44" s="22">
        <f ca="1">+GETPIVOTDATA("TNG4",'ngaigiao (2016)'!$A$3,"MA_HT","ONT","MA_QH","SKK")</f>
        <v>0</v>
      </c>
      <c r="V44" s="22">
        <f ca="1">+GETPIVOTDATA("TNG4",'ngaigiao (2016)'!$A$3,"MA_HT","ONT","MA_QH","SKT")</f>
        <v>0</v>
      </c>
      <c r="W44" s="22">
        <f ca="1">+GETPIVOTDATA("TNG4",'ngaigiao (2016)'!$A$3,"MA_HT","ONT","MA_QH","SKN")</f>
        <v>0</v>
      </c>
      <c r="X44" s="22">
        <f ca="1">+GETPIVOTDATA("TNG4",'ngaigiao (2016)'!$A$3,"MA_HT","ONT","MA_QH","TMD")</f>
        <v>0</v>
      </c>
      <c r="Y44" s="22">
        <f ca="1">+GETPIVOTDATA("TNG4",'ngaigiao (2016)'!$A$3,"MA_HT","ONT","MA_QH","SKC")</f>
        <v>0</v>
      </c>
      <c r="Z44" s="22">
        <f ca="1">+GETPIVOTDATA("TNG4",'ngaigiao (2016)'!$A$3,"MA_HT","ONT","MA_QH","SKS")</f>
        <v>0</v>
      </c>
      <c r="AA44" s="52">
        <f ca="1" t="shared" si="21"/>
        <v>0</v>
      </c>
      <c r="AB44" s="22">
        <f ca="1">+GETPIVOTDATA("TNG4",'ngaigiao (2016)'!$A$3,"MA_HT","ONT","MA_QH","DGT")</f>
        <v>0</v>
      </c>
      <c r="AC44" s="22">
        <f ca="1">+GETPIVOTDATA("TNG4",'ngaigiao (2016)'!$A$3,"MA_HT","ONT","MA_QH","DTL")</f>
        <v>0</v>
      </c>
      <c r="AD44" s="22">
        <f ca="1">+GETPIVOTDATA("TNG4",'ngaigiao (2016)'!$A$3,"MA_HT","ONT","MA_QH","DNL")</f>
        <v>0</v>
      </c>
      <c r="AE44" s="22">
        <f ca="1">+GETPIVOTDATA("TNG4",'ngaigiao (2016)'!$A$3,"MA_HT","ONT","MA_QH","DBV")</f>
        <v>0</v>
      </c>
      <c r="AF44" s="22">
        <f ca="1">+GETPIVOTDATA("TNG4",'ngaigiao (2016)'!$A$3,"MA_HT","ONT","MA_QH","DVH")</f>
        <v>0</v>
      </c>
      <c r="AG44" s="22">
        <f ca="1">+GETPIVOTDATA("TNG4",'ngaigiao (2016)'!$A$3,"MA_HT","ONT","MA_QH","DYT")</f>
        <v>0</v>
      </c>
      <c r="AH44" s="22">
        <f ca="1">+GETPIVOTDATA("TNG4",'ngaigiao (2016)'!$A$3,"MA_HT","ONT","MA_QH","DGD")</f>
        <v>0</v>
      </c>
      <c r="AI44" s="22">
        <f ca="1">+GETPIVOTDATA("TNG4",'ngaigiao (2016)'!$A$3,"MA_HT","ONT","MA_QH","DTT")</f>
        <v>0</v>
      </c>
      <c r="AJ44" s="22">
        <f ca="1">+GETPIVOTDATA("TNG4",'ngaigiao (2016)'!$A$3,"MA_HT","ONT","MA_QH","NCK")</f>
        <v>0</v>
      </c>
      <c r="AK44" s="22">
        <f ca="1">+GETPIVOTDATA("TNG4",'ngaigiao (2016)'!$A$3,"MA_HT","ONT","MA_QH","DXH")</f>
        <v>0</v>
      </c>
      <c r="AL44" s="22">
        <f ca="1">+GETPIVOTDATA("TNG4",'ngaigiao (2016)'!$A$3,"MA_HT","ONT","MA_QH","DCH")</f>
        <v>0</v>
      </c>
      <c r="AM44" s="22">
        <f ca="1">+GETPIVOTDATA("TNG4",'ngaigiao (2016)'!$A$3,"MA_HT","ONT","MA_QH","DKG")</f>
        <v>0</v>
      </c>
      <c r="AN44" s="22">
        <f ca="1">+GETPIVOTDATA("TNG4",'ngaigiao (2016)'!$A$3,"MA_HT","ONT","MA_QH","DDT")</f>
        <v>0</v>
      </c>
      <c r="AO44" s="22">
        <f ca="1">+GETPIVOTDATA("TNG4",'ngaigiao (2016)'!$A$3,"MA_HT","ONT","MA_QH","DDL")</f>
        <v>0</v>
      </c>
      <c r="AP44" s="22">
        <f ca="1">+GETPIVOTDATA("TNG4",'ngaigiao (2016)'!$A$3,"MA_HT","ONT","MA_QH","DRA")</f>
        <v>0</v>
      </c>
      <c r="AQ44" s="43" t="e">
        <f ca="1">$D44-$BF44</f>
        <v>#REF!</v>
      </c>
      <c r="AR44" s="22">
        <f ca="1">+GETPIVOTDATA("TNG4",'ngaigiao (2016)'!$A$3,"MA_HT","ONT","MA_QH","ODT")</f>
        <v>0</v>
      </c>
      <c r="AS44" s="22">
        <f ca="1">+GETPIVOTDATA("TNG4",'ngaigiao (2016)'!$A$3,"MA_HT","ONT","MA_QH","TSC")</f>
        <v>0</v>
      </c>
      <c r="AT44" s="22">
        <f ca="1">+GETPIVOTDATA("TNG4",'ngaigiao (2016)'!$A$3,"MA_HT","ONT","MA_QH","DTS")</f>
        <v>0</v>
      </c>
      <c r="AU44" s="22">
        <f ca="1">+GETPIVOTDATA("TNG4",'ngaigiao (2016)'!$A$3,"MA_HT","ONT","MA_QH","DNG")</f>
        <v>0</v>
      </c>
      <c r="AV44" s="22">
        <f ca="1">+GETPIVOTDATA("TNG4",'ngaigiao (2016)'!$A$3,"MA_HT","ONT","MA_QH","TON")</f>
        <v>0</v>
      </c>
      <c r="AW44" s="22">
        <f ca="1">+GETPIVOTDATA("TNG4",'ngaigiao (2016)'!$A$3,"MA_HT","ONT","MA_QH","NTD")</f>
        <v>0</v>
      </c>
      <c r="AX44" s="22">
        <f ca="1">+GETPIVOTDATA("TNG4",'ngaigiao (2016)'!$A$3,"MA_HT","ONT","MA_QH","SKX")</f>
        <v>0</v>
      </c>
      <c r="AY44" s="22">
        <f ca="1">+GETPIVOTDATA("TNG4",'ngaigiao (2016)'!$A$3,"MA_HT","ONT","MA_QH","DSH")</f>
        <v>0</v>
      </c>
      <c r="AZ44" s="22">
        <f ca="1">+GETPIVOTDATA("TNG4",'ngaigiao (2016)'!$A$3,"MA_HT","ONT","MA_QH","DKV")</f>
        <v>0</v>
      </c>
      <c r="BA44" s="89">
        <f ca="1">+GETPIVOTDATA("TNG4",'ngaigiao (2016)'!$A$3,"MA_HT","ONT","MA_QH","TIN")</f>
        <v>0</v>
      </c>
      <c r="BB44" s="50">
        <f ca="1">+GETPIVOTDATA("TNG4",'ngaigiao (2016)'!$A$3,"MA_HT","ONT","MA_QH","SON")</f>
        <v>0</v>
      </c>
      <c r="BC44" s="50">
        <f ca="1">+GETPIVOTDATA("TNG4",'ngaigiao (2016)'!$A$3,"MA_HT","ONT","MA_QH","MNC")</f>
        <v>0</v>
      </c>
      <c r="BD44" s="22">
        <f ca="1">+GETPIVOTDATA("TNG4",'ngaigiao (2016)'!$A$3,"MA_HT","ONT","MA_QH","PNK")</f>
        <v>0</v>
      </c>
      <c r="BE44" s="71">
        <f ca="1">+GETPIVOTDATA("TNG4",'ngaigiao (2016)'!$A$3,"MA_HT","ONT","MA_QH","CSD")</f>
        <v>0</v>
      </c>
      <c r="BF44" s="74">
        <f ca="1" t="shared" si="13"/>
        <v>0</v>
      </c>
      <c r="BG44" s="101">
        <f ca="1">AQ$59-$BF44</f>
        <v>0</v>
      </c>
      <c r="BH44" s="41" t="e">
        <f ca="1" t="shared" si="14"/>
        <v>#REF!</v>
      </c>
      <c r="BI44" s="98"/>
      <c r="BJ44" s="107" t="e">
        <f>#REF!</f>
        <v>#REF!</v>
      </c>
      <c r="BK44" s="107" t="e">
        <f ca="1">BH44-BJ44</f>
        <v>#REF!</v>
      </c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</row>
    <row r="45" s="2" customFormat="1" ht="15.75" customHeight="1" spans="1:79">
      <c r="A45" s="61" t="s">
        <v>8408</v>
      </c>
      <c r="B45" s="62" t="s">
        <v>8409</v>
      </c>
      <c r="C45" s="63" t="s">
        <v>201</v>
      </c>
      <c r="D45" s="64" t="e">
        <f>+#REF!</f>
        <v>#REF!</v>
      </c>
      <c r="E45" s="65">
        <f ca="1" t="shared" si="15"/>
        <v>0</v>
      </c>
      <c r="F45" s="66">
        <f ca="1" t="shared" si="9"/>
        <v>0</v>
      </c>
      <c r="G45" s="67">
        <f ca="1">+GETPIVOTDATA("TNG4",'ngaigiao (2016)'!$A$3,"MA_HT","ODT","MA_QH","LUC")</f>
        <v>0</v>
      </c>
      <c r="H45" s="67">
        <f ca="1">+GETPIVOTDATA("TNG4",'ngaigiao (2016)'!$A$3,"MA_HT","ODT","MA_QH","LUK")</f>
        <v>0</v>
      </c>
      <c r="I45" s="67">
        <f ca="1">+GETPIVOTDATA("TNG4",'ngaigiao (2016)'!$A$3,"MA_HT","ODT","MA_QH","LUN")</f>
        <v>0</v>
      </c>
      <c r="J45" s="67">
        <f ca="1">+GETPIVOTDATA("TNG4",'ngaigiao (2016)'!$A$3,"MA_HT","ODT","MA_QH","HNK")</f>
        <v>0</v>
      </c>
      <c r="K45" s="67">
        <f ca="1">+GETPIVOTDATA("TNG4",'ngaigiao (2016)'!$A$3,"MA_HT","ODT","MA_QH","CLN")</f>
        <v>0</v>
      </c>
      <c r="L45" s="67">
        <f ca="1">+GETPIVOTDATA("TNG4",'ngaigiao (2016)'!$A$3,"MA_HT","ODT","MA_QH","RSX")</f>
        <v>0</v>
      </c>
      <c r="M45" s="67">
        <f ca="1">+GETPIVOTDATA("TNG4",'ngaigiao (2016)'!$A$3,"MA_HT","ODT","MA_QH","RPH")</f>
        <v>0</v>
      </c>
      <c r="N45" s="67">
        <f ca="1">+GETPIVOTDATA("TNG4",'ngaigiao (2016)'!$A$3,"MA_HT","ODT","MA_QH","RDD")</f>
        <v>0</v>
      </c>
      <c r="O45" s="67">
        <f ca="1">+GETPIVOTDATA("TNG4",'ngaigiao (2016)'!$A$3,"MA_HT","ODT","MA_QH","NTS")</f>
        <v>0</v>
      </c>
      <c r="P45" s="67">
        <f ca="1">+GETPIVOTDATA("TNG4",'ngaigiao (2016)'!$A$3,"MA_HT","ODT","MA_QH","LMU")</f>
        <v>0</v>
      </c>
      <c r="Q45" s="67">
        <f ca="1">+GETPIVOTDATA("TNG4",'ngaigiao (2016)'!$A$3,"MA_HT","ODT","MA_QH","NKH")</f>
        <v>0</v>
      </c>
      <c r="R45" s="79">
        <f ca="1">SUM(S45:AA45,AN45:AQ45,AS45:BD45)</f>
        <v>0</v>
      </c>
      <c r="S45" s="67">
        <f ca="1">+GETPIVOTDATA("TNG4",'ngaigiao (2016)'!$A$3,"MA_HT","ODT","MA_QH","CQP")</f>
        <v>0</v>
      </c>
      <c r="T45" s="67">
        <f ca="1">+GETPIVOTDATA("TNG4",'ngaigiao (2016)'!$A$3,"MA_HT","ODT","MA_QH","CAN")</f>
        <v>0</v>
      </c>
      <c r="U45" s="67">
        <f ca="1">+GETPIVOTDATA("TNG4",'ngaigiao (2016)'!$A$3,"MA_HT","ODT","MA_QH","SKK")</f>
        <v>0</v>
      </c>
      <c r="V45" s="67">
        <f ca="1">+GETPIVOTDATA("TNG4",'ngaigiao (2016)'!$A$3,"MA_HT","ODT","MA_QH","SKT")</f>
        <v>0</v>
      </c>
      <c r="W45" s="67">
        <f ca="1">+GETPIVOTDATA("TNG4",'ngaigiao (2016)'!$A$3,"MA_HT","ODT","MA_QH","SKN")</f>
        <v>0</v>
      </c>
      <c r="X45" s="67">
        <f ca="1">+GETPIVOTDATA("TNG4",'ngaigiao (2016)'!$A$3,"MA_HT","ODT","MA_QH","TMD")</f>
        <v>0</v>
      </c>
      <c r="Y45" s="67">
        <f ca="1">+GETPIVOTDATA("TNG4",'ngaigiao (2016)'!$A$3,"MA_HT","ODT","MA_QH","SKC")</f>
        <v>0</v>
      </c>
      <c r="Z45" s="67">
        <f ca="1">+GETPIVOTDATA("TNG4",'ngaigiao (2016)'!$A$3,"MA_HT","ODT","MA_QH","SKS")</f>
        <v>0</v>
      </c>
      <c r="AA45" s="66">
        <f ca="1" t="shared" si="21"/>
        <v>0</v>
      </c>
      <c r="AB45" s="67">
        <f ca="1">+GETPIVOTDATA("TNG4",'ngaigiao (2016)'!$A$3,"MA_HT","ODT","MA_QH","DGT")</f>
        <v>0</v>
      </c>
      <c r="AC45" s="67">
        <f ca="1">+GETPIVOTDATA("TNG4",'ngaigiao (2016)'!$A$3,"MA_HT","ODT","MA_QH","DTL")</f>
        <v>0</v>
      </c>
      <c r="AD45" s="67">
        <f ca="1">+GETPIVOTDATA("TNG4",'ngaigiao (2016)'!$A$3,"MA_HT","ODT","MA_QH","DNL")</f>
        <v>0</v>
      </c>
      <c r="AE45" s="67">
        <f ca="1">+GETPIVOTDATA("TNG4",'ngaigiao (2016)'!$A$3,"MA_HT","ODT","MA_QH","DBV")</f>
        <v>0</v>
      </c>
      <c r="AF45" s="67">
        <f ca="1">+GETPIVOTDATA("TNG4",'ngaigiao (2016)'!$A$3,"MA_HT","ODT","MA_QH","DVH")</f>
        <v>0</v>
      </c>
      <c r="AG45" s="67">
        <f ca="1">+GETPIVOTDATA("TNG4",'ngaigiao (2016)'!$A$3,"MA_HT","ODT","MA_QH","DYT")</f>
        <v>0</v>
      </c>
      <c r="AH45" s="67">
        <f ca="1">+GETPIVOTDATA("TNG4",'ngaigiao (2016)'!$A$3,"MA_HT","ODT","MA_QH","DGD")</f>
        <v>0</v>
      </c>
      <c r="AI45" s="67">
        <f ca="1">+GETPIVOTDATA("TNG4",'ngaigiao (2016)'!$A$3,"MA_HT","ODT","MA_QH","DTT")</f>
        <v>0</v>
      </c>
      <c r="AJ45" s="67">
        <f ca="1">+GETPIVOTDATA("TNG4",'ngaigiao (2016)'!$A$3,"MA_HT","ODT","MA_QH","NCK")</f>
        <v>0</v>
      </c>
      <c r="AK45" s="67">
        <f ca="1">+GETPIVOTDATA("TNG4",'ngaigiao (2016)'!$A$3,"MA_HT","ODT","MA_QH","DXH")</f>
        <v>0</v>
      </c>
      <c r="AL45" s="67">
        <f ca="1">+GETPIVOTDATA("TNG4",'ngaigiao (2016)'!$A$3,"MA_HT","ODT","MA_QH","DCH")</f>
        <v>0</v>
      </c>
      <c r="AM45" s="67">
        <f ca="1">+GETPIVOTDATA("TNG4",'ngaigiao (2016)'!$A$3,"MA_HT","ODT","MA_QH","DKG")</f>
        <v>0</v>
      </c>
      <c r="AN45" s="67">
        <f ca="1">+GETPIVOTDATA("TNG4",'ngaigiao (2016)'!$A$3,"MA_HT","ODT","MA_QH","DDT")</f>
        <v>0</v>
      </c>
      <c r="AO45" s="67">
        <f ca="1">+GETPIVOTDATA("TNG4",'ngaigiao (2016)'!$A$3,"MA_HT","ODT","MA_QH","DDL")</f>
        <v>0</v>
      </c>
      <c r="AP45" s="67">
        <f ca="1">+GETPIVOTDATA("TNG4",'ngaigiao (2016)'!$A$3,"MA_HT","ODT","MA_QH","DRA")</f>
        <v>0</v>
      </c>
      <c r="AQ45" s="67">
        <f ca="1">+GETPIVOTDATA("TNG4",'ngaigiao (2016)'!$A$3,"MA_HT","ODT","MA_QH","ONT")</f>
        <v>0</v>
      </c>
      <c r="AR45" s="82" t="e">
        <f ca="1">$D45-$BF45</f>
        <v>#REF!</v>
      </c>
      <c r="AS45" s="67">
        <f ca="1">+GETPIVOTDATA("TNG4",'ngaigiao (2016)'!$A$3,"MA_HT","ODT","MA_QH","TSC")</f>
        <v>0</v>
      </c>
      <c r="AT45" s="67">
        <f ca="1">+GETPIVOTDATA("TNG4",'ngaigiao (2016)'!$A$3,"MA_HT","ODT","MA_QH","DTS")</f>
        <v>0</v>
      </c>
      <c r="AU45" s="67">
        <f ca="1">+GETPIVOTDATA("TNG4",'ngaigiao (2016)'!$A$3,"MA_HT","ODT","MA_QH","DNG")</f>
        <v>0</v>
      </c>
      <c r="AV45" s="67">
        <f ca="1">+GETPIVOTDATA("TNG4",'ngaigiao (2016)'!$A$3,"MA_HT","ODT","MA_QH","TON")</f>
        <v>0</v>
      </c>
      <c r="AW45" s="67">
        <f ca="1">+GETPIVOTDATA("TNG4",'ngaigiao (2016)'!$A$3,"MA_HT","ODT","MA_QH","NTD")</f>
        <v>0</v>
      </c>
      <c r="AX45" s="67">
        <f ca="1">+GETPIVOTDATA("TNG4",'ngaigiao (2016)'!$A$3,"MA_HT","ODT","MA_QH","SKX")</f>
        <v>0</v>
      </c>
      <c r="AY45" s="67">
        <f ca="1">+GETPIVOTDATA("TNG4",'ngaigiao (2016)'!$A$3,"MA_HT","ODT","MA_QH","DSH")</f>
        <v>0</v>
      </c>
      <c r="AZ45" s="67">
        <f ca="1">+GETPIVOTDATA("TNG4",'ngaigiao (2016)'!$A$3,"MA_HT","ODT","MA_QH","DKV")</f>
        <v>0</v>
      </c>
      <c r="BA45" s="92">
        <f ca="1">+GETPIVOTDATA("TNG4",'ngaigiao (2016)'!$A$3,"MA_HT","ODT","MA_QH","TIN")</f>
        <v>0</v>
      </c>
      <c r="BB45" s="93">
        <f ca="1">+GETPIVOTDATA("TNG4",'ngaigiao (2016)'!$A$3,"MA_HT","ODT","MA_QH","SON")</f>
        <v>0</v>
      </c>
      <c r="BC45" s="93">
        <f ca="1">+GETPIVOTDATA("TNG4",'ngaigiao (2016)'!$A$3,"MA_HT","ODT","MA_QH","MNC")</f>
        <v>0</v>
      </c>
      <c r="BD45" s="67">
        <f ca="1">+GETPIVOTDATA("TNG4",'ngaigiao (2016)'!$A$3,"MA_HT","ODT","MA_QH","PNK")</f>
        <v>0</v>
      </c>
      <c r="BE45" s="116">
        <f ca="1">+GETPIVOTDATA("TNG4",'ngaigiao (2016)'!$A$3,"MA_HT","ODT","MA_QH","CSD")</f>
        <v>0</v>
      </c>
      <c r="BF45" s="117">
        <f ca="1" t="shared" si="13"/>
        <v>0</v>
      </c>
      <c r="BG45" s="118">
        <f ca="1">AR$59-$BF45</f>
        <v>0</v>
      </c>
      <c r="BH45" s="64" t="e">
        <f ca="1" t="shared" si="14"/>
        <v>#REF!</v>
      </c>
      <c r="BI45" s="98"/>
      <c r="BJ45" s="107" t="e">
        <f>#REF!</f>
        <v>#REF!</v>
      </c>
      <c r="BK45" s="107" t="e">
        <f ca="1">BH45-BJ45</f>
        <v>#REF!</v>
      </c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</row>
    <row r="46" s="6" customFormat="1" ht="15.75" customHeight="1" spans="1:79">
      <c r="A46" s="39" t="s">
        <v>8410</v>
      </c>
      <c r="B46" s="53" t="s">
        <v>8411</v>
      </c>
      <c r="C46" s="40" t="s">
        <v>336</v>
      </c>
      <c r="D46" s="41" t="e">
        <f>+#REF!</f>
        <v>#REF!</v>
      </c>
      <c r="E46" s="42">
        <f ca="1" t="shared" si="15"/>
        <v>0</v>
      </c>
      <c r="F46" s="52">
        <f ca="1" t="shared" si="9"/>
        <v>0</v>
      </c>
      <c r="G46" s="22">
        <f ca="1">+GETPIVOTDATA("TNG4",'ngaigiao (2016)'!$A$3,"MA_HT","TSC","MA_QH","LUC")</f>
        <v>0</v>
      </c>
      <c r="H46" s="22">
        <f ca="1">+GETPIVOTDATA("TNG4",'ngaigiao (2016)'!$A$3,"MA_HT","TSC","MA_QH","LUK")</f>
        <v>0</v>
      </c>
      <c r="I46" s="22">
        <f ca="1">+GETPIVOTDATA("TNG4",'ngaigiao (2016)'!$A$3,"MA_HT","TSC","MA_QH","LUN")</f>
        <v>0</v>
      </c>
      <c r="J46" s="22">
        <f ca="1">+GETPIVOTDATA("TNG4",'ngaigiao (2016)'!$A$3,"MA_HT","TSC","MA_QH","HNK")</f>
        <v>0</v>
      </c>
      <c r="K46" s="22">
        <f ca="1">+GETPIVOTDATA("TNG4",'ngaigiao (2016)'!$A$3,"MA_HT","TSC","MA_QH","CLN")</f>
        <v>0</v>
      </c>
      <c r="L46" s="22">
        <f ca="1">+GETPIVOTDATA("TNG4",'ngaigiao (2016)'!$A$3,"MA_HT","TSC","MA_QH","RSX")</f>
        <v>0</v>
      </c>
      <c r="M46" s="22">
        <f ca="1">+GETPIVOTDATA("TNG4",'ngaigiao (2016)'!$A$3,"MA_HT","TSC","MA_QH","RPH")</f>
        <v>0</v>
      </c>
      <c r="N46" s="22">
        <f ca="1">+GETPIVOTDATA("TNG4",'ngaigiao (2016)'!$A$3,"MA_HT","TSC","MA_QH","RDD")</f>
        <v>0</v>
      </c>
      <c r="O46" s="22">
        <f ca="1">+GETPIVOTDATA("TNG4",'ngaigiao (2016)'!$A$3,"MA_HT","TSC","MA_QH","NTS")</f>
        <v>0</v>
      </c>
      <c r="P46" s="22">
        <f ca="1">+GETPIVOTDATA("TNG4",'ngaigiao (2016)'!$A$3,"MA_HT","TSC","MA_QH","LMU")</f>
        <v>0</v>
      </c>
      <c r="Q46" s="22">
        <f ca="1">+GETPIVOTDATA("TNG4",'ngaigiao (2016)'!$A$3,"MA_HT","TSC","MA_QH","NKH")</f>
        <v>0</v>
      </c>
      <c r="R46" s="48">
        <f ca="1">SUM(S46:AA46,AN46:AR46,AT46:BD46)</f>
        <v>0</v>
      </c>
      <c r="S46" s="22">
        <f ca="1">+GETPIVOTDATA("TNG4",'ngaigiao (2016)'!$A$3,"MA_HT","TSC","MA_QH","CQP")</f>
        <v>0</v>
      </c>
      <c r="T46" s="22">
        <f ca="1">+GETPIVOTDATA("TNG4",'ngaigiao (2016)'!$A$3,"MA_HT","TSC","MA_QH","CAN")</f>
        <v>0</v>
      </c>
      <c r="U46" s="22">
        <f ca="1">+GETPIVOTDATA("TNG4",'ngaigiao (2016)'!$A$3,"MA_HT","TSC","MA_QH","SKK")</f>
        <v>0</v>
      </c>
      <c r="V46" s="22">
        <f ca="1">+GETPIVOTDATA("TNG4",'ngaigiao (2016)'!$A$3,"MA_HT","TSC","MA_QH","SKT")</f>
        <v>0</v>
      </c>
      <c r="W46" s="22">
        <f ca="1">+GETPIVOTDATA("TNG4",'ngaigiao (2016)'!$A$3,"MA_HT","TSC","MA_QH","SKN")</f>
        <v>0</v>
      </c>
      <c r="X46" s="22">
        <f ca="1">+GETPIVOTDATA("TNG4",'ngaigiao (2016)'!$A$3,"MA_HT","TSC","MA_QH","TMD")</f>
        <v>0</v>
      </c>
      <c r="Y46" s="22">
        <f ca="1">+GETPIVOTDATA("TNG4",'ngaigiao (2016)'!$A$3,"MA_HT","TSC","MA_QH","SKC")</f>
        <v>0</v>
      </c>
      <c r="Z46" s="22">
        <f ca="1">+GETPIVOTDATA("TNG4",'ngaigiao (2016)'!$A$3,"MA_HT","TSC","MA_QH","SKS")</f>
        <v>0</v>
      </c>
      <c r="AA46" s="52">
        <f ca="1" t="shared" si="21"/>
        <v>0</v>
      </c>
      <c r="AB46" s="22">
        <f ca="1">+GETPIVOTDATA("TNG4",'ngaigiao (2016)'!$A$3,"MA_HT","TSC","MA_QH","DGT")</f>
        <v>0</v>
      </c>
      <c r="AC46" s="22">
        <f ca="1">+GETPIVOTDATA("TNG4",'ngaigiao (2016)'!$A$3,"MA_HT","TSC","MA_QH","DTL")</f>
        <v>0</v>
      </c>
      <c r="AD46" s="22">
        <f ca="1">+GETPIVOTDATA("TNG4",'ngaigiao (2016)'!$A$3,"MA_HT","TSC","MA_QH","DNL")</f>
        <v>0</v>
      </c>
      <c r="AE46" s="22">
        <f ca="1">+GETPIVOTDATA("TNG4",'ngaigiao (2016)'!$A$3,"MA_HT","TSC","MA_QH","DBV")</f>
        <v>0</v>
      </c>
      <c r="AF46" s="22">
        <f ca="1">+GETPIVOTDATA("TNG4",'ngaigiao (2016)'!$A$3,"MA_HT","TSC","MA_QH","DVH")</f>
        <v>0</v>
      </c>
      <c r="AG46" s="22">
        <f ca="1">+GETPIVOTDATA("TNG4",'ngaigiao (2016)'!$A$3,"MA_HT","TSC","MA_QH","DYT")</f>
        <v>0</v>
      </c>
      <c r="AH46" s="22">
        <f ca="1">+GETPIVOTDATA("TNG4",'ngaigiao (2016)'!$A$3,"MA_HT","TSC","MA_QH","DGD")</f>
        <v>0</v>
      </c>
      <c r="AI46" s="22">
        <f ca="1">+GETPIVOTDATA("TNG4",'ngaigiao (2016)'!$A$3,"MA_HT","TSC","MA_QH","DTT")</f>
        <v>0</v>
      </c>
      <c r="AJ46" s="22">
        <f ca="1">+GETPIVOTDATA("TNG4",'ngaigiao (2016)'!$A$3,"MA_HT","TSC","MA_QH","NCK")</f>
        <v>0</v>
      </c>
      <c r="AK46" s="22">
        <f ca="1">+GETPIVOTDATA("TNG4",'ngaigiao (2016)'!$A$3,"MA_HT","TSC","MA_QH","DXH")</f>
        <v>0</v>
      </c>
      <c r="AL46" s="22">
        <f ca="1">+GETPIVOTDATA("TNG4",'ngaigiao (2016)'!$A$3,"MA_HT","TSC","MA_QH","DCH")</f>
        <v>0</v>
      </c>
      <c r="AM46" s="22">
        <f ca="1">+GETPIVOTDATA("TNG4",'ngaigiao (2016)'!$A$3,"MA_HT","TSC","MA_QH","DKG")</f>
        <v>0</v>
      </c>
      <c r="AN46" s="22">
        <f ca="1">+GETPIVOTDATA("TNG4",'ngaigiao (2016)'!$A$3,"MA_HT","TSC","MA_QH","DDT")</f>
        <v>0</v>
      </c>
      <c r="AO46" s="22">
        <f ca="1">+GETPIVOTDATA("TNG4",'ngaigiao (2016)'!$A$3,"MA_HT","TSC","MA_QH","DDL")</f>
        <v>0</v>
      </c>
      <c r="AP46" s="22">
        <f ca="1">+GETPIVOTDATA("TNG4",'ngaigiao (2016)'!$A$3,"MA_HT","TSC","MA_QH","DRA")</f>
        <v>0</v>
      </c>
      <c r="AQ46" s="22">
        <f ca="1">+GETPIVOTDATA("TNG4",'ngaigiao (2016)'!$A$3,"MA_HT","TSC","MA_QH","ONT")</f>
        <v>0</v>
      </c>
      <c r="AR46" s="22">
        <f ca="1">+GETPIVOTDATA("TNG4",'ngaigiao (2016)'!$A$3,"MA_HT","TSC","MA_QH","ODT")</f>
        <v>0</v>
      </c>
      <c r="AS46" s="43" t="e">
        <f ca="1">$D46-$BF46</f>
        <v>#REF!</v>
      </c>
      <c r="AT46" s="22">
        <f ca="1">+GETPIVOTDATA("TNG4",'ngaigiao (2016)'!$A$3,"MA_HT","TSC","MA_QH","DTS")</f>
        <v>0</v>
      </c>
      <c r="AU46" s="22">
        <f ca="1">+GETPIVOTDATA("TNG4",'ngaigiao (2016)'!$A$3,"MA_HT","TSC","MA_QH","DNG")</f>
        <v>0</v>
      </c>
      <c r="AV46" s="22">
        <f ca="1">+GETPIVOTDATA("TNG4",'ngaigiao (2016)'!$A$3,"MA_HT","TSC","MA_QH","TON")</f>
        <v>0</v>
      </c>
      <c r="AW46" s="22">
        <f ca="1">+GETPIVOTDATA("TNG4",'ngaigiao (2016)'!$A$3,"MA_HT","TSC","MA_QH","NTD")</f>
        <v>0</v>
      </c>
      <c r="AX46" s="22">
        <f ca="1">+GETPIVOTDATA("TNG4",'ngaigiao (2016)'!$A$3,"MA_HT","TSC","MA_QH","SKX")</f>
        <v>0</v>
      </c>
      <c r="AY46" s="22">
        <f ca="1">+GETPIVOTDATA("TNG4",'ngaigiao (2016)'!$A$3,"MA_HT","TSC","MA_QH","DSH")</f>
        <v>0</v>
      </c>
      <c r="AZ46" s="22">
        <f ca="1">+GETPIVOTDATA("TNG4",'ngaigiao (2016)'!$A$3,"MA_HT","TSC","MA_QH","DKV")</f>
        <v>0</v>
      </c>
      <c r="BA46" s="89">
        <f ca="1">+GETPIVOTDATA("TNG4",'ngaigiao (2016)'!$A$3,"MA_HT","TSC","MA_QH","TIN")</f>
        <v>0</v>
      </c>
      <c r="BB46" s="50">
        <f ca="1">+GETPIVOTDATA("TNG4",'ngaigiao (2016)'!$A$3,"MA_HT","TSC","MA_QH","SON")</f>
        <v>0</v>
      </c>
      <c r="BC46" s="50">
        <f ca="1">+GETPIVOTDATA("TNG4",'ngaigiao (2016)'!$A$3,"MA_HT","TSC","MA_QH","MNC")</f>
        <v>0</v>
      </c>
      <c r="BD46" s="22">
        <f ca="1">+GETPIVOTDATA("TNG4",'ngaigiao (2016)'!$A$3,"MA_HT","TSC","MA_QH","PNK")</f>
        <v>0</v>
      </c>
      <c r="BE46" s="71">
        <f ca="1">+GETPIVOTDATA("TNG4",'ngaigiao (2016)'!$A$3,"MA_HT","TSC","MA_QH","CSD")</f>
        <v>0</v>
      </c>
      <c r="BF46" s="74">
        <f ca="1" t="shared" si="13"/>
        <v>0</v>
      </c>
      <c r="BG46" s="101">
        <f ca="1">AS$59-$BF46</f>
        <v>0</v>
      </c>
      <c r="BH46" s="41" t="e">
        <f ca="1" t="shared" si="14"/>
        <v>#REF!</v>
      </c>
      <c r="BI46" s="114"/>
      <c r="BJ46" s="114" t="e">
        <f>#REF!</f>
        <v>#REF!</v>
      </c>
      <c r="BK46" s="115" t="e">
        <f ca="1">BH46-BJ46</f>
        <v>#REF!</v>
      </c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</row>
    <row r="47" s="2" customFormat="1" ht="15.75" customHeight="1" spans="1:79">
      <c r="A47" s="54" t="s">
        <v>8412</v>
      </c>
      <c r="B47" s="55" t="s">
        <v>8413</v>
      </c>
      <c r="C47" s="56" t="s">
        <v>8293</v>
      </c>
      <c r="D47" s="57" t="e">
        <f>+#REF!</f>
        <v>#REF!</v>
      </c>
      <c r="E47" s="58">
        <f ca="1" t="shared" si="15"/>
        <v>0</v>
      </c>
      <c r="F47" s="59">
        <f ca="1" t="shared" si="9"/>
        <v>0</v>
      </c>
      <c r="G47" s="60">
        <f ca="1">+GETPIVOTDATA("TNG4",'ngaigiao (2016)'!$A$3,"MA_HT","DTS","MA_QH","LUC")</f>
        <v>0</v>
      </c>
      <c r="H47" s="60">
        <f ca="1">+GETPIVOTDATA("TNG4",'ngaigiao (2016)'!$A$3,"MA_HT","DTS","MA_QH","LUK")</f>
        <v>0</v>
      </c>
      <c r="I47" s="60">
        <f ca="1">+GETPIVOTDATA("TNG4",'ngaigiao (2016)'!$A$3,"MA_HT","DTS","MA_QH","LUN")</f>
        <v>0</v>
      </c>
      <c r="J47" s="60">
        <f ca="1">+GETPIVOTDATA("TNG4",'ngaigiao (2016)'!$A$3,"MA_HT","DTS","MA_QH","HNK")</f>
        <v>0</v>
      </c>
      <c r="K47" s="60">
        <f ca="1">+GETPIVOTDATA("TNG4",'ngaigiao (2016)'!$A$3,"MA_HT","DTS","MA_QH","CLN")</f>
        <v>0</v>
      </c>
      <c r="L47" s="60">
        <f ca="1">+GETPIVOTDATA("TNG4",'ngaigiao (2016)'!$A$3,"MA_HT","DTS","MA_QH","RSX")</f>
        <v>0</v>
      </c>
      <c r="M47" s="60">
        <f ca="1">+GETPIVOTDATA("TNG4",'ngaigiao (2016)'!$A$3,"MA_HT","DTS","MA_QH","RPH")</f>
        <v>0</v>
      </c>
      <c r="N47" s="60">
        <f ca="1">+GETPIVOTDATA("TNG4",'ngaigiao (2016)'!$A$3,"MA_HT","DTS","MA_QH","RDD")</f>
        <v>0</v>
      </c>
      <c r="O47" s="60">
        <f ca="1">+GETPIVOTDATA("TNG4",'ngaigiao (2016)'!$A$3,"MA_HT","DTS","MA_QH","NTS")</f>
        <v>0</v>
      </c>
      <c r="P47" s="60">
        <f ca="1">+GETPIVOTDATA("TNG4",'ngaigiao (2016)'!$A$3,"MA_HT","DTS","MA_QH","LMU")</f>
        <v>0</v>
      </c>
      <c r="Q47" s="60">
        <f ca="1">+GETPIVOTDATA("TNG4",'ngaigiao (2016)'!$A$3,"MA_HT","DTS","MA_QH","NKH")</f>
        <v>0</v>
      </c>
      <c r="R47" s="78">
        <f ca="1">SUM(S47:AA47,AN47:AS47,AU47:BD47)</f>
        <v>0</v>
      </c>
      <c r="S47" s="60">
        <f ca="1">+GETPIVOTDATA("TNG4",'ngaigiao (2016)'!$A$3,"MA_HT","DTS","MA_QH","CQP")</f>
        <v>0</v>
      </c>
      <c r="T47" s="60">
        <f ca="1">+GETPIVOTDATA("TNG4",'ngaigiao (2016)'!$A$3,"MA_HT","DTS","MA_QH","CAN")</f>
        <v>0</v>
      </c>
      <c r="U47" s="60">
        <f ca="1">+GETPIVOTDATA("TNG4",'ngaigiao (2016)'!$A$3,"MA_HT","DTS","MA_QH","SKK")</f>
        <v>0</v>
      </c>
      <c r="V47" s="60">
        <f ca="1">+GETPIVOTDATA("TNG4",'ngaigiao (2016)'!$A$3,"MA_HT","DTS","MA_QH","SKT")</f>
        <v>0</v>
      </c>
      <c r="W47" s="60">
        <f ca="1">+GETPIVOTDATA("TNG4",'ngaigiao (2016)'!$A$3,"MA_HT","DTS","MA_QH","SKN")</f>
        <v>0</v>
      </c>
      <c r="X47" s="60">
        <f ca="1">+GETPIVOTDATA("TNG4",'ngaigiao (2016)'!$A$3,"MA_HT","DTS","MA_QH","TMD")</f>
        <v>0</v>
      </c>
      <c r="Y47" s="60">
        <f ca="1">+GETPIVOTDATA("TNG4",'ngaigiao (2016)'!$A$3,"MA_HT","DTS","MA_QH","SKC")</f>
        <v>0</v>
      </c>
      <c r="Z47" s="60">
        <f ca="1">+GETPIVOTDATA("TNG4",'ngaigiao (2016)'!$A$3,"MA_HT","DTS","MA_QH","SKS")</f>
        <v>0</v>
      </c>
      <c r="AA47" s="59">
        <f ca="1" t="shared" si="21"/>
        <v>0</v>
      </c>
      <c r="AB47" s="60">
        <f ca="1">+GETPIVOTDATA("TNG4",'ngaigiao (2016)'!$A$3,"MA_HT","DTS","MA_QH","DGT")</f>
        <v>0</v>
      </c>
      <c r="AC47" s="60">
        <f ca="1">+GETPIVOTDATA("TNG4",'ngaigiao (2016)'!$A$3,"MA_HT","DTS","MA_QH","DTL")</f>
        <v>0</v>
      </c>
      <c r="AD47" s="60">
        <f ca="1">+GETPIVOTDATA("TNG4",'ngaigiao (2016)'!$A$3,"MA_HT","DTS","MA_QH","DNL")</f>
        <v>0</v>
      </c>
      <c r="AE47" s="60">
        <f ca="1">+GETPIVOTDATA("TNG4",'ngaigiao (2016)'!$A$3,"MA_HT","DTS","MA_QH","DBV")</f>
        <v>0</v>
      </c>
      <c r="AF47" s="60">
        <f ca="1">+GETPIVOTDATA("TNG4",'ngaigiao (2016)'!$A$3,"MA_HT","DTS","MA_QH","DVH")</f>
        <v>0</v>
      </c>
      <c r="AG47" s="60">
        <f ca="1">+GETPIVOTDATA("TNG4",'ngaigiao (2016)'!$A$3,"MA_HT","DTS","MA_QH","DYT")</f>
        <v>0</v>
      </c>
      <c r="AH47" s="60">
        <f ca="1">+GETPIVOTDATA("TNG4",'ngaigiao (2016)'!$A$3,"MA_HT","DTS","MA_QH","DGD")</f>
        <v>0</v>
      </c>
      <c r="AI47" s="60">
        <f ca="1">+GETPIVOTDATA("TNG4",'ngaigiao (2016)'!$A$3,"MA_HT","DTS","MA_QH","DTT")</f>
        <v>0</v>
      </c>
      <c r="AJ47" s="60">
        <f ca="1">+GETPIVOTDATA("TNG4",'ngaigiao (2016)'!$A$3,"MA_HT","DTS","MA_QH","NCK")</f>
        <v>0</v>
      </c>
      <c r="AK47" s="60">
        <f ca="1">+GETPIVOTDATA("TNG4",'ngaigiao (2016)'!$A$3,"MA_HT","DTS","MA_QH","DXH")</f>
        <v>0</v>
      </c>
      <c r="AL47" s="60">
        <f ca="1">+GETPIVOTDATA("TNG4",'ngaigiao (2016)'!$A$3,"MA_HT","DTS","MA_QH","DCH")</f>
        <v>0</v>
      </c>
      <c r="AM47" s="60">
        <f ca="1">+GETPIVOTDATA("TNG4",'ngaigiao (2016)'!$A$3,"MA_HT","DTS","MA_QH","DKG")</f>
        <v>0</v>
      </c>
      <c r="AN47" s="60">
        <f ca="1">+GETPIVOTDATA("TNG4",'ngaigiao (2016)'!$A$3,"MA_HT","DTS","MA_QH","DDT")</f>
        <v>0</v>
      </c>
      <c r="AO47" s="60">
        <f ca="1">+GETPIVOTDATA("TNG4",'ngaigiao (2016)'!$A$3,"MA_HT","DTS","MA_QH","DDL")</f>
        <v>0</v>
      </c>
      <c r="AP47" s="60">
        <f ca="1">+GETPIVOTDATA("TNG4",'ngaigiao (2016)'!$A$3,"MA_HT","DTS","MA_QH","DRA")</f>
        <v>0</v>
      </c>
      <c r="AQ47" s="60">
        <f ca="1">+GETPIVOTDATA("TNG4",'ngaigiao (2016)'!$A$3,"MA_HT","DTS","MA_QH","ONT")</f>
        <v>0</v>
      </c>
      <c r="AR47" s="60">
        <f ca="1">+GETPIVOTDATA("TNG4",'ngaigiao (2016)'!$A$3,"MA_HT","DTS","MA_QH","ODT")</f>
        <v>0</v>
      </c>
      <c r="AS47" s="60">
        <f ca="1">+GETPIVOTDATA("TNG4",'ngaigiao (2016)'!$A$3,"MA_HT","DTS","MA_QH","TSC")</f>
        <v>0</v>
      </c>
      <c r="AT47" s="81" t="e">
        <f ca="1">$D47-$BF47</f>
        <v>#REF!</v>
      </c>
      <c r="AU47" s="60">
        <f ca="1">+GETPIVOTDATA("TNG4",'ngaigiao (2016)'!$A$3,"MA_HT","DTS","MA_QH","DNG")</f>
        <v>0</v>
      </c>
      <c r="AV47" s="60">
        <f ca="1">+GETPIVOTDATA("TNG4",'ngaigiao (2016)'!$A$3,"MA_HT","DTS","MA_QH","TON")</f>
        <v>0</v>
      </c>
      <c r="AW47" s="60">
        <f ca="1">+GETPIVOTDATA("TNG4",'ngaigiao (2016)'!$A$3,"MA_HT","DTS","MA_QH","NTD")</f>
        <v>0</v>
      </c>
      <c r="AX47" s="60">
        <f ca="1">+GETPIVOTDATA("TNG4",'ngaigiao (2016)'!$A$3,"MA_HT","DTS","MA_QH","SKX")</f>
        <v>0</v>
      </c>
      <c r="AY47" s="60">
        <f ca="1">+GETPIVOTDATA("TNG4",'ngaigiao (2016)'!$A$3,"MA_HT","DTS","MA_QH","DSH")</f>
        <v>0</v>
      </c>
      <c r="AZ47" s="60">
        <f ca="1">+GETPIVOTDATA("TNG4",'ngaigiao (2016)'!$A$3,"MA_HT","DTS","MA_QH","DKV")</f>
        <v>0</v>
      </c>
      <c r="BA47" s="90">
        <f ca="1">+GETPIVOTDATA("TNG4",'ngaigiao (2016)'!$A$3,"MA_HT","DTS","MA_QH","TIN")</f>
        <v>0</v>
      </c>
      <c r="BB47" s="91">
        <f ca="1">+GETPIVOTDATA("TNG4",'ngaigiao (2016)'!$A$3,"MA_HT","DTS","MA_QH","SON")</f>
        <v>0</v>
      </c>
      <c r="BC47" s="91">
        <f ca="1">+GETPIVOTDATA("TNG4",'ngaigiao (2016)'!$A$3,"MA_HT","DTS","MA_QH","MNC")</f>
        <v>0</v>
      </c>
      <c r="BD47" s="60">
        <f ca="1">+GETPIVOTDATA("TNG4",'ngaigiao (2016)'!$A$3,"MA_HT","DTS","MA_QH","PNK")</f>
        <v>0</v>
      </c>
      <c r="BE47" s="111">
        <f ca="1">+GETPIVOTDATA("TNG4",'ngaigiao (2016)'!$A$3,"MA_HT","DTS","MA_QH","CSD")</f>
        <v>0</v>
      </c>
      <c r="BF47" s="112">
        <f ca="1" t="shared" si="13"/>
        <v>0</v>
      </c>
      <c r="BG47" s="113">
        <f ca="1">AT$59-$BF47</f>
        <v>0</v>
      </c>
      <c r="BH47" s="57" t="e">
        <f ca="1" t="shared" si="14"/>
        <v>#REF!</v>
      </c>
      <c r="BI47" s="98"/>
      <c r="BJ47" s="98"/>
      <c r="BK47" s="107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</row>
    <row r="48" s="2" customFormat="1" ht="15.75" customHeight="1" spans="1:79">
      <c r="A48" s="39" t="s">
        <v>8414</v>
      </c>
      <c r="B48" s="53" t="s">
        <v>8415</v>
      </c>
      <c r="C48" s="40" t="s">
        <v>8290</v>
      </c>
      <c r="D48" s="41" t="e">
        <f>+#REF!</f>
        <v>#REF!</v>
      </c>
      <c r="E48" s="42">
        <f ca="1" t="shared" si="15"/>
        <v>0</v>
      </c>
      <c r="F48" s="52">
        <f ca="1" t="shared" si="9"/>
        <v>0</v>
      </c>
      <c r="G48" s="22">
        <f ca="1">+GETPIVOTDATA("TNG4",'ngaigiao (2016)'!$A$3,"MA_HT","DNG","MA_QH","LUC")</f>
        <v>0</v>
      </c>
      <c r="H48" s="22">
        <f ca="1">+GETPIVOTDATA("TNG4",'ngaigiao (2016)'!$A$3,"MA_HT","DNG","MA_QH","LUK")</f>
        <v>0</v>
      </c>
      <c r="I48" s="22">
        <f ca="1">+GETPIVOTDATA("TNG4",'ngaigiao (2016)'!$A$3,"MA_HT","DNG","MA_QH","LUN")</f>
        <v>0</v>
      </c>
      <c r="J48" s="22">
        <f ca="1">+GETPIVOTDATA("TNG4",'ngaigiao (2016)'!$A$3,"MA_HT","DNG","MA_QH","HNK")</f>
        <v>0</v>
      </c>
      <c r="K48" s="22">
        <f ca="1">+GETPIVOTDATA("TNG4",'ngaigiao (2016)'!$A$3,"MA_HT","DNG","MA_QH","CLN")</f>
        <v>0</v>
      </c>
      <c r="L48" s="22">
        <f ca="1">+GETPIVOTDATA("TNG4",'ngaigiao (2016)'!$A$3,"MA_HT","DNG","MA_QH","RSX")</f>
        <v>0</v>
      </c>
      <c r="M48" s="22">
        <f ca="1">+GETPIVOTDATA("TNG4",'ngaigiao (2016)'!$A$3,"MA_HT","DNG","MA_QH","RPH")</f>
        <v>0</v>
      </c>
      <c r="N48" s="22">
        <f ca="1">+GETPIVOTDATA("TNG4",'ngaigiao (2016)'!$A$3,"MA_HT","DNG","MA_QH","RDD")</f>
        <v>0</v>
      </c>
      <c r="O48" s="22">
        <f ca="1">+GETPIVOTDATA("TNG4",'ngaigiao (2016)'!$A$3,"MA_HT","DNG","MA_QH","NTS")</f>
        <v>0</v>
      </c>
      <c r="P48" s="22">
        <f ca="1">+GETPIVOTDATA("TNG4",'ngaigiao (2016)'!$A$3,"MA_HT","DNG","MA_QH","LMU")</f>
        <v>0</v>
      </c>
      <c r="Q48" s="22">
        <f ca="1">+GETPIVOTDATA("TNG4",'ngaigiao (2016)'!$A$3,"MA_HT","DNG","MA_QH","NKH")</f>
        <v>0</v>
      </c>
      <c r="R48" s="79">
        <f ca="1">SUM(S48:AA48,AN48:AT48,AV48:BD48)</f>
        <v>0</v>
      </c>
      <c r="S48" s="22">
        <f ca="1">+GETPIVOTDATA("TNG4",'ngaigiao (2016)'!$A$3,"MA_HT","DNG","MA_QH","CQP")</f>
        <v>0</v>
      </c>
      <c r="T48" s="22">
        <f ca="1">+GETPIVOTDATA("TNG4",'ngaigiao (2016)'!$A$3,"MA_HT","DNG","MA_QH","CAN")</f>
        <v>0</v>
      </c>
      <c r="U48" s="22">
        <f ca="1">+GETPIVOTDATA("TNG4",'ngaigiao (2016)'!$A$3,"MA_HT","DNG","MA_QH","SKK")</f>
        <v>0</v>
      </c>
      <c r="V48" s="22">
        <f ca="1">+GETPIVOTDATA("TNG4",'ngaigiao (2016)'!$A$3,"MA_HT","DNG","MA_QH","SKT")</f>
        <v>0</v>
      </c>
      <c r="W48" s="22">
        <f ca="1">+GETPIVOTDATA("TNG4",'ngaigiao (2016)'!$A$3,"MA_HT","DNG","MA_QH","SKN")</f>
        <v>0</v>
      </c>
      <c r="X48" s="22">
        <f ca="1">+GETPIVOTDATA("TNG4",'ngaigiao (2016)'!$A$3,"MA_HT","DNG","MA_QH","TMD")</f>
        <v>0</v>
      </c>
      <c r="Y48" s="22">
        <f ca="1">+GETPIVOTDATA("TNG4",'ngaigiao (2016)'!$A$3,"MA_HT","DNG","MA_QH","SKC")</f>
        <v>0</v>
      </c>
      <c r="Z48" s="22">
        <f ca="1">+GETPIVOTDATA("TNG4",'ngaigiao (2016)'!$A$3,"MA_HT","DNG","MA_QH","SKS")</f>
        <v>0</v>
      </c>
      <c r="AA48" s="52">
        <f ca="1" t="shared" si="21"/>
        <v>0</v>
      </c>
      <c r="AB48" s="22">
        <f ca="1">+GETPIVOTDATA("TNG4",'ngaigiao (2016)'!$A$3,"MA_HT","DNG","MA_QH","DGT")</f>
        <v>0</v>
      </c>
      <c r="AC48" s="22">
        <f ca="1">+GETPIVOTDATA("TNG4",'ngaigiao (2016)'!$A$3,"MA_HT","DNG","MA_QH","DTL")</f>
        <v>0</v>
      </c>
      <c r="AD48" s="22">
        <f ca="1">+GETPIVOTDATA("TNG4",'ngaigiao (2016)'!$A$3,"MA_HT","DNG","MA_QH","DNL")</f>
        <v>0</v>
      </c>
      <c r="AE48" s="22">
        <f ca="1">+GETPIVOTDATA("TNG4",'ngaigiao (2016)'!$A$3,"MA_HT","DNG","MA_QH","DBV")</f>
        <v>0</v>
      </c>
      <c r="AF48" s="22">
        <f ca="1">+GETPIVOTDATA("TNG4",'ngaigiao (2016)'!$A$3,"MA_HT","DNG","MA_QH","DVH")</f>
        <v>0</v>
      </c>
      <c r="AG48" s="22">
        <f ca="1">+GETPIVOTDATA("TNG4",'ngaigiao (2016)'!$A$3,"MA_HT","DNG","MA_QH","DYT")</f>
        <v>0</v>
      </c>
      <c r="AH48" s="22">
        <f ca="1">+GETPIVOTDATA("TNG4",'ngaigiao (2016)'!$A$3,"MA_HT","DNG","MA_QH","DGD")</f>
        <v>0</v>
      </c>
      <c r="AI48" s="22">
        <f ca="1">+GETPIVOTDATA("TNG4",'ngaigiao (2016)'!$A$3,"MA_HT","DNG","MA_QH","DTT")</f>
        <v>0</v>
      </c>
      <c r="AJ48" s="22">
        <f ca="1">+GETPIVOTDATA("TNG4",'ngaigiao (2016)'!$A$3,"MA_HT","DNG","MA_QH","NCK")</f>
        <v>0</v>
      </c>
      <c r="AK48" s="22">
        <f ca="1">+GETPIVOTDATA("TNG4",'ngaigiao (2016)'!$A$3,"MA_HT","DNG","MA_QH","DXH")</f>
        <v>0</v>
      </c>
      <c r="AL48" s="22">
        <f ca="1">+GETPIVOTDATA("TNG4",'ngaigiao (2016)'!$A$3,"MA_HT","DNG","MA_QH","DCH")</f>
        <v>0</v>
      </c>
      <c r="AM48" s="22">
        <f ca="1">+GETPIVOTDATA("TNG4",'ngaigiao (2016)'!$A$3,"MA_HT","DNG","MA_QH","DKG")</f>
        <v>0</v>
      </c>
      <c r="AN48" s="22">
        <f ca="1">+GETPIVOTDATA("TNG4",'ngaigiao (2016)'!$A$3,"MA_HT","DNG","MA_QH","DDT")</f>
        <v>0</v>
      </c>
      <c r="AO48" s="22">
        <f ca="1">+GETPIVOTDATA("TNG4",'ngaigiao (2016)'!$A$3,"MA_HT","DNG","MA_QH","DDL")</f>
        <v>0</v>
      </c>
      <c r="AP48" s="22">
        <f ca="1">+GETPIVOTDATA("TNG4",'ngaigiao (2016)'!$A$3,"MA_HT","DNG","MA_QH","DRA")</f>
        <v>0</v>
      </c>
      <c r="AQ48" s="22">
        <f ca="1">+GETPIVOTDATA("TNG4",'ngaigiao (2016)'!$A$3,"MA_HT","DNG","MA_QH","ONT")</f>
        <v>0</v>
      </c>
      <c r="AR48" s="22">
        <f ca="1">+GETPIVOTDATA("TNG4",'ngaigiao (2016)'!$A$3,"MA_HT","DNG","MA_QH","ODT")</f>
        <v>0</v>
      </c>
      <c r="AS48" s="22">
        <f ca="1">+GETPIVOTDATA("TNG4",'ngaigiao (2016)'!$A$3,"MA_HT","DNG","MA_QH","TSC")</f>
        <v>0</v>
      </c>
      <c r="AT48" s="22">
        <f ca="1">+GETPIVOTDATA("TNG4",'ngaigiao (2016)'!$A$3,"MA_HT","DNG","MA_QH","DTS")</f>
        <v>0</v>
      </c>
      <c r="AU48" s="43" t="e">
        <f ca="1">$D48-$BF48</f>
        <v>#REF!</v>
      </c>
      <c r="AV48" s="22">
        <f ca="1">+GETPIVOTDATA("TNG4",'ngaigiao (2016)'!$A$3,"MA_HT","DNG","MA_QH","TON")</f>
        <v>0</v>
      </c>
      <c r="AW48" s="22">
        <f ca="1">+GETPIVOTDATA("TNG4",'ngaigiao (2016)'!$A$3,"MA_HT","DNG","MA_QH","NTD")</f>
        <v>0</v>
      </c>
      <c r="AX48" s="22">
        <f ca="1">+GETPIVOTDATA("TNG4",'ngaigiao (2016)'!$A$3,"MA_HT","DNG","MA_QH","SKX")</f>
        <v>0</v>
      </c>
      <c r="AY48" s="22">
        <f ca="1">+GETPIVOTDATA("TNG4",'ngaigiao (2016)'!$A$3,"MA_HT","DNG","MA_QH","DSH")</f>
        <v>0</v>
      </c>
      <c r="AZ48" s="22">
        <f ca="1">+GETPIVOTDATA("TNG4",'ngaigiao (2016)'!$A$3,"MA_HT","DNG","MA_QH","DKV")</f>
        <v>0</v>
      </c>
      <c r="BA48" s="89">
        <f ca="1">+GETPIVOTDATA("TNG4",'ngaigiao (2016)'!$A$3,"MA_HT","DNG","MA_QH","TIN")</f>
        <v>0</v>
      </c>
      <c r="BB48" s="50">
        <f ca="1">+GETPIVOTDATA("TNG4",'ngaigiao (2016)'!$A$3,"MA_HT","DNG","MA_QH","SON")</f>
        <v>0</v>
      </c>
      <c r="BC48" s="50">
        <f ca="1">+GETPIVOTDATA("TNG4",'ngaigiao (2016)'!$A$3,"MA_HT","DNG","MA_QH","MNC")</f>
        <v>0</v>
      </c>
      <c r="BD48" s="22">
        <f ca="1">+GETPIVOTDATA("TNG4",'ngaigiao (2016)'!$A$3,"MA_HT","DNG","MA_QH","PNK")</f>
        <v>0</v>
      </c>
      <c r="BE48" s="71">
        <f ca="1">+GETPIVOTDATA("TNG4",'ngaigiao (2016)'!$A$3,"MA_HT","DNG","MA_QH","CSD")</f>
        <v>0</v>
      </c>
      <c r="BF48" s="74">
        <f ca="1" t="shared" si="13"/>
        <v>0</v>
      </c>
      <c r="BG48" s="101">
        <f ca="1">AU$59-$BF48</f>
        <v>0</v>
      </c>
      <c r="BH48" s="41" t="e">
        <f ca="1" t="shared" si="14"/>
        <v>#REF!</v>
      </c>
      <c r="BI48" s="98"/>
      <c r="BJ48" s="98" t="e">
        <f>#REF!</f>
        <v>#REF!</v>
      </c>
      <c r="BK48" s="107" t="e">
        <f ca="1">BH48-BJ48</f>
        <v>#REF!</v>
      </c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</row>
    <row r="49" s="2" customFormat="1" ht="15.75" customHeight="1" spans="1:79">
      <c r="A49" s="39" t="s">
        <v>8416</v>
      </c>
      <c r="B49" s="53" t="s">
        <v>8417</v>
      </c>
      <c r="C49" s="40" t="s">
        <v>324</v>
      </c>
      <c r="D49" s="41" t="e">
        <f>+#REF!</f>
        <v>#REF!</v>
      </c>
      <c r="E49" s="42">
        <f ca="1" t="shared" si="15"/>
        <v>0</v>
      </c>
      <c r="F49" s="52">
        <f ca="1" t="shared" si="9"/>
        <v>0</v>
      </c>
      <c r="G49" s="22">
        <f ca="1">+GETPIVOTDATA("TNG4",'ngaigiao (2016)'!$A$3,"MA_HT","TON","MA_QH","LUC")</f>
        <v>0</v>
      </c>
      <c r="H49" s="22">
        <f ca="1">+GETPIVOTDATA("TNG4",'ngaigiao (2016)'!$A$3,"MA_HT","TON","MA_QH","LUK")</f>
        <v>0</v>
      </c>
      <c r="I49" s="22">
        <f ca="1">+GETPIVOTDATA("TNG4",'ngaigiao (2016)'!$A$3,"MA_HT","TON","MA_QH","LUN")</f>
        <v>0</v>
      </c>
      <c r="J49" s="22">
        <f ca="1">+GETPIVOTDATA("TNG4",'ngaigiao (2016)'!$A$3,"MA_HT","TON","MA_QH","HNK")</f>
        <v>0</v>
      </c>
      <c r="K49" s="22">
        <f ca="1">+GETPIVOTDATA("TNG4",'ngaigiao (2016)'!$A$3,"MA_HT","TON","MA_QH","CLN")</f>
        <v>0</v>
      </c>
      <c r="L49" s="22">
        <f ca="1">+GETPIVOTDATA("TNG4",'ngaigiao (2016)'!$A$3,"MA_HT","TON","MA_QH","RSX")</f>
        <v>0</v>
      </c>
      <c r="M49" s="22">
        <f ca="1">+GETPIVOTDATA("TNG4",'ngaigiao (2016)'!$A$3,"MA_HT","TON","MA_QH","RPH")</f>
        <v>0</v>
      </c>
      <c r="N49" s="22">
        <f ca="1">+GETPIVOTDATA("TNG4",'ngaigiao (2016)'!$A$3,"MA_HT","TON","MA_QH","RDD")</f>
        <v>0</v>
      </c>
      <c r="O49" s="22">
        <f ca="1">+GETPIVOTDATA("TNG4",'ngaigiao (2016)'!$A$3,"MA_HT","TON","MA_QH","NTS")</f>
        <v>0</v>
      </c>
      <c r="P49" s="22">
        <f ca="1">+GETPIVOTDATA("TNG4",'ngaigiao (2016)'!$A$3,"MA_HT","TON","MA_QH","LMU")</f>
        <v>0</v>
      </c>
      <c r="Q49" s="22">
        <f ca="1">+GETPIVOTDATA("TNG4",'ngaigiao (2016)'!$A$3,"MA_HT","TON","MA_QH","NKH")</f>
        <v>0</v>
      </c>
      <c r="R49" s="79">
        <f ca="1">SUM(S49:AA49,AN49:AU49,AW49:BD49)</f>
        <v>0</v>
      </c>
      <c r="S49" s="22">
        <f ca="1">+GETPIVOTDATA("TNG4",'ngaigiao (2016)'!$A$3,"MA_HT","TON","MA_QH","CQP")</f>
        <v>0</v>
      </c>
      <c r="T49" s="22">
        <f ca="1">+GETPIVOTDATA("TNG4",'ngaigiao (2016)'!$A$3,"MA_HT","TON","MA_QH","CAN")</f>
        <v>0</v>
      </c>
      <c r="U49" s="22">
        <f ca="1">+GETPIVOTDATA("TNG4",'ngaigiao (2016)'!$A$3,"MA_HT","TON","MA_QH","SKK")</f>
        <v>0</v>
      </c>
      <c r="V49" s="22">
        <f ca="1">+GETPIVOTDATA("TNG4",'ngaigiao (2016)'!$A$3,"MA_HT","TON","MA_QH","SKT")</f>
        <v>0</v>
      </c>
      <c r="W49" s="22">
        <f ca="1">+GETPIVOTDATA("TNG4",'ngaigiao (2016)'!$A$3,"MA_HT","TON","MA_QH","SKN")</f>
        <v>0</v>
      </c>
      <c r="X49" s="22">
        <f ca="1">+GETPIVOTDATA("TNG4",'ngaigiao (2016)'!$A$3,"MA_HT","TON","MA_QH","TMD")</f>
        <v>0</v>
      </c>
      <c r="Y49" s="22">
        <f ca="1">+GETPIVOTDATA("TNG4",'ngaigiao (2016)'!$A$3,"MA_HT","TON","MA_QH","SKC")</f>
        <v>0</v>
      </c>
      <c r="Z49" s="22">
        <f ca="1">+GETPIVOTDATA("TNG4",'ngaigiao (2016)'!$A$3,"MA_HT","TON","MA_QH","SKS")</f>
        <v>0</v>
      </c>
      <c r="AA49" s="52">
        <f ca="1" t="shared" si="21"/>
        <v>0</v>
      </c>
      <c r="AB49" s="22">
        <f ca="1">+GETPIVOTDATA("TNG4",'ngaigiao (2016)'!$A$3,"MA_HT","TON","MA_QH","DGT")</f>
        <v>0</v>
      </c>
      <c r="AC49" s="22">
        <f ca="1">+GETPIVOTDATA("TNG4",'ngaigiao (2016)'!$A$3,"MA_HT","TON","MA_QH","DTL")</f>
        <v>0</v>
      </c>
      <c r="AD49" s="22">
        <f ca="1">+GETPIVOTDATA("TNG4",'ngaigiao (2016)'!$A$3,"MA_HT","TON","MA_QH","DNL")</f>
        <v>0</v>
      </c>
      <c r="AE49" s="22">
        <f ca="1">+GETPIVOTDATA("TNG4",'ngaigiao (2016)'!$A$3,"MA_HT","TON","MA_QH","DBV")</f>
        <v>0</v>
      </c>
      <c r="AF49" s="22">
        <f ca="1">+GETPIVOTDATA("TNG4",'ngaigiao (2016)'!$A$3,"MA_HT","TON","MA_QH","DVH")</f>
        <v>0</v>
      </c>
      <c r="AG49" s="22">
        <f ca="1">+GETPIVOTDATA("TNG4",'ngaigiao (2016)'!$A$3,"MA_HT","TON","MA_QH","DYT")</f>
        <v>0</v>
      </c>
      <c r="AH49" s="22">
        <f ca="1">+GETPIVOTDATA("TNG4",'ngaigiao (2016)'!$A$3,"MA_HT","TON","MA_QH","DGD")</f>
        <v>0</v>
      </c>
      <c r="AI49" s="22">
        <f ca="1">+GETPIVOTDATA("TNG4",'ngaigiao (2016)'!$A$3,"MA_HT","TON","MA_QH","DTT")</f>
        <v>0</v>
      </c>
      <c r="AJ49" s="22">
        <f ca="1">+GETPIVOTDATA("TNG4",'ngaigiao (2016)'!$A$3,"MA_HT","TON","MA_QH","NCK")</f>
        <v>0</v>
      </c>
      <c r="AK49" s="22">
        <f ca="1">+GETPIVOTDATA("TNG4",'ngaigiao (2016)'!$A$3,"MA_HT","TON","MA_QH","DXH")</f>
        <v>0</v>
      </c>
      <c r="AL49" s="22">
        <f ca="1">+GETPIVOTDATA("TNG4",'ngaigiao (2016)'!$A$3,"MA_HT","TON","MA_QH","DCH")</f>
        <v>0</v>
      </c>
      <c r="AM49" s="22">
        <f ca="1">+GETPIVOTDATA("TNG4",'ngaigiao (2016)'!$A$3,"MA_HT","TON","MA_QH","DKG")</f>
        <v>0</v>
      </c>
      <c r="AN49" s="22">
        <f ca="1">+GETPIVOTDATA("TNG4",'ngaigiao (2016)'!$A$3,"MA_HT","TON","MA_QH","DDT")</f>
        <v>0</v>
      </c>
      <c r="AO49" s="22">
        <f ca="1">+GETPIVOTDATA("TNG4",'ngaigiao (2016)'!$A$3,"MA_HT","TON","MA_QH","DDL")</f>
        <v>0</v>
      </c>
      <c r="AP49" s="22">
        <f ca="1">+GETPIVOTDATA("TNG4",'ngaigiao (2016)'!$A$3,"MA_HT","TON","MA_QH","DRA")</f>
        <v>0</v>
      </c>
      <c r="AQ49" s="22">
        <f ca="1">+GETPIVOTDATA("TNG4",'ngaigiao (2016)'!$A$3,"MA_HT","TON","MA_QH","ONT")</f>
        <v>0</v>
      </c>
      <c r="AR49" s="22">
        <f ca="1">+GETPIVOTDATA("TNG4",'ngaigiao (2016)'!$A$3,"MA_HT","TON","MA_QH","ODT")</f>
        <v>0</v>
      </c>
      <c r="AS49" s="22">
        <f ca="1">+GETPIVOTDATA("TNG4",'ngaigiao (2016)'!$A$3,"MA_HT","TON","MA_QH","TSC")</f>
        <v>0</v>
      </c>
      <c r="AT49" s="22">
        <f ca="1">+GETPIVOTDATA("TNG4",'ngaigiao (2016)'!$A$3,"MA_HT","TON","MA_QH","DTS")</f>
        <v>0</v>
      </c>
      <c r="AU49" s="22">
        <f ca="1">+GETPIVOTDATA("TNG4",'ngaigiao (2016)'!$A$3,"MA_HT","TON","MA_QH","DNG")</f>
        <v>0</v>
      </c>
      <c r="AV49" s="43" t="e">
        <f ca="1">$D49-$BF49</f>
        <v>#REF!</v>
      </c>
      <c r="AW49" s="22">
        <f ca="1">+GETPIVOTDATA("TNG4",'ngaigiao (2016)'!$A$3,"MA_HT","TON","MA_QH","NTD")</f>
        <v>0</v>
      </c>
      <c r="AX49" s="22">
        <f ca="1">+GETPIVOTDATA("TNG4",'ngaigiao (2016)'!$A$3,"MA_HT","TON","MA_QH","SKX")</f>
        <v>0</v>
      </c>
      <c r="AY49" s="22">
        <f ca="1">+GETPIVOTDATA("TNG4",'ngaigiao (2016)'!$A$3,"MA_HT","TON","MA_QH","DSH")</f>
        <v>0</v>
      </c>
      <c r="AZ49" s="22">
        <f ca="1">+GETPIVOTDATA("TNG4",'ngaigiao (2016)'!$A$3,"MA_HT","TON","MA_QH","DKV")</f>
        <v>0</v>
      </c>
      <c r="BA49" s="89">
        <f ca="1">+GETPIVOTDATA("TNG4",'ngaigiao (2016)'!$A$3,"MA_HT","TON","MA_QH","TIN")</f>
        <v>0</v>
      </c>
      <c r="BB49" s="50">
        <f ca="1">+GETPIVOTDATA("TNG4",'ngaigiao (2016)'!$A$3,"MA_HT","TON","MA_QH","SON")</f>
        <v>0</v>
      </c>
      <c r="BC49" s="50">
        <f ca="1">+GETPIVOTDATA("TNG4",'ngaigiao (2016)'!$A$3,"MA_HT","TON","MA_QH","MNC")</f>
        <v>0</v>
      </c>
      <c r="BD49" s="22">
        <f ca="1">+GETPIVOTDATA("TNG4",'ngaigiao (2016)'!$A$3,"MA_HT","TON","MA_QH","PNK")</f>
        <v>0</v>
      </c>
      <c r="BE49" s="71">
        <f ca="1">+GETPIVOTDATA("TNG4",'ngaigiao (2016)'!$A$3,"MA_HT","TON","MA_QH","CSD")</f>
        <v>0</v>
      </c>
      <c r="BF49" s="74">
        <f ca="1" t="shared" si="13"/>
        <v>0</v>
      </c>
      <c r="BG49" s="101">
        <f ca="1">AV$59-$BF49</f>
        <v>0</v>
      </c>
      <c r="BH49" s="41" t="e">
        <f ca="1" t="shared" si="14"/>
        <v>#REF!</v>
      </c>
      <c r="BI49" s="98"/>
      <c r="BJ49" s="98" t="e">
        <f>#REF!</f>
        <v>#REF!</v>
      </c>
      <c r="BK49" s="107" t="e">
        <f ca="1">BH49-BJ49</f>
        <v>#REF!</v>
      </c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</row>
    <row r="50" s="2" customFormat="1" ht="15.75" customHeight="1" spans="1:79">
      <c r="A50" s="39" t="s">
        <v>8418</v>
      </c>
      <c r="B50" s="53" t="s">
        <v>8419</v>
      </c>
      <c r="C50" s="40" t="s">
        <v>182</v>
      </c>
      <c r="D50" s="41" t="e">
        <f>+#REF!</f>
        <v>#REF!</v>
      </c>
      <c r="E50" s="42">
        <f ca="1" t="shared" si="15"/>
        <v>0</v>
      </c>
      <c r="F50" s="52">
        <f ca="1" t="shared" si="9"/>
        <v>0</v>
      </c>
      <c r="G50" s="22">
        <f ca="1">+GETPIVOTDATA("TNG4",'ngaigiao (2016)'!$A$3,"MA_HT","NTD","MA_QH","LUC")</f>
        <v>0</v>
      </c>
      <c r="H50" s="22">
        <f ca="1">+GETPIVOTDATA("TNG4",'ngaigiao (2016)'!$A$3,"MA_HT","NTD","MA_QH","LUK")</f>
        <v>0</v>
      </c>
      <c r="I50" s="22">
        <f ca="1">+GETPIVOTDATA("TNG4",'ngaigiao (2016)'!$A$3,"MA_HT","NTD","MA_QH","LUN")</f>
        <v>0</v>
      </c>
      <c r="J50" s="22">
        <f ca="1">+GETPIVOTDATA("TNG4",'ngaigiao (2016)'!$A$3,"MA_HT","NTD","MA_QH","HNK")</f>
        <v>0</v>
      </c>
      <c r="K50" s="22">
        <f ca="1">+GETPIVOTDATA("TNG4",'ngaigiao (2016)'!$A$3,"MA_HT","NTD","MA_QH","CLN")</f>
        <v>0</v>
      </c>
      <c r="L50" s="22">
        <f ca="1">+GETPIVOTDATA("TNG4",'ngaigiao (2016)'!$A$3,"MA_HT","NTD","MA_QH","RSX")</f>
        <v>0</v>
      </c>
      <c r="M50" s="22">
        <f ca="1">+GETPIVOTDATA("TNG4",'ngaigiao (2016)'!$A$3,"MA_HT","NTD","MA_QH","RPH")</f>
        <v>0</v>
      </c>
      <c r="N50" s="22">
        <f ca="1">+GETPIVOTDATA("TNG4",'ngaigiao (2016)'!$A$3,"MA_HT","NTD","MA_QH","RDD")</f>
        <v>0</v>
      </c>
      <c r="O50" s="22">
        <f ca="1">+GETPIVOTDATA("TNG4",'ngaigiao (2016)'!$A$3,"MA_HT","NTD","MA_QH","NTS")</f>
        <v>0</v>
      </c>
      <c r="P50" s="22">
        <f ca="1">+GETPIVOTDATA("TNG4",'ngaigiao (2016)'!$A$3,"MA_HT","NTD","MA_QH","LMU")</f>
        <v>0</v>
      </c>
      <c r="Q50" s="22">
        <f ca="1">+GETPIVOTDATA("TNG4",'ngaigiao (2016)'!$A$3,"MA_HT","NTD","MA_QH","NKH")</f>
        <v>0</v>
      </c>
      <c r="R50" s="79">
        <f ca="1">SUM(S50:AA50,AN50:AV50,AX50:BD50)</f>
        <v>0</v>
      </c>
      <c r="S50" s="22">
        <f ca="1">+GETPIVOTDATA("TNG4",'ngaigiao (2016)'!$A$3,"MA_HT","NTD","MA_QH","CQP")</f>
        <v>0</v>
      </c>
      <c r="T50" s="22">
        <f ca="1">+GETPIVOTDATA("TNG4",'ngaigiao (2016)'!$A$3,"MA_HT","NTD","MA_QH","CAN")</f>
        <v>0</v>
      </c>
      <c r="U50" s="22">
        <f ca="1">+GETPIVOTDATA("TNG4",'ngaigiao (2016)'!$A$3,"MA_HT","NTD","MA_QH","SKK")</f>
        <v>0</v>
      </c>
      <c r="V50" s="22">
        <f ca="1">+GETPIVOTDATA("TNG4",'ngaigiao (2016)'!$A$3,"MA_HT","NTD","MA_QH","SKT")</f>
        <v>0</v>
      </c>
      <c r="W50" s="22">
        <f ca="1">+GETPIVOTDATA("TNG4",'ngaigiao (2016)'!$A$3,"MA_HT","NTD","MA_QH","SKN")</f>
        <v>0</v>
      </c>
      <c r="X50" s="22">
        <f ca="1">+GETPIVOTDATA("TNG4",'ngaigiao (2016)'!$A$3,"MA_HT","NTD","MA_QH","TMD")</f>
        <v>0</v>
      </c>
      <c r="Y50" s="22">
        <f ca="1">+GETPIVOTDATA("TNG4",'ngaigiao (2016)'!$A$3,"MA_HT","NTD","MA_QH","SKC")</f>
        <v>0</v>
      </c>
      <c r="Z50" s="22">
        <f ca="1">+GETPIVOTDATA("TNG4",'ngaigiao (2016)'!$A$3,"MA_HT","NTD","MA_QH","SKS")</f>
        <v>0</v>
      </c>
      <c r="AA50" s="52">
        <f ca="1" t="shared" si="21"/>
        <v>0</v>
      </c>
      <c r="AB50" s="22">
        <f ca="1">+GETPIVOTDATA("TNG4",'ngaigiao (2016)'!$A$3,"MA_HT","NTD","MA_QH","DGT")</f>
        <v>0</v>
      </c>
      <c r="AC50" s="22">
        <f ca="1">+GETPIVOTDATA("TNG4",'ngaigiao (2016)'!$A$3,"MA_HT","NTD","MA_QH","DTL")</f>
        <v>0</v>
      </c>
      <c r="AD50" s="22">
        <f ca="1">+GETPIVOTDATA("TNG4",'ngaigiao (2016)'!$A$3,"MA_HT","NTD","MA_QH","DNL")</f>
        <v>0</v>
      </c>
      <c r="AE50" s="22">
        <f ca="1">+GETPIVOTDATA("TNG4",'ngaigiao (2016)'!$A$3,"MA_HT","NTD","MA_QH","DBV")</f>
        <v>0</v>
      </c>
      <c r="AF50" s="22">
        <f ca="1">+GETPIVOTDATA("TNG4",'ngaigiao (2016)'!$A$3,"MA_HT","NTD","MA_QH","DVH")</f>
        <v>0</v>
      </c>
      <c r="AG50" s="22">
        <f ca="1">+GETPIVOTDATA("TNG4",'ngaigiao (2016)'!$A$3,"MA_HT","NTD","MA_QH","DYT")</f>
        <v>0</v>
      </c>
      <c r="AH50" s="22">
        <f ca="1">+GETPIVOTDATA("TNG4",'ngaigiao (2016)'!$A$3,"MA_HT","NTD","MA_QH","DGD")</f>
        <v>0</v>
      </c>
      <c r="AI50" s="22">
        <f ca="1">+GETPIVOTDATA("TNG4",'ngaigiao (2016)'!$A$3,"MA_HT","NTD","MA_QH","DTT")</f>
        <v>0</v>
      </c>
      <c r="AJ50" s="22">
        <f ca="1">+GETPIVOTDATA("TNG4",'ngaigiao (2016)'!$A$3,"MA_HT","NTD","MA_QH","NCK")</f>
        <v>0</v>
      </c>
      <c r="AK50" s="22">
        <f ca="1">+GETPIVOTDATA("TNG4",'ngaigiao (2016)'!$A$3,"MA_HT","NTD","MA_QH","DXH")</f>
        <v>0</v>
      </c>
      <c r="AL50" s="22">
        <f ca="1">+GETPIVOTDATA("TNG4",'ngaigiao (2016)'!$A$3,"MA_HT","NTD","MA_QH","DCH")</f>
        <v>0</v>
      </c>
      <c r="AM50" s="22">
        <f ca="1">+GETPIVOTDATA("TNG4",'ngaigiao (2016)'!$A$3,"MA_HT","NTD","MA_QH","DKG")</f>
        <v>0</v>
      </c>
      <c r="AN50" s="22">
        <f ca="1">+GETPIVOTDATA("TNG4",'ngaigiao (2016)'!$A$3,"MA_HT","NTD","MA_QH","DDT")</f>
        <v>0</v>
      </c>
      <c r="AO50" s="22">
        <f ca="1">+GETPIVOTDATA("TNG4",'ngaigiao (2016)'!$A$3,"MA_HT","NTD","MA_QH","DDL")</f>
        <v>0</v>
      </c>
      <c r="AP50" s="22">
        <f ca="1">+GETPIVOTDATA("TNG4",'ngaigiao (2016)'!$A$3,"MA_HT","NTD","MA_QH","DRA")</f>
        <v>0</v>
      </c>
      <c r="AQ50" s="22">
        <f ca="1">+GETPIVOTDATA("TNG4",'ngaigiao (2016)'!$A$3,"MA_HT","NTD","MA_QH","ONT")</f>
        <v>0</v>
      </c>
      <c r="AR50" s="22">
        <f ca="1">+GETPIVOTDATA("TNG4",'ngaigiao (2016)'!$A$3,"MA_HT","NTD","MA_QH","ODT")</f>
        <v>0</v>
      </c>
      <c r="AS50" s="22">
        <f ca="1">+GETPIVOTDATA("TNG4",'ngaigiao (2016)'!$A$3,"MA_HT","NTD","MA_QH","TSC")</f>
        <v>0</v>
      </c>
      <c r="AT50" s="22">
        <f ca="1">+GETPIVOTDATA("TNG4",'ngaigiao (2016)'!$A$3,"MA_HT","NTD","MA_QH","DTS")</f>
        <v>0</v>
      </c>
      <c r="AU50" s="22">
        <f ca="1">+GETPIVOTDATA("TNG4",'ngaigiao (2016)'!$A$3,"MA_HT","NTD","MA_QH","DNG")</f>
        <v>0</v>
      </c>
      <c r="AV50" s="22">
        <f ca="1">+GETPIVOTDATA("TNG4",'ngaigiao (2016)'!$A$3,"MA_HT","NTD","MA_QH","TON")</f>
        <v>0</v>
      </c>
      <c r="AW50" s="43" t="e">
        <f ca="1">$D50-$BF50</f>
        <v>#REF!</v>
      </c>
      <c r="AX50" s="22">
        <f ca="1">+GETPIVOTDATA("TNG4",'ngaigiao (2016)'!$A$3,"MA_HT","NTD","MA_QH","SKX")</f>
        <v>0</v>
      </c>
      <c r="AY50" s="22">
        <f ca="1">+GETPIVOTDATA("TNG4",'ngaigiao (2016)'!$A$3,"MA_HT","NTD","MA_QH","DSH")</f>
        <v>0</v>
      </c>
      <c r="AZ50" s="22">
        <f ca="1">+GETPIVOTDATA("TNG4",'ngaigiao (2016)'!$A$3,"MA_HT","NTD","MA_QH","DKV")</f>
        <v>0</v>
      </c>
      <c r="BA50" s="89">
        <f ca="1">+GETPIVOTDATA("TNG4",'ngaigiao (2016)'!$A$3,"MA_HT","NTD","MA_QH","TIN")</f>
        <v>0</v>
      </c>
      <c r="BB50" s="50">
        <f ca="1">+GETPIVOTDATA("TNG4",'ngaigiao (2016)'!$A$3,"MA_HT","NTD","MA_QH","SON")</f>
        <v>0</v>
      </c>
      <c r="BC50" s="50">
        <f ca="1">+GETPIVOTDATA("TNG4",'ngaigiao (2016)'!$A$3,"MA_HT","NTD","MA_QH","MNC")</f>
        <v>0</v>
      </c>
      <c r="BD50" s="22">
        <f ca="1">+GETPIVOTDATA("TNG4",'ngaigiao (2016)'!$A$3,"MA_HT","NTD","MA_QH","PNK")</f>
        <v>0</v>
      </c>
      <c r="BE50" s="71">
        <f ca="1">+GETPIVOTDATA("TNG4",'ngaigiao (2016)'!$A$3,"MA_HT","NTD","MA_QH","CSD")</f>
        <v>0</v>
      </c>
      <c r="BF50" s="74">
        <f ca="1" t="shared" si="13"/>
        <v>0</v>
      </c>
      <c r="BG50" s="101">
        <f ca="1">AW$59-$BF50</f>
        <v>0</v>
      </c>
      <c r="BH50" s="41" t="e">
        <f ca="1" t="shared" si="14"/>
        <v>#REF!</v>
      </c>
      <c r="BI50" s="98"/>
      <c r="BJ50" s="98"/>
      <c r="BK50" s="107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</row>
    <row r="51" s="2" customFormat="1" ht="15.75" customHeight="1" spans="1:79">
      <c r="A51" s="39" t="s">
        <v>8420</v>
      </c>
      <c r="B51" s="39" t="s">
        <v>8421</v>
      </c>
      <c r="C51" s="40" t="s">
        <v>236</v>
      </c>
      <c r="D51" s="41" t="e">
        <f>+#REF!</f>
        <v>#REF!</v>
      </c>
      <c r="E51" s="42">
        <f ca="1" t="shared" si="15"/>
        <v>0</v>
      </c>
      <c r="F51" s="52">
        <f ca="1" t="shared" si="9"/>
        <v>0</v>
      </c>
      <c r="G51" s="22">
        <f ca="1">+GETPIVOTDATA("TNG4",'ngaigiao (2016)'!$A$3,"MA_HT","SKX","MA_QH","LUC")</f>
        <v>0</v>
      </c>
      <c r="H51" s="22">
        <f ca="1">+GETPIVOTDATA("TNG4",'ngaigiao (2016)'!$A$3,"MA_HT","SKX","MA_QH","LUK")</f>
        <v>0</v>
      </c>
      <c r="I51" s="22">
        <f ca="1">+GETPIVOTDATA("TNG4",'ngaigiao (2016)'!$A$3,"MA_HT","SKX","MA_QH","LUN")</f>
        <v>0</v>
      </c>
      <c r="J51" s="22">
        <f ca="1">+GETPIVOTDATA("TNG4",'ngaigiao (2016)'!$A$3,"MA_HT","SKX","MA_QH","HNK")</f>
        <v>0</v>
      </c>
      <c r="K51" s="22">
        <f ca="1">+GETPIVOTDATA("TNG4",'ngaigiao (2016)'!$A$3,"MA_HT","SKX","MA_QH","CLN")</f>
        <v>0</v>
      </c>
      <c r="L51" s="22">
        <f ca="1">+GETPIVOTDATA("TNG4",'ngaigiao (2016)'!$A$3,"MA_HT","SKX","MA_QH","RSX")</f>
        <v>0</v>
      </c>
      <c r="M51" s="22">
        <f ca="1">+GETPIVOTDATA("TNG4",'ngaigiao (2016)'!$A$3,"MA_HT","SKX","MA_QH","RPH")</f>
        <v>0</v>
      </c>
      <c r="N51" s="22">
        <f ca="1">+GETPIVOTDATA("TNG4",'ngaigiao (2016)'!$A$3,"MA_HT","SKX","MA_QH","RDD")</f>
        <v>0</v>
      </c>
      <c r="O51" s="22">
        <f ca="1">+GETPIVOTDATA("TNG4",'ngaigiao (2016)'!$A$3,"MA_HT","SKX","MA_QH","NTS")</f>
        <v>0</v>
      </c>
      <c r="P51" s="22">
        <f ca="1">+GETPIVOTDATA("TNG4",'ngaigiao (2016)'!$A$3,"MA_HT","SKX","MA_QH","LMU")</f>
        <v>0</v>
      </c>
      <c r="Q51" s="22">
        <f ca="1">+GETPIVOTDATA("TNG4",'ngaigiao (2016)'!$A$3,"MA_HT","SKX","MA_QH","NKH")</f>
        <v>0</v>
      </c>
      <c r="R51" s="79">
        <f ca="1">SUM(S51:AA51,AN51:AW51,AY51:BD51)</f>
        <v>0</v>
      </c>
      <c r="S51" s="22">
        <f ca="1">+GETPIVOTDATA("TNG4",'ngaigiao (2016)'!$A$3,"MA_HT","SKX","MA_QH","CQP")</f>
        <v>0</v>
      </c>
      <c r="T51" s="22">
        <f ca="1">+GETPIVOTDATA("TNG4",'ngaigiao (2016)'!$A$3,"MA_HT","SKX","MA_QH","CAN")</f>
        <v>0</v>
      </c>
      <c r="U51" s="22">
        <f ca="1">+GETPIVOTDATA("TNG4",'ngaigiao (2016)'!$A$3,"MA_HT","SKX","MA_QH","SKK")</f>
        <v>0</v>
      </c>
      <c r="V51" s="22">
        <f ca="1">+GETPIVOTDATA("TNG4",'ngaigiao (2016)'!$A$3,"MA_HT","SKX","MA_QH","SKT")</f>
        <v>0</v>
      </c>
      <c r="W51" s="22">
        <f ca="1">+GETPIVOTDATA("TNG4",'ngaigiao (2016)'!$A$3,"MA_HT","SKX","MA_QH","SKN")</f>
        <v>0</v>
      </c>
      <c r="X51" s="22">
        <f ca="1">+GETPIVOTDATA("TNG4",'ngaigiao (2016)'!$A$3,"MA_HT","SKX","MA_QH","TMD")</f>
        <v>0</v>
      </c>
      <c r="Y51" s="22">
        <f ca="1">+GETPIVOTDATA("TNG4",'ngaigiao (2016)'!$A$3,"MA_HT","SKX","MA_QH","SKC")</f>
        <v>0</v>
      </c>
      <c r="Z51" s="22">
        <f ca="1">+GETPIVOTDATA("TNG4",'ngaigiao (2016)'!$A$3,"MA_HT","SKX","MA_QH","SKS")</f>
        <v>0</v>
      </c>
      <c r="AA51" s="52">
        <f ca="1" t="shared" si="21"/>
        <v>0</v>
      </c>
      <c r="AB51" s="22">
        <f ca="1">+GETPIVOTDATA("TNG4",'ngaigiao (2016)'!$A$3,"MA_HT","SKX","MA_QH","DGT")</f>
        <v>0</v>
      </c>
      <c r="AC51" s="22">
        <f ca="1">+GETPIVOTDATA("TNG4",'ngaigiao (2016)'!$A$3,"MA_HT","SKX","MA_QH","DTL")</f>
        <v>0</v>
      </c>
      <c r="AD51" s="22">
        <f ca="1">+GETPIVOTDATA("TNG4",'ngaigiao (2016)'!$A$3,"MA_HT","SKX","MA_QH","DNL")</f>
        <v>0</v>
      </c>
      <c r="AE51" s="22">
        <f ca="1">+GETPIVOTDATA("TNG4",'ngaigiao (2016)'!$A$3,"MA_HT","SKX","MA_QH","DBV")</f>
        <v>0</v>
      </c>
      <c r="AF51" s="22">
        <f ca="1">+GETPIVOTDATA("TNG4",'ngaigiao (2016)'!$A$3,"MA_HT","SKX","MA_QH","DVH")</f>
        <v>0</v>
      </c>
      <c r="AG51" s="22">
        <f ca="1">+GETPIVOTDATA("TNG4",'ngaigiao (2016)'!$A$3,"MA_HT","SKX","MA_QH","DYT")</f>
        <v>0</v>
      </c>
      <c r="AH51" s="22">
        <f ca="1">+GETPIVOTDATA("TNG4",'ngaigiao (2016)'!$A$3,"MA_HT","SKX","MA_QH","DGD")</f>
        <v>0</v>
      </c>
      <c r="AI51" s="22">
        <f ca="1">+GETPIVOTDATA("TNG4",'ngaigiao (2016)'!$A$3,"MA_HT","SKX","MA_QH","DTT")</f>
        <v>0</v>
      </c>
      <c r="AJ51" s="22">
        <f ca="1">+GETPIVOTDATA("TNG4",'ngaigiao (2016)'!$A$3,"MA_HT","SKX","MA_QH","NCK")</f>
        <v>0</v>
      </c>
      <c r="AK51" s="22">
        <f ca="1">+GETPIVOTDATA("TNG4",'ngaigiao (2016)'!$A$3,"MA_HT","SKX","MA_QH","DXH")</f>
        <v>0</v>
      </c>
      <c r="AL51" s="22">
        <f ca="1">+GETPIVOTDATA("TNG4",'ngaigiao (2016)'!$A$3,"MA_HT","SKX","MA_QH","DCH")</f>
        <v>0</v>
      </c>
      <c r="AM51" s="22">
        <f ca="1">+GETPIVOTDATA("TNG4",'ngaigiao (2016)'!$A$3,"MA_HT","SKX","MA_QH","DKG")</f>
        <v>0</v>
      </c>
      <c r="AN51" s="22">
        <f ca="1">+GETPIVOTDATA("TNG4",'ngaigiao (2016)'!$A$3,"MA_HT","SKX","MA_QH","DDT")</f>
        <v>0</v>
      </c>
      <c r="AO51" s="22">
        <f ca="1">+GETPIVOTDATA("TNG4",'ngaigiao (2016)'!$A$3,"MA_HT","SKX","MA_QH","DDL")</f>
        <v>0</v>
      </c>
      <c r="AP51" s="22">
        <f ca="1">+GETPIVOTDATA("TNG4",'ngaigiao (2016)'!$A$3,"MA_HT","SKX","MA_QH","DRA")</f>
        <v>0</v>
      </c>
      <c r="AQ51" s="22">
        <f ca="1">+GETPIVOTDATA("TNG4",'ngaigiao (2016)'!$A$3,"MA_HT","SKX","MA_QH","ONT")</f>
        <v>0</v>
      </c>
      <c r="AR51" s="22">
        <f ca="1">+GETPIVOTDATA("TNG4",'ngaigiao (2016)'!$A$3,"MA_HT","SKX","MA_QH","ODT")</f>
        <v>0</v>
      </c>
      <c r="AS51" s="22">
        <f ca="1">+GETPIVOTDATA("TNG4",'ngaigiao (2016)'!$A$3,"MA_HT","SKX","MA_QH","TSC")</f>
        <v>0</v>
      </c>
      <c r="AT51" s="22">
        <f ca="1">+GETPIVOTDATA("TNG4",'ngaigiao (2016)'!$A$3,"MA_HT","SKX","MA_QH","DTS")</f>
        <v>0</v>
      </c>
      <c r="AU51" s="22">
        <f ca="1">+GETPIVOTDATA("TNG4",'ngaigiao (2016)'!$A$3,"MA_HT","SKX","MA_QH","DNG")</f>
        <v>0</v>
      </c>
      <c r="AV51" s="22">
        <f ca="1">+GETPIVOTDATA("TNG4",'ngaigiao (2016)'!$A$3,"MA_HT","SKX","MA_QH","TON")</f>
        <v>0</v>
      </c>
      <c r="AW51" s="22">
        <f ca="1">+GETPIVOTDATA("TNG4",'ngaigiao (2016)'!$A$3,"MA_HT","SKX","MA_QH","NTD")</f>
        <v>0</v>
      </c>
      <c r="AX51" s="43" t="e">
        <f ca="1">$D51-$BF51</f>
        <v>#REF!</v>
      </c>
      <c r="AY51" s="22">
        <f ca="1">+GETPIVOTDATA("TNG4",'ngaigiao (2016)'!$A$3,"MA_HT","SKX","MA_QH","DSH")</f>
        <v>0</v>
      </c>
      <c r="AZ51" s="22">
        <f ca="1">+GETPIVOTDATA("TNG4",'ngaigiao (2016)'!$A$3,"MA_HT","SKX","MA_QH","DKV")</f>
        <v>0</v>
      </c>
      <c r="BA51" s="89">
        <f ca="1">+GETPIVOTDATA("TNG4",'ngaigiao (2016)'!$A$3,"MA_HT","SKX","MA_QH","TIN")</f>
        <v>0</v>
      </c>
      <c r="BB51" s="50">
        <f ca="1">+GETPIVOTDATA("TNG4",'ngaigiao (2016)'!$A$3,"MA_HT","SKX","MA_QH","SON")</f>
        <v>0</v>
      </c>
      <c r="BC51" s="50">
        <f ca="1">+GETPIVOTDATA("TNG4",'ngaigiao (2016)'!$A$3,"MA_HT","SKX","MA_QH","MNC")</f>
        <v>0</v>
      </c>
      <c r="BD51" s="22">
        <f ca="1">+GETPIVOTDATA("TNG4",'ngaigiao (2016)'!$A$3,"MA_HT","SKX","MA_QH","PNK")</f>
        <v>0</v>
      </c>
      <c r="BE51" s="71">
        <f ca="1">+GETPIVOTDATA("TNG4",'ngaigiao (2016)'!$A$3,"MA_HT","SKX","MA_QH","CSD")</f>
        <v>0</v>
      </c>
      <c r="BF51" s="74">
        <f ca="1" t="shared" si="13"/>
        <v>0</v>
      </c>
      <c r="BG51" s="101">
        <f ca="1">AX$59-$BF51</f>
        <v>0</v>
      </c>
      <c r="BH51" s="41" t="e">
        <f ca="1" t="shared" si="14"/>
        <v>#REF!</v>
      </c>
      <c r="BI51" s="98"/>
      <c r="BJ51" s="98" t="e">
        <f>#REF!</f>
        <v>#REF!</v>
      </c>
      <c r="BK51" s="107" t="e">
        <f ca="1">BH51-BJ51</f>
        <v>#REF!</v>
      </c>
      <c r="BL51" s="98"/>
      <c r="BM51" s="122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</row>
    <row r="52" s="2" customFormat="1" ht="15.75" customHeight="1" spans="1:79">
      <c r="A52" s="39" t="s">
        <v>8422</v>
      </c>
      <c r="B52" s="39" t="s">
        <v>8423</v>
      </c>
      <c r="C52" s="40" t="s">
        <v>8292</v>
      </c>
      <c r="D52" s="41" t="e">
        <f>+#REF!</f>
        <v>#REF!</v>
      </c>
      <c r="E52" s="42">
        <f ca="1" t="shared" si="15"/>
        <v>0</v>
      </c>
      <c r="F52" s="52">
        <f ca="1" t="shared" si="9"/>
        <v>0</v>
      </c>
      <c r="G52" s="22">
        <f ca="1">+GETPIVOTDATA("TNG4",'ngaigiao (2016)'!$A$3,"MA_HT","DSH","MA_QH","LUC")</f>
        <v>0</v>
      </c>
      <c r="H52" s="22">
        <f ca="1">+GETPIVOTDATA("TNG4",'ngaigiao (2016)'!$A$3,"MA_HT","DSH","MA_QH","LUK")</f>
        <v>0</v>
      </c>
      <c r="I52" s="22">
        <f ca="1">+GETPIVOTDATA("TNG4",'ngaigiao (2016)'!$A$3,"MA_HT","DSH","MA_QH","LUN")</f>
        <v>0</v>
      </c>
      <c r="J52" s="22">
        <f ca="1">+GETPIVOTDATA("TNG4",'ngaigiao (2016)'!$A$3,"MA_HT","DSH","MA_QH","HNK")</f>
        <v>0</v>
      </c>
      <c r="K52" s="22">
        <f ca="1">+GETPIVOTDATA("TNG4",'ngaigiao (2016)'!$A$3,"MA_HT","DSH","MA_QH","CLN")</f>
        <v>0</v>
      </c>
      <c r="L52" s="22">
        <f ca="1">+GETPIVOTDATA("TNG4",'ngaigiao (2016)'!$A$3,"MA_HT","DSH","MA_QH","RSX")</f>
        <v>0</v>
      </c>
      <c r="M52" s="22">
        <f ca="1">+GETPIVOTDATA("TNG4",'ngaigiao (2016)'!$A$3,"MA_HT","DSH","MA_QH","RPH")</f>
        <v>0</v>
      </c>
      <c r="N52" s="22">
        <f ca="1">+GETPIVOTDATA("TNG4",'ngaigiao (2016)'!$A$3,"MA_HT","DSH","MA_QH","RDD")</f>
        <v>0</v>
      </c>
      <c r="O52" s="22">
        <f ca="1">+GETPIVOTDATA("TNG4",'ngaigiao (2016)'!$A$3,"MA_HT","DSH","MA_QH","NTS")</f>
        <v>0</v>
      </c>
      <c r="P52" s="22">
        <f ca="1">+GETPIVOTDATA("TNG4",'ngaigiao (2016)'!$A$3,"MA_HT","DSH","MA_QH","LMU")</f>
        <v>0</v>
      </c>
      <c r="Q52" s="22">
        <f ca="1">+GETPIVOTDATA("TNG4",'ngaigiao (2016)'!$A$3,"MA_HT","DSH","MA_QH","NKH")</f>
        <v>0</v>
      </c>
      <c r="R52" s="79">
        <f ca="1">SUM(S52:AA52,AN52:AX52,AZ52:BD52)</f>
        <v>0</v>
      </c>
      <c r="S52" s="22">
        <f ca="1">+GETPIVOTDATA("TNG4",'ngaigiao (2016)'!$A$3,"MA_HT","DSH","MA_QH","CQP")</f>
        <v>0</v>
      </c>
      <c r="T52" s="22">
        <f ca="1">+GETPIVOTDATA("TNG4",'ngaigiao (2016)'!$A$3,"MA_HT","DSH","MA_QH","CAN")</f>
        <v>0</v>
      </c>
      <c r="U52" s="22">
        <f ca="1">+GETPIVOTDATA("TNG4",'ngaigiao (2016)'!$A$3,"MA_HT","DSH","MA_QH","SKK")</f>
        <v>0</v>
      </c>
      <c r="V52" s="22">
        <f ca="1">+GETPIVOTDATA("TNG4",'ngaigiao (2016)'!$A$3,"MA_HT","DSH","MA_QH","SKT")</f>
        <v>0</v>
      </c>
      <c r="W52" s="22">
        <f ca="1">+GETPIVOTDATA("TNG4",'ngaigiao (2016)'!$A$3,"MA_HT","DSH","MA_QH","SKN")</f>
        <v>0</v>
      </c>
      <c r="X52" s="22">
        <f ca="1">+GETPIVOTDATA("TNG4",'ngaigiao (2016)'!$A$3,"MA_HT","DSH","MA_QH","TMD")</f>
        <v>0</v>
      </c>
      <c r="Y52" s="22">
        <f ca="1">+GETPIVOTDATA("TNG4",'ngaigiao (2016)'!$A$3,"MA_HT","DSH","MA_QH","SKC")</f>
        <v>0</v>
      </c>
      <c r="Z52" s="22">
        <f ca="1">+GETPIVOTDATA("TNG4",'ngaigiao (2016)'!$A$3,"MA_HT","DSH","MA_QH","SKS")</f>
        <v>0</v>
      </c>
      <c r="AA52" s="52">
        <f ca="1" t="shared" si="21"/>
        <v>0</v>
      </c>
      <c r="AB52" s="22">
        <f ca="1">+GETPIVOTDATA("TNG4",'ngaigiao (2016)'!$A$3,"MA_HT","DSH","MA_QH","DGT")</f>
        <v>0</v>
      </c>
      <c r="AC52" s="22">
        <f ca="1">+GETPIVOTDATA("TNG4",'ngaigiao (2016)'!$A$3,"MA_HT","DSH","MA_QH","DTL")</f>
        <v>0</v>
      </c>
      <c r="AD52" s="22">
        <f ca="1">+GETPIVOTDATA("TNG4",'ngaigiao (2016)'!$A$3,"MA_HT","DSH","MA_QH","DNL")</f>
        <v>0</v>
      </c>
      <c r="AE52" s="22">
        <f ca="1">+GETPIVOTDATA("TNG4",'ngaigiao (2016)'!$A$3,"MA_HT","DSH","MA_QH","DBV")</f>
        <v>0</v>
      </c>
      <c r="AF52" s="22">
        <f ca="1">+GETPIVOTDATA("TNG4",'ngaigiao (2016)'!$A$3,"MA_HT","DSH","MA_QH","DVH")</f>
        <v>0</v>
      </c>
      <c r="AG52" s="22">
        <f ca="1">+GETPIVOTDATA("TNG4",'ngaigiao (2016)'!$A$3,"MA_HT","DSH","MA_QH","DYT")</f>
        <v>0</v>
      </c>
      <c r="AH52" s="22">
        <f ca="1">+GETPIVOTDATA("TNG4",'ngaigiao (2016)'!$A$3,"MA_HT","DSH","MA_QH","DGD")</f>
        <v>0</v>
      </c>
      <c r="AI52" s="22">
        <f ca="1">+GETPIVOTDATA("TNG4",'ngaigiao (2016)'!$A$3,"MA_HT","DSH","MA_QH","DTT")</f>
        <v>0</v>
      </c>
      <c r="AJ52" s="22">
        <f ca="1">+GETPIVOTDATA("TNG4",'ngaigiao (2016)'!$A$3,"MA_HT","DSH","MA_QH","NCK")</f>
        <v>0</v>
      </c>
      <c r="AK52" s="22">
        <f ca="1">+GETPIVOTDATA("TNG4",'ngaigiao (2016)'!$A$3,"MA_HT","DSH","MA_QH","DXH")</f>
        <v>0</v>
      </c>
      <c r="AL52" s="22">
        <f ca="1">+GETPIVOTDATA("TNG4",'ngaigiao (2016)'!$A$3,"MA_HT","DSH","MA_QH","DCH")</f>
        <v>0</v>
      </c>
      <c r="AM52" s="22">
        <f ca="1">+GETPIVOTDATA("TNG4",'ngaigiao (2016)'!$A$3,"MA_HT","DSH","MA_QH","DKG")</f>
        <v>0</v>
      </c>
      <c r="AN52" s="22">
        <f ca="1">+GETPIVOTDATA("TNG4",'ngaigiao (2016)'!$A$3,"MA_HT","DSH","MA_QH","DDT")</f>
        <v>0</v>
      </c>
      <c r="AO52" s="22">
        <f ca="1">+GETPIVOTDATA("TNG4",'ngaigiao (2016)'!$A$3,"MA_HT","DSH","MA_QH","DDL")</f>
        <v>0</v>
      </c>
      <c r="AP52" s="22">
        <f ca="1">+GETPIVOTDATA("TNG4",'ngaigiao (2016)'!$A$3,"MA_HT","DSH","MA_QH","DRA")</f>
        <v>0</v>
      </c>
      <c r="AQ52" s="22">
        <f ca="1">+GETPIVOTDATA("TNG4",'ngaigiao (2016)'!$A$3,"MA_HT","DSH","MA_QH","ONT")</f>
        <v>0</v>
      </c>
      <c r="AR52" s="22">
        <f ca="1">+GETPIVOTDATA("TNG4",'ngaigiao (2016)'!$A$3,"MA_HT","DSH","MA_QH","ODT")</f>
        <v>0</v>
      </c>
      <c r="AS52" s="22">
        <f ca="1">+GETPIVOTDATA("TNG4",'ngaigiao (2016)'!$A$3,"MA_HT","DSH","MA_QH","TSC")</f>
        <v>0</v>
      </c>
      <c r="AT52" s="22">
        <f ca="1">+GETPIVOTDATA("TNG4",'ngaigiao (2016)'!$A$3,"MA_HT","DSH","MA_QH","DTS")</f>
        <v>0</v>
      </c>
      <c r="AU52" s="22">
        <f ca="1">+GETPIVOTDATA("TNG4",'ngaigiao (2016)'!$A$3,"MA_HT","DSH","MA_QH","DNG")</f>
        <v>0</v>
      </c>
      <c r="AV52" s="22">
        <f ca="1">+GETPIVOTDATA("TNG4",'ngaigiao (2016)'!$A$3,"MA_HT","DSH","MA_QH","TON")</f>
        <v>0</v>
      </c>
      <c r="AW52" s="22">
        <f ca="1">+GETPIVOTDATA("TNG4",'ngaigiao (2016)'!$A$3,"MA_HT","DSH","MA_QH","NTD")</f>
        <v>0</v>
      </c>
      <c r="AX52" s="22">
        <f ca="1">+GETPIVOTDATA("TNG4",'ngaigiao (2016)'!$A$3,"MA_HT","DSH","MA_QH","SKX")</f>
        <v>0</v>
      </c>
      <c r="AY52" s="43" t="e">
        <f ca="1">$D52-$BF52</f>
        <v>#REF!</v>
      </c>
      <c r="AZ52" s="22">
        <f ca="1">+GETPIVOTDATA("TNG4",'ngaigiao (2016)'!$A$3,"MA_HT","DSH","MA_QH","DKV")</f>
        <v>0</v>
      </c>
      <c r="BA52" s="89">
        <f ca="1">+GETPIVOTDATA("TNG4",'ngaigiao (2016)'!$A$3,"MA_HT","DSH","MA_QH","TIN")</f>
        <v>0</v>
      </c>
      <c r="BB52" s="50">
        <f ca="1">+GETPIVOTDATA("TNG4",'ngaigiao (2016)'!$A$3,"MA_HT","DSH","MA_QH","SON")</f>
        <v>0</v>
      </c>
      <c r="BC52" s="50">
        <f ca="1">+GETPIVOTDATA("TNG4",'ngaigiao (2016)'!$A$3,"MA_HT","DSH","MA_QH","MNC")</f>
        <v>0</v>
      </c>
      <c r="BD52" s="22">
        <f ca="1">+GETPIVOTDATA("TNG4",'ngaigiao (2016)'!$A$3,"MA_HT","DSH","MA_QH","PNK")</f>
        <v>0</v>
      </c>
      <c r="BE52" s="71">
        <f ca="1">+GETPIVOTDATA("TNG4",'ngaigiao (2016)'!$A$3,"MA_HT","DSH","MA_QH","CSD")</f>
        <v>0</v>
      </c>
      <c r="BF52" s="74">
        <f ca="1" t="shared" si="13"/>
        <v>0</v>
      </c>
      <c r="BG52" s="101">
        <f ca="1">AY$59-$BF52</f>
        <v>0</v>
      </c>
      <c r="BH52" s="41" t="e">
        <f ca="1" t="shared" si="14"/>
        <v>#REF!</v>
      </c>
      <c r="BI52" s="98"/>
      <c r="BJ52" s="98" t="e">
        <f>#REF!</f>
        <v>#REF!</v>
      </c>
      <c r="BK52" s="107" t="e">
        <f ca="1">BH52-BJ52</f>
        <v>#REF!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</row>
    <row r="53" s="2" customFormat="1" ht="15.75" customHeight="1" spans="1:79">
      <c r="A53" s="39" t="s">
        <v>8424</v>
      </c>
      <c r="B53" s="39" t="s">
        <v>8425</v>
      </c>
      <c r="C53" s="40" t="s">
        <v>8289</v>
      </c>
      <c r="D53" s="41" t="e">
        <f>+#REF!</f>
        <v>#REF!</v>
      </c>
      <c r="E53" s="42">
        <f ca="1" t="shared" si="15"/>
        <v>0</v>
      </c>
      <c r="F53" s="52">
        <f ca="1" t="shared" si="9"/>
        <v>0</v>
      </c>
      <c r="G53" s="22">
        <f ca="1">+GETPIVOTDATA("TNG4",'ngaigiao (2016)'!$A$3,"MA_HT","DKV","MA_QH","LUC")</f>
        <v>0</v>
      </c>
      <c r="H53" s="22">
        <f ca="1">+GETPIVOTDATA("TNG4",'ngaigiao (2016)'!$A$3,"MA_HT","DKV","MA_QH","LUK")</f>
        <v>0</v>
      </c>
      <c r="I53" s="22">
        <f ca="1">+GETPIVOTDATA("TNG4",'ngaigiao (2016)'!$A$3,"MA_HT","DKV","MA_QH","LUN")</f>
        <v>0</v>
      </c>
      <c r="J53" s="22">
        <f ca="1">+GETPIVOTDATA("TNG4",'ngaigiao (2016)'!$A$3,"MA_HT","DKV","MA_QH","HNK")</f>
        <v>0</v>
      </c>
      <c r="K53" s="22">
        <f ca="1">+GETPIVOTDATA("TNG4",'ngaigiao (2016)'!$A$3,"MA_HT","DKV","MA_QH","CLN")</f>
        <v>0</v>
      </c>
      <c r="L53" s="22">
        <f ca="1">+GETPIVOTDATA("TNG4",'ngaigiao (2016)'!$A$3,"MA_HT","DKV","MA_QH","RSX")</f>
        <v>0</v>
      </c>
      <c r="M53" s="22">
        <f ca="1">+GETPIVOTDATA("TNG4",'ngaigiao (2016)'!$A$3,"MA_HT","DKV","MA_QH","RPH")</f>
        <v>0</v>
      </c>
      <c r="N53" s="22">
        <f ca="1">+GETPIVOTDATA("TNG4",'ngaigiao (2016)'!$A$3,"MA_HT","DKV","MA_QH","RDD")</f>
        <v>0</v>
      </c>
      <c r="O53" s="22">
        <f ca="1">+GETPIVOTDATA("TNG4",'ngaigiao (2016)'!$A$3,"MA_HT","DKV","MA_QH","NTS")</f>
        <v>0</v>
      </c>
      <c r="P53" s="22">
        <f ca="1">+GETPIVOTDATA("TNG4",'ngaigiao (2016)'!$A$3,"MA_HT","DKV","MA_QH","LMU")</f>
        <v>0</v>
      </c>
      <c r="Q53" s="22">
        <f ca="1">+GETPIVOTDATA("TNG4",'ngaigiao (2016)'!$A$3,"MA_HT","DKV","MA_QH","NKH")</f>
        <v>0</v>
      </c>
      <c r="R53" s="79">
        <f ca="1">SUM(S53:AA53,AN53:AY53,BB53:BD53)</f>
        <v>0</v>
      </c>
      <c r="S53" s="22">
        <f ca="1">+GETPIVOTDATA("TNG4",'ngaigiao (2016)'!$A$3,"MA_HT","DKV","MA_QH","CQP")</f>
        <v>0</v>
      </c>
      <c r="T53" s="22">
        <f ca="1">+GETPIVOTDATA("TNG4",'ngaigiao (2016)'!$A$3,"MA_HT","DKV","MA_QH","CAN")</f>
        <v>0</v>
      </c>
      <c r="U53" s="22">
        <f ca="1">+GETPIVOTDATA("TNG4",'ngaigiao (2016)'!$A$3,"MA_HT","DKV","MA_QH","SKK")</f>
        <v>0</v>
      </c>
      <c r="V53" s="22">
        <f ca="1">+GETPIVOTDATA("TNG4",'ngaigiao (2016)'!$A$3,"MA_HT","DKV","MA_QH","SKT")</f>
        <v>0</v>
      </c>
      <c r="W53" s="22">
        <f ca="1">+GETPIVOTDATA("TNG4",'ngaigiao (2016)'!$A$3,"MA_HT","DKV","MA_QH","SKN")</f>
        <v>0</v>
      </c>
      <c r="X53" s="22">
        <f ca="1">+GETPIVOTDATA("TNG4",'ngaigiao (2016)'!$A$3,"MA_HT","DKV","MA_QH","TMD")</f>
        <v>0</v>
      </c>
      <c r="Y53" s="22">
        <f ca="1">+GETPIVOTDATA("TNG4",'ngaigiao (2016)'!$A$3,"MA_HT","DKV","MA_QH","SKC")</f>
        <v>0</v>
      </c>
      <c r="Z53" s="22">
        <f ca="1">+GETPIVOTDATA("TNG4",'ngaigiao (2016)'!$A$3,"MA_HT","DKV","MA_QH","SKS")</f>
        <v>0</v>
      </c>
      <c r="AA53" s="52">
        <f ca="1" t="shared" si="21"/>
        <v>0</v>
      </c>
      <c r="AB53" s="22">
        <f ca="1">+GETPIVOTDATA("TNG4",'ngaigiao (2016)'!$A$3,"MA_HT","DKV","MA_QH","DGT")</f>
        <v>0</v>
      </c>
      <c r="AC53" s="22">
        <f ca="1">+GETPIVOTDATA("TNG4",'ngaigiao (2016)'!$A$3,"MA_HT","DKV","MA_QH","DTL")</f>
        <v>0</v>
      </c>
      <c r="AD53" s="22">
        <f ca="1">+GETPIVOTDATA("TNG4",'ngaigiao (2016)'!$A$3,"MA_HT","DKV","MA_QH","DNL")</f>
        <v>0</v>
      </c>
      <c r="AE53" s="22">
        <f ca="1">+GETPIVOTDATA("TNG4",'ngaigiao (2016)'!$A$3,"MA_HT","DKV","MA_QH","DBV")</f>
        <v>0</v>
      </c>
      <c r="AF53" s="22">
        <f ca="1">+GETPIVOTDATA("TNG4",'ngaigiao (2016)'!$A$3,"MA_HT","DKV","MA_QH","DVH")</f>
        <v>0</v>
      </c>
      <c r="AG53" s="22">
        <f ca="1">+GETPIVOTDATA("TNG4",'ngaigiao (2016)'!$A$3,"MA_HT","DKV","MA_QH","DYT")</f>
        <v>0</v>
      </c>
      <c r="AH53" s="22">
        <f ca="1">+GETPIVOTDATA("TNG4",'ngaigiao (2016)'!$A$3,"MA_HT","DKV","MA_QH","DGD")</f>
        <v>0</v>
      </c>
      <c r="AI53" s="22">
        <f ca="1">+GETPIVOTDATA("TNG4",'ngaigiao (2016)'!$A$3,"MA_HT","DKV","MA_QH","DTT")</f>
        <v>0</v>
      </c>
      <c r="AJ53" s="22">
        <f ca="1">+GETPIVOTDATA("TNG4",'ngaigiao (2016)'!$A$3,"MA_HT","DKV","MA_QH","NCK")</f>
        <v>0</v>
      </c>
      <c r="AK53" s="22">
        <f ca="1">+GETPIVOTDATA("TNG4",'ngaigiao (2016)'!$A$3,"MA_HT","DKV","MA_QH","DXH")</f>
        <v>0</v>
      </c>
      <c r="AL53" s="22">
        <f ca="1">+GETPIVOTDATA("TNG4",'ngaigiao (2016)'!$A$3,"MA_HT","DKV","MA_QH","DCH")</f>
        <v>0</v>
      </c>
      <c r="AM53" s="22">
        <f ca="1">+GETPIVOTDATA("TNG4",'ngaigiao (2016)'!$A$3,"MA_HT","DKV","MA_QH","DKG")</f>
        <v>0</v>
      </c>
      <c r="AN53" s="22">
        <f ca="1">+GETPIVOTDATA("TNG4",'ngaigiao (2016)'!$A$3,"MA_HT","DKV","MA_QH","DDT")</f>
        <v>0</v>
      </c>
      <c r="AO53" s="22">
        <f ca="1">+GETPIVOTDATA("TNG4",'ngaigiao (2016)'!$A$3,"MA_HT","DKV","MA_QH","DDL")</f>
        <v>0</v>
      </c>
      <c r="AP53" s="22">
        <f ca="1">+GETPIVOTDATA("TNG4",'ngaigiao (2016)'!$A$3,"MA_HT","DKV","MA_QH","DRA")</f>
        <v>0</v>
      </c>
      <c r="AQ53" s="22">
        <f ca="1">+GETPIVOTDATA("TNG4",'ngaigiao (2016)'!$A$3,"MA_HT","DKV","MA_QH","ONT")</f>
        <v>0</v>
      </c>
      <c r="AR53" s="22">
        <f ca="1">+GETPIVOTDATA("TNG4",'ngaigiao (2016)'!$A$3,"MA_HT","DKV","MA_QH","ODT")</f>
        <v>0</v>
      </c>
      <c r="AS53" s="22">
        <f ca="1">+GETPIVOTDATA("TNG4",'ngaigiao (2016)'!$A$3,"MA_HT","DKV","MA_QH","TSC")</f>
        <v>0</v>
      </c>
      <c r="AT53" s="22">
        <f ca="1">+GETPIVOTDATA("TNG4",'ngaigiao (2016)'!$A$3,"MA_HT","DKV","MA_QH","DTS")</f>
        <v>0</v>
      </c>
      <c r="AU53" s="22">
        <f ca="1">+GETPIVOTDATA("TNG4",'ngaigiao (2016)'!$A$3,"MA_HT","DKV","MA_QH","DNG")</f>
        <v>0</v>
      </c>
      <c r="AV53" s="22">
        <f ca="1">+GETPIVOTDATA("TNG4",'ngaigiao (2016)'!$A$3,"MA_HT","DKV","MA_QH","TON")</f>
        <v>0</v>
      </c>
      <c r="AW53" s="22">
        <f ca="1">+GETPIVOTDATA("TNG4",'ngaigiao (2016)'!$A$3,"MA_HT","DKV","MA_QH","NTD")</f>
        <v>0</v>
      </c>
      <c r="AX53" s="22">
        <f ca="1">+GETPIVOTDATA("TNG4",'ngaigiao (2016)'!$A$3,"MA_HT","DKV","MA_QH","SKX")</f>
        <v>0</v>
      </c>
      <c r="AY53" s="22">
        <f ca="1">+GETPIVOTDATA("TNG4",'ngaigiao (2016)'!$A$3,"MA_HT","DKV","MA_QH","DSH")</f>
        <v>0</v>
      </c>
      <c r="AZ53" s="43" t="e">
        <f ca="1">$D53-$BF53</f>
        <v>#REF!</v>
      </c>
      <c r="BA53" s="89">
        <f ca="1">+GETPIVOTDATA("TNG4",'ngaigiao (2016)'!$A$3,"MA_HT","DKV","MA_QH","TIN")</f>
        <v>0</v>
      </c>
      <c r="BB53" s="50">
        <f ca="1">+GETPIVOTDATA("TNG4",'ngaigiao (2016)'!$A$3,"MA_HT","DKV","MA_QH","SON")</f>
        <v>0</v>
      </c>
      <c r="BC53" s="50">
        <f ca="1">+GETPIVOTDATA("TNG4",'ngaigiao (2016)'!$A$3,"MA_HT","DKV","MA_QH","MNC")</f>
        <v>0</v>
      </c>
      <c r="BD53" s="22">
        <f ca="1">+GETPIVOTDATA("TNG4",'ngaigiao (2016)'!$A$3,"MA_HT","DKV","MA_QH","PNK")</f>
        <v>0</v>
      </c>
      <c r="BE53" s="71">
        <f ca="1">+GETPIVOTDATA("TNG4",'ngaigiao (2016)'!$A$3,"MA_HT","DKV","MA_QH","CSD")</f>
        <v>0</v>
      </c>
      <c r="BF53" s="74">
        <f ca="1" t="shared" si="13"/>
        <v>0</v>
      </c>
      <c r="BG53" s="101">
        <f ca="1">AZ$59-$BF53</f>
        <v>0</v>
      </c>
      <c r="BH53" s="41" t="e">
        <f ca="1" t="shared" si="14"/>
        <v>#REF!</v>
      </c>
      <c r="BI53" s="98"/>
      <c r="BJ53" s="98" t="e">
        <f>#REF!</f>
        <v>#REF!</v>
      </c>
      <c r="BK53" s="107" t="e">
        <f ca="1">BH53-BJ53</f>
        <v>#REF!</v>
      </c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</row>
    <row r="54" s="2" customFormat="1" ht="15.75" customHeight="1" spans="1:75">
      <c r="A54" s="39" t="s">
        <v>8426</v>
      </c>
      <c r="B54" s="39" t="s">
        <v>8427</v>
      </c>
      <c r="C54" s="40" t="s">
        <v>8310</v>
      </c>
      <c r="D54" s="41" t="e">
        <f>+#REF!</f>
        <v>#REF!</v>
      </c>
      <c r="E54" s="33">
        <f ca="1" t="shared" si="15"/>
        <v>0</v>
      </c>
      <c r="F54" s="52">
        <f ca="1">SUM(F29:F39)</f>
        <v>0</v>
      </c>
      <c r="G54" s="22">
        <f ca="1">+GETPIVOTDATA("TNG4",'ngaigiao (2016)'!$A$3,"MA_HT","TIN","MA_QH","LUC")</f>
        <v>0</v>
      </c>
      <c r="H54" s="22">
        <f ca="1">+GETPIVOTDATA("TNG4",'ngaigiao (2016)'!$A$3,"MA_HT","TIN","MA_QH","LUK")</f>
        <v>0</v>
      </c>
      <c r="I54" s="22">
        <f ca="1">+GETPIVOTDATA("TNG4",'ngaigiao (2016)'!$A$3,"MA_HT","TIN","MA_QH","LUN")</f>
        <v>0</v>
      </c>
      <c r="J54" s="22">
        <f ca="1">+GETPIVOTDATA("TNG4",'ngaigiao (2016)'!$A$3,"MA_HT","TIN","MA_QH","HNK")</f>
        <v>0</v>
      </c>
      <c r="K54" s="22">
        <f ca="1">+GETPIVOTDATA("TNG4",'ngaigiao (2016)'!$A$3,"MA_HT","TIN","MA_QH","CLN")</f>
        <v>0</v>
      </c>
      <c r="L54" s="22">
        <f ca="1">+GETPIVOTDATA("TNG4",'ngaigiao (2016)'!$A$3,"MA_HT","TIN","MA_QH","RSX")</f>
        <v>0</v>
      </c>
      <c r="M54" s="22">
        <f ca="1">+GETPIVOTDATA("TNG4",'ngaigiao (2016)'!$A$3,"MA_HT","TIN","MA_QH","RPH")</f>
        <v>0</v>
      </c>
      <c r="N54" s="22">
        <f ca="1">+GETPIVOTDATA("TNG4",'ngaigiao (2016)'!$A$3,"MA_HT","TIN","MA_QH","RDD")</f>
        <v>0</v>
      </c>
      <c r="O54" s="22">
        <f ca="1">+GETPIVOTDATA("TNG4",'ngaigiao (2016)'!$A$3,"MA_HT","TIN","MA_QH","NTS")</f>
        <v>0</v>
      </c>
      <c r="P54" s="22">
        <f ca="1">+GETPIVOTDATA("TNG4",'ngaigiao (2016)'!$A$3,"MA_HT","TIN","MA_QH","LMU")</f>
        <v>0</v>
      </c>
      <c r="Q54" s="22">
        <f ca="1">+GETPIVOTDATA("TNG4",'ngaigiao (2016)'!$A$3,"MA_HT","TIN","MA_QH","NKH")</f>
        <v>0</v>
      </c>
      <c r="R54" s="79">
        <f ca="1">SUM(S54:AA54,AN54:AZ54,BB54:BD54)</f>
        <v>0</v>
      </c>
      <c r="S54" s="22">
        <f ca="1">+GETPIVOTDATA("TNG4",'ngaigiao (2016)'!$A$3,"MA_HT","TIN","MA_QH","CQP")</f>
        <v>0</v>
      </c>
      <c r="T54" s="22">
        <f ca="1">+GETPIVOTDATA("TNG4",'ngaigiao (2016)'!$A$3,"MA_HT","TIN","MA_QH","CAN")</f>
        <v>0</v>
      </c>
      <c r="U54" s="22">
        <f ca="1">+GETPIVOTDATA("TNG4",'ngaigiao (2016)'!$A$3,"MA_HT","TIN","MA_QH","SKK")</f>
        <v>0</v>
      </c>
      <c r="V54" s="22">
        <f ca="1">+GETPIVOTDATA("TNG4",'ngaigiao (2016)'!$A$3,"MA_HT","TIN","MA_QH","SKT")</f>
        <v>0</v>
      </c>
      <c r="W54" s="22">
        <f ca="1">+GETPIVOTDATA("TNG4",'ngaigiao (2016)'!$A$3,"MA_HT","TIN","MA_QH","SKN")</f>
        <v>0</v>
      </c>
      <c r="X54" s="22">
        <f ca="1">+GETPIVOTDATA("TNG4",'ngaigiao (2016)'!$A$3,"MA_HT","TIN","MA_QH","TMD")</f>
        <v>0</v>
      </c>
      <c r="Y54" s="22">
        <f ca="1">+GETPIVOTDATA("TNG4",'ngaigiao (2016)'!$A$3,"MA_HT","TIN","MA_QH","SKC")</f>
        <v>0</v>
      </c>
      <c r="Z54" s="22">
        <f ca="1">+GETPIVOTDATA("TNG4",'ngaigiao (2016)'!$A$3,"MA_HT","TIN","MA_QH","SKS")</f>
        <v>0</v>
      </c>
      <c r="AA54" s="52">
        <f ca="1" t="shared" si="21"/>
        <v>0</v>
      </c>
      <c r="AB54" s="22">
        <f ca="1">+GETPIVOTDATA("TNG4",'ngaigiao (2016)'!$A$3,"MA_HT","TIN","MA_QH","DGT")</f>
        <v>0</v>
      </c>
      <c r="AC54" s="22">
        <f ca="1">+GETPIVOTDATA("TNG4",'ngaigiao (2016)'!$A$3,"MA_HT","TIN","MA_QH","DTL")</f>
        <v>0</v>
      </c>
      <c r="AD54" s="22">
        <f ca="1">+GETPIVOTDATA("TNG4",'ngaigiao (2016)'!$A$3,"MA_HT","TIN","MA_QH","DNL")</f>
        <v>0</v>
      </c>
      <c r="AE54" s="22">
        <f ca="1">+GETPIVOTDATA("TNG4",'ngaigiao (2016)'!$A$3,"MA_HT","TIN","MA_QH","DBV")</f>
        <v>0</v>
      </c>
      <c r="AF54" s="22">
        <f ca="1">+GETPIVOTDATA("TNG4",'ngaigiao (2016)'!$A$3,"MA_HT","TIN","MA_QH","DVH")</f>
        <v>0</v>
      </c>
      <c r="AG54" s="22">
        <f ca="1">+GETPIVOTDATA("TNG4",'ngaigiao (2016)'!$A$3,"MA_HT","TIN","MA_QH","DYT")</f>
        <v>0</v>
      </c>
      <c r="AH54" s="22">
        <f ca="1">+GETPIVOTDATA("TNG4",'ngaigiao (2016)'!$A$3,"MA_HT","TIN","MA_QH","DGD")</f>
        <v>0</v>
      </c>
      <c r="AI54" s="22">
        <f ca="1">+GETPIVOTDATA("TNG4",'ngaigiao (2016)'!$A$3,"MA_HT","TIN","MA_QH","DTT")</f>
        <v>0</v>
      </c>
      <c r="AJ54" s="22">
        <f ca="1">+GETPIVOTDATA("TNG4",'ngaigiao (2016)'!$A$3,"MA_HT","TIN","MA_QH","NCK")</f>
        <v>0</v>
      </c>
      <c r="AK54" s="22">
        <f ca="1">+GETPIVOTDATA("TNG4",'ngaigiao (2016)'!$A$3,"MA_HT","TIN","MA_QH","DXH")</f>
        <v>0</v>
      </c>
      <c r="AL54" s="22">
        <f ca="1">+GETPIVOTDATA("TNG4",'ngaigiao (2016)'!$A$3,"MA_HT","TIN","MA_QH","DCH")</f>
        <v>0</v>
      </c>
      <c r="AM54" s="22">
        <f ca="1">+GETPIVOTDATA("TNG4",'ngaigiao (2016)'!$A$3,"MA_HT","TIN","MA_QH","DKG")</f>
        <v>0</v>
      </c>
      <c r="AN54" s="22">
        <f ca="1">+GETPIVOTDATA("TNG4",'ngaigiao (2016)'!$A$3,"MA_HT","TIN","MA_QH","DDT")</f>
        <v>0</v>
      </c>
      <c r="AO54" s="22">
        <f ca="1">+GETPIVOTDATA("TNG4",'ngaigiao (2016)'!$A$3,"MA_HT","TIN","MA_QH","DDL")</f>
        <v>0</v>
      </c>
      <c r="AP54" s="22">
        <f ca="1">+GETPIVOTDATA("TNG4",'ngaigiao (2016)'!$A$3,"MA_HT","TIN","MA_QH","DRA")</f>
        <v>0</v>
      </c>
      <c r="AQ54" s="22">
        <f ca="1">+GETPIVOTDATA("TNG4",'ngaigiao (2016)'!$A$3,"MA_HT","TIN","MA_QH","ONT")</f>
        <v>0</v>
      </c>
      <c r="AR54" s="22">
        <f ca="1">+GETPIVOTDATA("TNG4",'ngaigiao (2016)'!$A$3,"MA_HT","TIN","MA_QH","ODT")</f>
        <v>0</v>
      </c>
      <c r="AS54" s="22">
        <f ca="1">+GETPIVOTDATA("TNG4",'ngaigiao (2016)'!$A$3,"MA_HT","TIN","MA_QH","TSC")</f>
        <v>0</v>
      </c>
      <c r="AT54" s="22">
        <f ca="1">+GETPIVOTDATA("TNG4",'ngaigiao (2016)'!$A$3,"MA_HT","TIN","MA_QH","DTS")</f>
        <v>0</v>
      </c>
      <c r="AU54" s="22">
        <f ca="1">+GETPIVOTDATA("TNG4",'ngaigiao (2016)'!$A$3,"MA_HT","TIN","MA_QH","DNG")</f>
        <v>0</v>
      </c>
      <c r="AV54" s="22">
        <f ca="1">+GETPIVOTDATA("TNG4",'ngaigiao (2016)'!$A$3,"MA_HT","TIN","MA_QH","TON")</f>
        <v>0</v>
      </c>
      <c r="AW54" s="22">
        <f ca="1">+GETPIVOTDATA("TNG4",'ngaigiao (2016)'!$A$3,"MA_HT","TIN","MA_QH","NTD")</f>
        <v>0</v>
      </c>
      <c r="AX54" s="22">
        <f ca="1">+GETPIVOTDATA("TNG4",'ngaigiao (2016)'!$A$3,"MA_HT","TIN","MA_QH","SKX")</f>
        <v>0</v>
      </c>
      <c r="AY54" s="22">
        <f ca="1">+GETPIVOTDATA("TNG4",'ngaigiao (2016)'!$A$3,"MA_HT","TIN","MA_QH","DSH")</f>
        <v>0</v>
      </c>
      <c r="AZ54" s="22">
        <f ca="1">+GETPIVOTDATA("TNG4",'ngaigiao (2016)'!$A$3,"MA_HT","TIN","MA_QH","DKV")</f>
        <v>0</v>
      </c>
      <c r="BA54" s="43" t="e">
        <f ca="1">$D54-$BF54</f>
        <v>#REF!</v>
      </c>
      <c r="BB54" s="22">
        <f ca="1">+GETPIVOTDATA("TNG4",'ngaigiao (2016)'!$A$3,"MA_HT","TIN","MA_QH","SON")</f>
        <v>0</v>
      </c>
      <c r="BC54" s="22">
        <f ca="1">+GETPIVOTDATA("TNG4",'ngaigiao (2016)'!$A$3,"MA_HT","TIN","MA_QH","MNC")</f>
        <v>0</v>
      </c>
      <c r="BD54" s="22">
        <f ca="1">+GETPIVOTDATA("TNG4",'ngaigiao (2016)'!$A$3,"MA_HT","TIN","MA_QH","PNK")</f>
        <v>0</v>
      </c>
      <c r="BE54" s="71">
        <f ca="1">+GETPIVOTDATA("TNG4",'ngaigiao (2016)'!$A$3,"MA_HT","TIN","MA_QH","CSD")</f>
        <v>0</v>
      </c>
      <c r="BF54" s="74">
        <f ca="1" t="shared" si="13"/>
        <v>0</v>
      </c>
      <c r="BG54" s="101">
        <f ca="1">BA59-BF54</f>
        <v>0</v>
      </c>
      <c r="BH54" s="41" t="e">
        <f ca="1" t="shared" si="14"/>
        <v>#REF!</v>
      </c>
      <c r="BI54" s="98"/>
      <c r="BJ54" s="39" t="e">
        <f>SUM(BJ29:BJ39)</f>
        <v>#REF!</v>
      </c>
      <c r="BK54" s="107" t="e">
        <f ca="1">BH54-BJ54</f>
        <v>#REF!</v>
      </c>
      <c r="BL54" s="107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</row>
    <row r="55" s="2" customFormat="1" ht="15.75" customHeight="1" spans="1:79">
      <c r="A55" s="68" t="s">
        <v>8428</v>
      </c>
      <c r="B55" s="69" t="s">
        <v>8429</v>
      </c>
      <c r="C55" s="40" t="s">
        <v>8309</v>
      </c>
      <c r="D55" s="41" t="e">
        <f>+#REF!</f>
        <v>#REF!</v>
      </c>
      <c r="E55" s="42">
        <f ca="1" t="shared" si="15"/>
        <v>0</v>
      </c>
      <c r="F55" s="52">
        <f ca="1" t="shared" si="9"/>
        <v>0</v>
      </c>
      <c r="G55" s="22">
        <f ca="1">+GETPIVOTDATA("TNG4",'ngaigiao (2016)'!$A$3,"MA_HT","SON","MA_QH","LUC")</f>
        <v>0</v>
      </c>
      <c r="H55" s="22">
        <f ca="1">+GETPIVOTDATA("TNG4",'ngaigiao (2016)'!$A$3,"MA_HT","SON","MA_QH","LUK")</f>
        <v>0</v>
      </c>
      <c r="I55" s="22">
        <f ca="1">+GETPIVOTDATA("TNG4",'ngaigiao (2016)'!$A$3,"MA_HT","SON","MA_QH","LUN")</f>
        <v>0</v>
      </c>
      <c r="J55" s="22">
        <f ca="1">+GETPIVOTDATA("TNG4",'ngaigiao (2016)'!$A$3,"MA_HT","SON","MA_QH","HNK")</f>
        <v>0</v>
      </c>
      <c r="K55" s="22">
        <f ca="1">+GETPIVOTDATA("TNG4",'ngaigiao (2016)'!$A$3,"MA_HT","SON","MA_QH","CLN")</f>
        <v>0</v>
      </c>
      <c r="L55" s="22">
        <f ca="1">+GETPIVOTDATA("TNG4",'ngaigiao (2016)'!$A$3,"MA_HT","SON","MA_QH","RSX")</f>
        <v>0</v>
      </c>
      <c r="M55" s="22">
        <f ca="1">+GETPIVOTDATA("TNG4",'ngaigiao (2016)'!$A$3,"MA_HT","SON","MA_QH","RPH")</f>
        <v>0</v>
      </c>
      <c r="N55" s="22">
        <f ca="1">+GETPIVOTDATA("TNG4",'ngaigiao (2016)'!$A$3,"MA_HT","SON","MA_QH","RDD")</f>
        <v>0</v>
      </c>
      <c r="O55" s="22">
        <f ca="1">+GETPIVOTDATA("TNG4",'ngaigiao (2016)'!$A$3,"MA_HT","SON","MA_QH","NTS")</f>
        <v>0</v>
      </c>
      <c r="P55" s="22">
        <f ca="1">+GETPIVOTDATA("TNG4",'ngaigiao (2016)'!$A$3,"MA_HT","SON","MA_QH","LMU")</f>
        <v>0</v>
      </c>
      <c r="Q55" s="22">
        <f ca="1">+GETPIVOTDATA("TNG4",'ngaigiao (2016)'!$A$3,"MA_HT","SON","MA_QH","NKH")</f>
        <v>0</v>
      </c>
      <c r="R55" s="79">
        <f ca="1">SUM(S55:AA55,AN55:AZ55,BC55:BD55)</f>
        <v>0</v>
      </c>
      <c r="S55" s="22">
        <f ca="1">+GETPIVOTDATA("TNG4",'ngaigiao (2016)'!$A$3,"MA_HT","SON","MA_QH","CQP")</f>
        <v>0</v>
      </c>
      <c r="T55" s="22">
        <f ca="1">+GETPIVOTDATA("TNG4",'ngaigiao (2016)'!$A$3,"MA_HT","SON","MA_QH","CAN")</f>
        <v>0</v>
      </c>
      <c r="U55" s="22">
        <f ca="1">+GETPIVOTDATA("TNG4",'ngaigiao (2016)'!$A$3,"MA_HT","SON","MA_QH","SKK")</f>
        <v>0</v>
      </c>
      <c r="V55" s="22">
        <f ca="1">+GETPIVOTDATA("TNG4",'ngaigiao (2016)'!$A$3,"MA_HT","SON","MA_QH","SKT")</f>
        <v>0</v>
      </c>
      <c r="W55" s="22">
        <f ca="1">+GETPIVOTDATA("TNG4",'ngaigiao (2016)'!$A$3,"MA_HT","SON","MA_QH","SKN")</f>
        <v>0</v>
      </c>
      <c r="X55" s="22">
        <f ca="1">+GETPIVOTDATA("TNG4",'ngaigiao (2016)'!$A$3,"MA_HT","SON","MA_QH","TMD")</f>
        <v>0</v>
      </c>
      <c r="Y55" s="22">
        <f ca="1">+GETPIVOTDATA("TNG4",'ngaigiao (2016)'!$A$3,"MA_HT","SON","MA_QH","SKC")</f>
        <v>0</v>
      </c>
      <c r="Z55" s="22">
        <f ca="1">+GETPIVOTDATA("TNG4",'ngaigiao (2016)'!$A$3,"MA_HT","SON","MA_QH","SKS")</f>
        <v>0</v>
      </c>
      <c r="AA55" s="52">
        <f ca="1" t="shared" si="21"/>
        <v>0</v>
      </c>
      <c r="AB55" s="22">
        <f ca="1">+GETPIVOTDATA("TNG4",'ngaigiao (2016)'!$A$3,"MA_HT","SON","MA_QH","DGT")</f>
        <v>0</v>
      </c>
      <c r="AC55" s="22">
        <f ca="1">+GETPIVOTDATA("TNG4",'ngaigiao (2016)'!$A$3,"MA_HT","SON","MA_QH","DTL")</f>
        <v>0</v>
      </c>
      <c r="AD55" s="22">
        <f ca="1">+GETPIVOTDATA("TNG4",'ngaigiao (2016)'!$A$3,"MA_HT","SON","MA_QH","DNL")</f>
        <v>0</v>
      </c>
      <c r="AE55" s="22">
        <f ca="1">+GETPIVOTDATA("TNG4",'ngaigiao (2016)'!$A$3,"MA_HT","SON","MA_QH","DBV")</f>
        <v>0</v>
      </c>
      <c r="AF55" s="22">
        <f ca="1">+GETPIVOTDATA("TNG4",'ngaigiao (2016)'!$A$3,"MA_HT","SON","MA_QH","DVH")</f>
        <v>0</v>
      </c>
      <c r="AG55" s="22">
        <f ca="1">+GETPIVOTDATA("TNG4",'ngaigiao (2016)'!$A$3,"MA_HT","SON","MA_QH","DYT")</f>
        <v>0</v>
      </c>
      <c r="AH55" s="22">
        <f ca="1">+GETPIVOTDATA("TNG4",'ngaigiao (2016)'!$A$3,"MA_HT","SON","MA_QH","DGD")</f>
        <v>0</v>
      </c>
      <c r="AI55" s="22">
        <f ca="1">+GETPIVOTDATA("TNG4",'ngaigiao (2016)'!$A$3,"MA_HT","SON","MA_QH","DTT")</f>
        <v>0</v>
      </c>
      <c r="AJ55" s="22">
        <f ca="1">+GETPIVOTDATA("TNG4",'ngaigiao (2016)'!$A$3,"MA_HT","SON","MA_QH","NCK")</f>
        <v>0</v>
      </c>
      <c r="AK55" s="22">
        <f ca="1">+GETPIVOTDATA("TNG4",'ngaigiao (2016)'!$A$3,"MA_HT","SON","MA_QH","DXH")</f>
        <v>0</v>
      </c>
      <c r="AL55" s="22">
        <f ca="1">+GETPIVOTDATA("TNG4",'ngaigiao (2016)'!$A$3,"MA_HT","SON","MA_QH","DCH")</f>
        <v>0</v>
      </c>
      <c r="AM55" s="22">
        <f ca="1">+GETPIVOTDATA("TNG4",'ngaigiao (2016)'!$A$3,"MA_HT","SON","MA_QH","DKG")</f>
        <v>0</v>
      </c>
      <c r="AN55" s="22">
        <f ca="1">+GETPIVOTDATA("TNG4",'ngaigiao (2016)'!$A$3,"MA_HT","SON","MA_QH","DDT")</f>
        <v>0</v>
      </c>
      <c r="AO55" s="22">
        <f ca="1">+GETPIVOTDATA("TNG4",'ngaigiao (2016)'!$A$3,"MA_HT","SON","MA_QH","DDL")</f>
        <v>0</v>
      </c>
      <c r="AP55" s="22">
        <f ca="1">+GETPIVOTDATA("TNG4",'ngaigiao (2016)'!$A$3,"MA_HT","SON","MA_QH","DRA")</f>
        <v>0</v>
      </c>
      <c r="AQ55" s="22">
        <f ca="1">+GETPIVOTDATA("TNG4",'ngaigiao (2016)'!$A$3,"MA_HT","SON","MA_QH","ONT")</f>
        <v>0</v>
      </c>
      <c r="AR55" s="22">
        <f ca="1">+GETPIVOTDATA("TNG4",'ngaigiao (2016)'!$A$3,"MA_HT","SON","MA_QH","ODT")</f>
        <v>0</v>
      </c>
      <c r="AS55" s="22">
        <f ca="1">+GETPIVOTDATA("TNG4",'ngaigiao (2016)'!$A$3,"MA_HT","SON","MA_QH","TSC")</f>
        <v>0</v>
      </c>
      <c r="AT55" s="22">
        <f ca="1">+GETPIVOTDATA("TNG4",'ngaigiao (2016)'!$A$3,"MA_HT","SON","MA_QH","DTS")</f>
        <v>0</v>
      </c>
      <c r="AU55" s="22">
        <f ca="1">+GETPIVOTDATA("TNG4",'ngaigiao (2016)'!$A$3,"MA_HT","SON","MA_QH","DNG")</f>
        <v>0</v>
      </c>
      <c r="AV55" s="22">
        <f ca="1">+GETPIVOTDATA("TNG4",'ngaigiao (2016)'!$A$3,"MA_HT","SON","MA_QH","TON")</f>
        <v>0</v>
      </c>
      <c r="AW55" s="22">
        <f ca="1">+GETPIVOTDATA("TNG4",'ngaigiao (2016)'!$A$3,"MA_HT","SON","MA_QH","NTD")</f>
        <v>0</v>
      </c>
      <c r="AX55" s="22">
        <f ca="1">+GETPIVOTDATA("TNG4",'ngaigiao (2016)'!$A$3,"MA_HT","SON","MA_QH","SKX")</f>
        <v>0</v>
      </c>
      <c r="AY55" s="22">
        <f ca="1">+GETPIVOTDATA("TNG4",'ngaigiao (2016)'!$A$3,"MA_HT","SON","MA_QH","DSH")</f>
        <v>0</v>
      </c>
      <c r="AZ55" s="22">
        <f ca="1">+GETPIVOTDATA("TNG4",'ngaigiao (2016)'!$A$3,"MA_HT","SON","MA_QH","DKV")</f>
        <v>0</v>
      </c>
      <c r="BA55" s="89">
        <f ca="1">+GETPIVOTDATA("TNG4",'ngaigiao (2016)'!$A$3,"MA_HT","SON","MA_QH","TIN")</f>
        <v>0</v>
      </c>
      <c r="BB55" s="43" t="e">
        <f ca="1">$D55-$BF55</f>
        <v>#REF!</v>
      </c>
      <c r="BC55" s="50">
        <f ca="1">+GETPIVOTDATA("TNG4",'ngaigiao (2016)'!$A$3,"MA_HT","SON","MA_QH","MNC")</f>
        <v>0</v>
      </c>
      <c r="BD55" s="22">
        <f ca="1">+GETPIVOTDATA("TNG4",'ngaigiao (2016)'!$A$3,"MA_HT","SON","MA_QH","PNK")</f>
        <v>0</v>
      </c>
      <c r="BE55" s="71">
        <f ca="1">+GETPIVOTDATA("TNG4",'ngaigiao (2016)'!$A$3,"MA_HT","SON","MA_QH","CSD")</f>
        <v>0</v>
      </c>
      <c r="BF55" s="74">
        <f ca="1" t="shared" si="13"/>
        <v>0</v>
      </c>
      <c r="BG55" s="101">
        <f ca="1">BB$59-$BF55</f>
        <v>0</v>
      </c>
      <c r="BH55" s="41" t="e">
        <f ca="1" t="shared" si="14"/>
        <v>#REF!</v>
      </c>
      <c r="BI55" s="98"/>
      <c r="BJ55" s="98"/>
      <c r="BK55" s="107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</row>
    <row r="56" s="2" customFormat="1" ht="15.75" customHeight="1" spans="1:79">
      <c r="A56" s="68" t="s">
        <v>8430</v>
      </c>
      <c r="B56" s="69" t="s">
        <v>8431</v>
      </c>
      <c r="C56" s="40" t="s">
        <v>8301</v>
      </c>
      <c r="D56" s="41" t="e">
        <f>+#REF!</f>
        <v>#REF!</v>
      </c>
      <c r="E56" s="42">
        <f ca="1" t="shared" si="15"/>
        <v>0</v>
      </c>
      <c r="F56" s="52">
        <f ca="1" t="shared" si="9"/>
        <v>0</v>
      </c>
      <c r="G56" s="22">
        <f ca="1">+GETPIVOTDATA("TNG4",'ngaigiao (2016)'!$A$3,"MA_HT","MNC","MA_QH","LUC")</f>
        <v>0</v>
      </c>
      <c r="H56" s="22">
        <f ca="1">+GETPIVOTDATA("TNG4",'ngaigiao (2016)'!$A$3,"MA_HT","MNC","MA_QH","LUK")</f>
        <v>0</v>
      </c>
      <c r="I56" s="22">
        <f ca="1">+GETPIVOTDATA("TNG4",'ngaigiao (2016)'!$A$3,"MA_HT","MNC","MA_QH","LUN")</f>
        <v>0</v>
      </c>
      <c r="J56" s="22">
        <f ca="1">+GETPIVOTDATA("TNG4",'ngaigiao (2016)'!$A$3,"MA_HT","MNC","MA_QH","HNK")</f>
        <v>0</v>
      </c>
      <c r="K56" s="22">
        <f ca="1">+GETPIVOTDATA("TNG4",'ngaigiao (2016)'!$A$3,"MA_HT","MNC","MA_QH","CLN")</f>
        <v>0</v>
      </c>
      <c r="L56" s="22">
        <f ca="1">+GETPIVOTDATA("TNG4",'ngaigiao (2016)'!$A$3,"MA_HT","MNC","MA_QH","RSX")</f>
        <v>0</v>
      </c>
      <c r="M56" s="22">
        <f ca="1">+GETPIVOTDATA("TNG4",'ngaigiao (2016)'!$A$3,"MA_HT","MNC","MA_QH","RPH")</f>
        <v>0</v>
      </c>
      <c r="N56" s="22">
        <f ca="1">+GETPIVOTDATA("TNG4",'ngaigiao (2016)'!$A$3,"MA_HT","MNC","MA_QH","RDD")</f>
        <v>0</v>
      </c>
      <c r="O56" s="22">
        <f ca="1">+GETPIVOTDATA("TNG4",'ngaigiao (2016)'!$A$3,"MA_HT","MNC","MA_QH","NTS")</f>
        <v>0</v>
      </c>
      <c r="P56" s="22">
        <f ca="1">+GETPIVOTDATA("TNG4",'ngaigiao (2016)'!$A$3,"MA_HT","MNC","MA_QH","LMU")</f>
        <v>0</v>
      </c>
      <c r="Q56" s="22">
        <f ca="1">+GETPIVOTDATA("TNG4",'ngaigiao (2016)'!$A$3,"MA_HT","MNC","MA_QH","NKH")</f>
        <v>0</v>
      </c>
      <c r="R56" s="79">
        <f ca="1">SUM(S56:AA56,AN56:BB56,BD56)</f>
        <v>0</v>
      </c>
      <c r="S56" s="22">
        <f ca="1">+GETPIVOTDATA("TNG4",'ngaigiao (2016)'!$A$3,"MA_HT","MNC","MA_QH","CQP")</f>
        <v>0</v>
      </c>
      <c r="T56" s="22">
        <f ca="1">+GETPIVOTDATA("TNG4",'ngaigiao (2016)'!$A$3,"MA_HT","MNC","MA_QH","CAN")</f>
        <v>0</v>
      </c>
      <c r="U56" s="22">
        <f ca="1">+GETPIVOTDATA("TNG4",'ngaigiao (2016)'!$A$3,"MA_HT","MNC","MA_QH","SKK")</f>
        <v>0</v>
      </c>
      <c r="V56" s="22">
        <f ca="1">+GETPIVOTDATA("TNG4",'ngaigiao (2016)'!$A$3,"MA_HT","MNC","MA_QH","SKT")</f>
        <v>0</v>
      </c>
      <c r="W56" s="22">
        <f ca="1">+GETPIVOTDATA("TNG4",'ngaigiao (2016)'!$A$3,"MA_HT","MNC","MA_QH","SKN")</f>
        <v>0</v>
      </c>
      <c r="X56" s="22">
        <f ca="1">+GETPIVOTDATA("TNG4",'ngaigiao (2016)'!$A$3,"MA_HT","MNC","MA_QH","TMD")</f>
        <v>0</v>
      </c>
      <c r="Y56" s="22">
        <f ca="1">+GETPIVOTDATA("TNG4",'ngaigiao (2016)'!$A$3,"MA_HT","MNC","MA_QH","SKC")</f>
        <v>0</v>
      </c>
      <c r="Z56" s="22">
        <f ca="1">+GETPIVOTDATA("TNG4",'ngaigiao (2016)'!$A$3,"MA_HT","MNC","MA_QH","SKS")</f>
        <v>0</v>
      </c>
      <c r="AA56" s="52">
        <f ca="1" t="shared" si="21"/>
        <v>0</v>
      </c>
      <c r="AB56" s="22">
        <f ca="1">+GETPIVOTDATA("TNG4",'ngaigiao (2016)'!$A$3,"MA_HT","MNC","MA_QH","DGT")</f>
        <v>0</v>
      </c>
      <c r="AC56" s="22">
        <f ca="1">+GETPIVOTDATA("TNG4",'ngaigiao (2016)'!$A$3,"MA_HT","MNC","MA_QH","DTL")</f>
        <v>0</v>
      </c>
      <c r="AD56" s="22">
        <f ca="1">+GETPIVOTDATA("TNG4",'ngaigiao (2016)'!$A$3,"MA_HT","MNC","MA_QH","DNL")</f>
        <v>0</v>
      </c>
      <c r="AE56" s="22">
        <f ca="1">+GETPIVOTDATA("TNG4",'ngaigiao (2016)'!$A$3,"MA_HT","MNC","MA_QH","DBV")</f>
        <v>0</v>
      </c>
      <c r="AF56" s="22">
        <f ca="1">+GETPIVOTDATA("TNG4",'ngaigiao (2016)'!$A$3,"MA_HT","MNC","MA_QH","DVH")</f>
        <v>0</v>
      </c>
      <c r="AG56" s="22">
        <f ca="1">+GETPIVOTDATA("TNG4",'ngaigiao (2016)'!$A$3,"MA_HT","MNC","MA_QH","DYT")</f>
        <v>0</v>
      </c>
      <c r="AH56" s="22">
        <f ca="1">+GETPIVOTDATA("TNG4",'ngaigiao (2016)'!$A$3,"MA_HT","MNC","MA_QH","DGD")</f>
        <v>0</v>
      </c>
      <c r="AI56" s="22">
        <f ca="1">+GETPIVOTDATA("TNG4",'ngaigiao (2016)'!$A$3,"MA_HT","MNC","MA_QH","DTT")</f>
        <v>0</v>
      </c>
      <c r="AJ56" s="22">
        <f ca="1">+GETPIVOTDATA("TNG4",'ngaigiao (2016)'!$A$3,"MA_HT","MNC","MA_QH","NCK")</f>
        <v>0</v>
      </c>
      <c r="AK56" s="22">
        <f ca="1">+GETPIVOTDATA("TNG4",'ngaigiao (2016)'!$A$3,"MA_HT","MNC","MA_QH","DXH")</f>
        <v>0</v>
      </c>
      <c r="AL56" s="22">
        <f ca="1">+GETPIVOTDATA("TNG4",'ngaigiao (2016)'!$A$3,"MA_HT","MNC","MA_QH","DCH")</f>
        <v>0</v>
      </c>
      <c r="AM56" s="22">
        <f ca="1">+GETPIVOTDATA("TNG4",'ngaigiao (2016)'!$A$3,"MA_HT","MNC","MA_QH","DKG")</f>
        <v>0</v>
      </c>
      <c r="AN56" s="22">
        <f ca="1">+GETPIVOTDATA("TNG4",'ngaigiao (2016)'!$A$3,"MA_HT","MNC","MA_QH","DDT")</f>
        <v>0</v>
      </c>
      <c r="AO56" s="22">
        <f ca="1">+GETPIVOTDATA("TNG4",'ngaigiao (2016)'!$A$3,"MA_HT","MNC","MA_QH","DDL")</f>
        <v>0</v>
      </c>
      <c r="AP56" s="22">
        <f ca="1">+GETPIVOTDATA("TNG4",'ngaigiao (2016)'!$A$3,"MA_HT","MNC","MA_QH","DRA")</f>
        <v>0</v>
      </c>
      <c r="AQ56" s="22">
        <f ca="1">+GETPIVOTDATA("TNG4",'ngaigiao (2016)'!$A$3,"MA_HT","MNC","MA_QH","ONT")</f>
        <v>0</v>
      </c>
      <c r="AR56" s="22">
        <f ca="1">+GETPIVOTDATA("TNG4",'ngaigiao (2016)'!$A$3,"MA_HT","MNC","MA_QH","ODT")</f>
        <v>0</v>
      </c>
      <c r="AS56" s="22">
        <f ca="1">+GETPIVOTDATA("TNG4",'ngaigiao (2016)'!$A$3,"MA_HT","MNC","MA_QH","TSC")</f>
        <v>0</v>
      </c>
      <c r="AT56" s="22">
        <f ca="1">+GETPIVOTDATA("TNG4",'ngaigiao (2016)'!$A$3,"MA_HT","MNC","MA_QH","DTS")</f>
        <v>0</v>
      </c>
      <c r="AU56" s="22">
        <f ca="1">+GETPIVOTDATA("TNG4",'ngaigiao (2016)'!$A$3,"MA_HT","MNC","MA_QH","DNG")</f>
        <v>0</v>
      </c>
      <c r="AV56" s="22">
        <f ca="1">+GETPIVOTDATA("TNG4",'ngaigiao (2016)'!$A$3,"MA_HT","MNC","MA_QH","TON")</f>
        <v>0</v>
      </c>
      <c r="AW56" s="22">
        <f ca="1">+GETPIVOTDATA("TNG4",'ngaigiao (2016)'!$A$3,"MA_HT","MNC","MA_QH","NTD")</f>
        <v>0</v>
      </c>
      <c r="AX56" s="22">
        <f ca="1">+GETPIVOTDATA("TNG4",'ngaigiao (2016)'!$A$3,"MA_HT","MNC","MA_QH","SKX")</f>
        <v>0</v>
      </c>
      <c r="AY56" s="22">
        <f ca="1">+GETPIVOTDATA("TNG4",'ngaigiao (2016)'!$A$3,"MA_HT","MNC","MA_QH","DSH")</f>
        <v>0</v>
      </c>
      <c r="AZ56" s="22">
        <f ca="1">+GETPIVOTDATA("TNG4",'ngaigiao (2016)'!$A$3,"MA_HT","MNC","MA_QH","DKV")</f>
        <v>0</v>
      </c>
      <c r="BA56" s="89">
        <f ca="1">+GETPIVOTDATA("TNG4",'ngaigiao (2016)'!$A$3,"MA_HT","MNC","MA_QH","TIN")</f>
        <v>0</v>
      </c>
      <c r="BB56" s="50">
        <f ca="1">+GETPIVOTDATA("TNG4",'ngaigiao (2016)'!$A$3,"MA_HT","MNC","MA_QH","SON")</f>
        <v>0</v>
      </c>
      <c r="BC56" s="43" t="e">
        <f ca="1">$D56-$BF56</f>
        <v>#REF!</v>
      </c>
      <c r="BD56" s="22">
        <f ca="1">+GETPIVOTDATA("TNG4",'ngaigiao (2016)'!$A$3,"MA_HT","MNC","MA_QH","PNK")</f>
        <v>0</v>
      </c>
      <c r="BE56" s="71">
        <f ca="1">+GETPIVOTDATA("TNG4",'ngaigiao (2016)'!$A$3,"MA_HT","MNC","MA_QH","CSD")</f>
        <v>0</v>
      </c>
      <c r="BF56" s="74">
        <f ca="1" t="shared" si="13"/>
        <v>0</v>
      </c>
      <c r="BG56" s="101">
        <f ca="1">BC$59-$BF56</f>
        <v>0</v>
      </c>
      <c r="BH56" s="41" t="e">
        <f ca="1" t="shared" si="14"/>
        <v>#REF!</v>
      </c>
      <c r="BI56" s="98"/>
      <c r="BJ56" s="98"/>
      <c r="BK56" s="107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</row>
    <row r="57" s="2" customFormat="1" ht="15.75" customHeight="1" spans="1:79">
      <c r="A57" s="68" t="s">
        <v>8432</v>
      </c>
      <c r="B57" s="69" t="s">
        <v>8433</v>
      </c>
      <c r="C57" s="40" t="s">
        <v>59</v>
      </c>
      <c r="D57" s="41" t="e">
        <f>+#REF!</f>
        <v>#REF!</v>
      </c>
      <c r="E57" s="42">
        <f ca="1" t="shared" si="15"/>
        <v>0</v>
      </c>
      <c r="F57" s="52">
        <f ca="1" t="shared" si="9"/>
        <v>0</v>
      </c>
      <c r="G57" s="22">
        <f ca="1">+GETPIVOTDATA("TNG4",'ngaigiao (2016)'!$A$3,"MA_HT","PNK","MA_QH","LUC")</f>
        <v>0</v>
      </c>
      <c r="H57" s="22">
        <f ca="1">+GETPIVOTDATA("TNG4",'ngaigiao (2016)'!$A$3,"MA_HT","PNK","MA_QH","LUK")</f>
        <v>0</v>
      </c>
      <c r="I57" s="22">
        <f ca="1">+GETPIVOTDATA("TNG4",'ngaigiao (2016)'!$A$3,"MA_HT","PNK","MA_QH","LUN")</f>
        <v>0</v>
      </c>
      <c r="J57" s="22">
        <f ca="1">+GETPIVOTDATA("TNG4",'ngaigiao (2016)'!$A$3,"MA_HT","PNK","MA_QH","HNK")</f>
        <v>0</v>
      </c>
      <c r="K57" s="22">
        <f ca="1">+GETPIVOTDATA("TNG4",'ngaigiao (2016)'!$A$3,"MA_HT","PNK","MA_QH","CLN")</f>
        <v>0</v>
      </c>
      <c r="L57" s="22">
        <f ca="1">+GETPIVOTDATA("TNG4",'ngaigiao (2016)'!$A$3,"MA_HT","PNK","MA_QH","RSX")</f>
        <v>0</v>
      </c>
      <c r="M57" s="22">
        <f ca="1">+GETPIVOTDATA("TNG4",'ngaigiao (2016)'!$A$3,"MA_HT","PNK","MA_QH","RPH")</f>
        <v>0</v>
      </c>
      <c r="N57" s="22">
        <f ca="1">+GETPIVOTDATA("TNG4",'ngaigiao (2016)'!$A$3,"MA_HT","PNK","MA_QH","RDD")</f>
        <v>0</v>
      </c>
      <c r="O57" s="22">
        <f ca="1">+GETPIVOTDATA("TNG4",'ngaigiao (2016)'!$A$3,"MA_HT","PNK","MA_QH","NTS")</f>
        <v>0</v>
      </c>
      <c r="P57" s="22">
        <f ca="1">+GETPIVOTDATA("TNG4",'ngaigiao (2016)'!$A$3,"MA_HT","PNK","MA_QH","LMU")</f>
        <v>0</v>
      </c>
      <c r="Q57" s="22">
        <f ca="1">+GETPIVOTDATA("TNG4",'ngaigiao (2016)'!$A$3,"MA_HT","PNK","MA_QH","NKH")</f>
        <v>0</v>
      </c>
      <c r="R57" s="79">
        <f ca="1">SUM(S57:AA57,AN57:BC57)</f>
        <v>0</v>
      </c>
      <c r="S57" s="22">
        <f ca="1">+GETPIVOTDATA("TNG4",'ngaigiao (2016)'!$A$3,"MA_HT","PNK","MA_QH","CQP")</f>
        <v>0</v>
      </c>
      <c r="T57" s="22">
        <f ca="1">+GETPIVOTDATA("TNG4",'ngaigiao (2016)'!$A$3,"MA_HT","PNK","MA_QH","CAN")</f>
        <v>0</v>
      </c>
      <c r="U57" s="22">
        <f ca="1">+GETPIVOTDATA("TNG4",'ngaigiao (2016)'!$A$3,"MA_HT","PNK","MA_QH","SKK")</f>
        <v>0</v>
      </c>
      <c r="V57" s="22">
        <f ca="1">+GETPIVOTDATA("TNG4",'ngaigiao (2016)'!$A$3,"MA_HT","PNK","MA_QH","SKT")</f>
        <v>0</v>
      </c>
      <c r="W57" s="22">
        <f ca="1">+GETPIVOTDATA("TNG4",'ngaigiao (2016)'!$A$3,"MA_HT","PNK","MA_QH","SKN")</f>
        <v>0</v>
      </c>
      <c r="X57" s="22">
        <f ca="1">+GETPIVOTDATA("TNG4",'ngaigiao (2016)'!$A$3,"MA_HT","PNK","MA_QH","TMD")</f>
        <v>0</v>
      </c>
      <c r="Y57" s="22">
        <f ca="1">+GETPIVOTDATA("TNG4",'ngaigiao (2016)'!$A$3,"MA_HT","PNK","MA_QH","SKC")</f>
        <v>0</v>
      </c>
      <c r="Z57" s="22">
        <f ca="1">+GETPIVOTDATA("TNG4",'ngaigiao (2016)'!$A$3,"MA_HT","PNK","MA_QH","SKS")</f>
        <v>0</v>
      </c>
      <c r="AA57" s="52">
        <f ca="1" t="shared" si="21"/>
        <v>0</v>
      </c>
      <c r="AB57" s="22">
        <f ca="1">+GETPIVOTDATA("TNG4",'ngaigiao (2016)'!$A$3,"MA_HT","PNK","MA_QH","DGT")</f>
        <v>0</v>
      </c>
      <c r="AC57" s="22">
        <f ca="1">+GETPIVOTDATA("TNG4",'ngaigiao (2016)'!$A$3,"MA_HT","PNK","MA_QH","DTL")</f>
        <v>0</v>
      </c>
      <c r="AD57" s="22">
        <f ca="1">+GETPIVOTDATA("TNG4",'ngaigiao (2016)'!$A$3,"MA_HT","PNK","MA_QH","DNL")</f>
        <v>0</v>
      </c>
      <c r="AE57" s="22">
        <f ca="1">+GETPIVOTDATA("TNG4",'ngaigiao (2016)'!$A$3,"MA_HT","PNK","MA_QH","DBV")</f>
        <v>0</v>
      </c>
      <c r="AF57" s="22">
        <f ca="1">+GETPIVOTDATA("TNG4",'ngaigiao (2016)'!$A$3,"MA_HT","PNK","MA_QH","DVH")</f>
        <v>0</v>
      </c>
      <c r="AG57" s="22">
        <f ca="1">+GETPIVOTDATA("TNG4",'ngaigiao (2016)'!$A$3,"MA_HT","PNK","MA_QH","DYT")</f>
        <v>0</v>
      </c>
      <c r="AH57" s="22">
        <f ca="1">+GETPIVOTDATA("TNG4",'ngaigiao (2016)'!$A$3,"MA_HT","PNK","MA_QH","DGD")</f>
        <v>0</v>
      </c>
      <c r="AI57" s="22">
        <f ca="1">+GETPIVOTDATA("TNG4",'ngaigiao (2016)'!$A$3,"MA_HT","PNK","MA_QH","DTT")</f>
        <v>0</v>
      </c>
      <c r="AJ57" s="22">
        <f ca="1">+GETPIVOTDATA("TNG4",'ngaigiao (2016)'!$A$3,"MA_HT","PNK","MA_QH","NCK")</f>
        <v>0</v>
      </c>
      <c r="AK57" s="22">
        <f ca="1">+GETPIVOTDATA("TNG4",'ngaigiao (2016)'!$A$3,"MA_HT","PNK","MA_QH","DXH")</f>
        <v>0</v>
      </c>
      <c r="AL57" s="22">
        <f ca="1">+GETPIVOTDATA("TNG4",'ngaigiao (2016)'!$A$3,"MA_HT","PNK","MA_QH","DCH")</f>
        <v>0</v>
      </c>
      <c r="AM57" s="22">
        <f ca="1">+GETPIVOTDATA("TNG4",'ngaigiao (2016)'!$A$3,"MA_HT","PNK","MA_QH","DKG")</f>
        <v>0</v>
      </c>
      <c r="AN57" s="22">
        <f ca="1">+GETPIVOTDATA("TNG4",'ngaigiao (2016)'!$A$3,"MA_HT","PNK","MA_QH","DDT")</f>
        <v>0</v>
      </c>
      <c r="AO57" s="22">
        <f ca="1">+GETPIVOTDATA("TNG4",'ngaigiao (2016)'!$A$3,"MA_HT","PNK","MA_QH","DDL")</f>
        <v>0</v>
      </c>
      <c r="AP57" s="22">
        <f ca="1">+GETPIVOTDATA("TNG4",'ngaigiao (2016)'!$A$3,"MA_HT","PNK","MA_QH","DRA")</f>
        <v>0</v>
      </c>
      <c r="AQ57" s="22">
        <f ca="1">+GETPIVOTDATA("TNG4",'ngaigiao (2016)'!$A$3,"MA_HT","PNK","MA_QH","ONT")</f>
        <v>0</v>
      </c>
      <c r="AR57" s="22">
        <f ca="1">+GETPIVOTDATA("TNG4",'ngaigiao (2016)'!$A$3,"MA_HT","PNK","MA_QH","ODT")</f>
        <v>0</v>
      </c>
      <c r="AS57" s="22">
        <f ca="1">+GETPIVOTDATA("TNG4",'ngaigiao (2016)'!$A$3,"MA_HT","PNK","MA_QH","TSC")</f>
        <v>0</v>
      </c>
      <c r="AT57" s="22">
        <f ca="1">+GETPIVOTDATA("TNG4",'ngaigiao (2016)'!$A$3,"MA_HT","PNK","MA_QH","DTS")</f>
        <v>0</v>
      </c>
      <c r="AU57" s="22">
        <f ca="1">+GETPIVOTDATA("TNG4",'ngaigiao (2016)'!$A$3,"MA_HT","PNK","MA_QH","DNG")</f>
        <v>0</v>
      </c>
      <c r="AV57" s="22">
        <f ca="1">+GETPIVOTDATA("TNG4",'ngaigiao (2016)'!$A$3,"MA_HT","PNK","MA_QH","TON")</f>
        <v>0</v>
      </c>
      <c r="AW57" s="22">
        <f ca="1">+GETPIVOTDATA("TNG4",'ngaigiao (2016)'!$A$3,"MA_HT","PNK","MA_QH","NTD")</f>
        <v>0</v>
      </c>
      <c r="AX57" s="22">
        <f ca="1">+GETPIVOTDATA("TNG4",'ngaigiao (2016)'!$A$3,"MA_HT","PNK","MA_QH","SKX")</f>
        <v>0</v>
      </c>
      <c r="AY57" s="22">
        <f ca="1">+GETPIVOTDATA("TNG4",'ngaigiao (2016)'!$A$3,"MA_HT","PNK","MA_QH","DSH")</f>
        <v>0</v>
      </c>
      <c r="AZ57" s="22">
        <f ca="1">+GETPIVOTDATA("TNG4",'ngaigiao (2016)'!$A$3,"MA_HT","PNK","MA_QH","DKV")</f>
        <v>0</v>
      </c>
      <c r="BA57" s="89">
        <f ca="1">+GETPIVOTDATA("TNG4",'ngaigiao (2016)'!$A$3,"MA_HT","PNK","MA_QH","TIN")</f>
        <v>0</v>
      </c>
      <c r="BB57" s="50">
        <f ca="1">+GETPIVOTDATA("TNG4",'ngaigiao (2016)'!$A$3,"MA_HT","PNK","MA_QH","SON")</f>
        <v>0</v>
      </c>
      <c r="BC57" s="50">
        <f ca="1">+GETPIVOTDATA("TNG4",'ngaigiao (2016)'!$A$3,"MA_HT","PNK","MA_QH","MNC")</f>
        <v>0</v>
      </c>
      <c r="BD57" s="43" t="e">
        <f ca="1">$D57-$BF57</f>
        <v>#REF!</v>
      </c>
      <c r="BE57" s="71">
        <f ca="1">+GETPIVOTDATA("TNG4",'ngaigiao (2016)'!$A$3,"MA_HT","PNK","MA_QH","CSD")</f>
        <v>0</v>
      </c>
      <c r="BF57" s="74">
        <f ca="1" t="shared" si="13"/>
        <v>0</v>
      </c>
      <c r="BG57" s="101">
        <f ca="1">BD$59-$BF57</f>
        <v>0</v>
      </c>
      <c r="BH57" s="41" t="e">
        <f ca="1" t="shared" si="14"/>
        <v>#REF!</v>
      </c>
      <c r="BI57" s="98"/>
      <c r="BJ57" s="98" t="e">
        <f>#REF!</f>
        <v>#REF!</v>
      </c>
      <c r="BK57" s="107" t="e">
        <f ca="1">BH57-BJ57</f>
        <v>#REF!</v>
      </c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</row>
    <row r="58" s="3" customFormat="1" ht="15.75" customHeight="1" spans="1:79">
      <c r="A58" s="70" t="s">
        <v>8434</v>
      </c>
      <c r="B58" s="36" t="s">
        <v>8435</v>
      </c>
      <c r="C58" s="37" t="s">
        <v>8284</v>
      </c>
      <c r="D58" s="32" t="e">
        <f>+#REF!</f>
        <v>#REF!</v>
      </c>
      <c r="E58" s="42">
        <f ca="1" t="shared" si="15"/>
        <v>0</v>
      </c>
      <c r="F58" s="33">
        <f ca="1" t="shared" si="9"/>
        <v>0</v>
      </c>
      <c r="G58" s="71">
        <f ca="1">+GETPIVOTDATA("TNG4",'ngaigiao (2016)'!$A$3,"MA_HT","CSD","MA_QH","LUC")</f>
        <v>0</v>
      </c>
      <c r="H58" s="71">
        <f ca="1">+GETPIVOTDATA("TNG4",'ngaigiao (2016)'!$A$3,"MA_HT","CSD","MA_QH","LUK")</f>
        <v>0</v>
      </c>
      <c r="I58" s="71">
        <f ca="1">+GETPIVOTDATA("TNG4",'ngaigiao (2016)'!$A$3,"MA_HT","CSD","MA_QH","LUN")</f>
        <v>0</v>
      </c>
      <c r="J58" s="71">
        <f ca="1">+GETPIVOTDATA("TNG4",'ngaigiao (2016)'!$A$3,"MA_HT","CSD","MA_QH","HNK")</f>
        <v>0</v>
      </c>
      <c r="K58" s="71">
        <f ca="1">+GETPIVOTDATA("TNG4",'ngaigiao (2016)'!$A$3,"MA_HT","CSD","MA_QH","CLN")</f>
        <v>0</v>
      </c>
      <c r="L58" s="71">
        <f ca="1">+GETPIVOTDATA("TNG4",'ngaigiao (2016)'!$A$3,"MA_HT","CSD","MA_QH","RSX")</f>
        <v>0</v>
      </c>
      <c r="M58" s="71">
        <f ca="1">+GETPIVOTDATA("TNG4",'ngaigiao (2016)'!$A$3,"MA_HT","CSD","MA_QH","RPH")</f>
        <v>0</v>
      </c>
      <c r="N58" s="71">
        <f ca="1">+GETPIVOTDATA("TNG4",'ngaigiao (2016)'!$A$3,"MA_HT","CSD","MA_QH","RDD")</f>
        <v>0</v>
      </c>
      <c r="O58" s="71">
        <f ca="1">+GETPIVOTDATA("TNG4",'ngaigiao (2016)'!$A$3,"MA_HT","CSD","MA_QH","NTS")</f>
        <v>0</v>
      </c>
      <c r="P58" s="71">
        <f ca="1">+GETPIVOTDATA("TNG4",'ngaigiao (2016)'!$A$3,"MA_HT","CSD","MA_QH","LMU")</f>
        <v>0</v>
      </c>
      <c r="Q58" s="71">
        <f ca="1">+GETPIVOTDATA("TNG4",'ngaigiao (2016)'!$A$3,"MA_HT","CSD","MA_QH","NKH")</f>
        <v>0</v>
      </c>
      <c r="R58" s="79">
        <f ca="1">SUM(S58:AA58,AN58:BD58)</f>
        <v>0</v>
      </c>
      <c r="S58" s="80">
        <f ca="1">+GETPIVOTDATA("TNG4",'ngaigiao (2016)'!$A$3,"MA_HT","CSD","MA_QH","CQP")</f>
        <v>0</v>
      </c>
      <c r="T58" s="80">
        <f ca="1">+GETPIVOTDATA("TNG4",'ngaigiao (2016)'!$A$3,"MA_HT","CSD","MA_QH","CAN")</f>
        <v>0</v>
      </c>
      <c r="U58" s="71">
        <f ca="1">+GETPIVOTDATA("TNG4",'ngaigiao (2016)'!$A$3,"MA_HT","CSD","MA_QH","SKK")</f>
        <v>0</v>
      </c>
      <c r="V58" s="71">
        <f ca="1">+GETPIVOTDATA("TNG4",'ngaigiao (2016)'!$A$3,"MA_HT","CSD","MA_QH","SKT")</f>
        <v>0</v>
      </c>
      <c r="W58" s="71">
        <f ca="1">+GETPIVOTDATA("TNG4",'ngaigiao (2016)'!$A$3,"MA_HT","CSD","MA_QH","SKN")</f>
        <v>0</v>
      </c>
      <c r="X58" s="71">
        <f ca="1">+GETPIVOTDATA("TNG4",'ngaigiao (2016)'!$A$3,"MA_HT","CSD","MA_QH","TMD")</f>
        <v>0</v>
      </c>
      <c r="Y58" s="71">
        <f ca="1">+GETPIVOTDATA("TNG4",'ngaigiao (2016)'!$A$3,"MA_HT","CSD","MA_QH","SKC")</f>
        <v>0</v>
      </c>
      <c r="Z58" s="71">
        <f ca="1">+GETPIVOTDATA("TNG4",'ngaigiao (2016)'!$A$3,"MA_HT","CSD","MA_QH","SKS")</f>
        <v>0</v>
      </c>
      <c r="AA58" s="52">
        <f ca="1" t="shared" si="21"/>
        <v>0</v>
      </c>
      <c r="AB58" s="80">
        <f ca="1">+GETPIVOTDATA("TNG4",'ngaigiao (2016)'!$A$3,"MA_HT","CSD","MA_QH","DGT")</f>
        <v>0</v>
      </c>
      <c r="AC58" s="80">
        <f ca="1">+GETPIVOTDATA("TNG4",'ngaigiao (2016)'!$A$3,"MA_HT","CSD","MA_QH","DTL")</f>
        <v>0</v>
      </c>
      <c r="AD58" s="80">
        <f ca="1">+GETPIVOTDATA("TNG4",'ngaigiao (2016)'!$A$3,"MA_HT","CSD","MA_QH","DNL")</f>
        <v>0</v>
      </c>
      <c r="AE58" s="80">
        <f ca="1">+GETPIVOTDATA("TNG4",'ngaigiao (2016)'!$A$3,"MA_HT","CSD","MA_QH","DBV")</f>
        <v>0</v>
      </c>
      <c r="AF58" s="80">
        <f ca="1">+GETPIVOTDATA("TNG4",'ngaigiao (2016)'!$A$3,"MA_HT","CSD","MA_QH","DVH")</f>
        <v>0</v>
      </c>
      <c r="AG58" s="80">
        <f ca="1">+GETPIVOTDATA("TNG4",'ngaigiao (2016)'!$A$3,"MA_HT","CSD","MA_QH","DYT")</f>
        <v>0</v>
      </c>
      <c r="AH58" s="80">
        <f ca="1">+GETPIVOTDATA("TNG4",'ngaigiao (2016)'!$A$3,"MA_HT","CSD","MA_QH","DGD")</f>
        <v>0</v>
      </c>
      <c r="AI58" s="80">
        <f ca="1">+GETPIVOTDATA("TNG4",'ngaigiao (2016)'!$A$3,"MA_HT","CSD","MA_QH","DTT")</f>
        <v>0</v>
      </c>
      <c r="AJ58" s="80">
        <f ca="1">+GETPIVOTDATA("TNG4",'ngaigiao (2016)'!$A$3,"MA_HT","CSD","MA_QH","NCK")</f>
        <v>0</v>
      </c>
      <c r="AK58" s="80">
        <f ca="1">+GETPIVOTDATA("TNG4",'ngaigiao (2016)'!$A$3,"MA_HT","CSD","MA_QH","DXH")</f>
        <v>0</v>
      </c>
      <c r="AL58" s="80">
        <f ca="1">+GETPIVOTDATA("TNG4",'ngaigiao (2016)'!$A$3,"MA_HT","CSD","MA_QH","DCH")</f>
        <v>0</v>
      </c>
      <c r="AM58" s="80">
        <f ca="1">+GETPIVOTDATA("TNG4",'ngaigiao (2016)'!$A$3,"MA_HT","CSD","MA_QH","DKG")</f>
        <v>0</v>
      </c>
      <c r="AN58" s="71">
        <f ca="1">+GETPIVOTDATA("TNG4",'ngaigiao (2016)'!$A$3,"MA_HT","CSD","MA_QH","DDT")</f>
        <v>0</v>
      </c>
      <c r="AO58" s="71">
        <f ca="1">+GETPIVOTDATA("TNG4",'ngaigiao (2016)'!$A$3,"MA_HT","CSD","MA_QH","DDL")</f>
        <v>0</v>
      </c>
      <c r="AP58" s="71">
        <f ca="1">+GETPIVOTDATA("TNG4",'ngaigiao (2016)'!$A$3,"MA_HT","CSD","MA_QH","DRA")</f>
        <v>0</v>
      </c>
      <c r="AQ58" s="71">
        <f ca="1">+GETPIVOTDATA("TNG4",'ngaigiao (2016)'!$A$3,"MA_HT","CSD","MA_QH","ONT")</f>
        <v>0</v>
      </c>
      <c r="AR58" s="71">
        <f ca="1">+GETPIVOTDATA("TNG4",'ngaigiao (2016)'!$A$3,"MA_HT","CSD","MA_QH","ODT")</f>
        <v>0</v>
      </c>
      <c r="AS58" s="71">
        <f ca="1">+GETPIVOTDATA("TNG4",'ngaigiao (2016)'!$A$3,"MA_HT","CSD","MA_QH","TSC")</f>
        <v>0</v>
      </c>
      <c r="AT58" s="71">
        <f ca="1">+GETPIVOTDATA("TNG4",'ngaigiao (2016)'!$A$3,"MA_HT","CSD","MA_QH","DTS")</f>
        <v>0</v>
      </c>
      <c r="AU58" s="71">
        <f ca="1">+GETPIVOTDATA("TNG4",'ngaigiao (2016)'!$A$3,"MA_HT","CSD","MA_QH","DNG")</f>
        <v>0</v>
      </c>
      <c r="AV58" s="71">
        <f ca="1">+GETPIVOTDATA("TNG4",'ngaigiao (2016)'!$A$3,"MA_HT","CSD","MA_QH","TON")</f>
        <v>0</v>
      </c>
      <c r="AW58" s="71">
        <f ca="1">+GETPIVOTDATA("TNG4",'ngaigiao (2016)'!$A$3,"MA_HT","CSD","MA_QH","NTD")</f>
        <v>0</v>
      </c>
      <c r="AX58" s="71">
        <f ca="1">+GETPIVOTDATA("TNG4",'ngaigiao (2016)'!$A$3,"MA_HT","CSD","MA_QH","SKX")</f>
        <v>0</v>
      </c>
      <c r="AY58" s="71">
        <f ca="1">+GETPIVOTDATA("TNG4",'ngaigiao (2016)'!$A$3,"MA_HT","CSD","MA_QH","DSH")</f>
        <v>0</v>
      </c>
      <c r="AZ58" s="71">
        <f ca="1">+GETPIVOTDATA("TNG4",'ngaigiao (2016)'!$A$3,"MA_HT","CSD","MA_QH","DKV")</f>
        <v>0</v>
      </c>
      <c r="BA58" s="89">
        <f ca="1">+GETPIVOTDATA("TNG4",'ngaigiao (2016)'!$A$3,"MA_HT","CSD","MA_QH","TIN")</f>
        <v>0</v>
      </c>
      <c r="BB58" s="80">
        <f ca="1">+GETPIVOTDATA("TNG4",'ngaigiao (2016)'!$A$3,"MA_HT","CSD","MA_QH","SON")</f>
        <v>0</v>
      </c>
      <c r="BC58" s="80">
        <f ca="1">+GETPIVOTDATA("TNG4",'ngaigiao (2016)'!$A$3,"MA_HT","CSD","MA_QH","MNC")</f>
        <v>0</v>
      </c>
      <c r="BD58" s="71">
        <f ca="1">+GETPIVOTDATA("TNG4",'ngaigiao (2016)'!$A$3,"MA_HT","CSD","MA_QH","PNK")</f>
        <v>0</v>
      </c>
      <c r="BE58" s="38" t="e">
        <f ca="1">$D58-$BF58</f>
        <v>#REF!</v>
      </c>
      <c r="BF58" s="74">
        <f ca="1">R58+E58</f>
        <v>0</v>
      </c>
      <c r="BG58" s="119">
        <f ca="1">BE$59-$BF58</f>
        <v>0</v>
      </c>
      <c r="BH58" s="41" t="e">
        <f ca="1" t="shared" si="14"/>
        <v>#REF!</v>
      </c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</row>
    <row r="59" s="2" customFormat="1" ht="13.5" spans="1:246">
      <c r="A59" s="72"/>
      <c r="B59" s="72" t="s">
        <v>8436</v>
      </c>
      <c r="C59" s="73"/>
      <c r="D59" s="74"/>
      <c r="E59" s="75">
        <f ca="1">E58+E19</f>
        <v>0</v>
      </c>
      <c r="F59" s="74">
        <f ca="1" t="shared" ref="F59:Q59" si="22">F58+F19+F6</f>
        <v>0</v>
      </c>
      <c r="G59" s="74">
        <f ca="1" t="shared" si="22"/>
        <v>0</v>
      </c>
      <c r="H59" s="74">
        <f ca="1" t="shared" si="22"/>
        <v>0</v>
      </c>
      <c r="I59" s="74">
        <f ca="1" t="shared" si="22"/>
        <v>0</v>
      </c>
      <c r="J59" s="74">
        <f ca="1" t="shared" si="22"/>
        <v>0</v>
      </c>
      <c r="K59" s="74">
        <f ca="1" t="shared" si="22"/>
        <v>0</v>
      </c>
      <c r="L59" s="74">
        <f ca="1" t="shared" si="22"/>
        <v>0</v>
      </c>
      <c r="M59" s="74">
        <f ca="1" t="shared" si="22"/>
        <v>0</v>
      </c>
      <c r="N59" s="74">
        <f ca="1" t="shared" si="22"/>
        <v>0</v>
      </c>
      <c r="O59" s="74">
        <f ca="1" t="shared" si="22"/>
        <v>0</v>
      </c>
      <c r="P59" s="74">
        <f ca="1" t="shared" si="22"/>
        <v>0</v>
      </c>
      <c r="Q59" s="74">
        <f ca="1" t="shared" si="22"/>
        <v>0</v>
      </c>
      <c r="R59" s="75">
        <f ca="1">+R58+R6</f>
        <v>0</v>
      </c>
      <c r="S59" s="74">
        <f ca="1" t="shared" ref="S59:BD59" si="23">S58+S19+S6</f>
        <v>0</v>
      </c>
      <c r="T59" s="74">
        <f ca="1" t="shared" si="23"/>
        <v>0</v>
      </c>
      <c r="U59" s="74">
        <f ca="1" t="shared" si="23"/>
        <v>0</v>
      </c>
      <c r="V59" s="74">
        <f ca="1" t="shared" si="23"/>
        <v>0</v>
      </c>
      <c r="W59" s="74">
        <f ca="1" t="shared" si="23"/>
        <v>0</v>
      </c>
      <c r="X59" s="74">
        <f ca="1" t="shared" si="23"/>
        <v>0</v>
      </c>
      <c r="Y59" s="74">
        <f ca="1" t="shared" si="23"/>
        <v>0</v>
      </c>
      <c r="Z59" s="74">
        <f ca="1" t="shared" si="23"/>
        <v>0</v>
      </c>
      <c r="AA59" s="74">
        <f ca="1" t="shared" si="23"/>
        <v>0</v>
      </c>
      <c r="AB59" s="74">
        <f ca="1" t="shared" si="23"/>
        <v>0</v>
      </c>
      <c r="AC59" s="74">
        <f ca="1" t="shared" si="23"/>
        <v>0</v>
      </c>
      <c r="AD59" s="74">
        <f ca="1" t="shared" si="23"/>
        <v>0</v>
      </c>
      <c r="AE59" s="74">
        <f ca="1" t="shared" si="23"/>
        <v>0</v>
      </c>
      <c r="AF59" s="74">
        <f ca="1" t="shared" si="23"/>
        <v>0</v>
      </c>
      <c r="AG59" s="74">
        <f ca="1" t="shared" si="23"/>
        <v>0</v>
      </c>
      <c r="AH59" s="74">
        <f ca="1" t="shared" si="23"/>
        <v>0</v>
      </c>
      <c r="AI59" s="74">
        <f ca="1" t="shared" si="23"/>
        <v>0</v>
      </c>
      <c r="AJ59" s="74">
        <f ca="1" t="shared" si="23"/>
        <v>0</v>
      </c>
      <c r="AK59" s="74">
        <f ca="1" t="shared" si="23"/>
        <v>0</v>
      </c>
      <c r="AL59" s="74">
        <f ca="1" t="shared" si="23"/>
        <v>0</v>
      </c>
      <c r="AM59" s="74">
        <f ca="1" t="shared" si="23"/>
        <v>0</v>
      </c>
      <c r="AN59" s="74">
        <f ca="1" t="shared" si="23"/>
        <v>0</v>
      </c>
      <c r="AO59" s="74">
        <f ca="1" t="shared" si="23"/>
        <v>0</v>
      </c>
      <c r="AP59" s="74">
        <f ca="1" t="shared" si="23"/>
        <v>0</v>
      </c>
      <c r="AQ59" s="74">
        <f ca="1" t="shared" si="23"/>
        <v>0</v>
      </c>
      <c r="AR59" s="74">
        <f ca="1" t="shared" si="23"/>
        <v>0</v>
      </c>
      <c r="AS59" s="74">
        <f ca="1" t="shared" si="23"/>
        <v>0</v>
      </c>
      <c r="AT59" s="74">
        <f ca="1" t="shared" si="23"/>
        <v>0</v>
      </c>
      <c r="AU59" s="74">
        <f ca="1" t="shared" si="23"/>
        <v>0</v>
      </c>
      <c r="AV59" s="74">
        <f ca="1" t="shared" si="23"/>
        <v>0</v>
      </c>
      <c r="AW59" s="74">
        <f ca="1" t="shared" si="23"/>
        <v>0</v>
      </c>
      <c r="AX59" s="74">
        <f ca="1" t="shared" si="23"/>
        <v>0</v>
      </c>
      <c r="AY59" s="74">
        <f ca="1" t="shared" si="23"/>
        <v>0</v>
      </c>
      <c r="AZ59" s="74">
        <f ca="1" t="shared" si="23"/>
        <v>0</v>
      </c>
      <c r="BA59" s="75">
        <f ca="1" t="shared" si="23"/>
        <v>0</v>
      </c>
      <c r="BB59" s="74">
        <f ca="1" t="shared" si="23"/>
        <v>0</v>
      </c>
      <c r="BC59" s="74">
        <f ca="1" t="shared" si="23"/>
        <v>0</v>
      </c>
      <c r="BD59" s="74">
        <f ca="1" t="shared" si="23"/>
        <v>0</v>
      </c>
      <c r="BE59" s="120">
        <f ca="1">BE19+BE6</f>
        <v>0</v>
      </c>
      <c r="BF59" s="74"/>
      <c r="BG59" s="74"/>
      <c r="BH59" s="74"/>
      <c r="BI59" s="121"/>
      <c r="BJ59" s="121"/>
      <c r="BK59" s="121"/>
      <c r="BL59" s="1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3"/>
      <c r="CB59" s="123"/>
      <c r="CC59" s="124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</row>
    <row r="61" spans="61:76"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</row>
  </sheetData>
  <mergeCells count="3">
    <mergeCell ref="A3:A4"/>
    <mergeCell ref="B3:B4"/>
    <mergeCell ref="C3:C4"/>
  </mergeCells>
  <pageMargins left="0.65" right="0" top="0.5" bottom="0.25" header="0.5" footer="0.5"/>
  <pageSetup paperSize="8" orientation="landscape" horizontalDpi="360" verticalDpi="36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0">
    <tabColor rgb="FFFF0000"/>
  </sheetPr>
  <dimension ref="A1:IL61"/>
  <sheetViews>
    <sheetView workbookViewId="0">
      <selection activeCell="A1" sqref="A1"/>
    </sheetView>
  </sheetViews>
  <sheetFormatPr defaultColWidth="9" defaultRowHeight="15"/>
  <cols>
    <col min="1" max="1" width="6.375" style="7" customWidth="1"/>
    <col min="2" max="2" width="29.125" style="7" customWidth="1"/>
    <col min="3" max="3" width="6" style="7" customWidth="1"/>
    <col min="4" max="4" width="9.75" style="8" customWidth="1"/>
    <col min="5" max="5" width="9.375" style="9" customWidth="1"/>
    <col min="6" max="6" width="7" style="8" customWidth="1"/>
    <col min="7" max="7" width="7.75" style="8" customWidth="1"/>
    <col min="8" max="8" width="7" style="8" customWidth="1"/>
    <col min="9" max="9" width="6.875" style="8" customWidth="1"/>
    <col min="10" max="10" width="7.625" style="8" customWidth="1"/>
    <col min="11" max="11" width="9.125" style="8" customWidth="1"/>
    <col min="12" max="12" width="8.25" style="8" customWidth="1"/>
    <col min="13" max="13" width="6" style="8" customWidth="1"/>
    <col min="14" max="14" width="6.25" style="8" customWidth="1"/>
    <col min="15" max="15" width="5.875" style="8" customWidth="1"/>
    <col min="16" max="16" width="5.75" style="8" customWidth="1"/>
    <col min="17" max="17" width="6.25" style="8" customWidth="1"/>
    <col min="18" max="18" width="8.75" style="10" customWidth="1"/>
    <col min="19" max="19" width="7.125" style="8" customWidth="1"/>
    <col min="20" max="20" width="7.75" style="8" customWidth="1"/>
    <col min="21" max="23" width="6.125" style="8" customWidth="1"/>
    <col min="24" max="24" width="7.125" style="8" customWidth="1"/>
    <col min="25" max="25" width="7.75" style="8" customWidth="1"/>
    <col min="26" max="26" width="6.875" style="8" customWidth="1"/>
    <col min="27" max="27" width="7.375" style="8" customWidth="1"/>
    <col min="28" max="28" width="9" style="8"/>
    <col min="29" max="29" width="7.25" style="8" customWidth="1"/>
    <col min="30" max="30" width="7" style="8" customWidth="1"/>
    <col min="31" max="31" width="6.125" style="8" customWidth="1"/>
    <col min="32" max="33" width="6.625" style="8" customWidth="1"/>
    <col min="34" max="34" width="6.125" style="8" customWidth="1"/>
    <col min="35" max="35" width="8.5" style="8" customWidth="1"/>
    <col min="36" max="36" width="8.875" style="8" customWidth="1"/>
    <col min="37" max="37" width="8.75" style="8" customWidth="1"/>
    <col min="38" max="39" width="6.625" style="8" customWidth="1"/>
    <col min="40" max="41" width="6.875" style="8" customWidth="1"/>
    <col min="42" max="42" width="6.75" style="8" customWidth="1"/>
    <col min="43" max="43" width="6.375" style="8" customWidth="1"/>
    <col min="44" max="44" width="6.125" style="8" customWidth="1"/>
    <col min="45" max="46" width="5.75" style="8" customWidth="1"/>
    <col min="47" max="47" width="6.5" style="8" customWidth="1"/>
    <col min="48" max="49" width="5.625" style="8" customWidth="1"/>
    <col min="50" max="51" width="6.125" style="8" customWidth="1"/>
    <col min="52" max="52" width="7.625" style="8" customWidth="1"/>
    <col min="53" max="53" width="9.375" style="11" customWidth="1"/>
    <col min="54" max="54" width="6.625" style="12" customWidth="1"/>
    <col min="55" max="55" width="6.25" style="12" customWidth="1"/>
    <col min="56" max="56" width="7.125" style="8" customWidth="1"/>
    <col min="57" max="57" width="6.25" style="9" customWidth="1"/>
    <col min="58" max="58" width="7.25" style="11" customWidth="1"/>
    <col min="59" max="59" width="8.25" style="11" customWidth="1"/>
    <col min="60" max="60" width="10.125" style="11" customWidth="1"/>
    <col min="61" max="61" width="5.125" style="7" customWidth="1"/>
    <col min="62" max="62" width="8.375" style="7" hidden="1" customWidth="1"/>
    <col min="63" max="63" width="9" style="7" hidden="1" customWidth="1"/>
    <col min="64" max="64" width="4.875" style="7" customWidth="1"/>
    <col min="65" max="65" width="6.25" style="7" customWidth="1"/>
    <col min="66" max="66" width="5" style="7" customWidth="1"/>
    <col min="67" max="67" width="4.25" style="7" customWidth="1"/>
    <col min="68" max="68" width="5.375" style="7" customWidth="1"/>
    <col min="69" max="69" width="5.125" style="7" customWidth="1"/>
    <col min="70" max="70" width="4.625" style="7" customWidth="1"/>
    <col min="71" max="71" width="5.625" style="7" customWidth="1"/>
    <col min="72" max="72" width="5.875" style="7" customWidth="1"/>
    <col min="73" max="73" width="5" style="7" customWidth="1"/>
    <col min="74" max="74" width="3.875" style="7" customWidth="1"/>
    <col min="75" max="75" width="4.625" style="7" customWidth="1"/>
    <col min="76" max="76" width="5.5" style="7" customWidth="1"/>
    <col min="77" max="77" width="7.625" style="13" customWidth="1"/>
    <col min="78" max="79" width="8.375" style="13" customWidth="1"/>
    <col min="80" max="80" width="7.5" style="7" customWidth="1"/>
    <col min="81" max="16384" width="9" style="7"/>
  </cols>
  <sheetData>
    <row r="1" ht="21" customHeight="1" spans="1:82">
      <c r="A1" s="14" t="s">
        <v>8330</v>
      </c>
      <c r="B1" s="15"/>
      <c r="C1" s="16" t="e">
        <f>+"CHU CHUYỂN ĐẤT ĐAI TRONG KẾ HOẠCH SỬ DỤNG ĐẤT NĂM 2015 CỦA "&amp;#REF!</f>
        <v>#REF!</v>
      </c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83"/>
      <c r="BC1" s="83"/>
      <c r="BD1" s="18"/>
      <c r="BE1" s="18"/>
      <c r="BF1" s="18"/>
      <c r="BG1" s="18"/>
      <c r="BH1" s="18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7"/>
      <c r="BZ1" s="7"/>
      <c r="CA1" s="7"/>
      <c r="CB1" s="8"/>
      <c r="CC1" s="8"/>
      <c r="CD1" s="8"/>
    </row>
    <row r="2" s="1" customFormat="1" ht="7.5" customHeight="1" spans="1:82">
      <c r="A2" s="1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9"/>
      <c r="BA2" s="20"/>
      <c r="BB2" s="84"/>
      <c r="BC2" s="84"/>
      <c r="BD2" s="20"/>
      <c r="BE2" s="20"/>
      <c r="BF2" s="20"/>
      <c r="BG2" s="20"/>
      <c r="BH2" s="95" t="s">
        <v>8331</v>
      </c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CB2" s="9"/>
      <c r="CC2" s="9"/>
      <c r="CD2" s="9"/>
    </row>
    <row r="3" s="2" customFormat="1" ht="15.75" customHeight="1" spans="1:79">
      <c r="A3" s="21" t="s">
        <v>3</v>
      </c>
      <c r="B3" s="21" t="s">
        <v>8332</v>
      </c>
      <c r="C3" s="21" t="s">
        <v>8333</v>
      </c>
      <c r="D3" s="22"/>
      <c r="E3" s="23" t="s">
        <v>8334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7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85"/>
      <c r="BC3" s="85"/>
      <c r="BD3" s="24"/>
      <c r="BE3" s="97"/>
      <c r="BF3" s="22"/>
      <c r="BG3" s="22"/>
      <c r="BH3" s="22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</row>
    <row r="4" s="2" customFormat="1" ht="31.5" customHeight="1" spans="1:79">
      <c r="A4" s="25"/>
      <c r="B4" s="25"/>
      <c r="C4" s="25"/>
      <c r="D4" s="26" t="s">
        <v>8335</v>
      </c>
      <c r="E4" s="27" t="s">
        <v>8303</v>
      </c>
      <c r="F4" s="28" t="s">
        <v>8298</v>
      </c>
      <c r="G4" s="29" t="s">
        <v>8299</v>
      </c>
      <c r="H4" s="29" t="s">
        <v>221</v>
      </c>
      <c r="I4" s="29" t="s">
        <v>8300</v>
      </c>
      <c r="J4" s="28" t="s">
        <v>2492</v>
      </c>
      <c r="K4" s="28" t="s">
        <v>30</v>
      </c>
      <c r="L4" s="28" t="s">
        <v>8307</v>
      </c>
      <c r="M4" s="28" t="s">
        <v>8306</v>
      </c>
      <c r="N4" s="28" t="s">
        <v>8305</v>
      </c>
      <c r="O4" s="76" t="s">
        <v>318</v>
      </c>
      <c r="P4" s="28" t="s">
        <v>8297</v>
      </c>
      <c r="Q4" s="28" t="s">
        <v>553</v>
      </c>
      <c r="R4" s="37" t="s">
        <v>8304</v>
      </c>
      <c r="S4" s="40" t="s">
        <v>31</v>
      </c>
      <c r="T4" s="40" t="s">
        <v>8283</v>
      </c>
      <c r="U4" s="40" t="s">
        <v>47</v>
      </c>
      <c r="V4" s="40" t="s">
        <v>8308</v>
      </c>
      <c r="W4" s="40" t="s">
        <v>56</v>
      </c>
      <c r="X4" s="40" t="s">
        <v>265</v>
      </c>
      <c r="Y4" s="40" t="s">
        <v>204</v>
      </c>
      <c r="Z4" s="40" t="s">
        <v>174</v>
      </c>
      <c r="AA4" s="40" t="s">
        <v>8288</v>
      </c>
      <c r="AB4" s="46" t="s">
        <v>94</v>
      </c>
      <c r="AC4" s="46" t="s">
        <v>216</v>
      </c>
      <c r="AD4" s="46" t="s">
        <v>71</v>
      </c>
      <c r="AE4" s="46" t="s">
        <v>8285</v>
      </c>
      <c r="AF4" s="46" t="s">
        <v>212</v>
      </c>
      <c r="AG4" s="46" t="s">
        <v>8296</v>
      </c>
      <c r="AH4" s="46" t="s">
        <v>165</v>
      </c>
      <c r="AI4" s="46" t="s">
        <v>8294</v>
      </c>
      <c r="AJ4" s="46" t="s">
        <v>8302</v>
      </c>
      <c r="AK4" s="46" t="s">
        <v>8295</v>
      </c>
      <c r="AL4" s="46" t="s">
        <v>178</v>
      </c>
      <c r="AM4" s="46" t="s">
        <v>8312</v>
      </c>
      <c r="AN4" s="40" t="s">
        <v>8287</v>
      </c>
      <c r="AO4" s="40" t="s">
        <v>8286</v>
      </c>
      <c r="AP4" s="40" t="s">
        <v>8291</v>
      </c>
      <c r="AQ4" s="40" t="s">
        <v>188</v>
      </c>
      <c r="AR4" s="40" t="s">
        <v>201</v>
      </c>
      <c r="AS4" s="40" t="s">
        <v>336</v>
      </c>
      <c r="AT4" s="40" t="s">
        <v>8293</v>
      </c>
      <c r="AU4" s="40" t="s">
        <v>8290</v>
      </c>
      <c r="AV4" s="40" t="s">
        <v>324</v>
      </c>
      <c r="AW4" s="40" t="s">
        <v>182</v>
      </c>
      <c r="AX4" s="40" t="s">
        <v>236</v>
      </c>
      <c r="AY4" s="40" t="s">
        <v>8292</v>
      </c>
      <c r="AZ4" s="40" t="s">
        <v>8289</v>
      </c>
      <c r="BA4" s="40" t="s">
        <v>8310</v>
      </c>
      <c r="BB4" s="40" t="s">
        <v>8309</v>
      </c>
      <c r="BC4" s="40" t="s">
        <v>8301</v>
      </c>
      <c r="BD4" s="40" t="s">
        <v>59</v>
      </c>
      <c r="BE4" s="27" t="s">
        <v>8284</v>
      </c>
      <c r="BF4" s="99" t="s">
        <v>8336</v>
      </c>
      <c r="BG4" s="100" t="s">
        <v>8337</v>
      </c>
      <c r="BH4" s="26" t="s">
        <v>8335</v>
      </c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</row>
    <row r="5" s="2" customFormat="1" ht="15.75" customHeight="1" spans="1:79">
      <c r="A5" s="30"/>
      <c r="B5" s="30" t="s">
        <v>8338</v>
      </c>
      <c r="C5" s="31"/>
      <c r="D5" s="32" t="e">
        <f>+#REF!</f>
        <v>#REF!</v>
      </c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86"/>
      <c r="BC5" s="86"/>
      <c r="BD5" s="34"/>
      <c r="BE5" s="33"/>
      <c r="BF5" s="34"/>
      <c r="BG5" s="34"/>
      <c r="BH5" s="34" t="e">
        <f ca="1">BH6+BH19+BH58</f>
        <v>#REF!</v>
      </c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</row>
    <row r="6" s="3" customFormat="1" ht="15.75" customHeight="1" spans="1:79">
      <c r="A6" s="35">
        <v>1</v>
      </c>
      <c r="B6" s="36" t="s">
        <v>8339</v>
      </c>
      <c r="C6" s="37" t="s">
        <v>8303</v>
      </c>
      <c r="D6" s="33" t="e">
        <f>+#REF!</f>
        <v>#REF!</v>
      </c>
      <c r="E6" s="38" t="e">
        <f ca="1">$D6-$BF6</f>
        <v>#REF!</v>
      </c>
      <c r="F6" s="33">
        <f ca="1">SUM(F11:F18)</f>
        <v>0</v>
      </c>
      <c r="G6" s="33">
        <f ca="1">SUM(G7,G11:G18)</f>
        <v>0</v>
      </c>
      <c r="H6" s="33">
        <f ca="1">SUM(H7,H11:H18)</f>
        <v>0</v>
      </c>
      <c r="I6" s="33">
        <f ca="1">SUM(I7,I11:I18)</f>
        <v>0</v>
      </c>
      <c r="J6" s="33">
        <f ca="1">SUM(J7,J12:J18)</f>
        <v>0</v>
      </c>
      <c r="K6" s="33">
        <f ca="1">SUM(K7,K11,K13:K18)</f>
        <v>0</v>
      </c>
      <c r="L6" s="33">
        <f ca="1">SUM(L7,L11:L12,L14:L18)</f>
        <v>0</v>
      </c>
      <c r="M6" s="33">
        <f ca="1">SUM(M7,M11:M13,M15:M18)</f>
        <v>0</v>
      </c>
      <c r="N6" s="33">
        <f ca="1">SUM(N7,N11:N14,N16:N18)</f>
        <v>0</v>
      </c>
      <c r="O6" s="33">
        <f ca="1">SUM(O7,O11:O15,O17:O18)</f>
        <v>0</v>
      </c>
      <c r="P6" s="33">
        <f ca="1">SUM(P7,P11:P16,P18:P18)</f>
        <v>0</v>
      </c>
      <c r="Q6" s="33">
        <f ca="1">SUM(Q7,Q11:Q17)</f>
        <v>0</v>
      </c>
      <c r="R6" s="33">
        <f ca="1">SUM(R7,R11:R18)</f>
        <v>0</v>
      </c>
      <c r="S6" s="33">
        <f ca="1">SUM(S7,S11:S18)</f>
        <v>0</v>
      </c>
      <c r="T6" s="33">
        <f ca="1" t="shared" ref="T6:BE6" si="0">SUM(T7,T11:T18)</f>
        <v>0</v>
      </c>
      <c r="U6" s="33">
        <f ca="1" t="shared" si="0"/>
        <v>0</v>
      </c>
      <c r="V6" s="33">
        <f ca="1" t="shared" si="0"/>
        <v>0</v>
      </c>
      <c r="W6" s="33">
        <f ca="1" t="shared" si="0"/>
        <v>0</v>
      </c>
      <c r="X6" s="33">
        <f ca="1" t="shared" si="0"/>
        <v>0</v>
      </c>
      <c r="Y6" s="33">
        <f ca="1" t="shared" si="0"/>
        <v>0</v>
      </c>
      <c r="Z6" s="33">
        <f ca="1" t="shared" si="0"/>
        <v>0</v>
      </c>
      <c r="AA6" s="33">
        <f ca="1" t="shared" si="0"/>
        <v>0</v>
      </c>
      <c r="AB6" s="33">
        <f ca="1" t="shared" si="0"/>
        <v>0</v>
      </c>
      <c r="AC6" s="33">
        <f ca="1" t="shared" si="0"/>
        <v>0</v>
      </c>
      <c r="AD6" s="33">
        <f ca="1" t="shared" si="0"/>
        <v>0</v>
      </c>
      <c r="AE6" s="33">
        <f ca="1" t="shared" si="0"/>
        <v>0</v>
      </c>
      <c r="AF6" s="33">
        <f ca="1" t="shared" si="0"/>
        <v>0</v>
      </c>
      <c r="AG6" s="33">
        <f ca="1" t="shared" si="0"/>
        <v>0</v>
      </c>
      <c r="AH6" s="33">
        <f ca="1" t="shared" si="0"/>
        <v>0</v>
      </c>
      <c r="AI6" s="33">
        <f ca="1" t="shared" si="0"/>
        <v>0</v>
      </c>
      <c r="AJ6" s="33">
        <f ca="1" t="shared" si="0"/>
        <v>0</v>
      </c>
      <c r="AK6" s="33">
        <f ca="1" t="shared" si="0"/>
        <v>0</v>
      </c>
      <c r="AL6" s="33">
        <f ca="1" t="shared" si="0"/>
        <v>0</v>
      </c>
      <c r="AM6" s="33">
        <f ca="1" t="shared" si="0"/>
        <v>0</v>
      </c>
      <c r="AN6" s="33">
        <f ca="1" t="shared" si="0"/>
        <v>0</v>
      </c>
      <c r="AO6" s="33">
        <f ca="1" t="shared" si="0"/>
        <v>0</v>
      </c>
      <c r="AP6" s="33">
        <f ca="1" t="shared" si="0"/>
        <v>0</v>
      </c>
      <c r="AQ6" s="33">
        <f ca="1" t="shared" si="0"/>
        <v>0</v>
      </c>
      <c r="AR6" s="33">
        <f ca="1" t="shared" si="0"/>
        <v>0</v>
      </c>
      <c r="AS6" s="33">
        <f ca="1" t="shared" si="0"/>
        <v>0</v>
      </c>
      <c r="AT6" s="33">
        <f ca="1" t="shared" si="0"/>
        <v>0</v>
      </c>
      <c r="AU6" s="33">
        <f ca="1" t="shared" si="0"/>
        <v>0</v>
      </c>
      <c r="AV6" s="33">
        <f ca="1" t="shared" si="0"/>
        <v>0</v>
      </c>
      <c r="AW6" s="33">
        <f ca="1" t="shared" si="0"/>
        <v>0</v>
      </c>
      <c r="AX6" s="33">
        <f ca="1" t="shared" si="0"/>
        <v>0</v>
      </c>
      <c r="AY6" s="33">
        <f ca="1" t="shared" si="0"/>
        <v>0</v>
      </c>
      <c r="AZ6" s="33">
        <f ca="1" t="shared" si="0"/>
        <v>0</v>
      </c>
      <c r="BA6" s="33">
        <f ca="1" t="shared" si="0"/>
        <v>0</v>
      </c>
      <c r="BB6" s="33">
        <f ca="1" t="shared" si="0"/>
        <v>0</v>
      </c>
      <c r="BC6" s="33">
        <f ca="1" t="shared" si="0"/>
        <v>0</v>
      </c>
      <c r="BD6" s="33">
        <f ca="1" t="shared" si="0"/>
        <v>0</v>
      </c>
      <c r="BE6" s="33">
        <f ca="1" t="shared" si="0"/>
        <v>0</v>
      </c>
      <c r="BF6" s="74">
        <f ca="1">BE6+R6</f>
        <v>0</v>
      </c>
      <c r="BG6" s="101">
        <f ca="1">E$59-$BF6</f>
        <v>0</v>
      </c>
      <c r="BH6" s="33" t="e">
        <f ca="1">SUM(BH7,BH11:BH18)</f>
        <v>#REF!</v>
      </c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</row>
    <row r="7" s="2" customFormat="1" ht="15.75" customHeight="1" spans="1:79">
      <c r="A7" s="39" t="s">
        <v>27</v>
      </c>
      <c r="B7" s="39" t="s">
        <v>8340</v>
      </c>
      <c r="C7" s="40" t="s">
        <v>8298</v>
      </c>
      <c r="D7" s="41" t="e">
        <f>+#REF!</f>
        <v>#REF!</v>
      </c>
      <c r="E7" s="42">
        <f ca="1">SUM(J7:Q7)</f>
        <v>0</v>
      </c>
      <c r="F7" s="43" t="e">
        <f ca="1">$D7-$BF7</f>
        <v>#REF!</v>
      </c>
      <c r="G7" s="44">
        <f ca="1">SUM(G9:G10)</f>
        <v>0</v>
      </c>
      <c r="H7" s="44">
        <f ca="1">SUM(H8,H10)</f>
        <v>0</v>
      </c>
      <c r="I7" s="44">
        <f ca="1">SUM(I8:I9)</f>
        <v>0</v>
      </c>
      <c r="J7" s="44">
        <f ca="1">SUM(J8:J10)</f>
        <v>0</v>
      </c>
      <c r="K7" s="44">
        <f ca="1" t="shared" ref="K7:Q7" si="1">SUM(K8:K10)</f>
        <v>0</v>
      </c>
      <c r="L7" s="44">
        <f ca="1" t="shared" si="1"/>
        <v>0</v>
      </c>
      <c r="M7" s="44">
        <f ca="1" t="shared" si="1"/>
        <v>0</v>
      </c>
      <c r="N7" s="44">
        <f ca="1" t="shared" si="1"/>
        <v>0</v>
      </c>
      <c r="O7" s="44">
        <f ca="1" t="shared" si="1"/>
        <v>0</v>
      </c>
      <c r="P7" s="44">
        <f ca="1" t="shared" si="1"/>
        <v>0</v>
      </c>
      <c r="Q7" s="44">
        <f ca="1" t="shared" si="1"/>
        <v>0</v>
      </c>
      <c r="R7" s="42">
        <f ca="1" t="shared" ref="R7:R18" si="2">SUM(S7:AA7,AN7:BD7)</f>
        <v>0</v>
      </c>
      <c r="S7" s="52">
        <f ca="1" t="shared" ref="S7:AY7" si="3">SUM(S8:S10)</f>
        <v>0</v>
      </c>
      <c r="T7" s="52">
        <f ca="1" t="shared" si="3"/>
        <v>0</v>
      </c>
      <c r="U7" s="52">
        <f ca="1" t="shared" si="3"/>
        <v>0</v>
      </c>
      <c r="V7" s="52">
        <f ca="1" t="shared" si="3"/>
        <v>0</v>
      </c>
      <c r="W7" s="52">
        <f ca="1" t="shared" si="3"/>
        <v>0</v>
      </c>
      <c r="X7" s="52">
        <f ca="1" t="shared" si="3"/>
        <v>0</v>
      </c>
      <c r="Y7" s="52">
        <f ca="1" t="shared" si="3"/>
        <v>0</v>
      </c>
      <c r="Z7" s="52">
        <f ca="1" t="shared" si="3"/>
        <v>0</v>
      </c>
      <c r="AA7" s="52">
        <f ca="1" t="shared" ref="AA7:AA18" si="4">+SUM(AB7:AM7)</f>
        <v>0</v>
      </c>
      <c r="AB7" s="52">
        <f ca="1" t="shared" ref="AB7:AM7" si="5">SUM(AB8:AB10)</f>
        <v>0</v>
      </c>
      <c r="AC7" s="52">
        <f ca="1" t="shared" si="5"/>
        <v>0</v>
      </c>
      <c r="AD7" s="52">
        <f ca="1" t="shared" si="5"/>
        <v>0</v>
      </c>
      <c r="AE7" s="52">
        <f ca="1" t="shared" si="5"/>
        <v>0</v>
      </c>
      <c r="AF7" s="52">
        <f ca="1" t="shared" si="5"/>
        <v>0</v>
      </c>
      <c r="AG7" s="52">
        <f ca="1" t="shared" si="5"/>
        <v>0</v>
      </c>
      <c r="AH7" s="52">
        <f ca="1" t="shared" si="5"/>
        <v>0</v>
      </c>
      <c r="AI7" s="52">
        <f ca="1" t="shared" si="5"/>
        <v>0</v>
      </c>
      <c r="AJ7" s="52">
        <f ca="1" t="shared" si="5"/>
        <v>0</v>
      </c>
      <c r="AK7" s="52">
        <f ca="1" t="shared" si="5"/>
        <v>0</v>
      </c>
      <c r="AL7" s="52">
        <f ca="1" t="shared" si="5"/>
        <v>0</v>
      </c>
      <c r="AM7" s="52">
        <f ca="1" t="shared" si="5"/>
        <v>0</v>
      </c>
      <c r="AN7" s="52">
        <f ca="1" t="shared" si="3"/>
        <v>0</v>
      </c>
      <c r="AO7" s="52">
        <f ca="1" t="shared" si="3"/>
        <v>0</v>
      </c>
      <c r="AP7" s="52">
        <f ca="1" t="shared" si="3"/>
        <v>0</v>
      </c>
      <c r="AQ7" s="52">
        <f ca="1" t="shared" si="3"/>
        <v>0</v>
      </c>
      <c r="AR7" s="52">
        <f ca="1" t="shared" si="3"/>
        <v>0</v>
      </c>
      <c r="AS7" s="52">
        <f ca="1" t="shared" si="3"/>
        <v>0</v>
      </c>
      <c r="AT7" s="52">
        <f ca="1" t="shared" si="3"/>
        <v>0</v>
      </c>
      <c r="AU7" s="52">
        <f ca="1" t="shared" si="3"/>
        <v>0</v>
      </c>
      <c r="AV7" s="52">
        <f ca="1" t="shared" si="3"/>
        <v>0</v>
      </c>
      <c r="AW7" s="52">
        <f ca="1" t="shared" si="3"/>
        <v>0</v>
      </c>
      <c r="AX7" s="52">
        <f ca="1" t="shared" si="3"/>
        <v>0</v>
      </c>
      <c r="AY7" s="52">
        <f ca="1" t="shared" si="3"/>
        <v>0</v>
      </c>
      <c r="AZ7" s="52">
        <f ca="1" t="shared" ref="AZ7:BE7" si="6">SUM(AZ8:AZ10)</f>
        <v>0</v>
      </c>
      <c r="BA7" s="87">
        <f ca="1" t="shared" si="6"/>
        <v>0</v>
      </c>
      <c r="BB7" s="52">
        <f ca="1" t="shared" si="6"/>
        <v>0</v>
      </c>
      <c r="BC7" s="52">
        <f ca="1" t="shared" si="6"/>
        <v>0</v>
      </c>
      <c r="BD7" s="52">
        <f ca="1" t="shared" si="6"/>
        <v>0</v>
      </c>
      <c r="BE7" s="52">
        <f ca="1" t="shared" si="6"/>
        <v>0</v>
      </c>
      <c r="BF7" s="74">
        <f ca="1" t="shared" ref="BF7:BF18" si="7">BE7+R7+E7</f>
        <v>0</v>
      </c>
      <c r="BG7" s="101">
        <f ca="1">F$59-$BF7</f>
        <v>0</v>
      </c>
      <c r="BH7" s="41" t="e">
        <f ca="1" t="shared" ref="BH7:BH18" si="8">BG7+D7</f>
        <v>#REF!</v>
      </c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</row>
    <row r="8" s="4" customFormat="1" ht="15.75" customHeight="1" spans="1:79">
      <c r="A8" s="45"/>
      <c r="B8" s="316" t="s">
        <v>8341</v>
      </c>
      <c r="C8" s="46" t="s">
        <v>8299</v>
      </c>
      <c r="D8" s="47" t="e">
        <f>+#REF!</f>
        <v>#REF!</v>
      </c>
      <c r="E8" s="48">
        <f ca="1">SUM(F8,J8:Q8)</f>
        <v>0</v>
      </c>
      <c r="F8" s="44">
        <f ca="1">SUM(H8:I8)</f>
        <v>0</v>
      </c>
      <c r="G8" s="49" t="e">
        <f ca="1">$D8-$BF8</f>
        <v>#REF!</v>
      </c>
      <c r="H8" s="50">
        <f ca="1">+GETPIVOTDATA("XBC4",'bauchinh (2016)'!$A$3,"MA_HT","LUC","MA_QH","LUK")</f>
        <v>0</v>
      </c>
      <c r="I8" s="50">
        <f ca="1">+GETPIVOTDATA("XBC4",'bauchinh (2016)'!$A$3,"MA_HT","LUC","MA_QH","LUN")</f>
        <v>0</v>
      </c>
      <c r="J8" s="50">
        <f ca="1">+GETPIVOTDATA("XBC4",'bauchinh (2016)'!$A$3,"MA_HT","LUC","MA_QH","HNK")</f>
        <v>0</v>
      </c>
      <c r="K8" s="50">
        <f ca="1">+GETPIVOTDATA("XBC4",'bauchinh (2016)'!$A$3,"MA_HT","LUC","MA_QH","CLN")</f>
        <v>0</v>
      </c>
      <c r="L8" s="50">
        <f ca="1">+GETPIVOTDATA("XBC4",'bauchinh (2016)'!$A$3,"MA_HT","LUC","MA_QH","RSX")</f>
        <v>0</v>
      </c>
      <c r="M8" s="50">
        <f ca="1">+GETPIVOTDATA("XBC4",'bauchinh (2016)'!$A$3,"MA_HT","LUC","MA_QH","RPH")</f>
        <v>0</v>
      </c>
      <c r="N8" s="50">
        <f ca="1">+GETPIVOTDATA("XBC4",'bauchinh (2016)'!$A$3,"MA_HT","LUC","MA_QH","RDD")</f>
        <v>0</v>
      </c>
      <c r="O8" s="50">
        <f ca="1">+GETPIVOTDATA("XBC4",'bauchinh (2016)'!$A$3,"MA_HT","LUC","MA_QH","NTS")</f>
        <v>0</v>
      </c>
      <c r="P8" s="50">
        <f ca="1">+GETPIVOTDATA("XBC4",'bauchinh (2016)'!$A$3,"MA_HT","LUC","MA_QH","LMU")</f>
        <v>0</v>
      </c>
      <c r="Q8" s="50">
        <f ca="1">+GETPIVOTDATA("XBC4",'bauchinh (2016)'!$A$3,"MA_HT","LUC","MA_QH","NKH")</f>
        <v>0</v>
      </c>
      <c r="R8" s="48">
        <f ca="1" t="shared" si="2"/>
        <v>0</v>
      </c>
      <c r="S8" s="50">
        <f ca="1">+GETPIVOTDATA("XBC4",'bauchinh (2016)'!$A$3,"MA_HT","LUC","MA_QH","CQP")</f>
        <v>0</v>
      </c>
      <c r="T8" s="50">
        <f ca="1">+GETPIVOTDATA("XBC4",'bauchinh (2016)'!$A$3,"MA_HT","LUC","MA_QH","CAN")</f>
        <v>0</v>
      </c>
      <c r="U8" s="50">
        <f ca="1">+GETPIVOTDATA("XBC4",'bauchinh (2016)'!$A$3,"MA_HT","LUC","MA_QH","SKK")</f>
        <v>0</v>
      </c>
      <c r="V8" s="50">
        <f ca="1">+GETPIVOTDATA("XBC4",'bauchinh (2016)'!$A$3,"MA_HT","LUC","MA_QH","SKT")</f>
        <v>0</v>
      </c>
      <c r="W8" s="50">
        <f ca="1">+GETPIVOTDATA("XBC4",'bauchinh (2016)'!$A$3,"MA_HT","LUC","MA_QH","SKN")</f>
        <v>0</v>
      </c>
      <c r="X8" s="50">
        <f ca="1">+GETPIVOTDATA("XBC4",'bauchinh (2016)'!$A$3,"MA_HT","LUC","MA_QH","TMD")</f>
        <v>0</v>
      </c>
      <c r="Y8" s="50">
        <f ca="1">+GETPIVOTDATA("XBC4",'bauchinh (2016)'!$A$3,"MA_HT","LUC","MA_QH","SKC")</f>
        <v>0</v>
      </c>
      <c r="Z8" s="50">
        <f ca="1">+GETPIVOTDATA("XBC4",'bauchinh (2016)'!$A$3,"MA_HT","LUC","MA_QH","SKS")</f>
        <v>0</v>
      </c>
      <c r="AA8" s="52">
        <f ca="1" t="shared" si="4"/>
        <v>0</v>
      </c>
      <c r="AB8" s="50">
        <f ca="1">+GETPIVOTDATA("XBC4",'bauchinh (2016)'!$A$3,"MA_HT","LUC","MA_QH","DGT")</f>
        <v>0</v>
      </c>
      <c r="AC8" s="50">
        <f ca="1">+GETPIVOTDATA("XBC4",'bauchinh (2016)'!$A$3,"MA_HT","LUC","MA_QH","DTL")</f>
        <v>0</v>
      </c>
      <c r="AD8" s="50">
        <f ca="1">+GETPIVOTDATA("XBC4",'bauchinh (2016)'!$A$3,"MA_HT","LUC","MA_QH","DNL")</f>
        <v>0</v>
      </c>
      <c r="AE8" s="50">
        <f ca="1">+GETPIVOTDATA("XBC4",'bauchinh (2016)'!$A$3,"MA_HT","LUC","MA_QH","DBV")</f>
        <v>0</v>
      </c>
      <c r="AF8" s="50">
        <f ca="1">+GETPIVOTDATA("XBC4",'bauchinh (2016)'!$A$3,"MA_HT","LUC","MA_QH","DVH")</f>
        <v>0</v>
      </c>
      <c r="AG8" s="50">
        <f ca="1">+GETPIVOTDATA("XBC4",'bauchinh (2016)'!$A$3,"MA_HT","LUC","MA_QH","DYT")</f>
        <v>0</v>
      </c>
      <c r="AH8" s="50">
        <f ca="1">+GETPIVOTDATA("XBC4",'bauchinh (2016)'!$A$3,"MA_HT","LUC","MA_QH","DGD")</f>
        <v>0</v>
      </c>
      <c r="AI8" s="50">
        <f ca="1">+GETPIVOTDATA("XBC4",'bauchinh (2016)'!$A$3,"MA_HT","LUC","MA_QH","DTT")</f>
        <v>0</v>
      </c>
      <c r="AJ8" s="50">
        <f ca="1">+GETPIVOTDATA("XBC4",'bauchinh (2016)'!$A$3,"MA_HT","LUC","MA_QH","NCK")</f>
        <v>0</v>
      </c>
      <c r="AK8" s="50">
        <f ca="1">+GETPIVOTDATA("XBC4",'bauchinh (2016)'!$A$3,"MA_HT","LUC","MA_QH","DXH")</f>
        <v>0</v>
      </c>
      <c r="AL8" s="50">
        <f ca="1">+GETPIVOTDATA("XBC4",'bauchinh (2016)'!$A$3,"MA_HT","LUC","MA_QH","DCH")</f>
        <v>0</v>
      </c>
      <c r="AM8" s="50">
        <f ca="1">+GETPIVOTDATA("XBC4",'bauchinh (2016)'!$A$3,"MA_HT","LUC","MA_QH","DKG")</f>
        <v>0</v>
      </c>
      <c r="AN8" s="50">
        <f ca="1">+GETPIVOTDATA("XBC4",'bauchinh (2016)'!$A$3,"MA_HT","LUC","MA_QH","DDT")</f>
        <v>0</v>
      </c>
      <c r="AO8" s="50">
        <f ca="1">+GETPIVOTDATA("XBC4",'bauchinh (2016)'!$A$3,"MA_HT","LUC","MA_QH","DDL")</f>
        <v>0</v>
      </c>
      <c r="AP8" s="50">
        <f ca="1">+GETPIVOTDATA("XBC4",'bauchinh (2016)'!$A$3,"MA_HT","LUC","MA_QH","DRA")</f>
        <v>0</v>
      </c>
      <c r="AQ8" s="50">
        <f ca="1">+GETPIVOTDATA("XBC4",'bauchinh (2016)'!$A$3,"MA_HT","LUC","MA_QH","ONT")</f>
        <v>0</v>
      </c>
      <c r="AR8" s="50">
        <f ca="1">+GETPIVOTDATA("XBC4",'bauchinh (2016)'!$A$3,"MA_HT","LUC","MA_QH","ODT")</f>
        <v>0</v>
      </c>
      <c r="AS8" s="50">
        <f ca="1">+GETPIVOTDATA("XBC4",'bauchinh (2016)'!$A$3,"MA_HT","LUC","MA_QH","TSC")</f>
        <v>0</v>
      </c>
      <c r="AT8" s="50">
        <f ca="1">+GETPIVOTDATA("XBC4",'bauchinh (2016)'!$A$3,"MA_HT","LUC","MA_QH","DTS")</f>
        <v>0</v>
      </c>
      <c r="AU8" s="50">
        <f ca="1">+GETPIVOTDATA("XBC4",'bauchinh (2016)'!$A$3,"MA_HT","LUC","MA_QH","DNG")</f>
        <v>0</v>
      </c>
      <c r="AV8" s="50">
        <f ca="1">+GETPIVOTDATA("XBC4",'bauchinh (2016)'!$A$3,"MA_HT","LUC","MA_QH","TON")</f>
        <v>0</v>
      </c>
      <c r="AW8" s="50">
        <f ca="1">+GETPIVOTDATA("XBC4",'bauchinh (2016)'!$A$3,"MA_HT","LUC","MA_QH","NTD")</f>
        <v>0</v>
      </c>
      <c r="AX8" s="50">
        <f ca="1">+GETPIVOTDATA("XBC4",'bauchinh (2016)'!$A$3,"MA_HT","LUC","MA_QH","SKX")</f>
        <v>0</v>
      </c>
      <c r="AY8" s="50">
        <f ca="1">+GETPIVOTDATA("XBC4",'bauchinh (2016)'!$A$3,"MA_HT","LUC","MA_QH","DSH")</f>
        <v>0</v>
      </c>
      <c r="AZ8" s="50">
        <f ca="1">+GETPIVOTDATA("XBC4",'bauchinh (2016)'!$A$3,"MA_HT","LUC","MA_QH","DKV")</f>
        <v>0</v>
      </c>
      <c r="BA8" s="88">
        <f ca="1">+GETPIVOTDATA("XBC4",'bauchinh (2016)'!$A$3,"MA_HT","LUC","MA_QH","TIN")</f>
        <v>0</v>
      </c>
      <c r="BB8" s="50">
        <f ca="1">+GETPIVOTDATA("XBC4",'bauchinh (2016)'!$A$3,"MA_HT","LUC","MA_QH","SON")</f>
        <v>0</v>
      </c>
      <c r="BC8" s="50">
        <f ca="1">+GETPIVOTDATA("XBC4",'bauchinh (2016)'!$A$3,"MA_HT","LUC","MA_QH","MNC")</f>
        <v>0</v>
      </c>
      <c r="BD8" s="50">
        <f ca="1">+GETPIVOTDATA("XBC4",'bauchinh (2016)'!$A$3,"MA_HT","LUC","MA_QH","PNK")</f>
        <v>0</v>
      </c>
      <c r="BE8" s="80">
        <f ca="1">+GETPIVOTDATA("XBC4",'bauchinh (2016)'!$A$3,"MA_HT","LUC","MA_QH","CSD")</f>
        <v>0</v>
      </c>
      <c r="BF8" s="103">
        <f ca="1" t="shared" si="7"/>
        <v>0</v>
      </c>
      <c r="BG8" s="104">
        <f ca="1">G$59-$BF8</f>
        <v>0</v>
      </c>
      <c r="BH8" s="47" t="e">
        <f ca="1" t="shared" si="8"/>
        <v>#REF!</v>
      </c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</row>
    <row r="9" s="4" customFormat="1" ht="15.75" customHeight="1" spans="1:79">
      <c r="A9" s="45"/>
      <c r="B9" s="316" t="s">
        <v>8342</v>
      </c>
      <c r="C9" s="46" t="s">
        <v>221</v>
      </c>
      <c r="D9" s="47" t="e">
        <f>+#REF!</f>
        <v>#REF!</v>
      </c>
      <c r="E9" s="48">
        <f ca="1">SUM(F9,J9:Q9)</f>
        <v>0</v>
      </c>
      <c r="F9" s="44">
        <f ca="1">SUM(G9,I9)</f>
        <v>0</v>
      </c>
      <c r="G9" s="51">
        <f ca="1">+GETPIVOTDATA("XBC4",'bauchinh (2016)'!$A$3,"MA_HT","LUK","MA_QH","LUC")</f>
        <v>0</v>
      </c>
      <c r="H9" s="49" t="e">
        <f ca="1">$D9-$BF9</f>
        <v>#REF!</v>
      </c>
      <c r="I9" s="50">
        <f ca="1">+GETPIVOTDATA("XBC4",'bauchinh (2016)'!$A$3,"MA_HT","LUK","MA_QH","LUN")</f>
        <v>0</v>
      </c>
      <c r="J9" s="50">
        <f ca="1">+GETPIVOTDATA("XBC4",'bauchinh (2016)'!$A$3,"MA_HT","LUK","MA_QH","HNK")</f>
        <v>0</v>
      </c>
      <c r="K9" s="50">
        <f ca="1">+GETPIVOTDATA("XBC4",'bauchinh (2016)'!$A$3,"MA_HT","LUK","MA_QH","CLN")</f>
        <v>0</v>
      </c>
      <c r="L9" s="50">
        <f ca="1">+GETPIVOTDATA("XBC4",'bauchinh (2016)'!$A$3,"MA_HT","LUK","MA_QH","RSX")</f>
        <v>0</v>
      </c>
      <c r="M9" s="50">
        <f ca="1">+GETPIVOTDATA("XBC4",'bauchinh (2016)'!$A$3,"MA_HT","LUK","MA_QH","RPH")</f>
        <v>0</v>
      </c>
      <c r="N9" s="50">
        <f ca="1">+GETPIVOTDATA("XBC4",'bauchinh (2016)'!$A$3,"MA_HT","LUK","MA_QH","RDD")</f>
        <v>0</v>
      </c>
      <c r="O9" s="50">
        <f ca="1">+GETPIVOTDATA("XBC4",'bauchinh (2016)'!$A$3,"MA_HT","LUK","MA_QH","NTS")</f>
        <v>0</v>
      </c>
      <c r="P9" s="50">
        <f ca="1">+GETPIVOTDATA("XBC4",'bauchinh (2016)'!$A$3,"MA_HT","LUK","MA_QH","LMU")</f>
        <v>0</v>
      </c>
      <c r="Q9" s="50">
        <f ca="1">+GETPIVOTDATA("XBC4",'bauchinh (2016)'!$A$3,"MA_HT","LUK","MA_QH","NKH")</f>
        <v>0</v>
      </c>
      <c r="R9" s="48">
        <f ca="1" t="shared" si="2"/>
        <v>0</v>
      </c>
      <c r="S9" s="50">
        <f ca="1">+GETPIVOTDATA("XBC4",'bauchinh (2016)'!$A$3,"MA_HT","LUK","MA_QH","CQP")</f>
        <v>0</v>
      </c>
      <c r="T9" s="50">
        <f ca="1">+GETPIVOTDATA("XBC4",'bauchinh (2016)'!$A$3,"MA_HT","LUK","MA_QH","CAN")</f>
        <v>0</v>
      </c>
      <c r="U9" s="50">
        <f ca="1">+GETPIVOTDATA("XBC4",'bauchinh (2016)'!$A$3,"MA_HT","LUK","MA_QH","SKK")</f>
        <v>0</v>
      </c>
      <c r="V9" s="50">
        <f ca="1">+GETPIVOTDATA("XBC4",'bauchinh (2016)'!$A$3,"MA_HT","LUK","MA_QH","SKT")</f>
        <v>0</v>
      </c>
      <c r="W9" s="50">
        <f ca="1">+GETPIVOTDATA("XBC4",'bauchinh (2016)'!$A$3,"MA_HT","LUK","MA_QH","SKN")</f>
        <v>0</v>
      </c>
      <c r="X9" s="50">
        <f ca="1">+GETPIVOTDATA("XBC4",'bauchinh (2016)'!$A$3,"MA_HT","LUK","MA_QH","TMD")</f>
        <v>0</v>
      </c>
      <c r="Y9" s="50">
        <f ca="1">+GETPIVOTDATA("XBC4",'bauchinh (2016)'!$A$3,"MA_HT","LUK","MA_QH","SKC")</f>
        <v>0</v>
      </c>
      <c r="Z9" s="50">
        <f ca="1">+GETPIVOTDATA("XBC4",'bauchinh (2016)'!$A$3,"MA_HT","LUK","MA_QH","SKS")</f>
        <v>0</v>
      </c>
      <c r="AA9" s="52">
        <f ca="1" t="shared" si="4"/>
        <v>0</v>
      </c>
      <c r="AB9" s="50">
        <f ca="1">+GETPIVOTDATA("XBC4",'bauchinh (2016)'!$A$3,"MA_HT","LUK","MA_QH","DGT")</f>
        <v>0</v>
      </c>
      <c r="AC9" s="50">
        <f ca="1">+GETPIVOTDATA("XBC4",'bauchinh (2016)'!$A$3,"MA_HT","LUK","MA_QH","DTL")</f>
        <v>0</v>
      </c>
      <c r="AD9" s="50">
        <f ca="1">+GETPIVOTDATA("XBC4",'bauchinh (2016)'!$A$3,"MA_HT","LUK","MA_QH","DNL")</f>
        <v>0</v>
      </c>
      <c r="AE9" s="50">
        <f ca="1">+GETPIVOTDATA("XBC4",'bauchinh (2016)'!$A$3,"MA_HT","LUK","MA_QH","DBV")</f>
        <v>0</v>
      </c>
      <c r="AF9" s="50">
        <f ca="1">+GETPIVOTDATA("XBC4",'bauchinh (2016)'!$A$3,"MA_HT","LUK","MA_QH","DVH")</f>
        <v>0</v>
      </c>
      <c r="AG9" s="50">
        <f ca="1">+GETPIVOTDATA("XBC4",'bauchinh (2016)'!$A$3,"MA_HT","LUK","MA_QH","DYT")</f>
        <v>0</v>
      </c>
      <c r="AH9" s="50">
        <f ca="1">+GETPIVOTDATA("XBC4",'bauchinh (2016)'!$A$3,"MA_HT","LUK","MA_QH","DGD")</f>
        <v>0</v>
      </c>
      <c r="AI9" s="50">
        <f ca="1">+GETPIVOTDATA("XBC4",'bauchinh (2016)'!$A$3,"MA_HT","LUK","MA_QH","DTT")</f>
        <v>0</v>
      </c>
      <c r="AJ9" s="50">
        <f ca="1">+GETPIVOTDATA("XBC4",'bauchinh (2016)'!$A$3,"MA_HT","LUK","MA_QH","NCK")</f>
        <v>0</v>
      </c>
      <c r="AK9" s="50">
        <f ca="1">+GETPIVOTDATA("XBC4",'bauchinh (2016)'!$A$3,"MA_HT","LUK","MA_QH","DXH")</f>
        <v>0</v>
      </c>
      <c r="AL9" s="50">
        <f ca="1">+GETPIVOTDATA("XBC4",'bauchinh (2016)'!$A$3,"MA_HT","LUK","MA_QH","DCH")</f>
        <v>0</v>
      </c>
      <c r="AM9" s="50">
        <f ca="1">+GETPIVOTDATA("XBC4",'bauchinh (2016)'!$A$3,"MA_HT","LUK","MA_QH","DKG")</f>
        <v>0</v>
      </c>
      <c r="AN9" s="50">
        <f ca="1">+GETPIVOTDATA("XBC4",'bauchinh (2016)'!$A$3,"MA_HT","LUK","MA_QH","DDT")</f>
        <v>0</v>
      </c>
      <c r="AO9" s="50">
        <f ca="1">+GETPIVOTDATA("XBC4",'bauchinh (2016)'!$A$3,"MA_HT","LUK","MA_QH","DDL")</f>
        <v>0</v>
      </c>
      <c r="AP9" s="50">
        <f ca="1">+GETPIVOTDATA("XBC4",'bauchinh (2016)'!$A$3,"MA_HT","LUK","MA_QH","DRA")</f>
        <v>0</v>
      </c>
      <c r="AQ9" s="50">
        <f ca="1">+GETPIVOTDATA("XBC4",'bauchinh (2016)'!$A$3,"MA_HT","LUK","MA_QH","ONT")</f>
        <v>0</v>
      </c>
      <c r="AR9" s="50">
        <f ca="1">+GETPIVOTDATA("XBC4",'bauchinh (2016)'!$A$3,"MA_HT","LUK","MA_QH","ODT")</f>
        <v>0</v>
      </c>
      <c r="AS9" s="50">
        <f ca="1">+GETPIVOTDATA("XBC4",'bauchinh (2016)'!$A$3,"MA_HT","LUK","MA_QH","TSC")</f>
        <v>0</v>
      </c>
      <c r="AT9" s="50">
        <f ca="1">+GETPIVOTDATA("XBC4",'bauchinh (2016)'!$A$3,"MA_HT","LUK","MA_QH","DTS")</f>
        <v>0</v>
      </c>
      <c r="AU9" s="50">
        <f ca="1">+GETPIVOTDATA("XBC4",'bauchinh (2016)'!$A$3,"MA_HT","LUK","MA_QH","DNG")</f>
        <v>0</v>
      </c>
      <c r="AV9" s="50">
        <f ca="1">+GETPIVOTDATA("XBC4",'bauchinh (2016)'!$A$3,"MA_HT","LUK","MA_QH","TON")</f>
        <v>0</v>
      </c>
      <c r="AW9" s="50">
        <f ca="1">+GETPIVOTDATA("XBC4",'bauchinh (2016)'!$A$3,"MA_HT","LUK","MA_QH","NTD")</f>
        <v>0</v>
      </c>
      <c r="AX9" s="50">
        <f ca="1">+GETPIVOTDATA("XBC4",'bauchinh (2016)'!$A$3,"MA_HT","LUK","MA_QH","SKX")</f>
        <v>0</v>
      </c>
      <c r="AY9" s="50">
        <f ca="1">+GETPIVOTDATA("XBC4",'bauchinh (2016)'!$A$3,"MA_HT","LUK","MA_QH","DSH")</f>
        <v>0</v>
      </c>
      <c r="AZ9" s="50">
        <f ca="1">+GETPIVOTDATA("XBC4",'bauchinh (2016)'!$A$3,"MA_HT","LUK","MA_QH","DKV")</f>
        <v>0</v>
      </c>
      <c r="BA9" s="88">
        <f ca="1">+GETPIVOTDATA("XBC4",'bauchinh (2016)'!$A$3,"MA_HT","LUK","MA_QH","TIN")</f>
        <v>0</v>
      </c>
      <c r="BB9" s="50">
        <f ca="1">+GETPIVOTDATA("XBC4",'bauchinh (2016)'!$A$3,"MA_HT","LUK","MA_QH","SON")</f>
        <v>0</v>
      </c>
      <c r="BC9" s="50">
        <f ca="1">+GETPIVOTDATA("XBC4",'bauchinh (2016)'!$A$3,"MA_HT","LUK","MA_QH","MNC")</f>
        <v>0</v>
      </c>
      <c r="BD9" s="50">
        <f ca="1">+GETPIVOTDATA("XBC4",'bauchinh (2016)'!$A$3,"MA_HT","LUK","MA_QH","PNK")</f>
        <v>0</v>
      </c>
      <c r="BE9" s="80">
        <f ca="1">+GETPIVOTDATA("XBC4",'bauchinh (2016)'!$A$3,"MA_HT","LUK","MA_QH","CSD")</f>
        <v>0</v>
      </c>
      <c r="BF9" s="103">
        <f ca="1" t="shared" si="7"/>
        <v>0</v>
      </c>
      <c r="BG9" s="104">
        <f ca="1">H$59-$BF9</f>
        <v>0</v>
      </c>
      <c r="BH9" s="47" t="e">
        <f ca="1" t="shared" si="8"/>
        <v>#REF!</v>
      </c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</row>
    <row r="10" s="4" customFormat="1" ht="15.75" customHeight="1" spans="1:79">
      <c r="A10" s="45"/>
      <c r="B10" s="316" t="s">
        <v>8343</v>
      </c>
      <c r="C10" s="46" t="s">
        <v>8300</v>
      </c>
      <c r="D10" s="47" t="e">
        <f>+#REF!</f>
        <v>#REF!</v>
      </c>
      <c r="E10" s="48">
        <f ca="1">SUM(J10:Q10,F10)</f>
        <v>0</v>
      </c>
      <c r="F10" s="44">
        <f ca="1">SUM(G10:H10)</f>
        <v>0</v>
      </c>
      <c r="G10" s="50">
        <f ca="1">+GETPIVOTDATA("XBC4",'bauchinh (2016)'!$A$3,"MA_HT","LUN","MA_QH","LUC")</f>
        <v>0</v>
      </c>
      <c r="H10" s="50">
        <f ca="1">+GETPIVOTDATA("XBC4",'bauchinh (2016)'!$A$3,"MA_HT","LUN","MA_QH","LUK")</f>
        <v>0</v>
      </c>
      <c r="I10" s="49" t="e">
        <f ca="1">$D10-$BF10</f>
        <v>#REF!</v>
      </c>
      <c r="J10" s="50">
        <f ca="1">+GETPIVOTDATA("XBC4",'bauchinh (2016)'!$A$3,"MA_HT","LUN","MA_QH","HNK")</f>
        <v>0</v>
      </c>
      <c r="K10" s="50">
        <f ca="1">+GETPIVOTDATA("XBC4",'bauchinh (2016)'!$A$3,"MA_HT","LUN","MA_QH","CLN")</f>
        <v>0</v>
      </c>
      <c r="L10" s="50">
        <f ca="1">+GETPIVOTDATA("XBC4",'bauchinh (2016)'!$A$3,"MA_HT","LUN","MA_QH","RSX")</f>
        <v>0</v>
      </c>
      <c r="M10" s="50">
        <f ca="1">+GETPIVOTDATA("XBC4",'bauchinh (2016)'!$A$3,"MA_HT","LUN","MA_QH","RPH")</f>
        <v>0</v>
      </c>
      <c r="N10" s="50">
        <f ca="1">+GETPIVOTDATA("XBC4",'bauchinh (2016)'!$A$3,"MA_HT","LUN","MA_QH","RDD")</f>
        <v>0</v>
      </c>
      <c r="O10" s="50">
        <f ca="1">+GETPIVOTDATA("XBC4",'bauchinh (2016)'!$A$3,"MA_HT","LUN","MA_QH","NTS")</f>
        <v>0</v>
      </c>
      <c r="P10" s="50">
        <f ca="1">+GETPIVOTDATA("XBC4",'bauchinh (2016)'!$A$3,"MA_HT","LUN","MA_QH","LMU")</f>
        <v>0</v>
      </c>
      <c r="Q10" s="50">
        <f ca="1">+GETPIVOTDATA("XBC4",'bauchinh (2016)'!$A$3,"MA_HT","LUN","MA_QH","NKH")</f>
        <v>0</v>
      </c>
      <c r="R10" s="48">
        <f ca="1" t="shared" si="2"/>
        <v>0</v>
      </c>
      <c r="S10" s="50">
        <f ca="1">+GETPIVOTDATA("XBC4",'bauchinh (2016)'!$A$3,"MA_HT","LUN","MA_QH","CQP")</f>
        <v>0</v>
      </c>
      <c r="T10" s="50">
        <f ca="1">+GETPIVOTDATA("XBC4",'bauchinh (2016)'!$A$3,"MA_HT","LUN","MA_QH","CAN")</f>
        <v>0</v>
      </c>
      <c r="U10" s="50">
        <f ca="1">+GETPIVOTDATA("XBC4",'bauchinh (2016)'!$A$3,"MA_HT","LUN","MA_QH","SKK")</f>
        <v>0</v>
      </c>
      <c r="V10" s="50">
        <f ca="1">+GETPIVOTDATA("XBC4",'bauchinh (2016)'!$A$3,"MA_HT","LUN","MA_QH","SKT")</f>
        <v>0</v>
      </c>
      <c r="W10" s="50">
        <f ca="1">+GETPIVOTDATA("XBC4",'bauchinh (2016)'!$A$3,"MA_HT","LUN","MA_QH","SKN")</f>
        <v>0</v>
      </c>
      <c r="X10" s="50">
        <f ca="1">+GETPIVOTDATA("XBC4",'bauchinh (2016)'!$A$3,"MA_HT","LUN","MA_QH","TMD")</f>
        <v>0</v>
      </c>
      <c r="Y10" s="50">
        <f ca="1">+GETPIVOTDATA("XBC4",'bauchinh (2016)'!$A$3,"MA_HT","LUN","MA_QH","SKC")</f>
        <v>0</v>
      </c>
      <c r="Z10" s="50">
        <f ca="1">+GETPIVOTDATA("XBC4",'bauchinh (2016)'!$A$3,"MA_HT","LUN","MA_QH","SKS")</f>
        <v>0</v>
      </c>
      <c r="AA10" s="52">
        <f ca="1" t="shared" si="4"/>
        <v>0</v>
      </c>
      <c r="AB10" s="50">
        <f ca="1">+GETPIVOTDATA("XBC4",'bauchinh (2016)'!$A$3,"MA_HT","LUN","MA_QH","DGT")</f>
        <v>0</v>
      </c>
      <c r="AC10" s="50">
        <f ca="1">+GETPIVOTDATA("XBC4",'bauchinh (2016)'!$A$3,"MA_HT","LUN","MA_QH","DTL")</f>
        <v>0</v>
      </c>
      <c r="AD10" s="50">
        <f ca="1">+GETPIVOTDATA("XBC4",'bauchinh (2016)'!$A$3,"MA_HT","LUN","MA_QH","DNL")</f>
        <v>0</v>
      </c>
      <c r="AE10" s="50">
        <f ca="1">+GETPIVOTDATA("XBC4",'bauchinh (2016)'!$A$3,"MA_HT","LUN","MA_QH","DBV")</f>
        <v>0</v>
      </c>
      <c r="AF10" s="50">
        <f ca="1">+GETPIVOTDATA("XBC4",'bauchinh (2016)'!$A$3,"MA_HT","LUN","MA_QH","DVH")</f>
        <v>0</v>
      </c>
      <c r="AG10" s="50">
        <f ca="1">+GETPIVOTDATA("XBC4",'bauchinh (2016)'!$A$3,"MA_HT","LUN","MA_QH","DYT")</f>
        <v>0</v>
      </c>
      <c r="AH10" s="50">
        <f ca="1">+GETPIVOTDATA("XBC4",'bauchinh (2016)'!$A$3,"MA_HT","LUN","MA_QH","DGD")</f>
        <v>0</v>
      </c>
      <c r="AI10" s="50">
        <f ca="1">+GETPIVOTDATA("XBC4",'bauchinh (2016)'!$A$3,"MA_HT","LUN","MA_QH","DTT")</f>
        <v>0</v>
      </c>
      <c r="AJ10" s="50">
        <f ca="1">+GETPIVOTDATA("XBC4",'bauchinh (2016)'!$A$3,"MA_HT","LUN","MA_QH","NCK")</f>
        <v>0</v>
      </c>
      <c r="AK10" s="50">
        <f ca="1">+GETPIVOTDATA("XBC4",'bauchinh (2016)'!$A$3,"MA_HT","LUN","MA_QH","DXH")</f>
        <v>0</v>
      </c>
      <c r="AL10" s="50">
        <f ca="1">+GETPIVOTDATA("XBC4",'bauchinh (2016)'!$A$3,"MA_HT","LUN","MA_QH","DCH")</f>
        <v>0</v>
      </c>
      <c r="AM10" s="50">
        <f ca="1">+GETPIVOTDATA("XBC4",'bauchinh (2016)'!$A$3,"MA_HT","LUN","MA_QH","DKG")</f>
        <v>0</v>
      </c>
      <c r="AN10" s="50">
        <f ca="1">+GETPIVOTDATA("XBC4",'bauchinh (2016)'!$A$3,"MA_HT","LUN","MA_QH","DDT")</f>
        <v>0</v>
      </c>
      <c r="AO10" s="50">
        <f ca="1">+GETPIVOTDATA("XBC4",'bauchinh (2016)'!$A$3,"MA_HT","LUN","MA_QH","DDL")</f>
        <v>0</v>
      </c>
      <c r="AP10" s="50">
        <f ca="1">+GETPIVOTDATA("XBC4",'bauchinh (2016)'!$A$3,"MA_HT","LUN","MA_QH","DRA")</f>
        <v>0</v>
      </c>
      <c r="AQ10" s="50">
        <f ca="1">+GETPIVOTDATA("XBC4",'bauchinh (2016)'!$A$3,"MA_HT","LUN","MA_QH","ONT")</f>
        <v>0</v>
      </c>
      <c r="AR10" s="50">
        <f ca="1">+GETPIVOTDATA("XBC4",'bauchinh (2016)'!$A$3,"MA_HT","LUN","MA_QH","ODT")</f>
        <v>0</v>
      </c>
      <c r="AS10" s="50">
        <f ca="1">+GETPIVOTDATA("XBC4",'bauchinh (2016)'!$A$3,"MA_HT","LUN","MA_QH","TSC")</f>
        <v>0</v>
      </c>
      <c r="AT10" s="50">
        <f ca="1">+GETPIVOTDATA("XBC4",'bauchinh (2016)'!$A$3,"MA_HT","LUN","MA_QH","DTS")</f>
        <v>0</v>
      </c>
      <c r="AU10" s="50">
        <f ca="1">+GETPIVOTDATA("XBC4",'bauchinh (2016)'!$A$3,"MA_HT","LUN","MA_QH","DNG")</f>
        <v>0</v>
      </c>
      <c r="AV10" s="50">
        <f ca="1">+GETPIVOTDATA("XBC4",'bauchinh (2016)'!$A$3,"MA_HT","LUN","MA_QH","TON")</f>
        <v>0</v>
      </c>
      <c r="AW10" s="50">
        <f ca="1">+GETPIVOTDATA("XBC4",'bauchinh (2016)'!$A$3,"MA_HT","LUN","MA_QH","NTD")</f>
        <v>0</v>
      </c>
      <c r="AX10" s="50">
        <f ca="1">+GETPIVOTDATA("XBC4",'bauchinh (2016)'!$A$3,"MA_HT","LUN","MA_QH","SKX")</f>
        <v>0</v>
      </c>
      <c r="AY10" s="50">
        <f ca="1">+GETPIVOTDATA("XBC4",'bauchinh (2016)'!$A$3,"MA_HT","LUN","MA_QH","DSH")</f>
        <v>0</v>
      </c>
      <c r="AZ10" s="50">
        <f ca="1">+GETPIVOTDATA("XBC4",'bauchinh (2016)'!$A$3,"MA_HT","LUN","MA_QH","DKV")</f>
        <v>0</v>
      </c>
      <c r="BA10" s="88">
        <f ca="1">+GETPIVOTDATA("XBC4",'bauchinh (2016)'!$A$3,"MA_HT","LUN","MA_QH","TIN")</f>
        <v>0</v>
      </c>
      <c r="BB10" s="50">
        <f ca="1">+GETPIVOTDATA("XBC4",'bauchinh (2016)'!$A$3,"MA_HT","LUN","MA_QH","SON")</f>
        <v>0</v>
      </c>
      <c r="BC10" s="50">
        <f ca="1">+GETPIVOTDATA("XBC4",'bauchinh (2016)'!$A$3,"MA_HT","LUN","MA_QH","MNC")</f>
        <v>0</v>
      </c>
      <c r="BD10" s="50">
        <f ca="1">+GETPIVOTDATA("XBC4",'bauchinh (2016)'!$A$3,"MA_HT","LUN","MA_QH","PNK")</f>
        <v>0</v>
      </c>
      <c r="BE10" s="80">
        <f ca="1">+GETPIVOTDATA("XBC4",'bauchinh (2016)'!$A$3,"MA_HT","LUN","MA_QH","CSD")</f>
        <v>0</v>
      </c>
      <c r="BF10" s="103">
        <f ca="1" t="shared" si="7"/>
        <v>0</v>
      </c>
      <c r="BG10" s="104">
        <f ca="1">I$59-$BF10</f>
        <v>0</v>
      </c>
      <c r="BH10" s="47" t="e">
        <f ca="1" t="shared" si="8"/>
        <v>#REF!</v>
      </c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</row>
    <row r="11" s="2" customFormat="1" ht="15.75" customHeight="1" spans="1:79">
      <c r="A11" s="39" t="s">
        <v>40</v>
      </c>
      <c r="B11" s="39" t="s">
        <v>8344</v>
      </c>
      <c r="C11" s="40" t="s">
        <v>2492</v>
      </c>
      <c r="D11" s="47" t="e">
        <f>+#REF!</f>
        <v>#REF!</v>
      </c>
      <c r="E11" s="42">
        <f ca="1">SUM(K11:Q11,F11)</f>
        <v>0</v>
      </c>
      <c r="F11" s="52">
        <f ca="1">SUM(G11:I11)</f>
        <v>0</v>
      </c>
      <c r="G11" s="22">
        <f ca="1">+GETPIVOTDATA("XBC4",'bauchinh (2016)'!$A$3,"MA_HT","HNK","MA_QH","LUC")</f>
        <v>0</v>
      </c>
      <c r="H11" s="22">
        <f ca="1">+GETPIVOTDATA("XBC4",'bauchinh (2016)'!$A$3,"MA_HT","HNK","MA_QH","LUK")</f>
        <v>0</v>
      </c>
      <c r="I11" s="22">
        <f ca="1">+GETPIVOTDATA("XBC4",'bauchinh (2016)'!$A$3,"MA_HT","HNK","MA_QH","LUN")</f>
        <v>0</v>
      </c>
      <c r="J11" s="43" t="e">
        <f ca="1">$D11-$BF11</f>
        <v>#REF!</v>
      </c>
      <c r="K11" s="22">
        <f ca="1">+GETPIVOTDATA("XBC4",'bauchinh (2016)'!$A$3,"MA_HT","HNK","MA_QH","CLN")</f>
        <v>0</v>
      </c>
      <c r="L11" s="22">
        <f ca="1">+GETPIVOTDATA("XBC4",'bauchinh (2016)'!$A$3,"MA_HT","HNK","MA_QH","RSX")</f>
        <v>0</v>
      </c>
      <c r="M11" s="22">
        <f ca="1">+GETPIVOTDATA("XBC4",'bauchinh (2016)'!$A$3,"MA_HT","HNK","MA_QH","RPH")</f>
        <v>0</v>
      </c>
      <c r="N11" s="22">
        <f ca="1">+GETPIVOTDATA("XBC4",'bauchinh (2016)'!$A$3,"MA_HT","HNK","MA_QH","RDD")</f>
        <v>0</v>
      </c>
      <c r="O11" s="22">
        <f ca="1">+GETPIVOTDATA("XBC4",'bauchinh (2016)'!$A$3,"MA_HT","HNK","MA_QH","NTS")</f>
        <v>0</v>
      </c>
      <c r="P11" s="22">
        <f ca="1">+GETPIVOTDATA("XBC4",'bauchinh (2016)'!$A$3,"MA_HT","HNK","MA_QH","LMU")</f>
        <v>0</v>
      </c>
      <c r="Q11" s="22">
        <f ca="1">+GETPIVOTDATA("XBC4",'bauchinh (2016)'!$A$3,"MA_HT","HNK","MA_QH","NKH")</f>
        <v>0</v>
      </c>
      <c r="R11" s="42">
        <f ca="1" t="shared" si="2"/>
        <v>0</v>
      </c>
      <c r="S11" s="22">
        <f ca="1">+GETPIVOTDATA("XBC4",'bauchinh (2016)'!$A$3,"MA_HT","HNK","MA_QH","CQP")</f>
        <v>0</v>
      </c>
      <c r="T11" s="22">
        <f ca="1">+GETPIVOTDATA("XBC4",'bauchinh (2016)'!$A$3,"MA_HT","HNK","MA_QH","CAN")</f>
        <v>0</v>
      </c>
      <c r="U11" s="22">
        <f ca="1">+GETPIVOTDATA("XBC4",'bauchinh (2016)'!$A$3,"MA_HT","HNK","MA_QH","SKK")</f>
        <v>0</v>
      </c>
      <c r="V11" s="22">
        <f ca="1">+GETPIVOTDATA("XBC4",'bauchinh (2016)'!$A$3,"MA_HT","HNK","MA_QH","SKT")</f>
        <v>0</v>
      </c>
      <c r="W11" s="22">
        <f ca="1">+GETPIVOTDATA("XBC4",'bauchinh (2016)'!$A$3,"MA_HT","HNK","MA_QH","SKN")</f>
        <v>0</v>
      </c>
      <c r="X11" s="22">
        <f ca="1">+GETPIVOTDATA("XBC4",'bauchinh (2016)'!$A$3,"MA_HT","HNK","MA_QH","TMD")</f>
        <v>0</v>
      </c>
      <c r="Y11" s="22">
        <f ca="1">+GETPIVOTDATA("XBC4",'bauchinh (2016)'!$A$3,"MA_HT","HNK","MA_QH","SKC")</f>
        <v>0</v>
      </c>
      <c r="Z11" s="22">
        <f ca="1">+GETPIVOTDATA("XBC4",'bauchinh (2016)'!$A$3,"MA_HT","HNK","MA_QH","SKS")</f>
        <v>0</v>
      </c>
      <c r="AA11" s="52">
        <f ca="1" t="shared" si="4"/>
        <v>0</v>
      </c>
      <c r="AB11" s="22">
        <f ca="1">+GETPIVOTDATA("XBC4",'bauchinh (2016)'!$A$3,"MA_HT","HNK","MA_QH","DGT")</f>
        <v>0</v>
      </c>
      <c r="AC11" s="22">
        <f ca="1">+GETPIVOTDATA("XBC4",'bauchinh (2016)'!$A$3,"MA_HT","HNK","MA_QH","DTL")</f>
        <v>0</v>
      </c>
      <c r="AD11" s="22">
        <f ca="1">+GETPIVOTDATA("XBC4",'bauchinh (2016)'!$A$3,"MA_HT","HNK","MA_QH","DNL")</f>
        <v>0</v>
      </c>
      <c r="AE11" s="22">
        <f ca="1">+GETPIVOTDATA("XBC4",'bauchinh (2016)'!$A$3,"MA_HT","HNK","MA_QH","DBV")</f>
        <v>0</v>
      </c>
      <c r="AF11" s="22">
        <f ca="1">+GETPIVOTDATA("XBC4",'bauchinh (2016)'!$A$3,"MA_HT","HNK","MA_QH","DVH")</f>
        <v>0</v>
      </c>
      <c r="AG11" s="22">
        <f ca="1">+GETPIVOTDATA("XBC4",'bauchinh (2016)'!$A$3,"MA_HT","HNK","MA_QH","DYT")</f>
        <v>0</v>
      </c>
      <c r="AH11" s="22">
        <f ca="1">+GETPIVOTDATA("XBC4",'bauchinh (2016)'!$A$3,"MA_HT","HNK","MA_QH","DGD")</f>
        <v>0</v>
      </c>
      <c r="AI11" s="22">
        <f ca="1">+GETPIVOTDATA("XBC4",'bauchinh (2016)'!$A$3,"MA_HT","HNK","MA_QH","DTT")</f>
        <v>0</v>
      </c>
      <c r="AJ11" s="22">
        <f ca="1">+GETPIVOTDATA("XBC4",'bauchinh (2016)'!$A$3,"MA_HT","HNK","MA_QH","NCK")</f>
        <v>0</v>
      </c>
      <c r="AK11" s="22">
        <f ca="1">+GETPIVOTDATA("XBC4",'bauchinh (2016)'!$A$3,"MA_HT","HNK","MA_QH","DXH")</f>
        <v>0</v>
      </c>
      <c r="AL11" s="22">
        <f ca="1">+GETPIVOTDATA("XBC4",'bauchinh (2016)'!$A$3,"MA_HT","HNK","MA_QH","DCH")</f>
        <v>0</v>
      </c>
      <c r="AM11" s="22">
        <f ca="1">+GETPIVOTDATA("XBC4",'bauchinh (2016)'!$A$3,"MA_HT","HNK","MA_QH","DKG")</f>
        <v>0</v>
      </c>
      <c r="AN11" s="22">
        <f ca="1">+GETPIVOTDATA("XBC4",'bauchinh (2016)'!$A$3,"MA_HT","HNK","MA_QH","DDT")</f>
        <v>0</v>
      </c>
      <c r="AO11" s="22">
        <f ca="1">+GETPIVOTDATA("XBC4",'bauchinh (2016)'!$A$3,"MA_HT","HNK","MA_QH","DDL")</f>
        <v>0</v>
      </c>
      <c r="AP11" s="22">
        <f ca="1">+GETPIVOTDATA("XBC4",'bauchinh (2016)'!$A$3,"MA_HT","HNK","MA_QH","DRA")</f>
        <v>0</v>
      </c>
      <c r="AQ11" s="22">
        <f ca="1">+GETPIVOTDATA("XBC4",'bauchinh (2016)'!$A$3,"MA_HT","HNK","MA_QH","ONT")</f>
        <v>0</v>
      </c>
      <c r="AR11" s="22">
        <f ca="1">+GETPIVOTDATA("XBC4",'bauchinh (2016)'!$A$3,"MA_HT","HNK","MA_QH","ODT")</f>
        <v>0</v>
      </c>
      <c r="AS11" s="22">
        <f ca="1">+GETPIVOTDATA("XBC4",'bauchinh (2016)'!$A$3,"MA_HT","HNK","MA_QH","TSC")</f>
        <v>0</v>
      </c>
      <c r="AT11" s="22">
        <f ca="1">+GETPIVOTDATA("XBC4",'bauchinh (2016)'!$A$3,"MA_HT","HNK","MA_QH","DTS")</f>
        <v>0</v>
      </c>
      <c r="AU11" s="22">
        <f ca="1">+GETPIVOTDATA("XBC4",'bauchinh (2016)'!$A$3,"MA_HT","HNK","MA_QH","DNG")</f>
        <v>0</v>
      </c>
      <c r="AV11" s="22">
        <f ca="1">+GETPIVOTDATA("XBC4",'bauchinh (2016)'!$A$3,"MA_HT","HNK","MA_QH","TON")</f>
        <v>0</v>
      </c>
      <c r="AW11" s="22">
        <f ca="1">+GETPIVOTDATA("XBC4",'bauchinh (2016)'!$A$3,"MA_HT","HNK","MA_QH","NTD")</f>
        <v>0</v>
      </c>
      <c r="AX11" s="22">
        <f ca="1">+GETPIVOTDATA("XBC4",'bauchinh (2016)'!$A$3,"MA_HT","HNK","MA_QH","SKX")</f>
        <v>0</v>
      </c>
      <c r="AY11" s="22">
        <f ca="1">+GETPIVOTDATA("XBC4",'bauchinh (2016)'!$A$3,"MA_HT","HNK","MA_QH","DSH")</f>
        <v>0</v>
      </c>
      <c r="AZ11" s="22">
        <f ca="1">+GETPIVOTDATA("XBC4",'bauchinh (2016)'!$A$3,"MA_HT","HNK","MA_QH","DKV")</f>
        <v>0</v>
      </c>
      <c r="BA11" s="89">
        <f ca="1">+GETPIVOTDATA("XBC4",'bauchinh (2016)'!$A$3,"MA_HT","HNK","MA_QH","TIN")</f>
        <v>0</v>
      </c>
      <c r="BB11" s="50">
        <f ca="1">+GETPIVOTDATA("XBC4",'bauchinh (2016)'!$A$3,"MA_HT","HNK","MA_QH","SON")</f>
        <v>0</v>
      </c>
      <c r="BC11" s="50">
        <f ca="1">+GETPIVOTDATA("XBC4",'bauchinh (2016)'!$A$3,"MA_HT","HNK","MA_QH","MNC")</f>
        <v>0</v>
      </c>
      <c r="BD11" s="22">
        <f ca="1">+GETPIVOTDATA("XBC4",'bauchinh (2016)'!$A$3,"MA_HT","HNK","MA_QH","PNK")</f>
        <v>0</v>
      </c>
      <c r="BE11" s="71">
        <f ca="1">+GETPIVOTDATA("XBC4",'bauchinh (2016)'!$A$3,"MA_HT","HNK","MA_QH","CSD")</f>
        <v>0</v>
      </c>
      <c r="BF11" s="74">
        <f ca="1" t="shared" si="7"/>
        <v>0</v>
      </c>
      <c r="BG11" s="101">
        <f ca="1">J$59-$BF11</f>
        <v>0</v>
      </c>
      <c r="BH11" s="41" t="e">
        <f ca="1" t="shared" si="8"/>
        <v>#REF!</v>
      </c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</row>
    <row r="12" s="2" customFormat="1" ht="15.75" customHeight="1" spans="1:79">
      <c r="A12" s="39" t="s">
        <v>8345</v>
      </c>
      <c r="B12" s="39" t="s">
        <v>8346</v>
      </c>
      <c r="C12" s="40" t="s">
        <v>30</v>
      </c>
      <c r="D12" s="47" t="e">
        <f>+#REF!</f>
        <v>#REF!</v>
      </c>
      <c r="E12" s="42">
        <f ca="1">SUM(L12:Q12,F12,J12)</f>
        <v>0</v>
      </c>
      <c r="F12" s="52">
        <f ca="1" t="shared" ref="F12:F58" si="9">SUM(G12:I12)</f>
        <v>0</v>
      </c>
      <c r="G12" s="22">
        <f ca="1">+GETPIVOTDATA("XBC4",'bauchinh (2016)'!$A$3,"MA_HT","CLN","MA_QH","LUC")</f>
        <v>0</v>
      </c>
      <c r="H12" s="22">
        <f ca="1">+GETPIVOTDATA("XBC4",'bauchinh (2016)'!$A$3,"MA_HT","CLN","MA_QH","LUK")</f>
        <v>0</v>
      </c>
      <c r="I12" s="22">
        <f ca="1">+GETPIVOTDATA("XBC4",'bauchinh (2016)'!$A$3,"MA_HT","CLN","MA_QH","LUN")</f>
        <v>0</v>
      </c>
      <c r="J12" s="22">
        <f ca="1">+GETPIVOTDATA("XBC4",'bauchinh (2016)'!$A$3,"MA_HT","CLN","MA_QH","HNK")</f>
        <v>0</v>
      </c>
      <c r="K12" s="43" t="e">
        <f ca="1">$D12-$BF12</f>
        <v>#REF!</v>
      </c>
      <c r="L12" s="22">
        <f ca="1">+GETPIVOTDATA("XBC4",'bauchinh (2016)'!$A$3,"MA_HT","CLN","MA_QH","RSX")</f>
        <v>0</v>
      </c>
      <c r="M12" s="22">
        <f ca="1">+GETPIVOTDATA("XBC4",'bauchinh (2016)'!$A$3,"MA_HT","CLN","MA_QH","RPH")</f>
        <v>0</v>
      </c>
      <c r="N12" s="22">
        <f ca="1">+GETPIVOTDATA("XBC4",'bauchinh (2016)'!$A$3,"MA_HT","CLN","MA_QH","RDD")</f>
        <v>0</v>
      </c>
      <c r="O12" s="22">
        <f ca="1">+GETPIVOTDATA("XBC4",'bauchinh (2016)'!$A$3,"MA_HT","CLN","MA_QH","NTS")</f>
        <v>0</v>
      </c>
      <c r="P12" s="22">
        <f ca="1">+GETPIVOTDATA("XBC4",'bauchinh (2016)'!$A$3,"MA_HT","CLN","MA_QH","LMU")</f>
        <v>0</v>
      </c>
      <c r="Q12" s="22">
        <f ca="1">+GETPIVOTDATA("XBC4",'bauchinh (2016)'!$A$3,"MA_HT","CLN","MA_QH","NKH")</f>
        <v>0</v>
      </c>
      <c r="R12" s="42">
        <f ca="1" t="shared" si="2"/>
        <v>0</v>
      </c>
      <c r="S12" s="22">
        <f ca="1">+GETPIVOTDATA("XBC4",'bauchinh (2016)'!$A$3,"MA_HT","CLN","MA_QH","CQP")</f>
        <v>0</v>
      </c>
      <c r="T12" s="22">
        <f ca="1">+GETPIVOTDATA("XBC4",'bauchinh (2016)'!$A$3,"MA_HT","CLN","MA_QH","CAN")</f>
        <v>0</v>
      </c>
      <c r="U12" s="22">
        <f ca="1">+GETPIVOTDATA("XBC4",'bauchinh (2016)'!$A$3,"MA_HT","CLN","MA_QH","SKK")</f>
        <v>0</v>
      </c>
      <c r="V12" s="22">
        <f ca="1">+GETPIVOTDATA("XBC4",'bauchinh (2016)'!$A$3,"MA_HT","CLN","MA_QH","SKT")</f>
        <v>0</v>
      </c>
      <c r="W12" s="22">
        <f ca="1">+GETPIVOTDATA("XBC4",'bauchinh (2016)'!$A$3,"MA_HT","CLN","MA_QH","SKN")</f>
        <v>0</v>
      </c>
      <c r="X12" s="22">
        <f ca="1">+GETPIVOTDATA("XBC4",'bauchinh (2016)'!$A$3,"MA_HT","CLN","MA_QH","TMD")</f>
        <v>0</v>
      </c>
      <c r="Y12" s="22">
        <f ca="1">+GETPIVOTDATA("XBC4",'bauchinh (2016)'!$A$3,"MA_HT","CLN","MA_QH","SKC")</f>
        <v>0</v>
      </c>
      <c r="Z12" s="22">
        <f ca="1">+GETPIVOTDATA("XBC4",'bauchinh (2016)'!$A$3,"MA_HT","CLN","MA_QH","SKS")</f>
        <v>0</v>
      </c>
      <c r="AA12" s="52">
        <f ca="1" t="shared" si="4"/>
        <v>0</v>
      </c>
      <c r="AB12" s="22">
        <f ca="1">+GETPIVOTDATA("XBC4",'bauchinh (2016)'!$A$3,"MA_HT","CLN","MA_QH","DGT")</f>
        <v>0</v>
      </c>
      <c r="AC12" s="22">
        <f ca="1">+GETPIVOTDATA("XBC4",'bauchinh (2016)'!$A$3,"MA_HT","CLN","MA_QH","DTL")</f>
        <v>0</v>
      </c>
      <c r="AD12" s="22">
        <f ca="1">+GETPIVOTDATA("XBC4",'bauchinh (2016)'!$A$3,"MA_HT","CLN","MA_QH","DNL")</f>
        <v>0</v>
      </c>
      <c r="AE12" s="22">
        <f ca="1">+GETPIVOTDATA("XBC4",'bauchinh (2016)'!$A$3,"MA_HT","CLN","MA_QH","DBV")</f>
        <v>0</v>
      </c>
      <c r="AF12" s="22">
        <f ca="1">+GETPIVOTDATA("XBC4",'bauchinh (2016)'!$A$3,"MA_HT","CLN","MA_QH","DVH")</f>
        <v>0</v>
      </c>
      <c r="AG12" s="22">
        <f ca="1">+GETPIVOTDATA("XBC4",'bauchinh (2016)'!$A$3,"MA_HT","CLN","MA_QH","DYT")</f>
        <v>0</v>
      </c>
      <c r="AH12" s="22">
        <f ca="1">+GETPIVOTDATA("XBC4",'bauchinh (2016)'!$A$3,"MA_HT","CLN","MA_QH","DGD")</f>
        <v>0</v>
      </c>
      <c r="AI12" s="22">
        <f ca="1">+GETPIVOTDATA("XBC4",'bauchinh (2016)'!$A$3,"MA_HT","CLN","MA_QH","DTT")</f>
        <v>0</v>
      </c>
      <c r="AJ12" s="22">
        <f ca="1">+GETPIVOTDATA("XBC4",'bauchinh (2016)'!$A$3,"MA_HT","CLN","MA_QH","NCK")</f>
        <v>0</v>
      </c>
      <c r="AK12" s="22">
        <f ca="1">+GETPIVOTDATA("XBC4",'bauchinh (2016)'!$A$3,"MA_HT","CLN","MA_QH","DXH")</f>
        <v>0</v>
      </c>
      <c r="AL12" s="22">
        <f ca="1">+GETPIVOTDATA("XBC4",'bauchinh (2016)'!$A$3,"MA_HT","CLN","MA_QH","DCH")</f>
        <v>0</v>
      </c>
      <c r="AM12" s="22">
        <f ca="1">+GETPIVOTDATA("XBC4",'bauchinh (2016)'!$A$3,"MA_HT","CLN","MA_QH","DKG")</f>
        <v>0</v>
      </c>
      <c r="AN12" s="22">
        <f ca="1">+GETPIVOTDATA("XBC4",'bauchinh (2016)'!$A$3,"MA_HT","CLN","MA_QH","DDT")</f>
        <v>0</v>
      </c>
      <c r="AO12" s="22">
        <f ca="1">+GETPIVOTDATA("XBC4",'bauchinh (2016)'!$A$3,"MA_HT","CLN","MA_QH","DDL")</f>
        <v>0</v>
      </c>
      <c r="AP12" s="22">
        <f ca="1">+GETPIVOTDATA("XBC4",'bauchinh (2016)'!$A$3,"MA_HT","CLN","MA_QH","DRA")</f>
        <v>0</v>
      </c>
      <c r="AQ12" s="22">
        <f ca="1">+GETPIVOTDATA("XBC4",'bauchinh (2016)'!$A$3,"MA_HT","CLN","MA_QH","ONT")</f>
        <v>0</v>
      </c>
      <c r="AR12" s="22">
        <f ca="1">+GETPIVOTDATA("XBC4",'bauchinh (2016)'!$A$3,"MA_HT","CLN","MA_QH","ODT")</f>
        <v>0</v>
      </c>
      <c r="AS12" s="22">
        <f ca="1">+GETPIVOTDATA("XBC4",'bauchinh (2016)'!$A$3,"MA_HT","CLN","MA_QH","TSC")</f>
        <v>0</v>
      </c>
      <c r="AT12" s="22">
        <f ca="1">+GETPIVOTDATA("XBC4",'bauchinh (2016)'!$A$3,"MA_HT","CLN","MA_QH","DTS")</f>
        <v>0</v>
      </c>
      <c r="AU12" s="22">
        <f ca="1">+GETPIVOTDATA("XBC4",'bauchinh (2016)'!$A$3,"MA_HT","CLN","MA_QH","DNG")</f>
        <v>0</v>
      </c>
      <c r="AV12" s="22">
        <f ca="1">+GETPIVOTDATA("XBC4",'bauchinh (2016)'!$A$3,"MA_HT","CLN","MA_QH","TON")</f>
        <v>0</v>
      </c>
      <c r="AW12" s="22">
        <f ca="1">+GETPIVOTDATA("XBC4",'bauchinh (2016)'!$A$3,"MA_HT","CLN","MA_QH","NTD")</f>
        <v>0</v>
      </c>
      <c r="AX12" s="22">
        <f ca="1">+GETPIVOTDATA("XBC4",'bauchinh (2016)'!$A$3,"MA_HT","CLN","MA_QH","SKX")</f>
        <v>0</v>
      </c>
      <c r="AY12" s="22">
        <f ca="1">+GETPIVOTDATA("XBC4",'bauchinh (2016)'!$A$3,"MA_HT","CLN","MA_QH","DSH")</f>
        <v>0</v>
      </c>
      <c r="AZ12" s="22">
        <f ca="1">+GETPIVOTDATA("XBC4",'bauchinh (2016)'!$A$3,"MA_HT","CLN","MA_QH","DKV")</f>
        <v>0</v>
      </c>
      <c r="BA12" s="89">
        <f ca="1">+GETPIVOTDATA("XBC4",'bauchinh (2016)'!$A$3,"MA_HT","CLN","MA_QH","TIN")</f>
        <v>0</v>
      </c>
      <c r="BB12" s="50">
        <f ca="1">+GETPIVOTDATA("XBC4",'bauchinh (2016)'!$A$3,"MA_HT","CLN","MA_QH","SON")</f>
        <v>0</v>
      </c>
      <c r="BC12" s="50">
        <f ca="1">+GETPIVOTDATA("XBC4",'bauchinh (2016)'!$A$3,"MA_HT","CLN","MA_QH","MNC")</f>
        <v>0</v>
      </c>
      <c r="BD12" s="22">
        <f ca="1">+GETPIVOTDATA("XBC4",'bauchinh (2016)'!$A$3,"MA_HT","CLN","MA_QH","PNK")</f>
        <v>0</v>
      </c>
      <c r="BE12" s="71">
        <f ca="1">+GETPIVOTDATA("XBC4",'bauchinh (2016)'!$A$3,"MA_HT","CLN","MA_QH","CSD")</f>
        <v>0</v>
      </c>
      <c r="BF12" s="74">
        <f ca="1" t="shared" si="7"/>
        <v>0</v>
      </c>
      <c r="BG12" s="101">
        <f ca="1">K$59-$BF12</f>
        <v>0</v>
      </c>
      <c r="BH12" s="41" t="e">
        <f ca="1" t="shared" si="8"/>
        <v>#REF!</v>
      </c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</row>
    <row r="13" s="2" customFormat="1" ht="15.75" customHeight="1" spans="1:79">
      <c r="A13" s="39" t="s">
        <v>8347</v>
      </c>
      <c r="B13" s="39" t="s">
        <v>8348</v>
      </c>
      <c r="C13" s="40" t="s">
        <v>8307</v>
      </c>
      <c r="D13" s="47" t="e">
        <f>+#REF!</f>
        <v>#REF!</v>
      </c>
      <c r="E13" s="42">
        <f ca="1">SUM(F13,J13:K13,M13:Q13)</f>
        <v>0</v>
      </c>
      <c r="F13" s="52">
        <f ca="1" t="shared" si="9"/>
        <v>0</v>
      </c>
      <c r="G13" s="22">
        <f ca="1">+GETPIVOTDATA("XBC4",'bauchinh (2016)'!$A$3,"MA_HT","RSX","MA_QH","LUC")</f>
        <v>0</v>
      </c>
      <c r="H13" s="22">
        <f ca="1">+GETPIVOTDATA("XBC4",'bauchinh (2016)'!$A$3,"MA_HT","RSX","MA_QH","LUK")</f>
        <v>0</v>
      </c>
      <c r="I13" s="22">
        <f ca="1">+GETPIVOTDATA("XBC4",'bauchinh (2016)'!$A$3,"MA_HT","RSX","MA_QH","LUN")</f>
        <v>0</v>
      </c>
      <c r="J13" s="22">
        <f ca="1">+GETPIVOTDATA("XBC4",'bauchinh (2016)'!$A$3,"MA_HT","RSX","MA_QH","HNK")</f>
        <v>0</v>
      </c>
      <c r="K13" s="22">
        <f ca="1">+GETPIVOTDATA("XBC4",'bauchinh (2016)'!$A$3,"MA_HT","RSX","MA_QH","CLN")</f>
        <v>0</v>
      </c>
      <c r="L13" s="43" t="e">
        <f ca="1">$D13-$BF13</f>
        <v>#REF!</v>
      </c>
      <c r="M13" s="22">
        <f ca="1">+GETPIVOTDATA("XBC4",'bauchinh (2016)'!$A$3,"MA_HT","RSX","MA_QH","RPH")</f>
        <v>0</v>
      </c>
      <c r="N13" s="22">
        <f ca="1">+GETPIVOTDATA("XBC4",'bauchinh (2016)'!$A$3,"MA_HT","RSX","MA_QH","RDD")</f>
        <v>0</v>
      </c>
      <c r="O13" s="22">
        <f ca="1">+GETPIVOTDATA("XBC4",'bauchinh (2016)'!$A$3,"MA_HT","RSX","MA_QH","NTS")</f>
        <v>0</v>
      </c>
      <c r="P13" s="22">
        <f ca="1">+GETPIVOTDATA("XBC4",'bauchinh (2016)'!$A$3,"MA_HT","RSX","MA_QH","LMU")</f>
        <v>0</v>
      </c>
      <c r="Q13" s="22">
        <f ca="1">+GETPIVOTDATA("XBC4",'bauchinh (2016)'!$A$3,"MA_HT","RSX","MA_QH","NKH")</f>
        <v>0</v>
      </c>
      <c r="R13" s="42">
        <f ca="1" t="shared" si="2"/>
        <v>0</v>
      </c>
      <c r="S13" s="22">
        <f ca="1">+GETPIVOTDATA("XBC4",'bauchinh (2016)'!$A$3,"MA_HT","RSX","MA_QH","CQP")</f>
        <v>0</v>
      </c>
      <c r="T13" s="22">
        <f ca="1">+GETPIVOTDATA("XBC4",'bauchinh (2016)'!$A$3,"MA_HT","RSX","MA_QH","CAN")</f>
        <v>0</v>
      </c>
      <c r="U13" s="22">
        <f ca="1">+GETPIVOTDATA("XBC4",'bauchinh (2016)'!$A$3,"MA_HT","RSX","MA_QH","SKK")</f>
        <v>0</v>
      </c>
      <c r="V13" s="22">
        <f ca="1">+GETPIVOTDATA("XBC4",'bauchinh (2016)'!$A$3,"MA_HT","RSX","MA_QH","SKT")</f>
        <v>0</v>
      </c>
      <c r="W13" s="22">
        <f ca="1">+GETPIVOTDATA("XBC4",'bauchinh (2016)'!$A$3,"MA_HT","RSX","MA_QH","SKN")</f>
        <v>0</v>
      </c>
      <c r="X13" s="22">
        <f ca="1">+GETPIVOTDATA("XBC4",'bauchinh (2016)'!$A$3,"MA_HT","RSX","MA_QH","TMD")</f>
        <v>0</v>
      </c>
      <c r="Y13" s="22">
        <f ca="1">+GETPIVOTDATA("XBC4",'bauchinh (2016)'!$A$3,"MA_HT","RSX","MA_QH","SKC")</f>
        <v>0</v>
      </c>
      <c r="Z13" s="22">
        <f ca="1">+GETPIVOTDATA("XBC4",'bauchinh (2016)'!$A$3,"MA_HT","RSX","MA_QH","SKS")</f>
        <v>0</v>
      </c>
      <c r="AA13" s="52">
        <f ca="1" t="shared" si="4"/>
        <v>0</v>
      </c>
      <c r="AB13" s="22">
        <f ca="1">+GETPIVOTDATA("XBC4",'bauchinh (2016)'!$A$3,"MA_HT","RSX","MA_QH","DGT")</f>
        <v>0</v>
      </c>
      <c r="AC13" s="22">
        <f ca="1">+GETPIVOTDATA("XBC4",'bauchinh (2016)'!$A$3,"MA_HT","RSX","MA_QH","DTL")</f>
        <v>0</v>
      </c>
      <c r="AD13" s="22">
        <f ca="1">+GETPIVOTDATA("XBC4",'bauchinh (2016)'!$A$3,"MA_HT","RSX","MA_QH","DNL")</f>
        <v>0</v>
      </c>
      <c r="AE13" s="22">
        <f ca="1">+GETPIVOTDATA("XBC4",'bauchinh (2016)'!$A$3,"MA_HT","RSX","MA_QH","DBV")</f>
        <v>0</v>
      </c>
      <c r="AF13" s="22">
        <f ca="1">+GETPIVOTDATA("XBC4",'bauchinh (2016)'!$A$3,"MA_HT","RSX","MA_QH","DVH")</f>
        <v>0</v>
      </c>
      <c r="AG13" s="22">
        <f ca="1">+GETPIVOTDATA("XBC4",'bauchinh (2016)'!$A$3,"MA_HT","RSX","MA_QH","DYT")</f>
        <v>0</v>
      </c>
      <c r="AH13" s="22">
        <f ca="1">+GETPIVOTDATA("XBC4",'bauchinh (2016)'!$A$3,"MA_HT","RSX","MA_QH","DGD")</f>
        <v>0</v>
      </c>
      <c r="AI13" s="22">
        <f ca="1">+GETPIVOTDATA("XBC4",'bauchinh (2016)'!$A$3,"MA_HT","RSX","MA_QH","DTT")</f>
        <v>0</v>
      </c>
      <c r="AJ13" s="22">
        <f ca="1">+GETPIVOTDATA("XBC4",'bauchinh (2016)'!$A$3,"MA_HT","RSX","MA_QH","NCK")</f>
        <v>0</v>
      </c>
      <c r="AK13" s="22">
        <f ca="1">+GETPIVOTDATA("XBC4",'bauchinh (2016)'!$A$3,"MA_HT","RSX","MA_QH","DXH")</f>
        <v>0</v>
      </c>
      <c r="AL13" s="22">
        <f ca="1">+GETPIVOTDATA("XBC4",'bauchinh (2016)'!$A$3,"MA_HT","RSX","MA_QH","DCH")</f>
        <v>0</v>
      </c>
      <c r="AM13" s="22">
        <f ca="1">+GETPIVOTDATA("XBC4",'bauchinh (2016)'!$A$3,"MA_HT","RSX","MA_QH","DKG")</f>
        <v>0</v>
      </c>
      <c r="AN13" s="22">
        <f ca="1">+GETPIVOTDATA("XBC4",'bauchinh (2016)'!$A$3,"MA_HT","RSX","MA_QH","DDT")</f>
        <v>0</v>
      </c>
      <c r="AO13" s="22">
        <f ca="1">+GETPIVOTDATA("XBC4",'bauchinh (2016)'!$A$3,"MA_HT","RSX","MA_QH","DDL")</f>
        <v>0</v>
      </c>
      <c r="AP13" s="22">
        <f ca="1">+GETPIVOTDATA("XBC4",'bauchinh (2016)'!$A$3,"MA_HT","RSX","MA_QH","DRA")</f>
        <v>0</v>
      </c>
      <c r="AQ13" s="22">
        <f ca="1">+GETPIVOTDATA("XBC4",'bauchinh (2016)'!$A$3,"MA_HT","RSX","MA_QH","ONT")</f>
        <v>0</v>
      </c>
      <c r="AR13" s="22">
        <f ca="1">+GETPIVOTDATA("XBC4",'bauchinh (2016)'!$A$3,"MA_HT","RSX","MA_QH","ODT")</f>
        <v>0</v>
      </c>
      <c r="AS13" s="22">
        <f ca="1">+GETPIVOTDATA("XBC4",'bauchinh (2016)'!$A$3,"MA_HT","RSX","MA_QH","TSC")</f>
        <v>0</v>
      </c>
      <c r="AT13" s="22">
        <f ca="1">+GETPIVOTDATA("XBC4",'bauchinh (2016)'!$A$3,"MA_HT","RSX","MA_QH","DTS")</f>
        <v>0</v>
      </c>
      <c r="AU13" s="22">
        <f ca="1">+GETPIVOTDATA("XBC4",'bauchinh (2016)'!$A$3,"MA_HT","RSX","MA_QH","DNG")</f>
        <v>0</v>
      </c>
      <c r="AV13" s="22">
        <f ca="1">+GETPIVOTDATA("XBC4",'bauchinh (2016)'!$A$3,"MA_HT","RSX","MA_QH","TON")</f>
        <v>0</v>
      </c>
      <c r="AW13" s="22">
        <f ca="1">+GETPIVOTDATA("XBC4",'bauchinh (2016)'!$A$3,"MA_HT","RSX","MA_QH","NTD")</f>
        <v>0</v>
      </c>
      <c r="AX13" s="22">
        <f ca="1">+GETPIVOTDATA("XBC4",'bauchinh (2016)'!$A$3,"MA_HT","RSX","MA_QH","SKX")</f>
        <v>0</v>
      </c>
      <c r="AY13" s="22">
        <f ca="1">+GETPIVOTDATA("XBC4",'bauchinh (2016)'!$A$3,"MA_HT","RSX","MA_QH","DSH")</f>
        <v>0</v>
      </c>
      <c r="AZ13" s="22">
        <f ca="1">+GETPIVOTDATA("XBC4",'bauchinh (2016)'!$A$3,"MA_HT","RSX","MA_QH","DKV")</f>
        <v>0</v>
      </c>
      <c r="BA13" s="89">
        <f ca="1">+GETPIVOTDATA("XBC4",'bauchinh (2016)'!$A$3,"MA_HT","RSX","MA_QH","TIN")</f>
        <v>0</v>
      </c>
      <c r="BB13" s="50">
        <f ca="1">+GETPIVOTDATA("XBC4",'bauchinh (2016)'!$A$3,"MA_HT","RSX","MA_QH","SON")</f>
        <v>0</v>
      </c>
      <c r="BC13" s="50">
        <f ca="1">+GETPIVOTDATA("XBC4",'bauchinh (2016)'!$A$3,"MA_HT","RSX","MA_QH","MNC")</f>
        <v>0</v>
      </c>
      <c r="BD13" s="22">
        <f ca="1">+GETPIVOTDATA("XBC4",'bauchinh (2016)'!$A$3,"MA_HT","RSX","MA_QH","PNK")</f>
        <v>0</v>
      </c>
      <c r="BE13" s="71">
        <f ca="1">+GETPIVOTDATA("XBC4",'bauchinh (2016)'!$A$3,"MA_HT","RSX","MA_QH","CSD")</f>
        <v>0</v>
      </c>
      <c r="BF13" s="74">
        <f ca="1" t="shared" si="7"/>
        <v>0</v>
      </c>
      <c r="BG13" s="101">
        <f ca="1">L$59-$BF13</f>
        <v>0</v>
      </c>
      <c r="BH13" s="41" t="e">
        <f ca="1" t="shared" si="8"/>
        <v>#REF!</v>
      </c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</row>
    <row r="14" s="2" customFormat="1" ht="15.75" customHeight="1" spans="1:79">
      <c r="A14" s="39" t="s">
        <v>8349</v>
      </c>
      <c r="B14" s="39" t="s">
        <v>8350</v>
      </c>
      <c r="C14" s="40" t="s">
        <v>8306</v>
      </c>
      <c r="D14" s="47" t="e">
        <f>+#REF!</f>
        <v>#REF!</v>
      </c>
      <c r="E14" s="42">
        <f ca="1">SUM(F14,J14:L14,N14:Q14)</f>
        <v>0</v>
      </c>
      <c r="F14" s="52">
        <f ca="1" t="shared" si="9"/>
        <v>0</v>
      </c>
      <c r="G14" s="22">
        <f ca="1">+GETPIVOTDATA("XBC4",'bauchinh (2016)'!$A$3,"MA_HT","RPH","MA_QH","LUC")</f>
        <v>0</v>
      </c>
      <c r="H14" s="22">
        <f ca="1">+GETPIVOTDATA("XBC4",'bauchinh (2016)'!$A$3,"MA_HT","RPH","MA_QH","LUK")</f>
        <v>0</v>
      </c>
      <c r="I14" s="22">
        <f ca="1">+GETPIVOTDATA("XBC4",'bauchinh (2016)'!$A$3,"MA_HT","RPH","MA_QH","LUN")</f>
        <v>0</v>
      </c>
      <c r="J14" s="22">
        <f ca="1">+GETPIVOTDATA("XBC4",'bauchinh (2016)'!$A$3,"MA_HT","RPH","MA_QH","HNK")</f>
        <v>0</v>
      </c>
      <c r="K14" s="22">
        <f ca="1">+GETPIVOTDATA("XBC4",'bauchinh (2016)'!$A$3,"MA_HT","RPH","MA_QH","CLN")</f>
        <v>0</v>
      </c>
      <c r="L14" s="22">
        <f ca="1">+GETPIVOTDATA("XBC4",'bauchinh (2016)'!$A$3,"MA_HT","RPH","MA_QH","RSX")</f>
        <v>0</v>
      </c>
      <c r="M14" s="43" t="e">
        <f ca="1">$D14-$BF14</f>
        <v>#REF!</v>
      </c>
      <c r="N14" s="22">
        <f ca="1">+GETPIVOTDATA("XBC4",'bauchinh (2016)'!$A$3,"MA_HT","RPH","MA_QH","RDD")</f>
        <v>0</v>
      </c>
      <c r="O14" s="22">
        <f ca="1">+GETPIVOTDATA("XBC4",'bauchinh (2016)'!$A$3,"MA_HT","RPH","MA_QH","NTS")</f>
        <v>0</v>
      </c>
      <c r="P14" s="22">
        <f ca="1">+GETPIVOTDATA("XBC4",'bauchinh (2016)'!$A$3,"MA_HT","RPH","MA_QH","LMU")</f>
        <v>0</v>
      </c>
      <c r="Q14" s="22">
        <f ca="1">+GETPIVOTDATA("XBC4",'bauchinh (2016)'!$A$3,"MA_HT","RPH","MA_QH","NKH")</f>
        <v>0</v>
      </c>
      <c r="R14" s="42">
        <f ca="1" t="shared" si="2"/>
        <v>0</v>
      </c>
      <c r="S14" s="22">
        <f ca="1">+GETPIVOTDATA("XBC4",'bauchinh (2016)'!$A$3,"MA_HT","RPH","MA_QH","CQP")</f>
        <v>0</v>
      </c>
      <c r="T14" s="22">
        <f ca="1">+GETPIVOTDATA("XBC4",'bauchinh (2016)'!$A$3,"MA_HT","RPH","MA_QH","CAN")</f>
        <v>0</v>
      </c>
      <c r="U14" s="22">
        <f ca="1">+GETPIVOTDATA("XBC4",'bauchinh (2016)'!$A$3,"MA_HT","RPH","MA_QH","SKK")</f>
        <v>0</v>
      </c>
      <c r="V14" s="22">
        <f ca="1">+GETPIVOTDATA("XBC4",'bauchinh (2016)'!$A$3,"MA_HT","RPH","MA_QH","SKT")</f>
        <v>0</v>
      </c>
      <c r="W14" s="22">
        <f ca="1">+GETPIVOTDATA("XBC4",'bauchinh (2016)'!$A$3,"MA_HT","RPH","MA_QH","SKN")</f>
        <v>0</v>
      </c>
      <c r="X14" s="22">
        <f ca="1">+GETPIVOTDATA("XBC4",'bauchinh (2016)'!$A$3,"MA_HT","RPH","MA_QH","TMD")</f>
        <v>0</v>
      </c>
      <c r="Y14" s="22">
        <f ca="1">+GETPIVOTDATA("XBC4",'bauchinh (2016)'!$A$3,"MA_HT","RPH","MA_QH","SKC")</f>
        <v>0</v>
      </c>
      <c r="Z14" s="22">
        <f ca="1">+GETPIVOTDATA("XBC4",'bauchinh (2016)'!$A$3,"MA_HT","RPH","MA_QH","SKS")</f>
        <v>0</v>
      </c>
      <c r="AA14" s="52">
        <f ca="1" t="shared" si="4"/>
        <v>0</v>
      </c>
      <c r="AB14" s="22">
        <f ca="1">+GETPIVOTDATA("XBC4",'bauchinh (2016)'!$A$3,"MA_HT","RPH","MA_QH","DGT")</f>
        <v>0</v>
      </c>
      <c r="AC14" s="22">
        <f ca="1">+GETPIVOTDATA("XBC4",'bauchinh (2016)'!$A$3,"MA_HT","RPH","MA_QH","DTL")</f>
        <v>0</v>
      </c>
      <c r="AD14" s="22">
        <f ca="1">+GETPIVOTDATA("XBC4",'bauchinh (2016)'!$A$3,"MA_HT","RPH","MA_QH","DNL")</f>
        <v>0</v>
      </c>
      <c r="AE14" s="22">
        <f ca="1">+GETPIVOTDATA("XBC4",'bauchinh (2016)'!$A$3,"MA_HT","RPH","MA_QH","DBV")</f>
        <v>0</v>
      </c>
      <c r="AF14" s="22">
        <f ca="1">+GETPIVOTDATA("XBC4",'bauchinh (2016)'!$A$3,"MA_HT","RPH","MA_QH","DVH")</f>
        <v>0</v>
      </c>
      <c r="AG14" s="22">
        <f ca="1">+GETPIVOTDATA("XBC4",'bauchinh (2016)'!$A$3,"MA_HT","RPH","MA_QH","DYT")</f>
        <v>0</v>
      </c>
      <c r="AH14" s="22">
        <f ca="1">+GETPIVOTDATA("XBC4",'bauchinh (2016)'!$A$3,"MA_HT","RPH","MA_QH","DGD")</f>
        <v>0</v>
      </c>
      <c r="AI14" s="22">
        <f ca="1">+GETPIVOTDATA("XBC4",'bauchinh (2016)'!$A$3,"MA_HT","RPH","MA_QH","DTT")</f>
        <v>0</v>
      </c>
      <c r="AJ14" s="22">
        <f ca="1">+GETPIVOTDATA("XBC4",'bauchinh (2016)'!$A$3,"MA_HT","RPH","MA_QH","NCK")</f>
        <v>0</v>
      </c>
      <c r="AK14" s="22">
        <f ca="1">+GETPIVOTDATA("XBC4",'bauchinh (2016)'!$A$3,"MA_HT","RPH","MA_QH","DXH")</f>
        <v>0</v>
      </c>
      <c r="AL14" s="22">
        <f ca="1">+GETPIVOTDATA("XBC4",'bauchinh (2016)'!$A$3,"MA_HT","RPH","MA_QH","DCH")</f>
        <v>0</v>
      </c>
      <c r="AM14" s="22">
        <f ca="1">+GETPIVOTDATA("XBC4",'bauchinh (2016)'!$A$3,"MA_HT","RPH","MA_QH","DKG")</f>
        <v>0</v>
      </c>
      <c r="AN14" s="22">
        <f ca="1">+GETPIVOTDATA("XBC4",'bauchinh (2016)'!$A$3,"MA_HT","RPH","MA_QH","DDT")</f>
        <v>0</v>
      </c>
      <c r="AO14" s="22">
        <f ca="1">+GETPIVOTDATA("XBC4",'bauchinh (2016)'!$A$3,"MA_HT","RPH","MA_QH","DDL")</f>
        <v>0</v>
      </c>
      <c r="AP14" s="22">
        <f ca="1">+GETPIVOTDATA("XBC4",'bauchinh (2016)'!$A$3,"MA_HT","RPH","MA_QH","DRA")</f>
        <v>0</v>
      </c>
      <c r="AQ14" s="22">
        <f ca="1">+GETPIVOTDATA("XBC4",'bauchinh (2016)'!$A$3,"MA_HT","RPH","MA_QH","ONT")</f>
        <v>0</v>
      </c>
      <c r="AR14" s="22">
        <f ca="1">+GETPIVOTDATA("XBC4",'bauchinh (2016)'!$A$3,"MA_HT","RPH","MA_QH","ODT")</f>
        <v>0</v>
      </c>
      <c r="AS14" s="22">
        <f ca="1">+GETPIVOTDATA("XBC4",'bauchinh (2016)'!$A$3,"MA_HT","RPH","MA_QH","TSC")</f>
        <v>0</v>
      </c>
      <c r="AT14" s="22">
        <f ca="1">+GETPIVOTDATA("XBC4",'bauchinh (2016)'!$A$3,"MA_HT","RPH","MA_QH","DTS")</f>
        <v>0</v>
      </c>
      <c r="AU14" s="22">
        <f ca="1">+GETPIVOTDATA("XBC4",'bauchinh (2016)'!$A$3,"MA_HT","RPH","MA_QH","DNG")</f>
        <v>0</v>
      </c>
      <c r="AV14" s="22">
        <f ca="1">+GETPIVOTDATA("XBC4",'bauchinh (2016)'!$A$3,"MA_HT","RPH","MA_QH","TON")</f>
        <v>0</v>
      </c>
      <c r="AW14" s="22">
        <f ca="1">+GETPIVOTDATA("XBC4",'bauchinh (2016)'!$A$3,"MA_HT","RPH","MA_QH","NTD")</f>
        <v>0</v>
      </c>
      <c r="AX14" s="22">
        <f ca="1">+GETPIVOTDATA("XBC4",'bauchinh (2016)'!$A$3,"MA_HT","RPH","MA_QH","SKX")</f>
        <v>0</v>
      </c>
      <c r="AY14" s="22">
        <f ca="1">+GETPIVOTDATA("XBC4",'bauchinh (2016)'!$A$3,"MA_HT","RPH","MA_QH","DSH")</f>
        <v>0</v>
      </c>
      <c r="AZ14" s="22">
        <f ca="1">+GETPIVOTDATA("XBC4",'bauchinh (2016)'!$A$3,"MA_HT","RPH","MA_QH","DKV")</f>
        <v>0</v>
      </c>
      <c r="BA14" s="89">
        <f ca="1">+GETPIVOTDATA("XBC4",'bauchinh (2016)'!$A$3,"MA_HT","RPH","MA_QH","TIN")</f>
        <v>0</v>
      </c>
      <c r="BB14" s="50">
        <f ca="1">+GETPIVOTDATA("XBC4",'bauchinh (2016)'!$A$3,"MA_HT","RPH","MA_QH","SON")</f>
        <v>0</v>
      </c>
      <c r="BC14" s="50">
        <f ca="1">+GETPIVOTDATA("XBC4",'bauchinh (2016)'!$A$3,"MA_HT","RPH","MA_QH","MNC")</f>
        <v>0</v>
      </c>
      <c r="BD14" s="22">
        <f ca="1">+GETPIVOTDATA("XBC4",'bauchinh (2016)'!$A$3,"MA_HT","RPH","MA_QH","PNK")</f>
        <v>0</v>
      </c>
      <c r="BE14" s="71">
        <f ca="1">+GETPIVOTDATA("XBC4",'bauchinh (2016)'!$A$3,"MA_HT","RPH","MA_QH","CSD")</f>
        <v>0</v>
      </c>
      <c r="BF14" s="74">
        <f ca="1" t="shared" si="7"/>
        <v>0</v>
      </c>
      <c r="BG14" s="101">
        <f ca="1">M$59-$BF14</f>
        <v>0</v>
      </c>
      <c r="BH14" s="41" t="e">
        <f ca="1" t="shared" si="8"/>
        <v>#REF!</v>
      </c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</row>
    <row r="15" s="2" customFormat="1" ht="15.75" customHeight="1" spans="1:79">
      <c r="A15" s="39" t="s">
        <v>8351</v>
      </c>
      <c r="B15" s="39" t="s">
        <v>8352</v>
      </c>
      <c r="C15" s="40" t="s">
        <v>8305</v>
      </c>
      <c r="D15" s="47" t="e">
        <f>+#REF!</f>
        <v>#REF!</v>
      </c>
      <c r="E15" s="42">
        <f ca="1">SUM(F15,J15:M15,O15:Q15)</f>
        <v>0</v>
      </c>
      <c r="F15" s="52">
        <f ca="1" t="shared" si="9"/>
        <v>0</v>
      </c>
      <c r="G15" s="22">
        <f ca="1">+GETPIVOTDATA("XBC4",'bauchinh (2016)'!$A$3,"MA_HT","RDD","MA_QH","LUC")</f>
        <v>0</v>
      </c>
      <c r="H15" s="22">
        <f ca="1">+GETPIVOTDATA("XBC4",'bauchinh (2016)'!$A$3,"MA_HT","RDD","MA_QH","LUK")</f>
        <v>0</v>
      </c>
      <c r="I15" s="22">
        <f ca="1">+GETPIVOTDATA("XBC4",'bauchinh (2016)'!$A$3,"MA_HT","RDD","MA_QH","LUN")</f>
        <v>0</v>
      </c>
      <c r="J15" s="22">
        <f ca="1">+GETPIVOTDATA("XBC4",'bauchinh (2016)'!$A$3,"MA_HT","RDD","MA_QH","HNK")</f>
        <v>0</v>
      </c>
      <c r="K15" s="22">
        <f ca="1">+GETPIVOTDATA("XBC4",'bauchinh (2016)'!$A$3,"MA_HT","RDD","MA_QH","CLN")</f>
        <v>0</v>
      </c>
      <c r="L15" s="22">
        <f ca="1">+GETPIVOTDATA("XBC4",'bauchinh (2016)'!$A$3,"MA_HT","RDD","MA_QH","RSX")</f>
        <v>0</v>
      </c>
      <c r="M15" s="22">
        <f ca="1">+GETPIVOTDATA("XBC4",'bauchinh (2016)'!$A$3,"MA_HT","RDD","MA_QH","RPH")</f>
        <v>0</v>
      </c>
      <c r="N15" s="43" t="e">
        <f ca="1">$D15-$BF15</f>
        <v>#REF!</v>
      </c>
      <c r="O15" s="22">
        <f ca="1">+GETPIVOTDATA("XBC4",'bauchinh (2016)'!$A$3,"MA_HT","RDD","MA_QH","NTS")</f>
        <v>0</v>
      </c>
      <c r="P15" s="22">
        <f ca="1">+GETPIVOTDATA("XBC4",'bauchinh (2016)'!$A$3,"MA_HT","RDD","MA_QH","LMU")</f>
        <v>0</v>
      </c>
      <c r="Q15" s="22">
        <f ca="1">+GETPIVOTDATA("XBC4",'bauchinh (2016)'!$A$3,"MA_HT","RDD","MA_QH","NKH")</f>
        <v>0</v>
      </c>
      <c r="R15" s="42">
        <f ca="1" t="shared" si="2"/>
        <v>0</v>
      </c>
      <c r="S15" s="22">
        <f ca="1">+GETPIVOTDATA("XBC4",'bauchinh (2016)'!$A$3,"MA_HT","RDD","MA_QH","CQP")</f>
        <v>0</v>
      </c>
      <c r="T15" s="22">
        <f ca="1">+GETPIVOTDATA("XBC4",'bauchinh (2016)'!$A$3,"MA_HT","RDD","MA_QH","CAN")</f>
        <v>0</v>
      </c>
      <c r="U15" s="22">
        <f ca="1">+GETPIVOTDATA("XBC4",'bauchinh (2016)'!$A$3,"MA_HT","RDD","MA_QH","SKK")</f>
        <v>0</v>
      </c>
      <c r="V15" s="22">
        <f ca="1">+GETPIVOTDATA("XBC4",'bauchinh (2016)'!$A$3,"MA_HT","RDD","MA_QH","SKT")</f>
        <v>0</v>
      </c>
      <c r="W15" s="22">
        <f ca="1">+GETPIVOTDATA("XBC4",'bauchinh (2016)'!$A$3,"MA_HT","RDD","MA_QH","SKN")</f>
        <v>0</v>
      </c>
      <c r="X15" s="22">
        <f ca="1">+GETPIVOTDATA("XBC4",'bauchinh (2016)'!$A$3,"MA_HT","RDD","MA_QH","TMD")</f>
        <v>0</v>
      </c>
      <c r="Y15" s="22">
        <f ca="1">+GETPIVOTDATA("XBC4",'bauchinh (2016)'!$A$3,"MA_HT","RDD","MA_QH","SKC")</f>
        <v>0</v>
      </c>
      <c r="Z15" s="22">
        <f ca="1">+GETPIVOTDATA("XBC4",'bauchinh (2016)'!$A$3,"MA_HT","RDD","MA_QH","SKS")</f>
        <v>0</v>
      </c>
      <c r="AA15" s="52">
        <f ca="1" t="shared" si="4"/>
        <v>0</v>
      </c>
      <c r="AB15" s="22">
        <f ca="1">+GETPIVOTDATA("XBC4",'bauchinh (2016)'!$A$3,"MA_HT","RDD","MA_QH","DGT")</f>
        <v>0</v>
      </c>
      <c r="AC15" s="22">
        <f ca="1">+GETPIVOTDATA("XBC4",'bauchinh (2016)'!$A$3,"MA_HT","RDD","MA_QH","DTL")</f>
        <v>0</v>
      </c>
      <c r="AD15" s="22">
        <f ca="1">+GETPIVOTDATA("XBC4",'bauchinh (2016)'!$A$3,"MA_HT","RDD","MA_QH","DNL")</f>
        <v>0</v>
      </c>
      <c r="AE15" s="22">
        <f ca="1">+GETPIVOTDATA("XBC4",'bauchinh (2016)'!$A$3,"MA_HT","RDD","MA_QH","DBV")</f>
        <v>0</v>
      </c>
      <c r="AF15" s="22">
        <f ca="1">+GETPIVOTDATA("XBC4",'bauchinh (2016)'!$A$3,"MA_HT","RDD","MA_QH","DVH")</f>
        <v>0</v>
      </c>
      <c r="AG15" s="22">
        <f ca="1">+GETPIVOTDATA("XBC4",'bauchinh (2016)'!$A$3,"MA_HT","RDD","MA_QH","DYT")</f>
        <v>0</v>
      </c>
      <c r="AH15" s="22">
        <f ca="1">+GETPIVOTDATA("XBC4",'bauchinh (2016)'!$A$3,"MA_HT","RDD","MA_QH","DGD")</f>
        <v>0</v>
      </c>
      <c r="AI15" s="22">
        <f ca="1">+GETPIVOTDATA("XBC4",'bauchinh (2016)'!$A$3,"MA_HT","RDD","MA_QH","DTT")</f>
        <v>0</v>
      </c>
      <c r="AJ15" s="22">
        <f ca="1">+GETPIVOTDATA("XBC4",'bauchinh (2016)'!$A$3,"MA_HT","RDD","MA_QH","NCK")</f>
        <v>0</v>
      </c>
      <c r="AK15" s="22">
        <f ca="1">+GETPIVOTDATA("XBC4",'bauchinh (2016)'!$A$3,"MA_HT","RDD","MA_QH","DXH")</f>
        <v>0</v>
      </c>
      <c r="AL15" s="22">
        <f ca="1">+GETPIVOTDATA("XBC4",'bauchinh (2016)'!$A$3,"MA_HT","RDD","MA_QH","DCH")</f>
        <v>0</v>
      </c>
      <c r="AM15" s="22">
        <f ca="1">+GETPIVOTDATA("XBC4",'bauchinh (2016)'!$A$3,"MA_HT","RDD","MA_QH","DKG")</f>
        <v>0</v>
      </c>
      <c r="AN15" s="22">
        <f ca="1">+GETPIVOTDATA("XBC4",'bauchinh (2016)'!$A$3,"MA_HT","RDD","MA_QH","DDT")</f>
        <v>0</v>
      </c>
      <c r="AO15" s="22">
        <f ca="1">+GETPIVOTDATA("XBC4",'bauchinh (2016)'!$A$3,"MA_HT","RDD","MA_QH","DDL")</f>
        <v>0</v>
      </c>
      <c r="AP15" s="22">
        <f ca="1">+GETPIVOTDATA("XBC4",'bauchinh (2016)'!$A$3,"MA_HT","RDD","MA_QH","DRA")</f>
        <v>0</v>
      </c>
      <c r="AQ15" s="22">
        <f ca="1">+GETPIVOTDATA("XBC4",'bauchinh (2016)'!$A$3,"MA_HT","RDD","MA_QH","ONT")</f>
        <v>0</v>
      </c>
      <c r="AR15" s="22">
        <f ca="1">+GETPIVOTDATA("XBC4",'bauchinh (2016)'!$A$3,"MA_HT","RDD","MA_QH","ODT")</f>
        <v>0</v>
      </c>
      <c r="AS15" s="22">
        <f ca="1">+GETPIVOTDATA("XBC4",'bauchinh (2016)'!$A$3,"MA_HT","RDD","MA_QH","TSC")</f>
        <v>0</v>
      </c>
      <c r="AT15" s="22">
        <f ca="1">+GETPIVOTDATA("XBC4",'bauchinh (2016)'!$A$3,"MA_HT","RDD","MA_QH","DTS")</f>
        <v>0</v>
      </c>
      <c r="AU15" s="22">
        <f ca="1">+GETPIVOTDATA("XBC4",'bauchinh (2016)'!$A$3,"MA_HT","RDD","MA_QH","DNG")</f>
        <v>0</v>
      </c>
      <c r="AV15" s="22">
        <f ca="1">+GETPIVOTDATA("XBC4",'bauchinh (2016)'!$A$3,"MA_HT","RDD","MA_QH","TON")</f>
        <v>0</v>
      </c>
      <c r="AW15" s="22">
        <f ca="1">+GETPIVOTDATA("XBC4",'bauchinh (2016)'!$A$3,"MA_HT","RDD","MA_QH","NTD")</f>
        <v>0</v>
      </c>
      <c r="AX15" s="22">
        <f ca="1">+GETPIVOTDATA("XBC4",'bauchinh (2016)'!$A$3,"MA_HT","RDD","MA_QH","SKX")</f>
        <v>0</v>
      </c>
      <c r="AY15" s="22">
        <f ca="1">+GETPIVOTDATA("XBC4",'bauchinh (2016)'!$A$3,"MA_HT","RDD","MA_QH","DSH")</f>
        <v>0</v>
      </c>
      <c r="AZ15" s="22">
        <f ca="1">+GETPIVOTDATA("XBC4",'bauchinh (2016)'!$A$3,"MA_HT","RDD","MA_QH","DKV")</f>
        <v>0</v>
      </c>
      <c r="BA15" s="89">
        <f ca="1">+GETPIVOTDATA("XBC4",'bauchinh (2016)'!$A$3,"MA_HT","RDD","MA_QH","TIN")</f>
        <v>0</v>
      </c>
      <c r="BB15" s="50">
        <f ca="1">+GETPIVOTDATA("XBC4",'bauchinh (2016)'!$A$3,"MA_HT","RDD","MA_QH","SON")</f>
        <v>0</v>
      </c>
      <c r="BC15" s="50">
        <f ca="1">+GETPIVOTDATA("XBC4",'bauchinh (2016)'!$A$3,"MA_HT","RDD","MA_QH","MNC")</f>
        <v>0</v>
      </c>
      <c r="BD15" s="22">
        <f ca="1">+GETPIVOTDATA("XBC4",'bauchinh (2016)'!$A$3,"MA_HT","RDD","MA_QH","PNK")</f>
        <v>0</v>
      </c>
      <c r="BE15" s="71">
        <f ca="1">+GETPIVOTDATA("XBC4",'bauchinh (2016)'!$A$3,"MA_HT","RDD","MA_QH","CSD")</f>
        <v>0</v>
      </c>
      <c r="BF15" s="74">
        <f ca="1" t="shared" si="7"/>
        <v>0</v>
      </c>
      <c r="BG15" s="101">
        <f ca="1">N$59-$BF15</f>
        <v>0</v>
      </c>
      <c r="BH15" s="41" t="e">
        <f ca="1" t="shared" si="8"/>
        <v>#REF!</v>
      </c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</row>
    <row r="16" s="2" customFormat="1" ht="15.75" customHeight="1" spans="1:79">
      <c r="A16" s="39" t="s">
        <v>8353</v>
      </c>
      <c r="B16" s="39" t="s">
        <v>8354</v>
      </c>
      <c r="C16" s="40" t="s">
        <v>318</v>
      </c>
      <c r="D16" s="47" t="e">
        <f>+#REF!</f>
        <v>#REF!</v>
      </c>
      <c r="E16" s="42">
        <f ca="1">SUM(F16,J16:N16,P16:Q16)</f>
        <v>0</v>
      </c>
      <c r="F16" s="52">
        <f ca="1" t="shared" si="9"/>
        <v>0</v>
      </c>
      <c r="G16" s="22">
        <f ca="1">+GETPIVOTDATA("XBC4",'bauchinh (2016)'!$A$3,"MA_HT","NTS","MA_QH","LUC")</f>
        <v>0</v>
      </c>
      <c r="H16" s="22">
        <f ca="1">+GETPIVOTDATA("XBC4",'bauchinh (2016)'!$A$3,"MA_HT","NTS","MA_QH","LUK")</f>
        <v>0</v>
      </c>
      <c r="I16" s="22">
        <f ca="1">+GETPIVOTDATA("XBC4",'bauchinh (2016)'!$A$3,"MA_HT","NTS","MA_QH","LUN")</f>
        <v>0</v>
      </c>
      <c r="J16" s="22">
        <f ca="1">+GETPIVOTDATA("XBC4",'bauchinh (2016)'!$A$3,"MA_HT","NTS","MA_QH","HNK")</f>
        <v>0</v>
      </c>
      <c r="K16" s="22">
        <f ca="1">+GETPIVOTDATA("XBC4",'bauchinh (2016)'!$A$3,"MA_HT","NTS","MA_QH","CLN")</f>
        <v>0</v>
      </c>
      <c r="L16" s="22">
        <f ca="1">+GETPIVOTDATA("XBC4",'bauchinh (2016)'!$A$3,"MA_HT","NTS","MA_QH","RSX")</f>
        <v>0</v>
      </c>
      <c r="M16" s="22">
        <f ca="1">+GETPIVOTDATA("XBC4",'bauchinh (2016)'!$A$3,"MA_HT","NTS","MA_QH","RPH")</f>
        <v>0</v>
      </c>
      <c r="N16" s="22">
        <f ca="1">+GETPIVOTDATA("XBC4",'bauchinh (2016)'!$A$3,"MA_HT","NTS","MA_QH","RDD")</f>
        <v>0</v>
      </c>
      <c r="O16" s="43" t="e">
        <f ca="1">$D16-$BF16</f>
        <v>#REF!</v>
      </c>
      <c r="P16" s="22">
        <f ca="1">+GETPIVOTDATA("XBC4",'bauchinh (2016)'!$A$3,"MA_HT","NTS","MA_QH","LMU")</f>
        <v>0</v>
      </c>
      <c r="Q16" s="22">
        <f ca="1">+GETPIVOTDATA("XBC4",'bauchinh (2016)'!$A$3,"MA_HT","NTS","MA_QH","NKH")</f>
        <v>0</v>
      </c>
      <c r="R16" s="42">
        <f ca="1" t="shared" si="2"/>
        <v>0</v>
      </c>
      <c r="S16" s="22">
        <f ca="1">+GETPIVOTDATA("XBC4",'bauchinh (2016)'!$A$3,"MA_HT","NTS","MA_QH","CQP")</f>
        <v>0</v>
      </c>
      <c r="T16" s="22">
        <f ca="1">+GETPIVOTDATA("XBC4",'bauchinh (2016)'!$A$3,"MA_HT","NTS","MA_QH","CAN")</f>
        <v>0</v>
      </c>
      <c r="U16" s="22">
        <f ca="1">+GETPIVOTDATA("XBC4",'bauchinh (2016)'!$A$3,"MA_HT","NTS","MA_QH","SKK")</f>
        <v>0</v>
      </c>
      <c r="V16" s="22">
        <f ca="1">+GETPIVOTDATA("XBC4",'bauchinh (2016)'!$A$3,"MA_HT","NTS","MA_QH","SKT")</f>
        <v>0</v>
      </c>
      <c r="W16" s="22">
        <f ca="1">+GETPIVOTDATA("XBC4",'bauchinh (2016)'!$A$3,"MA_HT","NTS","MA_QH","SKN")</f>
        <v>0</v>
      </c>
      <c r="X16" s="22">
        <f ca="1">+GETPIVOTDATA("XBC4",'bauchinh (2016)'!$A$3,"MA_HT","NTS","MA_QH","TMD")</f>
        <v>0</v>
      </c>
      <c r="Y16" s="22">
        <f ca="1">+GETPIVOTDATA("XBC4",'bauchinh (2016)'!$A$3,"MA_HT","NTS","MA_QH","SKC")</f>
        <v>0</v>
      </c>
      <c r="Z16" s="22">
        <f ca="1">+GETPIVOTDATA("XBC4",'bauchinh (2016)'!$A$3,"MA_HT","NTS","MA_QH","SKS")</f>
        <v>0</v>
      </c>
      <c r="AA16" s="52">
        <f ca="1" t="shared" si="4"/>
        <v>0</v>
      </c>
      <c r="AB16" s="22">
        <f ca="1">+GETPIVOTDATA("XBC4",'bauchinh (2016)'!$A$3,"MA_HT","NTS","MA_QH","DGT")</f>
        <v>0</v>
      </c>
      <c r="AC16" s="22">
        <f ca="1">+GETPIVOTDATA("XBC4",'bauchinh (2016)'!$A$3,"MA_HT","NTS","MA_QH","DTL")</f>
        <v>0</v>
      </c>
      <c r="AD16" s="22">
        <f ca="1">+GETPIVOTDATA("XBC4",'bauchinh (2016)'!$A$3,"MA_HT","NTS","MA_QH","DNL")</f>
        <v>0</v>
      </c>
      <c r="AE16" s="22">
        <f ca="1">+GETPIVOTDATA("XBC4",'bauchinh (2016)'!$A$3,"MA_HT","NTS","MA_QH","DBV")</f>
        <v>0</v>
      </c>
      <c r="AF16" s="22">
        <f ca="1">+GETPIVOTDATA("XBC4",'bauchinh (2016)'!$A$3,"MA_HT","NTS","MA_QH","DVH")</f>
        <v>0</v>
      </c>
      <c r="AG16" s="22">
        <f ca="1">+GETPIVOTDATA("XBC4",'bauchinh (2016)'!$A$3,"MA_HT","NTS","MA_QH","DYT")</f>
        <v>0</v>
      </c>
      <c r="AH16" s="22">
        <f ca="1">+GETPIVOTDATA("XBC4",'bauchinh (2016)'!$A$3,"MA_HT","NTS","MA_QH","DGD")</f>
        <v>0</v>
      </c>
      <c r="AI16" s="22">
        <f ca="1">+GETPIVOTDATA("XBC4",'bauchinh (2016)'!$A$3,"MA_HT","NTS","MA_QH","DTT")</f>
        <v>0</v>
      </c>
      <c r="AJ16" s="22">
        <f ca="1">+GETPIVOTDATA("XBC4",'bauchinh (2016)'!$A$3,"MA_HT","NTS","MA_QH","NCK")</f>
        <v>0</v>
      </c>
      <c r="AK16" s="22">
        <f ca="1">+GETPIVOTDATA("XBC4",'bauchinh (2016)'!$A$3,"MA_HT","NTS","MA_QH","DXH")</f>
        <v>0</v>
      </c>
      <c r="AL16" s="22">
        <f ca="1">+GETPIVOTDATA("XBC4",'bauchinh (2016)'!$A$3,"MA_HT","NTS","MA_QH","DCH")</f>
        <v>0</v>
      </c>
      <c r="AM16" s="22">
        <f ca="1">+GETPIVOTDATA("XBC4",'bauchinh (2016)'!$A$3,"MA_HT","NTS","MA_QH","DKG")</f>
        <v>0</v>
      </c>
      <c r="AN16" s="22">
        <f ca="1">+GETPIVOTDATA("XBC4",'bauchinh (2016)'!$A$3,"MA_HT","NTS","MA_QH","DDT")</f>
        <v>0</v>
      </c>
      <c r="AO16" s="22">
        <f ca="1">+GETPIVOTDATA("XBC4",'bauchinh (2016)'!$A$3,"MA_HT","NTS","MA_QH","DDL")</f>
        <v>0</v>
      </c>
      <c r="AP16" s="22">
        <f ca="1">+GETPIVOTDATA("XBC4",'bauchinh (2016)'!$A$3,"MA_HT","NTS","MA_QH","DRA")</f>
        <v>0</v>
      </c>
      <c r="AQ16" s="22">
        <f ca="1">+GETPIVOTDATA("XBC4",'bauchinh (2016)'!$A$3,"MA_HT","NTS","MA_QH","ONT")</f>
        <v>0</v>
      </c>
      <c r="AR16" s="22">
        <f ca="1">+GETPIVOTDATA("XBC4",'bauchinh (2016)'!$A$3,"MA_HT","NTS","MA_QH","ODT")</f>
        <v>0</v>
      </c>
      <c r="AS16" s="22">
        <f ca="1">+GETPIVOTDATA("XBC4",'bauchinh (2016)'!$A$3,"MA_HT","NTS","MA_QH","TSC")</f>
        <v>0</v>
      </c>
      <c r="AT16" s="22">
        <f ca="1">+GETPIVOTDATA("XBC4",'bauchinh (2016)'!$A$3,"MA_HT","NTS","MA_QH","DTS")</f>
        <v>0</v>
      </c>
      <c r="AU16" s="22">
        <f ca="1">+GETPIVOTDATA("XBC4",'bauchinh (2016)'!$A$3,"MA_HT","NTS","MA_QH","DNG")</f>
        <v>0</v>
      </c>
      <c r="AV16" s="22">
        <f ca="1">+GETPIVOTDATA("XBC4",'bauchinh (2016)'!$A$3,"MA_HT","NTS","MA_QH","TON")</f>
        <v>0</v>
      </c>
      <c r="AW16" s="22">
        <f ca="1">+GETPIVOTDATA("XBC4",'bauchinh (2016)'!$A$3,"MA_HT","NTS","MA_QH","NTD")</f>
        <v>0</v>
      </c>
      <c r="AX16" s="22">
        <f ca="1">+GETPIVOTDATA("XBC4",'bauchinh (2016)'!$A$3,"MA_HT","NTS","MA_QH","SKX")</f>
        <v>0</v>
      </c>
      <c r="AY16" s="22">
        <f ca="1">+GETPIVOTDATA("XBC4",'bauchinh (2016)'!$A$3,"MA_HT","NTS","MA_QH","DSH")</f>
        <v>0</v>
      </c>
      <c r="AZ16" s="22">
        <f ca="1">+GETPIVOTDATA("XBC4",'bauchinh (2016)'!$A$3,"MA_HT","NTS","MA_QH","DKV")</f>
        <v>0</v>
      </c>
      <c r="BA16" s="89">
        <f ca="1">+GETPIVOTDATA("XBC4",'bauchinh (2016)'!$A$3,"MA_HT","NTS","MA_QH","TIN")</f>
        <v>0</v>
      </c>
      <c r="BB16" s="50">
        <f ca="1">+GETPIVOTDATA("XBC4",'bauchinh (2016)'!$A$3,"MA_HT","NTS","MA_QH","SON")</f>
        <v>0</v>
      </c>
      <c r="BC16" s="50">
        <f ca="1">+GETPIVOTDATA("XBC4",'bauchinh (2016)'!$A$3,"MA_HT","NTS","MA_QH","MNC")</f>
        <v>0</v>
      </c>
      <c r="BD16" s="22">
        <f ca="1">+GETPIVOTDATA("XBC4",'bauchinh (2016)'!$A$3,"MA_HT","NTS","MA_QH","PNK")</f>
        <v>0</v>
      </c>
      <c r="BE16" s="71">
        <f ca="1">+GETPIVOTDATA("XBC4",'bauchinh (2016)'!$A$3,"MA_HT","NTS","MA_QH","CSD")</f>
        <v>0</v>
      </c>
      <c r="BF16" s="74">
        <f ca="1" t="shared" si="7"/>
        <v>0</v>
      </c>
      <c r="BG16" s="101">
        <f ca="1">O$59-$BF16</f>
        <v>0</v>
      </c>
      <c r="BH16" s="41" t="e">
        <f ca="1" t="shared" si="8"/>
        <v>#REF!</v>
      </c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</row>
    <row r="17" s="2" customFormat="1" ht="15.75" customHeight="1" spans="1:79">
      <c r="A17" s="39" t="s">
        <v>8355</v>
      </c>
      <c r="B17" s="39" t="s">
        <v>8356</v>
      </c>
      <c r="C17" s="40" t="s">
        <v>8297</v>
      </c>
      <c r="D17" s="47" t="e">
        <f>+#REF!</f>
        <v>#REF!</v>
      </c>
      <c r="E17" s="42">
        <f ca="1">SUM(F17,J17:O17,Q17:Q17)</f>
        <v>0</v>
      </c>
      <c r="F17" s="52">
        <f ca="1" t="shared" si="9"/>
        <v>0</v>
      </c>
      <c r="G17" s="22">
        <f ca="1">+GETPIVOTDATA("XBC4",'bauchinh (2016)'!$A$3,"MA_HT","LMU","MA_QH","LUC")</f>
        <v>0</v>
      </c>
      <c r="H17" s="22">
        <f ca="1">+GETPIVOTDATA("XBC4",'bauchinh (2016)'!$A$3,"MA_HT","LMU","MA_QH","LUK")</f>
        <v>0</v>
      </c>
      <c r="I17" s="22">
        <f ca="1">+GETPIVOTDATA("XBC4",'bauchinh (2016)'!$A$3,"MA_HT","LMU","MA_QH","LUN")</f>
        <v>0</v>
      </c>
      <c r="J17" s="22">
        <f ca="1">+GETPIVOTDATA("XBC4",'bauchinh (2016)'!$A$3,"MA_HT","LMU","MA_QH","HNK")</f>
        <v>0</v>
      </c>
      <c r="K17" s="22">
        <f ca="1">+GETPIVOTDATA("XBC4",'bauchinh (2016)'!$A$3,"MA_HT","LMU","MA_QH","CLN")</f>
        <v>0</v>
      </c>
      <c r="L17" s="22">
        <f ca="1">+GETPIVOTDATA("XBC4",'bauchinh (2016)'!$A$3,"MA_HT","LMU","MA_QH","RSX")</f>
        <v>0</v>
      </c>
      <c r="M17" s="22">
        <f ca="1">+GETPIVOTDATA("XBC4",'bauchinh (2016)'!$A$3,"MA_HT","LMU","MA_QH","RPH")</f>
        <v>0</v>
      </c>
      <c r="N17" s="22">
        <f ca="1">+GETPIVOTDATA("XBC4",'bauchinh (2016)'!$A$3,"MA_HT","LMU","MA_QH","RDD")</f>
        <v>0</v>
      </c>
      <c r="O17" s="22">
        <f ca="1">+GETPIVOTDATA("XBC4",'bauchinh (2016)'!$A$3,"MA_HT","LMU","MA_QH","NTS")</f>
        <v>0</v>
      </c>
      <c r="P17" s="43" t="e">
        <f ca="1">$D17-$BF17</f>
        <v>#REF!</v>
      </c>
      <c r="Q17" s="22">
        <f ca="1">+GETPIVOTDATA("XBC4",'bauchinh (2016)'!$A$3,"MA_HT","LMU","MA_QH","NKH")</f>
        <v>0</v>
      </c>
      <c r="R17" s="42">
        <f ca="1" t="shared" si="2"/>
        <v>0</v>
      </c>
      <c r="S17" s="22">
        <f ca="1">+GETPIVOTDATA("XBC4",'bauchinh (2016)'!$A$3,"MA_HT","LMU","MA_QH","CQP")</f>
        <v>0</v>
      </c>
      <c r="T17" s="22">
        <f ca="1">+GETPIVOTDATA("XBC4",'bauchinh (2016)'!$A$3,"MA_HT","LMU","MA_QH","CAN")</f>
        <v>0</v>
      </c>
      <c r="U17" s="22">
        <f ca="1">+GETPIVOTDATA("XBC4",'bauchinh (2016)'!$A$3,"MA_HT","LMU","MA_QH","SKK")</f>
        <v>0</v>
      </c>
      <c r="V17" s="22">
        <f ca="1">+GETPIVOTDATA("XBC4",'bauchinh (2016)'!$A$3,"MA_HT","LMU","MA_QH","SKT")</f>
        <v>0</v>
      </c>
      <c r="W17" s="22">
        <f ca="1">+GETPIVOTDATA("XBC4",'bauchinh (2016)'!$A$3,"MA_HT","LMU","MA_QH","SKN")</f>
        <v>0</v>
      </c>
      <c r="X17" s="22">
        <f ca="1">+GETPIVOTDATA("XBC4",'bauchinh (2016)'!$A$3,"MA_HT","LMU","MA_QH","TMD")</f>
        <v>0</v>
      </c>
      <c r="Y17" s="22">
        <f ca="1">+GETPIVOTDATA("XBC4",'bauchinh (2016)'!$A$3,"MA_HT","LMU","MA_QH","SKC")</f>
        <v>0</v>
      </c>
      <c r="Z17" s="22">
        <f ca="1">+GETPIVOTDATA("XBC4",'bauchinh (2016)'!$A$3,"MA_HT","LMU","MA_QH","SKS")</f>
        <v>0</v>
      </c>
      <c r="AA17" s="52">
        <f ca="1" t="shared" si="4"/>
        <v>0</v>
      </c>
      <c r="AB17" s="22">
        <f ca="1">+GETPIVOTDATA("XBC4",'bauchinh (2016)'!$A$3,"MA_HT","LMU","MA_QH","DGT")</f>
        <v>0</v>
      </c>
      <c r="AC17" s="22">
        <f ca="1">+GETPIVOTDATA("XBC4",'bauchinh (2016)'!$A$3,"MA_HT","LMU","MA_QH","DTL")</f>
        <v>0</v>
      </c>
      <c r="AD17" s="22">
        <f ca="1">+GETPIVOTDATA("XBC4",'bauchinh (2016)'!$A$3,"MA_HT","LMU","MA_QH","DNL")</f>
        <v>0</v>
      </c>
      <c r="AE17" s="22">
        <f ca="1">+GETPIVOTDATA("XBC4",'bauchinh (2016)'!$A$3,"MA_HT","LMU","MA_QH","DBV")</f>
        <v>0</v>
      </c>
      <c r="AF17" s="22">
        <f ca="1">+GETPIVOTDATA("XBC4",'bauchinh (2016)'!$A$3,"MA_HT","LMU","MA_QH","DVH")</f>
        <v>0</v>
      </c>
      <c r="AG17" s="22">
        <f ca="1">+GETPIVOTDATA("XBC4",'bauchinh (2016)'!$A$3,"MA_HT","LMU","MA_QH","DYT")</f>
        <v>0</v>
      </c>
      <c r="AH17" s="22">
        <f ca="1">+GETPIVOTDATA("XBC4",'bauchinh (2016)'!$A$3,"MA_HT","LMU","MA_QH","DGD")</f>
        <v>0</v>
      </c>
      <c r="AI17" s="22">
        <f ca="1">+GETPIVOTDATA("XBC4",'bauchinh (2016)'!$A$3,"MA_HT","LMU","MA_QH","DTT")</f>
        <v>0</v>
      </c>
      <c r="AJ17" s="22">
        <f ca="1">+GETPIVOTDATA("XBC4",'bauchinh (2016)'!$A$3,"MA_HT","LMU","MA_QH","NCK")</f>
        <v>0</v>
      </c>
      <c r="AK17" s="22">
        <f ca="1">+GETPIVOTDATA("XBC4",'bauchinh (2016)'!$A$3,"MA_HT","LMU","MA_QH","DXH")</f>
        <v>0</v>
      </c>
      <c r="AL17" s="22">
        <f ca="1">+GETPIVOTDATA("XBC4",'bauchinh (2016)'!$A$3,"MA_HT","LMU","MA_QH","DCH")</f>
        <v>0</v>
      </c>
      <c r="AM17" s="22">
        <f ca="1">+GETPIVOTDATA("XBC4",'bauchinh (2016)'!$A$3,"MA_HT","LMU","MA_QH","DKG")</f>
        <v>0</v>
      </c>
      <c r="AN17" s="22">
        <f ca="1">+GETPIVOTDATA("XBC4",'bauchinh (2016)'!$A$3,"MA_HT","LMU","MA_QH","DDT")</f>
        <v>0</v>
      </c>
      <c r="AO17" s="22">
        <f ca="1">+GETPIVOTDATA("XBC4",'bauchinh (2016)'!$A$3,"MA_HT","LMU","MA_QH","DDL")</f>
        <v>0</v>
      </c>
      <c r="AP17" s="22">
        <f ca="1">+GETPIVOTDATA("XBC4",'bauchinh (2016)'!$A$3,"MA_HT","LMU","MA_QH","DRA")</f>
        <v>0</v>
      </c>
      <c r="AQ17" s="22">
        <f ca="1">+GETPIVOTDATA("XBC4",'bauchinh (2016)'!$A$3,"MA_HT","LMU","MA_QH","ONT")</f>
        <v>0</v>
      </c>
      <c r="AR17" s="22">
        <f ca="1">+GETPIVOTDATA("XBC4",'bauchinh (2016)'!$A$3,"MA_HT","LMU","MA_QH","ODT")</f>
        <v>0</v>
      </c>
      <c r="AS17" s="22">
        <f ca="1">+GETPIVOTDATA("XBC4",'bauchinh (2016)'!$A$3,"MA_HT","LMU","MA_QH","TSC")</f>
        <v>0</v>
      </c>
      <c r="AT17" s="22">
        <f ca="1">+GETPIVOTDATA("XBC4",'bauchinh (2016)'!$A$3,"MA_HT","LMU","MA_QH","DTS")</f>
        <v>0</v>
      </c>
      <c r="AU17" s="22">
        <f ca="1">+GETPIVOTDATA("XBC4",'bauchinh (2016)'!$A$3,"MA_HT","LMU","MA_QH","DNG")</f>
        <v>0</v>
      </c>
      <c r="AV17" s="22">
        <f ca="1">+GETPIVOTDATA("XBC4",'bauchinh (2016)'!$A$3,"MA_HT","LMU","MA_QH","TON")</f>
        <v>0</v>
      </c>
      <c r="AW17" s="22">
        <f ca="1">+GETPIVOTDATA("XBC4",'bauchinh (2016)'!$A$3,"MA_HT","LMU","MA_QH","NTD")</f>
        <v>0</v>
      </c>
      <c r="AX17" s="22">
        <f ca="1">+GETPIVOTDATA("XBC4",'bauchinh (2016)'!$A$3,"MA_HT","LMU","MA_QH","SKX")</f>
        <v>0</v>
      </c>
      <c r="AY17" s="22">
        <f ca="1">+GETPIVOTDATA("XBC4",'bauchinh (2016)'!$A$3,"MA_HT","LMU","MA_QH","DSH")</f>
        <v>0</v>
      </c>
      <c r="AZ17" s="22">
        <f ca="1">+GETPIVOTDATA("XBC4",'bauchinh (2016)'!$A$3,"MA_HT","LMU","MA_QH","DKV")</f>
        <v>0</v>
      </c>
      <c r="BA17" s="89">
        <f ca="1">+GETPIVOTDATA("XBC4",'bauchinh (2016)'!$A$3,"MA_HT","LMU","MA_QH","TIN")</f>
        <v>0</v>
      </c>
      <c r="BB17" s="50">
        <f ca="1">+GETPIVOTDATA("XBC4",'bauchinh (2016)'!$A$3,"MA_HT","LMU","MA_QH","SON")</f>
        <v>0</v>
      </c>
      <c r="BC17" s="50">
        <f ca="1">+GETPIVOTDATA("XBC4",'bauchinh (2016)'!$A$3,"MA_HT","LMU","MA_QH","MNC")</f>
        <v>0</v>
      </c>
      <c r="BD17" s="22">
        <f ca="1">+GETPIVOTDATA("XBC4",'bauchinh (2016)'!$A$3,"MA_HT","LMU","MA_QH","PNK")</f>
        <v>0</v>
      </c>
      <c r="BE17" s="71">
        <f ca="1">+GETPIVOTDATA("XBC4",'bauchinh (2016)'!$A$3,"MA_HT","LMU","MA_QH","CSD")</f>
        <v>0</v>
      </c>
      <c r="BF17" s="74">
        <f ca="1" t="shared" si="7"/>
        <v>0</v>
      </c>
      <c r="BG17" s="101">
        <f ca="1">P$59-$BF17</f>
        <v>0</v>
      </c>
      <c r="BH17" s="41" t="e">
        <f ca="1" t="shared" si="8"/>
        <v>#REF!</v>
      </c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</row>
    <row r="18" s="2" customFormat="1" ht="15.75" customHeight="1" spans="1:79">
      <c r="A18" s="39" t="s">
        <v>8357</v>
      </c>
      <c r="B18" s="39" t="s">
        <v>8358</v>
      </c>
      <c r="C18" s="40" t="s">
        <v>553</v>
      </c>
      <c r="D18" s="47" t="e">
        <f>+#REF!</f>
        <v>#REF!</v>
      </c>
      <c r="E18" s="42">
        <f ca="1">SUM(F18,J18:P18)</f>
        <v>0</v>
      </c>
      <c r="F18" s="52">
        <f ca="1" t="shared" si="9"/>
        <v>0</v>
      </c>
      <c r="G18" s="22">
        <f ca="1">+GETPIVOTDATA("XBC4",'bauchinh (2016)'!$A$3,"MA_HT","NKH","MA_QH","LUC")</f>
        <v>0</v>
      </c>
      <c r="H18" s="22">
        <f ca="1">+GETPIVOTDATA("XBC4",'bauchinh (2016)'!$A$3,"MA_HT","NKH","MA_QH","LUK")</f>
        <v>0</v>
      </c>
      <c r="I18" s="22">
        <f ca="1">+GETPIVOTDATA("XBC4",'bauchinh (2016)'!$A$3,"MA_HT","NKH","MA_QH","LUN")</f>
        <v>0</v>
      </c>
      <c r="J18" s="22">
        <f ca="1">+GETPIVOTDATA("XBC4",'bauchinh (2016)'!$A$3,"MA_HT","NKH","MA_QH","HNK")</f>
        <v>0</v>
      </c>
      <c r="K18" s="22">
        <f ca="1">+GETPIVOTDATA("XBC4",'bauchinh (2016)'!$A$3,"MA_HT","NKH","MA_QH","CLN")</f>
        <v>0</v>
      </c>
      <c r="L18" s="22">
        <f ca="1">+GETPIVOTDATA("XBC4",'bauchinh (2016)'!$A$3,"MA_HT","NKH","MA_QH","RSX")</f>
        <v>0</v>
      </c>
      <c r="M18" s="22">
        <f ca="1">+GETPIVOTDATA("XBC4",'bauchinh (2016)'!$A$3,"MA_HT","NKH","MA_QH","RPH")</f>
        <v>0</v>
      </c>
      <c r="N18" s="22">
        <f ca="1">+GETPIVOTDATA("XBC4",'bauchinh (2016)'!$A$3,"MA_HT","NKH","MA_QH","RDD")</f>
        <v>0</v>
      </c>
      <c r="O18" s="22">
        <f ca="1">+GETPIVOTDATA("XBC4",'bauchinh (2016)'!$A$3,"MA_HT","NKH","MA_QH","NTS")</f>
        <v>0</v>
      </c>
      <c r="P18" s="22">
        <f ca="1">+GETPIVOTDATA("XBC4",'bauchinh (2016)'!$A$3,"MA_HT","NKH","MA_QH","LMU")</f>
        <v>0</v>
      </c>
      <c r="Q18" s="43" t="e">
        <f ca="1">$D18-$BF18</f>
        <v>#REF!</v>
      </c>
      <c r="R18" s="42">
        <f ca="1" t="shared" si="2"/>
        <v>0</v>
      </c>
      <c r="S18" s="22">
        <f ca="1">+GETPIVOTDATA("XBC4",'bauchinh (2016)'!$A$3,"MA_HT","NKH","MA_QH","CQP")</f>
        <v>0</v>
      </c>
      <c r="T18" s="22">
        <f ca="1">+GETPIVOTDATA("XBC4",'bauchinh (2016)'!$A$3,"MA_HT","NKH","MA_QH","CAN")</f>
        <v>0</v>
      </c>
      <c r="U18" s="22">
        <f ca="1">+GETPIVOTDATA("XBC4",'bauchinh (2016)'!$A$3,"MA_HT","NKH","MA_QH","SKK")</f>
        <v>0</v>
      </c>
      <c r="V18" s="22">
        <f ca="1">+GETPIVOTDATA("XBC4",'bauchinh (2016)'!$A$3,"MA_HT","NKH","MA_QH","SKT")</f>
        <v>0</v>
      </c>
      <c r="W18" s="22">
        <f ca="1">+GETPIVOTDATA("XBC4",'bauchinh (2016)'!$A$3,"MA_HT","NKH","MA_QH","SKN")</f>
        <v>0</v>
      </c>
      <c r="X18" s="22">
        <f ca="1">+GETPIVOTDATA("XBC4",'bauchinh (2016)'!$A$3,"MA_HT","NKH","MA_QH","TMD")</f>
        <v>0</v>
      </c>
      <c r="Y18" s="22">
        <f ca="1">+GETPIVOTDATA("XBC4",'bauchinh (2016)'!$A$3,"MA_HT","NKH","MA_QH","SKC")</f>
        <v>0</v>
      </c>
      <c r="Z18" s="22">
        <f ca="1">+GETPIVOTDATA("XBC4",'bauchinh (2016)'!$A$3,"MA_HT","NKH","MA_QH","SKS")</f>
        <v>0</v>
      </c>
      <c r="AA18" s="52">
        <f ca="1" t="shared" si="4"/>
        <v>0</v>
      </c>
      <c r="AB18" s="22">
        <f ca="1">+GETPIVOTDATA("XBC4",'bauchinh (2016)'!$A$3,"MA_HT","NKH","MA_QH","DGT")</f>
        <v>0</v>
      </c>
      <c r="AC18" s="22">
        <f ca="1">+GETPIVOTDATA("XBC4",'bauchinh (2016)'!$A$3,"MA_HT","NKH","MA_QH","DTL")</f>
        <v>0</v>
      </c>
      <c r="AD18" s="22">
        <f ca="1">+GETPIVOTDATA("XBC4",'bauchinh (2016)'!$A$3,"MA_HT","NKH","MA_QH","DNL")</f>
        <v>0</v>
      </c>
      <c r="AE18" s="22">
        <f ca="1">+GETPIVOTDATA("XBC4",'bauchinh (2016)'!$A$3,"MA_HT","NKH","MA_QH","DBV")</f>
        <v>0</v>
      </c>
      <c r="AF18" s="22">
        <f ca="1">+GETPIVOTDATA("XBC4",'bauchinh (2016)'!$A$3,"MA_HT","NKH","MA_QH","DVH")</f>
        <v>0</v>
      </c>
      <c r="AG18" s="22">
        <f ca="1">+GETPIVOTDATA("XBC4",'bauchinh (2016)'!$A$3,"MA_HT","NKH","MA_QH","DYT")</f>
        <v>0</v>
      </c>
      <c r="AH18" s="22">
        <f ca="1">+GETPIVOTDATA("XBC4",'bauchinh (2016)'!$A$3,"MA_HT","NKH","MA_QH","DGD")</f>
        <v>0</v>
      </c>
      <c r="AI18" s="22">
        <f ca="1">+GETPIVOTDATA("XBC4",'bauchinh (2016)'!$A$3,"MA_HT","NKH","MA_QH","DTT")</f>
        <v>0</v>
      </c>
      <c r="AJ18" s="22">
        <f ca="1">+GETPIVOTDATA("XBC4",'bauchinh (2016)'!$A$3,"MA_HT","NKH","MA_QH","NCK")</f>
        <v>0</v>
      </c>
      <c r="AK18" s="22">
        <f ca="1">+GETPIVOTDATA("XBC4",'bauchinh (2016)'!$A$3,"MA_HT","NKH","MA_QH","DXH")</f>
        <v>0</v>
      </c>
      <c r="AL18" s="22">
        <f ca="1">+GETPIVOTDATA("XBC4",'bauchinh (2016)'!$A$3,"MA_HT","NKH","MA_QH","DCH")</f>
        <v>0</v>
      </c>
      <c r="AM18" s="22">
        <f ca="1">+GETPIVOTDATA("XBC4",'bauchinh (2016)'!$A$3,"MA_HT","NKH","MA_QH","DKG")</f>
        <v>0</v>
      </c>
      <c r="AN18" s="22">
        <f ca="1">+GETPIVOTDATA("XBC4",'bauchinh (2016)'!$A$3,"MA_HT","NKH","MA_QH","DDT")</f>
        <v>0</v>
      </c>
      <c r="AO18" s="22">
        <f ca="1">+GETPIVOTDATA("XBC4",'bauchinh (2016)'!$A$3,"MA_HT","NKH","MA_QH","DDL")</f>
        <v>0</v>
      </c>
      <c r="AP18" s="22">
        <f ca="1">+GETPIVOTDATA("XBC4",'bauchinh (2016)'!$A$3,"MA_HT","NKH","MA_QH","DRA")</f>
        <v>0</v>
      </c>
      <c r="AQ18" s="22">
        <f ca="1">+GETPIVOTDATA("XBC4",'bauchinh (2016)'!$A$3,"MA_HT","NKH","MA_QH","ONT")</f>
        <v>0</v>
      </c>
      <c r="AR18" s="22">
        <f ca="1">+GETPIVOTDATA("XBC4",'bauchinh (2016)'!$A$3,"MA_HT","NKH","MA_QH","ODT")</f>
        <v>0</v>
      </c>
      <c r="AS18" s="22">
        <f ca="1">+GETPIVOTDATA("XBC4",'bauchinh (2016)'!$A$3,"MA_HT","NKH","MA_QH","TSC")</f>
        <v>0</v>
      </c>
      <c r="AT18" s="22">
        <f ca="1">+GETPIVOTDATA("XBC4",'bauchinh (2016)'!$A$3,"MA_HT","NKH","MA_QH","DTS")</f>
        <v>0</v>
      </c>
      <c r="AU18" s="22">
        <f ca="1">+GETPIVOTDATA("XBC4",'bauchinh (2016)'!$A$3,"MA_HT","NKH","MA_QH","DNG")</f>
        <v>0</v>
      </c>
      <c r="AV18" s="22">
        <f ca="1">+GETPIVOTDATA("XBC4",'bauchinh (2016)'!$A$3,"MA_HT","NKH","MA_QH","TON")</f>
        <v>0</v>
      </c>
      <c r="AW18" s="22">
        <f ca="1">+GETPIVOTDATA("XBC4",'bauchinh (2016)'!$A$3,"MA_HT","NKH","MA_QH","NTD")</f>
        <v>0</v>
      </c>
      <c r="AX18" s="22">
        <f ca="1">+GETPIVOTDATA("XBC4",'bauchinh (2016)'!$A$3,"MA_HT","NKH","MA_QH","SKX")</f>
        <v>0</v>
      </c>
      <c r="AY18" s="22">
        <f ca="1">+GETPIVOTDATA("XBC4",'bauchinh (2016)'!$A$3,"MA_HT","NKH","MA_QH","DSH")</f>
        <v>0</v>
      </c>
      <c r="AZ18" s="22">
        <f ca="1">+GETPIVOTDATA("XBC4",'bauchinh (2016)'!$A$3,"MA_HT","NKH","MA_QH","DKV")</f>
        <v>0</v>
      </c>
      <c r="BA18" s="89">
        <f ca="1">+GETPIVOTDATA("XBC4",'bauchinh (2016)'!$A$3,"MA_HT","NKH","MA_QH","TIN")</f>
        <v>0</v>
      </c>
      <c r="BB18" s="50">
        <f ca="1">+GETPIVOTDATA("XBC4",'bauchinh (2016)'!$A$3,"MA_HT","NKH","MA_QH","SON")</f>
        <v>0</v>
      </c>
      <c r="BC18" s="50">
        <f ca="1">+GETPIVOTDATA("XBC4",'bauchinh (2016)'!$A$3,"MA_HT","NKH","MA_QH","MNC")</f>
        <v>0</v>
      </c>
      <c r="BD18" s="22">
        <f ca="1">+GETPIVOTDATA("XBC4",'bauchinh (2016)'!$A$3,"MA_HT","NKH","MA_QH","PNK")</f>
        <v>0</v>
      </c>
      <c r="BE18" s="71">
        <f ca="1">+GETPIVOTDATA("XBC4",'bauchinh (2016)'!$A$3,"MA_HT","NKH","MA_QH","CSD")</f>
        <v>0</v>
      </c>
      <c r="BF18" s="74">
        <f ca="1" t="shared" si="7"/>
        <v>0</v>
      </c>
      <c r="BG18" s="101">
        <f ca="1">Q$59-$BF18</f>
        <v>0</v>
      </c>
      <c r="BH18" s="41" t="e">
        <f ca="1" t="shared" si="8"/>
        <v>#REF!</v>
      </c>
      <c r="BI18" s="98"/>
      <c r="BJ18" s="98"/>
      <c r="BK18" s="98"/>
      <c r="BL18" s="98"/>
      <c r="BM18" s="107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</row>
    <row r="19" s="3" customFormat="1" ht="15.75" customHeight="1" spans="1:75">
      <c r="A19" s="35">
        <v>2</v>
      </c>
      <c r="B19" s="36" t="s">
        <v>8359</v>
      </c>
      <c r="C19" s="37" t="s">
        <v>8304</v>
      </c>
      <c r="D19" s="33" t="e">
        <f>+#REF!</f>
        <v>#REF!</v>
      </c>
      <c r="E19" s="33">
        <f ca="1">SUM(E20:E28,E41:E57)</f>
        <v>0</v>
      </c>
      <c r="F19" s="33">
        <f ca="1">SUM(F20:F28,F41:F57)</f>
        <v>0</v>
      </c>
      <c r="G19" s="33">
        <f ca="1">SUM(G20:G28,G41:G57)</f>
        <v>0</v>
      </c>
      <c r="H19" s="33">
        <f ca="1">SUM(H20:H28,H41:H57)</f>
        <v>0</v>
      </c>
      <c r="I19" s="33">
        <f ca="1">SUM(I20:I28,I41:I57)</f>
        <v>0</v>
      </c>
      <c r="J19" s="33">
        <f ca="1" t="shared" ref="J19:Q19" si="10">SUM(J20:J28,J41:J57)</f>
        <v>0</v>
      </c>
      <c r="K19" s="33">
        <f ca="1" t="shared" si="10"/>
        <v>0</v>
      </c>
      <c r="L19" s="33">
        <f ca="1" t="shared" si="10"/>
        <v>0</v>
      </c>
      <c r="M19" s="33">
        <f ca="1" t="shared" si="10"/>
        <v>0</v>
      </c>
      <c r="N19" s="33">
        <f ca="1" t="shared" si="10"/>
        <v>0</v>
      </c>
      <c r="O19" s="33">
        <f ca="1" t="shared" si="10"/>
        <v>0</v>
      </c>
      <c r="P19" s="33">
        <f ca="1" t="shared" si="10"/>
        <v>0</v>
      </c>
      <c r="Q19" s="33">
        <f ca="1" t="shared" si="10"/>
        <v>0</v>
      </c>
      <c r="R19" s="38" t="e">
        <f ca="1">$D19-$BF19</f>
        <v>#REF!</v>
      </c>
      <c r="S19" s="33">
        <f ca="1">SUM(S21:S28,S41:S57)</f>
        <v>0</v>
      </c>
      <c r="T19" s="33">
        <f ca="1">SUM(T20,T22:T28,T41:T57)</f>
        <v>0</v>
      </c>
      <c r="U19" s="33">
        <f ca="1">SUM(U20:U21,U23:U28,U41:U57)</f>
        <v>0</v>
      </c>
      <c r="V19" s="33">
        <f ca="1">SUM(V20:V22,V24:V28,V41:V57)</f>
        <v>0</v>
      </c>
      <c r="W19" s="33">
        <f ca="1">SUM(W20:W23,W25:W28,W41:W57)</f>
        <v>0</v>
      </c>
      <c r="X19" s="33">
        <f ca="1">SUM(X20:X24,X26:X28,X41:X57)</f>
        <v>0</v>
      </c>
      <c r="Y19" s="33">
        <f ca="1">SUM(Y20:Y25,Y27:Y28,Y41:Y57)</f>
        <v>0</v>
      </c>
      <c r="Z19" s="33">
        <f ca="1">SUM(Z20:Z26,Z28,Z41:Z57)</f>
        <v>0</v>
      </c>
      <c r="AA19" s="33">
        <f ca="1">SUM(AA20:AA27,AA41:AA57)</f>
        <v>0</v>
      </c>
      <c r="AB19" s="33">
        <f ca="1" t="shared" ref="AB19:AM19" si="11">SUM(AB20:AB28,AB41:AB57)</f>
        <v>0</v>
      </c>
      <c r="AC19" s="33">
        <f ca="1" t="shared" si="11"/>
        <v>0</v>
      </c>
      <c r="AD19" s="33">
        <f ca="1" t="shared" si="11"/>
        <v>0</v>
      </c>
      <c r="AE19" s="33">
        <f ca="1" t="shared" si="11"/>
        <v>0</v>
      </c>
      <c r="AF19" s="33">
        <f ca="1" t="shared" si="11"/>
        <v>0</v>
      </c>
      <c r="AG19" s="33">
        <f ca="1" t="shared" si="11"/>
        <v>0</v>
      </c>
      <c r="AH19" s="33">
        <f ca="1" t="shared" si="11"/>
        <v>0</v>
      </c>
      <c r="AI19" s="33">
        <f ca="1" t="shared" si="11"/>
        <v>0</v>
      </c>
      <c r="AJ19" s="33">
        <f ca="1" t="shared" si="11"/>
        <v>0</v>
      </c>
      <c r="AK19" s="33">
        <f ca="1" t="shared" si="11"/>
        <v>0</v>
      </c>
      <c r="AL19" s="33">
        <f ca="1" t="shared" si="11"/>
        <v>0</v>
      </c>
      <c r="AM19" s="33">
        <f ca="1" t="shared" si="11"/>
        <v>0</v>
      </c>
      <c r="AN19" s="33">
        <f ca="1">SUM(AN20:AN28,AN42:AN57)</f>
        <v>0</v>
      </c>
      <c r="AO19" s="33">
        <f ca="1">SUM(AO20:AO28,AO41,AO43:AO57)</f>
        <v>0</v>
      </c>
      <c r="AP19" s="33">
        <f ca="1">SUM(AP20:AP28,AP41:AP42,AP44:AP57)</f>
        <v>0</v>
      </c>
      <c r="AQ19" s="33">
        <f ca="1">SUM(AQ20:AQ28,AQ41:AQ43,AQ45:AQ57)</f>
        <v>0</v>
      </c>
      <c r="AR19" s="33">
        <f ca="1">SUM(AR20:AR28,AR41:AR44,AR46:AR57)</f>
        <v>0</v>
      </c>
      <c r="AS19" s="33">
        <f ca="1">SUM(AS20:AS28,AS41:AS45,AS47:AS57)</f>
        <v>0</v>
      </c>
      <c r="AT19" s="33">
        <f ca="1">SUM(AT20:AT28,AT41:AT46,AT48:AT57)</f>
        <v>0</v>
      </c>
      <c r="AU19" s="33">
        <f ca="1">SUM(AU20:AU28,AU41:AU47,AU49:AU57)</f>
        <v>0</v>
      </c>
      <c r="AV19" s="33">
        <f ca="1">SUM(AV20:AV28,AV41:AV48,AV50:AV57)</f>
        <v>0</v>
      </c>
      <c r="AW19" s="33">
        <f ca="1">SUM(AW20:AW28,AW41:AW49,AW51:AW57)</f>
        <v>0</v>
      </c>
      <c r="AX19" s="33">
        <f ca="1">SUM(AX20:AX28,AX41:AX50,AX52:AX57)</f>
        <v>0</v>
      </c>
      <c r="AY19" s="33">
        <f ca="1">SUM(AY20:AY28,AY41:AY51,AY53:AY57)</f>
        <v>0</v>
      </c>
      <c r="AZ19" s="33">
        <f ca="1">SUM(AZ20:AZ28,AZ41:AZ52,AZ54:AZ57)</f>
        <v>0</v>
      </c>
      <c r="BA19" s="33">
        <f ca="1">SUM(BA20:BA28,BA41:BA53,BA55:BA57)</f>
        <v>0</v>
      </c>
      <c r="BB19" s="33">
        <f ca="1">SUM(BB20:BB28,BB41:BB54,BB56:BB57)</f>
        <v>0</v>
      </c>
      <c r="BC19" s="33">
        <f ca="1">SUM(BC20:BC28,BC41:BC55,BC57)</f>
        <v>0</v>
      </c>
      <c r="BD19" s="33">
        <f ca="1">SUM(BD20:BD28,BD41:BD56,BD58)</f>
        <v>0</v>
      </c>
      <c r="BE19" s="33">
        <f ca="1">SUM(BE20:BE28,BE41:BE57)</f>
        <v>0</v>
      </c>
      <c r="BF19" s="74">
        <f ca="1">SUM(BE19,E19)</f>
        <v>0</v>
      </c>
      <c r="BG19" s="101">
        <f ca="1">R$59-$BF19</f>
        <v>0</v>
      </c>
      <c r="BH19" s="33" t="e">
        <f ca="1">SUM(BH20:BH28,BH41:BH57)</f>
        <v>#REF!</v>
      </c>
      <c r="BI19" s="102"/>
      <c r="BJ19" s="36" t="e">
        <f>SUM(BJ22:BJ54,BJ57:BJ57)</f>
        <v>#REF!</v>
      </c>
      <c r="BK19" s="106" t="e">
        <f ca="1">BH19-BJ19</f>
        <v>#REF!</v>
      </c>
      <c r="BL19" s="106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</row>
    <row r="20" s="2" customFormat="1" ht="15.75" customHeight="1" spans="1:79">
      <c r="A20" s="39" t="s">
        <v>69</v>
      </c>
      <c r="B20" s="39" t="s">
        <v>8360</v>
      </c>
      <c r="C20" s="40" t="s">
        <v>31</v>
      </c>
      <c r="D20" s="41" t="e">
        <f>+#REF!</f>
        <v>#REF!</v>
      </c>
      <c r="E20" s="42">
        <f ca="1">SUM(F20,J20:Q20)</f>
        <v>0</v>
      </c>
      <c r="F20" s="52">
        <f ca="1" t="shared" si="9"/>
        <v>0</v>
      </c>
      <c r="G20" s="22">
        <f ca="1">+GETPIVOTDATA("XBC4",'bauchinh (2016)'!$A$3,"MA_HT","CQP","MA_QH","LUC")</f>
        <v>0</v>
      </c>
      <c r="H20" s="22">
        <f ca="1">+GETPIVOTDATA("XBC4",'bauchinh (2016)'!$A$3,"MA_HT","CQP","MA_QH","LUK")</f>
        <v>0</v>
      </c>
      <c r="I20" s="22">
        <f ca="1">+GETPIVOTDATA("XBC4",'bauchinh (2016)'!$A$3,"MA_HT","CQP","MA_QH","LUN")</f>
        <v>0</v>
      </c>
      <c r="J20" s="22">
        <f ca="1">+GETPIVOTDATA("XBC4",'bauchinh (2016)'!$A$3,"MA_HT","CQP","MA_QH","HNK")</f>
        <v>0</v>
      </c>
      <c r="K20" s="22">
        <f ca="1">+GETPIVOTDATA("XBC4",'bauchinh (2016)'!$A$3,"MA_HT","CQP","MA_QH","CLN")</f>
        <v>0</v>
      </c>
      <c r="L20" s="22">
        <f ca="1">+GETPIVOTDATA("XBC4",'bauchinh (2016)'!$A$3,"MA_HT","CQP","MA_QH","RSX")</f>
        <v>0</v>
      </c>
      <c r="M20" s="22">
        <f ca="1">+GETPIVOTDATA("XBC4",'bauchinh (2016)'!$A$3,"MA_HT","CQP","MA_QH","RPH")</f>
        <v>0</v>
      </c>
      <c r="N20" s="22">
        <f ca="1">+GETPIVOTDATA("XBC4",'bauchinh (2016)'!$A$3,"MA_HT","CQP","MA_QH","RDD")</f>
        <v>0</v>
      </c>
      <c r="O20" s="22">
        <f ca="1">+GETPIVOTDATA("XBC4",'bauchinh (2016)'!$A$3,"MA_HT","CQP","MA_QH","NTS")</f>
        <v>0</v>
      </c>
      <c r="P20" s="22">
        <f ca="1">+GETPIVOTDATA("XBC4",'bauchinh (2016)'!$A$3,"MA_HT","CQP","MA_QH","LMU")</f>
        <v>0</v>
      </c>
      <c r="Q20" s="22">
        <f ca="1">+GETPIVOTDATA("XBC4",'bauchinh (2016)'!$A$3,"MA_HT","CQP","MA_QH","NKH")</f>
        <v>0</v>
      </c>
      <c r="R20" s="42">
        <f ca="1">SUM(T20:AA20,AN20:BD20)</f>
        <v>0</v>
      </c>
      <c r="S20" s="43" t="e">
        <f ca="1">$D20-$BF20</f>
        <v>#REF!</v>
      </c>
      <c r="T20" s="22">
        <f ca="1">+GETPIVOTDATA("XBC4",'bauchinh (2016)'!$A$3,"MA_HT","CQP","MA_QH","CAN")</f>
        <v>0</v>
      </c>
      <c r="U20" s="22">
        <f ca="1">+GETPIVOTDATA("XBC4",'bauchinh (2016)'!$A$3,"MA_HT","CQP","MA_QH","SKK")</f>
        <v>0</v>
      </c>
      <c r="V20" s="22">
        <f ca="1">+GETPIVOTDATA("XBC4",'bauchinh (2016)'!$A$3,"MA_HT","CQP","MA_QH","SKT")</f>
        <v>0</v>
      </c>
      <c r="W20" s="22">
        <f ca="1">+GETPIVOTDATA("XBC4",'bauchinh (2016)'!$A$3,"MA_HT","CQP","MA_QH","SKN")</f>
        <v>0</v>
      </c>
      <c r="X20" s="22">
        <f ca="1">+GETPIVOTDATA("XBC4",'bauchinh (2016)'!$A$3,"MA_HT","CQP","MA_QH","TMD")</f>
        <v>0</v>
      </c>
      <c r="Y20" s="22">
        <f ca="1">+GETPIVOTDATA("XBC4",'bauchinh (2016)'!$A$3,"MA_HT","CQP","MA_QH","SKC")</f>
        <v>0</v>
      </c>
      <c r="Z20" s="22">
        <f ca="1">+GETPIVOTDATA("XBC4",'bauchinh (2016)'!$A$3,"MA_HT","CQP","MA_QH","SKS")</f>
        <v>0</v>
      </c>
      <c r="AA20" s="52">
        <f ca="1" t="shared" ref="AA20:AA27" si="12">+SUM(AB20:AM20)</f>
        <v>0</v>
      </c>
      <c r="AB20" s="22">
        <f ca="1">+GETPIVOTDATA("XBC4",'bauchinh (2016)'!$A$3,"MA_HT","CQP","MA_QH","DGT")</f>
        <v>0</v>
      </c>
      <c r="AC20" s="22">
        <f ca="1">+GETPIVOTDATA("XBC4",'bauchinh (2016)'!$A$3,"MA_HT","CQP","MA_QH","DTL")</f>
        <v>0</v>
      </c>
      <c r="AD20" s="22">
        <f ca="1">+GETPIVOTDATA("XBC4",'bauchinh (2016)'!$A$3,"MA_HT","CQP","MA_QH","DNL")</f>
        <v>0</v>
      </c>
      <c r="AE20" s="22">
        <f ca="1">+GETPIVOTDATA("XBC4",'bauchinh (2016)'!$A$3,"MA_HT","CQP","MA_QH","DBV")</f>
        <v>0</v>
      </c>
      <c r="AF20" s="22">
        <f ca="1">+GETPIVOTDATA("XBC4",'bauchinh (2016)'!$A$3,"MA_HT","CQP","MA_QH","DVH")</f>
        <v>0</v>
      </c>
      <c r="AG20" s="22">
        <f ca="1">+GETPIVOTDATA("XBC4",'bauchinh (2016)'!$A$3,"MA_HT","CQP","MA_QH","DYT")</f>
        <v>0</v>
      </c>
      <c r="AH20" s="22">
        <f ca="1">+GETPIVOTDATA("XBC4",'bauchinh (2016)'!$A$3,"MA_HT","CQP","MA_QH","DGD")</f>
        <v>0</v>
      </c>
      <c r="AI20" s="22">
        <f ca="1">+GETPIVOTDATA("XBC4",'bauchinh (2016)'!$A$3,"MA_HT","CQP","MA_QH","DTT")</f>
        <v>0</v>
      </c>
      <c r="AJ20" s="22">
        <f ca="1">+GETPIVOTDATA("XBC4",'bauchinh (2016)'!$A$3,"MA_HT","CQP","MA_QH","NCK")</f>
        <v>0</v>
      </c>
      <c r="AK20" s="22">
        <f ca="1">+GETPIVOTDATA("XBC4",'bauchinh (2016)'!$A$3,"MA_HT","CQP","MA_QH","DXH")</f>
        <v>0</v>
      </c>
      <c r="AL20" s="22">
        <f ca="1">+GETPIVOTDATA("XBC4",'bauchinh (2016)'!$A$3,"MA_HT","CQP","MA_QH","DCH")</f>
        <v>0</v>
      </c>
      <c r="AM20" s="22">
        <f ca="1">+GETPIVOTDATA("XBC4",'bauchinh (2016)'!$A$3,"MA_HT","CQP","MA_QH","DKG")</f>
        <v>0</v>
      </c>
      <c r="AN20" s="22">
        <f ca="1">+GETPIVOTDATA("XBC4",'bauchinh (2016)'!$A$3,"MA_HT","CQP","MA_QH","DDT")</f>
        <v>0</v>
      </c>
      <c r="AO20" s="22">
        <f ca="1">+GETPIVOTDATA("XBC4",'bauchinh (2016)'!$A$3,"MA_HT","CQP","MA_QH","DDL")</f>
        <v>0</v>
      </c>
      <c r="AP20" s="22">
        <f ca="1">+GETPIVOTDATA("XBC4",'bauchinh (2016)'!$A$3,"MA_HT","CQP","MA_QH","DRA")</f>
        <v>0</v>
      </c>
      <c r="AQ20" s="22">
        <f ca="1">+GETPIVOTDATA("XBC4",'bauchinh (2016)'!$A$3,"MA_HT","CQP","MA_QH","ONT")</f>
        <v>0</v>
      </c>
      <c r="AR20" s="22">
        <f ca="1">+GETPIVOTDATA("XBC4",'bauchinh (2016)'!$A$3,"MA_HT","CQP","MA_QH","ODT")</f>
        <v>0</v>
      </c>
      <c r="AS20" s="22">
        <f ca="1">+GETPIVOTDATA("XBC4",'bauchinh (2016)'!$A$3,"MA_HT","CQP","MA_QH","TSC")</f>
        <v>0</v>
      </c>
      <c r="AT20" s="22">
        <f ca="1">+GETPIVOTDATA("XBC4",'bauchinh (2016)'!$A$3,"MA_HT","CQP","MA_QH","DTS")</f>
        <v>0</v>
      </c>
      <c r="AU20" s="22">
        <f ca="1">+GETPIVOTDATA("XBC4",'bauchinh (2016)'!$A$3,"MA_HT","CQP","MA_QH","DNG")</f>
        <v>0</v>
      </c>
      <c r="AV20" s="22">
        <f ca="1">+GETPIVOTDATA("XBC4",'bauchinh (2016)'!$A$3,"MA_HT","CQP","MA_QH","TON")</f>
        <v>0</v>
      </c>
      <c r="AW20" s="22">
        <f ca="1">+GETPIVOTDATA("XBC4",'bauchinh (2016)'!$A$3,"MA_HT","CQP","MA_QH","NTD")</f>
        <v>0</v>
      </c>
      <c r="AX20" s="22">
        <f ca="1">+GETPIVOTDATA("XBC4",'bauchinh (2016)'!$A$3,"MA_HT","CQP","MA_QH","SKX")</f>
        <v>0</v>
      </c>
      <c r="AY20" s="22">
        <f ca="1">+GETPIVOTDATA("XBC4",'bauchinh (2016)'!$A$3,"MA_HT","CQP","MA_QH","DSH")</f>
        <v>0</v>
      </c>
      <c r="AZ20" s="22">
        <f ca="1">+GETPIVOTDATA("XBC4",'bauchinh (2016)'!$A$3,"MA_HT","CQP","MA_QH","DKV")</f>
        <v>0</v>
      </c>
      <c r="BA20" s="89">
        <f ca="1">+GETPIVOTDATA("XBC4",'bauchinh (2016)'!$A$3,"MA_HT","CQP","MA_QH","TIN")</f>
        <v>0</v>
      </c>
      <c r="BB20" s="50">
        <f ca="1">+GETPIVOTDATA("XBC4",'bauchinh (2016)'!$A$3,"MA_HT","CQP","MA_QH","SON")</f>
        <v>0</v>
      </c>
      <c r="BC20" s="50">
        <f ca="1">+GETPIVOTDATA("XBC4",'bauchinh (2016)'!$A$3,"MA_HT","CQP","MA_QH","MNC")</f>
        <v>0</v>
      </c>
      <c r="BD20" s="22">
        <f ca="1">+GETPIVOTDATA("XBC4",'bauchinh (2016)'!$A$3,"MA_HT","CQP","MA_QH","PNK")</f>
        <v>0</v>
      </c>
      <c r="BE20" s="71">
        <f ca="1">+GETPIVOTDATA("XBC4",'bauchinh (2016)'!$A$3,"MA_HT","CQP","MA_QH","CSD")</f>
        <v>0</v>
      </c>
      <c r="BF20" s="74">
        <f ca="1" t="shared" ref="BF20:BF57" si="13">BE20+R20+E20</f>
        <v>0</v>
      </c>
      <c r="BG20" s="101">
        <f ca="1">S$59-$BF20</f>
        <v>0</v>
      </c>
      <c r="BH20" s="41" t="e">
        <f ca="1" t="shared" ref="BH20:BH58" si="14">BG20+D20</f>
        <v>#REF!</v>
      </c>
      <c r="BI20" s="98"/>
      <c r="BJ20" s="98" t="e">
        <f>#REF!</f>
        <v>#REF!</v>
      </c>
      <c r="BK20" s="107" t="e">
        <f ca="1">BH20-BJ20</f>
        <v>#REF!</v>
      </c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</row>
    <row r="21" s="2" customFormat="1" ht="15.75" customHeight="1" spans="1:79">
      <c r="A21" s="39" t="s">
        <v>232</v>
      </c>
      <c r="B21" s="39" t="s">
        <v>8361</v>
      </c>
      <c r="C21" s="40" t="s">
        <v>8283</v>
      </c>
      <c r="D21" s="41" t="e">
        <f>+#REF!</f>
        <v>#REF!</v>
      </c>
      <c r="E21" s="42">
        <f ca="1" t="shared" ref="E21:E58" si="15">SUM(F21,J21:Q21)</f>
        <v>0</v>
      </c>
      <c r="F21" s="52">
        <f ca="1" t="shared" si="9"/>
        <v>0</v>
      </c>
      <c r="G21" s="22">
        <f ca="1">+GETPIVOTDATA("XBC4",'bauchinh (2016)'!$A$3,"MA_HT","CAN","MA_QH","LUC")</f>
        <v>0</v>
      </c>
      <c r="H21" s="22">
        <f ca="1">+GETPIVOTDATA("XBC4",'bauchinh (2016)'!$A$3,"MA_HT","CAN","MA_QH","LUK")</f>
        <v>0</v>
      </c>
      <c r="I21" s="22">
        <f ca="1">+GETPIVOTDATA("XBC4",'bauchinh (2016)'!$A$3,"MA_HT","CAN","MA_QH","LUN")</f>
        <v>0</v>
      </c>
      <c r="J21" s="22">
        <f ca="1">+GETPIVOTDATA("XBC4",'bauchinh (2016)'!$A$3,"MA_HT","CAN","MA_QH","HNK")</f>
        <v>0</v>
      </c>
      <c r="K21" s="22">
        <f ca="1">+GETPIVOTDATA("XBC4",'bauchinh (2016)'!$A$3,"MA_HT","CAN","MA_QH","CLN")</f>
        <v>0</v>
      </c>
      <c r="L21" s="22">
        <f ca="1">+GETPIVOTDATA("XBC4",'bauchinh (2016)'!$A$3,"MA_HT","CAN","MA_QH","RSX")</f>
        <v>0</v>
      </c>
      <c r="M21" s="22">
        <f ca="1">+GETPIVOTDATA("XBC4",'bauchinh (2016)'!$A$3,"MA_HT","CAN","MA_QH","RPH")</f>
        <v>0</v>
      </c>
      <c r="N21" s="22">
        <f ca="1">+GETPIVOTDATA("XBC4",'bauchinh (2016)'!$A$3,"MA_HT","CAN","MA_QH","RDD")</f>
        <v>0</v>
      </c>
      <c r="O21" s="22">
        <f ca="1">+GETPIVOTDATA("XBC4",'bauchinh (2016)'!$A$3,"MA_HT","CAN","MA_QH","NTS")</f>
        <v>0</v>
      </c>
      <c r="P21" s="22">
        <f ca="1">+GETPIVOTDATA("XBC4",'bauchinh (2016)'!$A$3,"MA_HT","CAN","MA_QH","LMU")</f>
        <v>0</v>
      </c>
      <c r="Q21" s="22">
        <f ca="1">+GETPIVOTDATA("XBC4",'bauchinh (2016)'!$A$3,"MA_HT","CAN","MA_QH","NKH")</f>
        <v>0</v>
      </c>
      <c r="R21" s="42">
        <f ca="1">SUM(S21,U21:AA21,AN21:BD21)</f>
        <v>0</v>
      </c>
      <c r="S21" s="22">
        <f ca="1">+GETPIVOTDATA("XBC4",'bauchinh (2016)'!$A$3,"MA_HT","CAN","MA_QH","CQP")</f>
        <v>0</v>
      </c>
      <c r="T21" s="43" t="e">
        <f ca="1">$D21-$BF21</f>
        <v>#REF!</v>
      </c>
      <c r="U21" s="22">
        <f ca="1">+GETPIVOTDATA("XBC4",'bauchinh (2016)'!$A$3,"MA_HT","CAN","MA_QH","SKK")</f>
        <v>0</v>
      </c>
      <c r="V21" s="22">
        <f ca="1">+GETPIVOTDATA("XBC4",'bauchinh (2016)'!$A$3,"MA_HT","CAN","MA_QH","SKT")</f>
        <v>0</v>
      </c>
      <c r="W21" s="22">
        <f ca="1">+GETPIVOTDATA("XBC4",'bauchinh (2016)'!$A$3,"MA_HT","CAN","MA_QH","SKN")</f>
        <v>0</v>
      </c>
      <c r="X21" s="22">
        <f ca="1">+GETPIVOTDATA("XBC4",'bauchinh (2016)'!$A$3,"MA_HT","CAN","MA_QH","TMD")</f>
        <v>0</v>
      </c>
      <c r="Y21" s="22">
        <f ca="1">+GETPIVOTDATA("XBC4",'bauchinh (2016)'!$A$3,"MA_HT","CAN","MA_QH","SKC")</f>
        <v>0</v>
      </c>
      <c r="Z21" s="22">
        <f ca="1">+GETPIVOTDATA("XBC4",'bauchinh (2016)'!$A$3,"MA_HT","CAN","MA_QH","SKS")</f>
        <v>0</v>
      </c>
      <c r="AA21" s="52">
        <f ca="1" t="shared" si="12"/>
        <v>0</v>
      </c>
      <c r="AB21" s="22">
        <f ca="1">+GETPIVOTDATA("XBC4",'bauchinh (2016)'!$A$3,"MA_HT","CAN","MA_QH","DGT")</f>
        <v>0</v>
      </c>
      <c r="AC21" s="22">
        <f ca="1">+GETPIVOTDATA("XBC4",'bauchinh (2016)'!$A$3,"MA_HT","CAN","MA_QH","DTL")</f>
        <v>0</v>
      </c>
      <c r="AD21" s="22">
        <f ca="1">+GETPIVOTDATA("XBC4",'bauchinh (2016)'!$A$3,"MA_HT","CAN","MA_QH","DNL")</f>
        <v>0</v>
      </c>
      <c r="AE21" s="22">
        <f ca="1">+GETPIVOTDATA("XBC4",'bauchinh (2016)'!$A$3,"MA_HT","CAN","MA_QH","DBV")</f>
        <v>0</v>
      </c>
      <c r="AF21" s="22">
        <f ca="1">+GETPIVOTDATA("XBC4",'bauchinh (2016)'!$A$3,"MA_HT","CAN","MA_QH","DVH")</f>
        <v>0</v>
      </c>
      <c r="AG21" s="22">
        <f ca="1">+GETPIVOTDATA("XBC4",'bauchinh (2016)'!$A$3,"MA_HT","CAN","MA_QH","DYT")</f>
        <v>0</v>
      </c>
      <c r="AH21" s="22">
        <f ca="1">+GETPIVOTDATA("XBC4",'bauchinh (2016)'!$A$3,"MA_HT","CAN","MA_QH","DGD")</f>
        <v>0</v>
      </c>
      <c r="AI21" s="22">
        <f ca="1">+GETPIVOTDATA("XBC4",'bauchinh (2016)'!$A$3,"MA_HT","CAN","MA_QH","DTT")</f>
        <v>0</v>
      </c>
      <c r="AJ21" s="22">
        <f ca="1">+GETPIVOTDATA("XBC4",'bauchinh (2016)'!$A$3,"MA_HT","CAN","MA_QH","NCK")</f>
        <v>0</v>
      </c>
      <c r="AK21" s="22">
        <f ca="1">+GETPIVOTDATA("XBC4",'bauchinh (2016)'!$A$3,"MA_HT","CAN","MA_QH","DXH")</f>
        <v>0</v>
      </c>
      <c r="AL21" s="22">
        <f ca="1">+GETPIVOTDATA("XBC4",'bauchinh (2016)'!$A$3,"MA_HT","CAN","MA_QH","DCH")</f>
        <v>0</v>
      </c>
      <c r="AM21" s="22">
        <f ca="1">+GETPIVOTDATA("XBC4",'bauchinh (2016)'!$A$3,"MA_HT","CAN","MA_QH","DKG")</f>
        <v>0</v>
      </c>
      <c r="AN21" s="22">
        <f ca="1">+GETPIVOTDATA("XBC4",'bauchinh (2016)'!$A$3,"MA_HT","CAN","MA_QH","DDT")</f>
        <v>0</v>
      </c>
      <c r="AO21" s="22">
        <f ca="1">+GETPIVOTDATA("XBC4",'bauchinh (2016)'!$A$3,"MA_HT","CAN","MA_QH","DDL")</f>
        <v>0</v>
      </c>
      <c r="AP21" s="22">
        <f ca="1">+GETPIVOTDATA("XBC4",'bauchinh (2016)'!$A$3,"MA_HT","CAN","MA_QH","DRA")</f>
        <v>0</v>
      </c>
      <c r="AQ21" s="22">
        <f ca="1">+GETPIVOTDATA("XBC4",'bauchinh (2016)'!$A$3,"MA_HT","CAN","MA_QH","ONT")</f>
        <v>0</v>
      </c>
      <c r="AR21" s="22">
        <f ca="1">+GETPIVOTDATA("XBC4",'bauchinh (2016)'!$A$3,"MA_HT","CAN","MA_QH","ODT")</f>
        <v>0</v>
      </c>
      <c r="AS21" s="22">
        <f ca="1">+GETPIVOTDATA("XBC4",'bauchinh (2016)'!$A$3,"MA_HT","CAN","MA_QH","TSC")</f>
        <v>0</v>
      </c>
      <c r="AT21" s="22">
        <f ca="1">+GETPIVOTDATA("XBC4",'bauchinh (2016)'!$A$3,"MA_HT","CAN","MA_QH","DTS")</f>
        <v>0</v>
      </c>
      <c r="AU21" s="22">
        <f ca="1">+GETPIVOTDATA("XBC4",'bauchinh (2016)'!$A$3,"MA_HT","CAN","MA_QH","DNG")</f>
        <v>0</v>
      </c>
      <c r="AV21" s="22">
        <f ca="1">+GETPIVOTDATA("XBC4",'bauchinh (2016)'!$A$3,"MA_HT","CAN","MA_QH","TON")</f>
        <v>0</v>
      </c>
      <c r="AW21" s="22">
        <f ca="1">+GETPIVOTDATA("XBC4",'bauchinh (2016)'!$A$3,"MA_HT","CAN","MA_QH","NTD")</f>
        <v>0</v>
      </c>
      <c r="AX21" s="22">
        <f ca="1">+GETPIVOTDATA("XBC4",'bauchinh (2016)'!$A$3,"MA_HT","CAN","MA_QH","SKX")</f>
        <v>0</v>
      </c>
      <c r="AY21" s="22">
        <f ca="1">+GETPIVOTDATA("XBC4",'bauchinh (2016)'!$A$3,"MA_HT","CAN","MA_QH","DSH")</f>
        <v>0</v>
      </c>
      <c r="AZ21" s="22">
        <f ca="1">+GETPIVOTDATA("XBC4",'bauchinh (2016)'!$A$3,"MA_HT","CAN","MA_QH","DKV")</f>
        <v>0</v>
      </c>
      <c r="BA21" s="89">
        <f ca="1">+GETPIVOTDATA("XBC4",'bauchinh (2016)'!$A$3,"MA_HT","CAN","MA_QH","TIN")</f>
        <v>0</v>
      </c>
      <c r="BB21" s="50">
        <f ca="1">+GETPIVOTDATA("XBC4",'bauchinh (2016)'!$A$3,"MA_HT","CAN","MA_QH","SON")</f>
        <v>0</v>
      </c>
      <c r="BC21" s="50">
        <f ca="1">+GETPIVOTDATA("XBC4",'bauchinh (2016)'!$A$3,"MA_HT","CAN","MA_QH","MNC")</f>
        <v>0</v>
      </c>
      <c r="BD21" s="22">
        <f ca="1">+GETPIVOTDATA("XBC4",'bauchinh (2016)'!$A$3,"MA_HT","CAN","MA_QH","PNK")</f>
        <v>0</v>
      </c>
      <c r="BE21" s="71">
        <f ca="1">+GETPIVOTDATA("XBC4",'bauchinh (2016)'!$A$3,"MA_HT","CAN","MA_QH","CSD")</f>
        <v>0</v>
      </c>
      <c r="BF21" s="74">
        <f ca="1" t="shared" si="13"/>
        <v>0</v>
      </c>
      <c r="BG21" s="101">
        <f ca="1">T$59-$BF21</f>
        <v>0</v>
      </c>
      <c r="BH21" s="41" t="e">
        <f ca="1" t="shared" si="14"/>
        <v>#REF!</v>
      </c>
      <c r="BI21" s="98"/>
      <c r="BJ21" s="98" t="e">
        <f>#REF!</f>
        <v>#REF!</v>
      </c>
      <c r="BK21" s="107" t="e">
        <f ca="1">BH21-BJ21</f>
        <v>#REF!</v>
      </c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</row>
    <row r="22" s="2" customFormat="1" ht="15.75" customHeight="1" spans="1:79">
      <c r="A22" s="39" t="s">
        <v>8362</v>
      </c>
      <c r="B22" s="53" t="s">
        <v>8363</v>
      </c>
      <c r="C22" s="40" t="s">
        <v>47</v>
      </c>
      <c r="D22" s="41" t="e">
        <f>+#REF!</f>
        <v>#REF!</v>
      </c>
      <c r="E22" s="42">
        <f ca="1" t="shared" si="15"/>
        <v>0</v>
      </c>
      <c r="F22" s="52">
        <f ca="1" t="shared" si="9"/>
        <v>0</v>
      </c>
      <c r="G22" s="22">
        <f ca="1">+GETPIVOTDATA("XBC4",'bauchinh (2016)'!$A$3,"MA_HT","SKK","MA_QH","LUC")</f>
        <v>0</v>
      </c>
      <c r="H22" s="22">
        <f ca="1">+GETPIVOTDATA("XBC4",'bauchinh (2016)'!$A$3,"MA_HT","SKK","MA_QH","LUK")</f>
        <v>0</v>
      </c>
      <c r="I22" s="22">
        <f ca="1">+GETPIVOTDATA("XBC4",'bauchinh (2016)'!$A$3,"MA_HT","SKK","MA_QH","LUN")</f>
        <v>0</v>
      </c>
      <c r="J22" s="22">
        <f ca="1">+GETPIVOTDATA("XBC4",'bauchinh (2016)'!$A$3,"MA_HT","SKK","MA_QH","HNK")</f>
        <v>0</v>
      </c>
      <c r="K22" s="22">
        <f ca="1">+GETPIVOTDATA("XBC4",'bauchinh (2016)'!$A$3,"MA_HT","SKK","MA_QH","CLN")</f>
        <v>0</v>
      </c>
      <c r="L22" s="22">
        <f ca="1">+GETPIVOTDATA("XBC4",'bauchinh (2016)'!$A$3,"MA_HT","SKK","MA_QH","RSX")</f>
        <v>0</v>
      </c>
      <c r="M22" s="22">
        <f ca="1">+GETPIVOTDATA("XBC4",'bauchinh (2016)'!$A$3,"MA_HT","SKK","MA_QH","RPH")</f>
        <v>0</v>
      </c>
      <c r="N22" s="22">
        <f ca="1">+GETPIVOTDATA("XBC4",'bauchinh (2016)'!$A$3,"MA_HT","SKK","MA_QH","RDD")</f>
        <v>0</v>
      </c>
      <c r="O22" s="22">
        <f ca="1">+GETPIVOTDATA("XBC4",'bauchinh (2016)'!$A$3,"MA_HT","SKK","MA_QH","NTS")</f>
        <v>0</v>
      </c>
      <c r="P22" s="22">
        <f ca="1">+GETPIVOTDATA("XBC4",'bauchinh (2016)'!$A$3,"MA_HT","SKK","MA_QH","LMU")</f>
        <v>0</v>
      </c>
      <c r="Q22" s="22">
        <f ca="1">+GETPIVOTDATA("XBC4",'bauchinh (2016)'!$A$3,"MA_HT","SKK","MA_QH","NKH")</f>
        <v>0</v>
      </c>
      <c r="R22" s="42">
        <f ca="1">SUM(S22:T22,V22:AA22,AN22:BD22)</f>
        <v>0</v>
      </c>
      <c r="S22" s="22">
        <f ca="1">+GETPIVOTDATA("XBC4",'bauchinh (2016)'!$A$3,"MA_HT","SKK","MA_QH","CQP")</f>
        <v>0</v>
      </c>
      <c r="T22" s="22">
        <f ca="1">+GETPIVOTDATA("XBC4",'bauchinh (2016)'!$A$3,"MA_HT","SKK","MA_QH","CAN")</f>
        <v>0</v>
      </c>
      <c r="U22" s="43" t="e">
        <f ca="1">$D22-$BF22</f>
        <v>#REF!</v>
      </c>
      <c r="V22" s="22">
        <f ca="1">+GETPIVOTDATA("XBC4",'bauchinh (2016)'!$A$3,"MA_HT","SKK","MA_QH","SKT")</f>
        <v>0</v>
      </c>
      <c r="W22" s="22">
        <f ca="1">+GETPIVOTDATA("XBC4",'bauchinh (2016)'!$A$3,"MA_HT","SKK","MA_QH","SKN")</f>
        <v>0</v>
      </c>
      <c r="X22" s="22">
        <f ca="1">+GETPIVOTDATA("XBC4",'bauchinh (2016)'!$A$3,"MA_HT","SKK","MA_QH","TMD")</f>
        <v>0</v>
      </c>
      <c r="Y22" s="22">
        <f ca="1">+GETPIVOTDATA("XBC4",'bauchinh (2016)'!$A$3,"MA_HT","SKK","MA_QH","SKC")</f>
        <v>0</v>
      </c>
      <c r="Z22" s="22">
        <f ca="1">+GETPIVOTDATA("XBC4",'bauchinh (2016)'!$A$3,"MA_HT","SKK","MA_QH","SKS")</f>
        <v>0</v>
      </c>
      <c r="AA22" s="52">
        <f ca="1" t="shared" si="12"/>
        <v>0</v>
      </c>
      <c r="AB22" s="22">
        <f ca="1">+GETPIVOTDATA("XBC4",'bauchinh (2016)'!$A$3,"MA_HT","SKK","MA_QH","DGT")</f>
        <v>0</v>
      </c>
      <c r="AC22" s="22">
        <f ca="1">+GETPIVOTDATA("XBC4",'bauchinh (2016)'!$A$3,"MA_HT","SKK","MA_QH","DTL")</f>
        <v>0</v>
      </c>
      <c r="AD22" s="22">
        <f ca="1">+GETPIVOTDATA("XBC4",'bauchinh (2016)'!$A$3,"MA_HT","SKK","MA_QH","DNL")</f>
        <v>0</v>
      </c>
      <c r="AE22" s="22">
        <f ca="1">+GETPIVOTDATA("XBC4",'bauchinh (2016)'!$A$3,"MA_HT","SKK","MA_QH","DBV")</f>
        <v>0</v>
      </c>
      <c r="AF22" s="22">
        <f ca="1">+GETPIVOTDATA("XBC4",'bauchinh (2016)'!$A$3,"MA_HT","SKK","MA_QH","DVH")</f>
        <v>0</v>
      </c>
      <c r="AG22" s="22">
        <f ca="1">+GETPIVOTDATA("XBC4",'bauchinh (2016)'!$A$3,"MA_HT","SKK","MA_QH","DYT")</f>
        <v>0</v>
      </c>
      <c r="AH22" s="22">
        <f ca="1">+GETPIVOTDATA("XBC4",'bauchinh (2016)'!$A$3,"MA_HT","SKK","MA_QH","DGD")</f>
        <v>0</v>
      </c>
      <c r="AI22" s="22">
        <f ca="1">+GETPIVOTDATA("XBC4",'bauchinh (2016)'!$A$3,"MA_HT","SKK","MA_QH","DTT")</f>
        <v>0</v>
      </c>
      <c r="AJ22" s="22">
        <f ca="1">+GETPIVOTDATA("XBC4",'bauchinh (2016)'!$A$3,"MA_HT","SKK","MA_QH","NCK")</f>
        <v>0</v>
      </c>
      <c r="AK22" s="22">
        <f ca="1">+GETPIVOTDATA("XBC4",'bauchinh (2016)'!$A$3,"MA_HT","SKK","MA_QH","DXH")</f>
        <v>0</v>
      </c>
      <c r="AL22" s="22">
        <f ca="1">+GETPIVOTDATA("XBC4",'bauchinh (2016)'!$A$3,"MA_HT","SKK","MA_QH","DCH")</f>
        <v>0</v>
      </c>
      <c r="AM22" s="22">
        <f ca="1">+GETPIVOTDATA("XBC4",'bauchinh (2016)'!$A$3,"MA_HT","SKK","MA_QH","DKG")</f>
        <v>0</v>
      </c>
      <c r="AN22" s="22">
        <f ca="1">+GETPIVOTDATA("XBC4",'bauchinh (2016)'!$A$3,"MA_HT","SKK","MA_QH","DDT")</f>
        <v>0</v>
      </c>
      <c r="AO22" s="22">
        <f ca="1">+GETPIVOTDATA("XBC4",'bauchinh (2016)'!$A$3,"MA_HT","SKK","MA_QH","DDL")</f>
        <v>0</v>
      </c>
      <c r="AP22" s="22">
        <f ca="1">+GETPIVOTDATA("XBC4",'bauchinh (2016)'!$A$3,"MA_HT","SKK","MA_QH","DRA")</f>
        <v>0</v>
      </c>
      <c r="AQ22" s="22">
        <f ca="1">+GETPIVOTDATA("XBC4",'bauchinh (2016)'!$A$3,"MA_HT","SKK","MA_QH","ONT")</f>
        <v>0</v>
      </c>
      <c r="AR22" s="22">
        <f ca="1">+GETPIVOTDATA("XBC4",'bauchinh (2016)'!$A$3,"MA_HT","SKK","MA_QH","ODT")</f>
        <v>0</v>
      </c>
      <c r="AS22" s="22">
        <f ca="1">+GETPIVOTDATA("XBC4",'bauchinh (2016)'!$A$3,"MA_HT","SKK","MA_QH","TSC")</f>
        <v>0</v>
      </c>
      <c r="AT22" s="22">
        <f ca="1">+GETPIVOTDATA("XBC4",'bauchinh (2016)'!$A$3,"MA_HT","SKK","MA_QH","DTS")</f>
        <v>0</v>
      </c>
      <c r="AU22" s="22">
        <f ca="1">+GETPIVOTDATA("XBC4",'bauchinh (2016)'!$A$3,"MA_HT","SKK","MA_QH","DNG")</f>
        <v>0</v>
      </c>
      <c r="AV22" s="22">
        <f ca="1">+GETPIVOTDATA("XBC4",'bauchinh (2016)'!$A$3,"MA_HT","SKK","MA_QH","TON")</f>
        <v>0</v>
      </c>
      <c r="AW22" s="22">
        <f ca="1">+GETPIVOTDATA("XBC4",'bauchinh (2016)'!$A$3,"MA_HT","SKK","MA_QH","NTD")</f>
        <v>0</v>
      </c>
      <c r="AX22" s="22">
        <f ca="1">+GETPIVOTDATA("XBC4",'bauchinh (2016)'!$A$3,"MA_HT","SKK","MA_QH","SKX")</f>
        <v>0</v>
      </c>
      <c r="AY22" s="22">
        <f ca="1">+GETPIVOTDATA("XBC4",'bauchinh (2016)'!$A$3,"MA_HT","SKK","MA_QH","DSH")</f>
        <v>0</v>
      </c>
      <c r="AZ22" s="22">
        <f ca="1">+GETPIVOTDATA("XBC4",'bauchinh (2016)'!$A$3,"MA_HT","SKK","MA_QH","DKV")</f>
        <v>0</v>
      </c>
      <c r="BA22" s="89">
        <f ca="1">+GETPIVOTDATA("XBC4",'bauchinh (2016)'!$A$3,"MA_HT","SKK","MA_QH","TIN")</f>
        <v>0</v>
      </c>
      <c r="BB22" s="50">
        <f ca="1">+GETPIVOTDATA("XBC4",'bauchinh (2016)'!$A$3,"MA_HT","SKK","MA_QH","SON")</f>
        <v>0</v>
      </c>
      <c r="BC22" s="50">
        <f ca="1">+GETPIVOTDATA("XBC4",'bauchinh (2016)'!$A$3,"MA_HT","SKK","MA_QH","MNC")</f>
        <v>0</v>
      </c>
      <c r="BD22" s="22">
        <f ca="1">+GETPIVOTDATA("XBC4",'bauchinh (2016)'!$A$3,"MA_HT","SKK","MA_QH","PNK")</f>
        <v>0</v>
      </c>
      <c r="BE22" s="71">
        <f ca="1">+GETPIVOTDATA("XBC4",'bauchinh (2016)'!$A$3,"MA_HT","SKK","MA_QH","CSD")</f>
        <v>0</v>
      </c>
      <c r="BF22" s="74">
        <f ca="1" t="shared" si="13"/>
        <v>0</v>
      </c>
      <c r="BG22" s="101">
        <f ca="1">U$59-$BF22</f>
        <v>0</v>
      </c>
      <c r="BH22" s="41" t="e">
        <f ca="1" t="shared" si="14"/>
        <v>#REF!</v>
      </c>
      <c r="BI22" s="98"/>
      <c r="BJ22" s="107" t="e">
        <f>#REF!</f>
        <v>#REF!</v>
      </c>
      <c r="BK22" s="107" t="e">
        <f ca="1">BH22-BJ22</f>
        <v>#REF!</v>
      </c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</row>
    <row r="23" s="2" customFormat="1" ht="15.75" customHeight="1" spans="1:79">
      <c r="A23" s="39" t="s">
        <v>8364</v>
      </c>
      <c r="B23" s="53" t="s">
        <v>8365</v>
      </c>
      <c r="C23" s="40" t="s">
        <v>8308</v>
      </c>
      <c r="D23" s="41" t="e">
        <f>+#REF!</f>
        <v>#REF!</v>
      </c>
      <c r="E23" s="42">
        <f ca="1" t="shared" si="15"/>
        <v>0</v>
      </c>
      <c r="F23" s="52">
        <f ca="1" t="shared" si="9"/>
        <v>0</v>
      </c>
      <c r="G23" s="22">
        <f ca="1">+GETPIVOTDATA("XBC4",'bauchinh (2016)'!$A$3,"MA_HT","SKT","MA_QH","LUC")</f>
        <v>0</v>
      </c>
      <c r="H23" s="22">
        <f ca="1">+GETPIVOTDATA("XBC4",'bauchinh (2016)'!$A$3,"MA_HT","SKT","MA_QH","LUK")</f>
        <v>0</v>
      </c>
      <c r="I23" s="22">
        <f ca="1">+GETPIVOTDATA("XBC4",'bauchinh (2016)'!$A$3,"MA_HT","SKT","MA_QH","LUN")</f>
        <v>0</v>
      </c>
      <c r="J23" s="22">
        <f ca="1">+GETPIVOTDATA("XBC4",'bauchinh (2016)'!$A$3,"MA_HT","SKT","MA_QH","HNK")</f>
        <v>0</v>
      </c>
      <c r="K23" s="22">
        <f ca="1">+GETPIVOTDATA("XBC4",'bauchinh (2016)'!$A$3,"MA_HT","SKT","MA_QH","CLN")</f>
        <v>0</v>
      </c>
      <c r="L23" s="22">
        <f ca="1">+GETPIVOTDATA("XBC4",'bauchinh (2016)'!$A$3,"MA_HT","SKT","MA_QH","RSX")</f>
        <v>0</v>
      </c>
      <c r="M23" s="22">
        <f ca="1">+GETPIVOTDATA("XBC4",'bauchinh (2016)'!$A$3,"MA_HT","SKT","MA_QH","RPH")</f>
        <v>0</v>
      </c>
      <c r="N23" s="22">
        <f ca="1">+GETPIVOTDATA("XBC4",'bauchinh (2016)'!$A$3,"MA_HT","SKT","MA_QH","RDD")</f>
        <v>0</v>
      </c>
      <c r="O23" s="22">
        <f ca="1">+GETPIVOTDATA("XBC4",'bauchinh (2016)'!$A$3,"MA_HT","SKT","MA_QH","NTS")</f>
        <v>0</v>
      </c>
      <c r="P23" s="22">
        <f ca="1">+GETPIVOTDATA("XBC4",'bauchinh (2016)'!$A$3,"MA_HT","SKT","MA_QH","LMU")</f>
        <v>0</v>
      </c>
      <c r="Q23" s="22">
        <f ca="1">+GETPIVOTDATA("XBC4",'bauchinh (2016)'!$A$3,"MA_HT","SKT","MA_QH","NKH")</f>
        <v>0</v>
      </c>
      <c r="R23" s="42">
        <f ca="1">SUM(S23:U23,W23:AA23,AN23:BD23)</f>
        <v>0</v>
      </c>
      <c r="S23" s="22">
        <f ca="1">+GETPIVOTDATA("XBC4",'bauchinh (2016)'!$A$3,"MA_HT","SKT","MA_QH","CQP")</f>
        <v>0</v>
      </c>
      <c r="T23" s="22">
        <f ca="1">+GETPIVOTDATA("XBC4",'bauchinh (2016)'!$A$3,"MA_HT","SKT","MA_QH","CAN")</f>
        <v>0</v>
      </c>
      <c r="U23" s="22">
        <f ca="1">+GETPIVOTDATA("XBC4",'bauchinh (2016)'!$A$3,"MA_HT","SKT","MA_QH","SKK")</f>
        <v>0</v>
      </c>
      <c r="V23" s="43" t="e">
        <f ca="1">$D23-$BF23</f>
        <v>#REF!</v>
      </c>
      <c r="W23" s="22">
        <f ca="1">+GETPIVOTDATA("XBC4",'bauchinh (2016)'!$A$3,"MA_HT","SKT","MA_QH","SKN")</f>
        <v>0</v>
      </c>
      <c r="X23" s="22">
        <f ca="1">+GETPIVOTDATA("XBC4",'bauchinh (2016)'!$A$3,"MA_HT","SKT","MA_QH","TMD")</f>
        <v>0</v>
      </c>
      <c r="Y23" s="22">
        <f ca="1">+GETPIVOTDATA("XBC4",'bauchinh (2016)'!$A$3,"MA_HT","SKT","MA_QH","SKC")</f>
        <v>0</v>
      </c>
      <c r="Z23" s="22">
        <f ca="1">+GETPIVOTDATA("XBC4",'bauchinh (2016)'!$A$3,"MA_HT","SKT","MA_QH","SKS")</f>
        <v>0</v>
      </c>
      <c r="AA23" s="52">
        <f ca="1" t="shared" si="12"/>
        <v>0</v>
      </c>
      <c r="AB23" s="22">
        <f ca="1">+GETPIVOTDATA("XBC4",'bauchinh (2016)'!$A$3,"MA_HT","SKT","MA_QH","DGT")</f>
        <v>0</v>
      </c>
      <c r="AC23" s="22">
        <f ca="1">+GETPIVOTDATA("XBC4",'bauchinh (2016)'!$A$3,"MA_HT","SKT","MA_QH","DTL")</f>
        <v>0</v>
      </c>
      <c r="AD23" s="22">
        <f ca="1">+GETPIVOTDATA("XBC4",'bauchinh (2016)'!$A$3,"MA_HT","SKT","MA_QH","DNL")</f>
        <v>0</v>
      </c>
      <c r="AE23" s="22">
        <f ca="1">+GETPIVOTDATA("XBC4",'bauchinh (2016)'!$A$3,"MA_HT","SKT","MA_QH","DBV")</f>
        <v>0</v>
      </c>
      <c r="AF23" s="22">
        <f ca="1">+GETPIVOTDATA("XBC4",'bauchinh (2016)'!$A$3,"MA_HT","SKT","MA_QH","DVH")</f>
        <v>0</v>
      </c>
      <c r="AG23" s="22">
        <f ca="1">+GETPIVOTDATA("XBC4",'bauchinh (2016)'!$A$3,"MA_HT","SKT","MA_QH","DYT")</f>
        <v>0</v>
      </c>
      <c r="AH23" s="22">
        <f ca="1">+GETPIVOTDATA("XBC4",'bauchinh (2016)'!$A$3,"MA_HT","SKT","MA_QH","DGD")</f>
        <v>0</v>
      </c>
      <c r="AI23" s="22">
        <f ca="1">+GETPIVOTDATA("XBC4",'bauchinh (2016)'!$A$3,"MA_HT","SKT","MA_QH","DTT")</f>
        <v>0</v>
      </c>
      <c r="AJ23" s="22">
        <f ca="1">+GETPIVOTDATA("XBC4",'bauchinh (2016)'!$A$3,"MA_HT","SKT","MA_QH","NCK")</f>
        <v>0</v>
      </c>
      <c r="AK23" s="22">
        <f ca="1">+GETPIVOTDATA("XBC4",'bauchinh (2016)'!$A$3,"MA_HT","SKT","MA_QH","DXH")</f>
        <v>0</v>
      </c>
      <c r="AL23" s="22">
        <f ca="1">+GETPIVOTDATA("XBC4",'bauchinh (2016)'!$A$3,"MA_HT","SKT","MA_QH","DCH")</f>
        <v>0</v>
      </c>
      <c r="AM23" s="22">
        <f ca="1">+GETPIVOTDATA("XBC4",'bauchinh (2016)'!$A$3,"MA_HT","SKT","MA_QH","DKG")</f>
        <v>0</v>
      </c>
      <c r="AN23" s="22">
        <f ca="1">+GETPIVOTDATA("XBC4",'bauchinh (2016)'!$A$3,"MA_HT","SKT","MA_QH","DDT")</f>
        <v>0</v>
      </c>
      <c r="AO23" s="22">
        <f ca="1">+GETPIVOTDATA("XBC4",'bauchinh (2016)'!$A$3,"MA_HT","SKT","MA_QH","DDL")</f>
        <v>0</v>
      </c>
      <c r="AP23" s="22">
        <f ca="1">+GETPIVOTDATA("XBC4",'bauchinh (2016)'!$A$3,"MA_HT","SKT","MA_QH","DRA")</f>
        <v>0</v>
      </c>
      <c r="AQ23" s="22">
        <f ca="1">+GETPIVOTDATA("XBC4",'bauchinh (2016)'!$A$3,"MA_HT","SKT","MA_QH","ONT")</f>
        <v>0</v>
      </c>
      <c r="AR23" s="22">
        <f ca="1">+GETPIVOTDATA("XBC4",'bauchinh (2016)'!$A$3,"MA_HT","SKT","MA_QH","ODT")</f>
        <v>0</v>
      </c>
      <c r="AS23" s="22">
        <f ca="1">+GETPIVOTDATA("XBC4",'bauchinh (2016)'!$A$3,"MA_HT","SKT","MA_QH","TSC")</f>
        <v>0</v>
      </c>
      <c r="AT23" s="22">
        <f ca="1">+GETPIVOTDATA("XBC4",'bauchinh (2016)'!$A$3,"MA_HT","SKT","MA_QH","DTS")</f>
        <v>0</v>
      </c>
      <c r="AU23" s="22">
        <f ca="1">+GETPIVOTDATA("XBC4",'bauchinh (2016)'!$A$3,"MA_HT","SKT","MA_QH","DNG")</f>
        <v>0</v>
      </c>
      <c r="AV23" s="22">
        <f ca="1">+GETPIVOTDATA("XBC4",'bauchinh (2016)'!$A$3,"MA_HT","SKT","MA_QH","TON")</f>
        <v>0</v>
      </c>
      <c r="AW23" s="22">
        <f ca="1">+GETPIVOTDATA("XBC4",'bauchinh (2016)'!$A$3,"MA_HT","SKT","MA_QH","NTD")</f>
        <v>0</v>
      </c>
      <c r="AX23" s="22">
        <f ca="1">+GETPIVOTDATA("XBC4",'bauchinh (2016)'!$A$3,"MA_HT","SKT","MA_QH","SKX")</f>
        <v>0</v>
      </c>
      <c r="AY23" s="22">
        <f ca="1">+GETPIVOTDATA("XBC4",'bauchinh (2016)'!$A$3,"MA_HT","SKT","MA_QH","DSH")</f>
        <v>0</v>
      </c>
      <c r="AZ23" s="22">
        <f ca="1">+GETPIVOTDATA("XBC4",'bauchinh (2016)'!$A$3,"MA_HT","SKT","MA_QH","DKV")</f>
        <v>0</v>
      </c>
      <c r="BA23" s="89">
        <f ca="1">+GETPIVOTDATA("XBC4",'bauchinh (2016)'!$A$3,"MA_HT","SKT","MA_QH","TIN")</f>
        <v>0</v>
      </c>
      <c r="BB23" s="50">
        <f ca="1">+GETPIVOTDATA("XBC4",'bauchinh (2016)'!$A$3,"MA_HT","SKT","MA_QH","SON")</f>
        <v>0</v>
      </c>
      <c r="BC23" s="50">
        <f ca="1">+GETPIVOTDATA("XBC4",'bauchinh (2016)'!$A$3,"MA_HT","SKT","MA_QH","MNC")</f>
        <v>0</v>
      </c>
      <c r="BD23" s="22">
        <f ca="1">+GETPIVOTDATA("XBC4",'bauchinh (2016)'!$A$3,"MA_HT","SKT","MA_QH","PNK")</f>
        <v>0</v>
      </c>
      <c r="BE23" s="71">
        <f ca="1">+GETPIVOTDATA("XBC4",'bauchinh (2016)'!$A$3,"MA_HT","SKT","MA_QH","CSD")</f>
        <v>0</v>
      </c>
      <c r="BF23" s="74">
        <f ca="1" t="shared" si="13"/>
        <v>0</v>
      </c>
      <c r="BG23" s="101">
        <f ca="1">V$59-$BF23</f>
        <v>0</v>
      </c>
      <c r="BH23" s="41" t="e">
        <f ca="1" t="shared" si="14"/>
        <v>#REF!</v>
      </c>
      <c r="BI23" s="98"/>
      <c r="BJ23" s="107"/>
      <c r="BK23" s="107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</row>
    <row r="24" s="2" customFormat="1" ht="15.75" customHeight="1" spans="1:79">
      <c r="A24" s="39" t="s">
        <v>8366</v>
      </c>
      <c r="B24" s="53" t="s">
        <v>8367</v>
      </c>
      <c r="C24" s="40" t="s">
        <v>56</v>
      </c>
      <c r="D24" s="41" t="e">
        <f>+#REF!</f>
        <v>#REF!</v>
      </c>
      <c r="E24" s="42">
        <f ca="1" t="shared" si="15"/>
        <v>0</v>
      </c>
      <c r="F24" s="52">
        <f ca="1" t="shared" si="9"/>
        <v>0</v>
      </c>
      <c r="G24" s="22">
        <f ca="1">+GETPIVOTDATA("XBC4",'bauchinh (2016)'!$A$3,"MA_HT","SKN","MA_QH","LUC")</f>
        <v>0</v>
      </c>
      <c r="H24" s="22">
        <f ca="1">+GETPIVOTDATA("XBC4",'bauchinh (2016)'!$A$3,"MA_HT","SKN","MA_QH","LUK")</f>
        <v>0</v>
      </c>
      <c r="I24" s="22">
        <f ca="1">+GETPIVOTDATA("XBC4",'bauchinh (2016)'!$A$3,"MA_HT","SKN","MA_QH","LUN")</f>
        <v>0</v>
      </c>
      <c r="J24" s="22">
        <f ca="1">+GETPIVOTDATA("XBC4",'bauchinh (2016)'!$A$3,"MA_HT","SKN","MA_QH","HNK")</f>
        <v>0</v>
      </c>
      <c r="K24" s="22">
        <f ca="1">+GETPIVOTDATA("XBC4",'bauchinh (2016)'!$A$3,"MA_HT","SKN","MA_QH","CLN")</f>
        <v>0</v>
      </c>
      <c r="L24" s="22">
        <f ca="1">+GETPIVOTDATA("XBC4",'bauchinh (2016)'!$A$3,"MA_HT","SKN","MA_QH","RSX")</f>
        <v>0</v>
      </c>
      <c r="M24" s="22">
        <f ca="1">+GETPIVOTDATA("XBC4",'bauchinh (2016)'!$A$3,"MA_HT","SKN","MA_QH","RPH")</f>
        <v>0</v>
      </c>
      <c r="N24" s="22">
        <f ca="1">+GETPIVOTDATA("XBC4",'bauchinh (2016)'!$A$3,"MA_HT","SKN","MA_QH","RDD")</f>
        <v>0</v>
      </c>
      <c r="O24" s="22">
        <f ca="1">+GETPIVOTDATA("XBC4",'bauchinh (2016)'!$A$3,"MA_HT","SKN","MA_QH","NTS")</f>
        <v>0</v>
      </c>
      <c r="P24" s="22">
        <f ca="1">+GETPIVOTDATA("XBC4",'bauchinh (2016)'!$A$3,"MA_HT","SKN","MA_QH","LMU")</f>
        <v>0</v>
      </c>
      <c r="Q24" s="22">
        <f ca="1">+GETPIVOTDATA("XBC4",'bauchinh (2016)'!$A$3,"MA_HT","SKN","MA_QH","NKH")</f>
        <v>0</v>
      </c>
      <c r="R24" s="42">
        <f ca="1">SUM(S24:V24,X24:AA24,AN24:BD24)</f>
        <v>0</v>
      </c>
      <c r="S24" s="22">
        <f ca="1">+GETPIVOTDATA("XBC4",'bauchinh (2016)'!$A$3,"MA_HT","SKN","MA_QH","CQP")</f>
        <v>0</v>
      </c>
      <c r="T24" s="22">
        <f ca="1">+GETPIVOTDATA("XBC4",'bauchinh (2016)'!$A$3,"MA_HT","SKN","MA_QH","CAN")</f>
        <v>0</v>
      </c>
      <c r="U24" s="22">
        <f ca="1">+GETPIVOTDATA("XBC4",'bauchinh (2016)'!$A$3,"MA_HT","SKN","MA_QH","SKK")</f>
        <v>0</v>
      </c>
      <c r="V24" s="22">
        <f ca="1">+GETPIVOTDATA("XBC4",'bauchinh (2016)'!$A$3,"MA_HT","SKN","MA_QH","SKT")</f>
        <v>0</v>
      </c>
      <c r="W24" s="43" t="e">
        <f ca="1">$D24-$BF24</f>
        <v>#REF!</v>
      </c>
      <c r="X24" s="22">
        <f ca="1">+GETPIVOTDATA("XBC4",'bauchinh (2016)'!$A$3,"MA_HT","SKN","MA_QH","TMD")</f>
        <v>0</v>
      </c>
      <c r="Y24" s="22">
        <f ca="1">+GETPIVOTDATA("XBC4",'bauchinh (2016)'!$A$3,"MA_HT","SKN","MA_QH","SKC")</f>
        <v>0</v>
      </c>
      <c r="Z24" s="22">
        <f ca="1">+GETPIVOTDATA("XBC4",'bauchinh (2016)'!$A$3,"MA_HT","SKN","MA_QH","SKS")</f>
        <v>0</v>
      </c>
      <c r="AA24" s="52">
        <f ca="1" t="shared" si="12"/>
        <v>0</v>
      </c>
      <c r="AB24" s="22">
        <f ca="1">+GETPIVOTDATA("XBC4",'bauchinh (2016)'!$A$3,"MA_HT","SKN","MA_QH","DGT")</f>
        <v>0</v>
      </c>
      <c r="AC24" s="22">
        <f ca="1">+GETPIVOTDATA("XBC4",'bauchinh (2016)'!$A$3,"MA_HT","SKN","MA_QH","DTL")</f>
        <v>0</v>
      </c>
      <c r="AD24" s="22">
        <f ca="1">+GETPIVOTDATA("XBC4",'bauchinh (2016)'!$A$3,"MA_HT","SKN","MA_QH","DNL")</f>
        <v>0</v>
      </c>
      <c r="AE24" s="22">
        <f ca="1">+GETPIVOTDATA("XBC4",'bauchinh (2016)'!$A$3,"MA_HT","SKN","MA_QH","DBV")</f>
        <v>0</v>
      </c>
      <c r="AF24" s="22">
        <f ca="1">+GETPIVOTDATA("XBC4",'bauchinh (2016)'!$A$3,"MA_HT","SKN","MA_QH","DVH")</f>
        <v>0</v>
      </c>
      <c r="AG24" s="22">
        <f ca="1">+GETPIVOTDATA("XBC4",'bauchinh (2016)'!$A$3,"MA_HT","SKN","MA_QH","DYT")</f>
        <v>0</v>
      </c>
      <c r="AH24" s="22">
        <f ca="1">+GETPIVOTDATA("XBC4",'bauchinh (2016)'!$A$3,"MA_HT","SKN","MA_QH","DGD")</f>
        <v>0</v>
      </c>
      <c r="AI24" s="22">
        <f ca="1">+GETPIVOTDATA("XBC4",'bauchinh (2016)'!$A$3,"MA_HT","SKN","MA_QH","DTT")</f>
        <v>0</v>
      </c>
      <c r="AJ24" s="22">
        <f ca="1">+GETPIVOTDATA("XBC4",'bauchinh (2016)'!$A$3,"MA_HT","SKN","MA_QH","NCK")</f>
        <v>0</v>
      </c>
      <c r="AK24" s="22">
        <f ca="1">+GETPIVOTDATA("XBC4",'bauchinh (2016)'!$A$3,"MA_HT","SKN","MA_QH","DXH")</f>
        <v>0</v>
      </c>
      <c r="AL24" s="22">
        <f ca="1">+GETPIVOTDATA("XBC4",'bauchinh (2016)'!$A$3,"MA_HT","SKN","MA_QH","DCH")</f>
        <v>0</v>
      </c>
      <c r="AM24" s="22">
        <f ca="1">+GETPIVOTDATA("XBC4",'bauchinh (2016)'!$A$3,"MA_HT","SKN","MA_QH","DKG")</f>
        <v>0</v>
      </c>
      <c r="AN24" s="22">
        <f ca="1">+GETPIVOTDATA("XBC4",'bauchinh (2016)'!$A$3,"MA_HT","SKN","MA_QH","DDT")</f>
        <v>0</v>
      </c>
      <c r="AO24" s="22">
        <f ca="1">+GETPIVOTDATA("XBC4",'bauchinh (2016)'!$A$3,"MA_HT","SKN","MA_QH","DDL")</f>
        <v>0</v>
      </c>
      <c r="AP24" s="22">
        <f ca="1">+GETPIVOTDATA("XBC4",'bauchinh (2016)'!$A$3,"MA_HT","SKN","MA_QH","DRA")</f>
        <v>0</v>
      </c>
      <c r="AQ24" s="22">
        <f ca="1">+GETPIVOTDATA("XBC4",'bauchinh (2016)'!$A$3,"MA_HT","SKN","MA_QH","ONT")</f>
        <v>0</v>
      </c>
      <c r="AR24" s="22">
        <f ca="1">+GETPIVOTDATA("XBC4",'bauchinh (2016)'!$A$3,"MA_HT","SKN","MA_QH","ODT")</f>
        <v>0</v>
      </c>
      <c r="AS24" s="22">
        <f ca="1">+GETPIVOTDATA("XBC4",'bauchinh (2016)'!$A$3,"MA_HT","SKN","MA_QH","TSC")</f>
        <v>0</v>
      </c>
      <c r="AT24" s="22">
        <f ca="1">+GETPIVOTDATA("XBC4",'bauchinh (2016)'!$A$3,"MA_HT","SKN","MA_QH","DTS")</f>
        <v>0</v>
      </c>
      <c r="AU24" s="22">
        <f ca="1">+GETPIVOTDATA("XBC4",'bauchinh (2016)'!$A$3,"MA_HT","SKN","MA_QH","DNG")</f>
        <v>0</v>
      </c>
      <c r="AV24" s="22">
        <f ca="1">+GETPIVOTDATA("XBC4",'bauchinh (2016)'!$A$3,"MA_HT","SKN","MA_QH","TON")</f>
        <v>0</v>
      </c>
      <c r="AW24" s="22">
        <f ca="1">+GETPIVOTDATA("XBC4",'bauchinh (2016)'!$A$3,"MA_HT","SKN","MA_QH","NTD")</f>
        <v>0</v>
      </c>
      <c r="AX24" s="22">
        <f ca="1">+GETPIVOTDATA("XBC4",'bauchinh (2016)'!$A$3,"MA_HT","SKN","MA_QH","SKX")</f>
        <v>0</v>
      </c>
      <c r="AY24" s="22">
        <f ca="1">+GETPIVOTDATA("XBC4",'bauchinh (2016)'!$A$3,"MA_HT","SKN","MA_QH","DSH")</f>
        <v>0</v>
      </c>
      <c r="AZ24" s="22">
        <f ca="1">+GETPIVOTDATA("XBC4",'bauchinh (2016)'!$A$3,"MA_HT","SKN","MA_QH","DKV")</f>
        <v>0</v>
      </c>
      <c r="BA24" s="89">
        <f ca="1">+GETPIVOTDATA("XBC4",'bauchinh (2016)'!$A$3,"MA_HT","SKN","MA_QH","TIN")</f>
        <v>0</v>
      </c>
      <c r="BB24" s="50">
        <f ca="1">+GETPIVOTDATA("XBC4",'bauchinh (2016)'!$A$3,"MA_HT","SKN","MA_QH","SON")</f>
        <v>0</v>
      </c>
      <c r="BC24" s="50">
        <f ca="1">+GETPIVOTDATA("XBC4",'bauchinh (2016)'!$A$3,"MA_HT","SKN","MA_QH","MNC")</f>
        <v>0</v>
      </c>
      <c r="BD24" s="22">
        <f ca="1">+GETPIVOTDATA("XBC4",'bauchinh (2016)'!$A$3,"MA_HT","SKN","MA_QH","PNK")</f>
        <v>0</v>
      </c>
      <c r="BE24" s="71">
        <f ca="1">+GETPIVOTDATA("XBC4",'bauchinh (2016)'!$A$3,"MA_HT","SKN","MA_QH","CSD")</f>
        <v>0</v>
      </c>
      <c r="BF24" s="74">
        <f ca="1" t="shared" si="13"/>
        <v>0</v>
      </c>
      <c r="BG24" s="101">
        <f ca="1">W$59-$BF24</f>
        <v>0</v>
      </c>
      <c r="BH24" s="41" t="e">
        <f ca="1" t="shared" si="14"/>
        <v>#REF!</v>
      </c>
      <c r="BI24" s="98"/>
      <c r="BJ24" s="107"/>
      <c r="BK24" s="107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</row>
    <row r="25" s="2" customFormat="1" ht="15.75" customHeight="1" spans="1:79">
      <c r="A25" s="39" t="s">
        <v>8368</v>
      </c>
      <c r="B25" s="39" t="s">
        <v>8369</v>
      </c>
      <c r="C25" s="40" t="s">
        <v>265</v>
      </c>
      <c r="D25" s="41" t="e">
        <f>+#REF!</f>
        <v>#REF!</v>
      </c>
      <c r="E25" s="42">
        <f ca="1" t="shared" si="15"/>
        <v>0</v>
      </c>
      <c r="F25" s="52">
        <f ca="1" t="shared" si="9"/>
        <v>0</v>
      </c>
      <c r="G25" s="22">
        <f ca="1">+GETPIVOTDATA("XBC4",'bauchinh (2016)'!$A$3,"MA_HT","TMD","MA_QH","LUC")</f>
        <v>0</v>
      </c>
      <c r="H25" s="22">
        <f ca="1">+GETPIVOTDATA("XBC4",'bauchinh (2016)'!$A$3,"MA_HT","TMD","MA_QH","LUK")</f>
        <v>0</v>
      </c>
      <c r="I25" s="22">
        <f ca="1">+GETPIVOTDATA("XBC4",'bauchinh (2016)'!$A$3,"MA_HT","TMD","MA_QH","LUN")</f>
        <v>0</v>
      </c>
      <c r="J25" s="22">
        <f ca="1">+GETPIVOTDATA("XBC4",'bauchinh (2016)'!$A$3,"MA_HT","TMD","MA_QH","HNK")</f>
        <v>0</v>
      </c>
      <c r="K25" s="22">
        <f ca="1">+GETPIVOTDATA("XBC4",'bauchinh (2016)'!$A$3,"MA_HT","TMD","MA_QH","CLN")</f>
        <v>0</v>
      </c>
      <c r="L25" s="22">
        <f ca="1">+GETPIVOTDATA("XBC4",'bauchinh (2016)'!$A$3,"MA_HT","TMD","MA_QH","RSX")</f>
        <v>0</v>
      </c>
      <c r="M25" s="22">
        <f ca="1">+GETPIVOTDATA("XBC4",'bauchinh (2016)'!$A$3,"MA_HT","TMD","MA_QH","RPH")</f>
        <v>0</v>
      </c>
      <c r="N25" s="22">
        <f ca="1">+GETPIVOTDATA("XBC4",'bauchinh (2016)'!$A$3,"MA_HT","TMD","MA_QH","RDD")</f>
        <v>0</v>
      </c>
      <c r="O25" s="22">
        <f ca="1">+GETPIVOTDATA("XBC4",'bauchinh (2016)'!$A$3,"MA_HT","TMD","MA_QH","NTS")</f>
        <v>0</v>
      </c>
      <c r="P25" s="22">
        <f ca="1">+GETPIVOTDATA("XBC4",'bauchinh (2016)'!$A$3,"MA_HT","TMD","MA_QH","LMU")</f>
        <v>0</v>
      </c>
      <c r="Q25" s="22">
        <f ca="1">+GETPIVOTDATA("XBC4",'bauchinh (2016)'!$A$3,"MA_HT","TMD","MA_QH","NKH")</f>
        <v>0</v>
      </c>
      <c r="R25" s="42">
        <f ca="1">SUM(S25:W25,Y25:AA25,AN25:BD25)</f>
        <v>0</v>
      </c>
      <c r="S25" s="22">
        <f ca="1">+GETPIVOTDATA("XBC4",'bauchinh (2016)'!$A$3,"MA_HT","TMD","MA_QH","CQP")</f>
        <v>0</v>
      </c>
      <c r="T25" s="22">
        <f ca="1">+GETPIVOTDATA("XBC4",'bauchinh (2016)'!$A$3,"MA_HT","TMD","MA_QH","CAN")</f>
        <v>0</v>
      </c>
      <c r="U25" s="22">
        <f ca="1">+GETPIVOTDATA("XBC4",'bauchinh (2016)'!$A$3,"MA_HT","TMD","MA_QH","SKK")</f>
        <v>0</v>
      </c>
      <c r="V25" s="22">
        <f ca="1">+GETPIVOTDATA("XBC4",'bauchinh (2016)'!$A$3,"MA_HT","TMD","MA_QH","SKT")</f>
        <v>0</v>
      </c>
      <c r="W25" s="22">
        <f ca="1">+GETPIVOTDATA("XBC4",'bauchinh (2016)'!$A$3,"MA_HT","TMD","MA_QH","SKN")</f>
        <v>0</v>
      </c>
      <c r="X25" s="43" t="e">
        <f ca="1">$D25-$BF25</f>
        <v>#REF!</v>
      </c>
      <c r="Y25" s="22">
        <f ca="1">+GETPIVOTDATA("XBC4",'bauchinh (2016)'!$A$3,"MA_HT","TMD","MA_QH","SKC")</f>
        <v>0</v>
      </c>
      <c r="Z25" s="22">
        <f ca="1">+GETPIVOTDATA("XBC4",'bauchinh (2016)'!$A$3,"MA_HT","TMD","MA_QH","SKS")</f>
        <v>0</v>
      </c>
      <c r="AA25" s="52">
        <f ca="1" t="shared" si="12"/>
        <v>0</v>
      </c>
      <c r="AB25" s="22">
        <f ca="1">+GETPIVOTDATA("XBC4",'bauchinh (2016)'!$A$3,"MA_HT","TMD","MA_QH","DGT")</f>
        <v>0</v>
      </c>
      <c r="AC25" s="22">
        <f ca="1">+GETPIVOTDATA("XBC4",'bauchinh (2016)'!$A$3,"MA_HT","TMD","MA_QH","DTL")</f>
        <v>0</v>
      </c>
      <c r="AD25" s="22">
        <f ca="1">+GETPIVOTDATA("XBC4",'bauchinh (2016)'!$A$3,"MA_HT","TMD","MA_QH","DNL")</f>
        <v>0</v>
      </c>
      <c r="AE25" s="22">
        <f ca="1">+GETPIVOTDATA("XBC4",'bauchinh (2016)'!$A$3,"MA_HT","TMD","MA_QH","DBV")</f>
        <v>0</v>
      </c>
      <c r="AF25" s="22">
        <f ca="1">+GETPIVOTDATA("XBC4",'bauchinh (2016)'!$A$3,"MA_HT","TMD","MA_QH","DVH")</f>
        <v>0</v>
      </c>
      <c r="AG25" s="22">
        <f ca="1">+GETPIVOTDATA("XBC4",'bauchinh (2016)'!$A$3,"MA_HT","TMD","MA_QH","DYT")</f>
        <v>0</v>
      </c>
      <c r="AH25" s="22">
        <f ca="1">+GETPIVOTDATA("XBC4",'bauchinh (2016)'!$A$3,"MA_HT","TMD","MA_QH","DGD")</f>
        <v>0</v>
      </c>
      <c r="AI25" s="22">
        <f ca="1">+GETPIVOTDATA("XBC4",'bauchinh (2016)'!$A$3,"MA_HT","TMD","MA_QH","DTT")</f>
        <v>0</v>
      </c>
      <c r="AJ25" s="22">
        <f ca="1">+GETPIVOTDATA("XBC4",'bauchinh (2016)'!$A$3,"MA_HT","TMD","MA_QH","NCK")</f>
        <v>0</v>
      </c>
      <c r="AK25" s="22">
        <f ca="1">+GETPIVOTDATA("XBC4",'bauchinh (2016)'!$A$3,"MA_HT","TMD","MA_QH","DXH")</f>
        <v>0</v>
      </c>
      <c r="AL25" s="22">
        <f ca="1">+GETPIVOTDATA("XBC4",'bauchinh (2016)'!$A$3,"MA_HT","TMD","MA_QH","DCH")</f>
        <v>0</v>
      </c>
      <c r="AM25" s="22">
        <f ca="1">+GETPIVOTDATA("XBC4",'bauchinh (2016)'!$A$3,"MA_HT","TMD","MA_QH","DKG")</f>
        <v>0</v>
      </c>
      <c r="AN25" s="22">
        <f ca="1">+GETPIVOTDATA("XBC4",'bauchinh (2016)'!$A$3,"MA_HT","TMD","MA_QH","DDT")</f>
        <v>0</v>
      </c>
      <c r="AO25" s="22">
        <f ca="1">+GETPIVOTDATA("XBC4",'bauchinh (2016)'!$A$3,"MA_HT","TMD","MA_QH","DDL")</f>
        <v>0</v>
      </c>
      <c r="AP25" s="22">
        <f ca="1">+GETPIVOTDATA("XBC4",'bauchinh (2016)'!$A$3,"MA_HT","TMD","MA_QH","DRA")</f>
        <v>0</v>
      </c>
      <c r="AQ25" s="22">
        <f ca="1">+GETPIVOTDATA("XBC4",'bauchinh (2016)'!$A$3,"MA_HT","TMD","MA_QH","ONT")</f>
        <v>0</v>
      </c>
      <c r="AR25" s="22">
        <f ca="1">+GETPIVOTDATA("XBC4",'bauchinh (2016)'!$A$3,"MA_HT","TMD","MA_QH","ODT")</f>
        <v>0</v>
      </c>
      <c r="AS25" s="22">
        <f ca="1">+GETPIVOTDATA("XBC4",'bauchinh (2016)'!$A$3,"MA_HT","TMD","MA_QH","TSC")</f>
        <v>0</v>
      </c>
      <c r="AT25" s="22">
        <f ca="1">+GETPIVOTDATA("XBC4",'bauchinh (2016)'!$A$3,"MA_HT","TMD","MA_QH","DTS")</f>
        <v>0</v>
      </c>
      <c r="AU25" s="22">
        <f ca="1">+GETPIVOTDATA("XBC4",'bauchinh (2016)'!$A$3,"MA_HT","TMD","MA_QH","DNG")</f>
        <v>0</v>
      </c>
      <c r="AV25" s="22">
        <f ca="1">+GETPIVOTDATA("XBC4",'bauchinh (2016)'!$A$3,"MA_HT","TMD","MA_QH","TON")</f>
        <v>0</v>
      </c>
      <c r="AW25" s="22">
        <f ca="1">+GETPIVOTDATA("XBC4",'bauchinh (2016)'!$A$3,"MA_HT","TMD","MA_QH","NTD")</f>
        <v>0</v>
      </c>
      <c r="AX25" s="22">
        <f ca="1">+GETPIVOTDATA("XBC4",'bauchinh (2016)'!$A$3,"MA_HT","TMD","MA_QH","SKX")</f>
        <v>0</v>
      </c>
      <c r="AY25" s="22">
        <f ca="1">+GETPIVOTDATA("XBC4",'bauchinh (2016)'!$A$3,"MA_HT","TMD","MA_QH","DSH")</f>
        <v>0</v>
      </c>
      <c r="AZ25" s="22">
        <f ca="1">+GETPIVOTDATA("XBC4",'bauchinh (2016)'!$A$3,"MA_HT","TMD","MA_QH","DKV")</f>
        <v>0</v>
      </c>
      <c r="BA25" s="89">
        <f ca="1">+GETPIVOTDATA("XBC4",'bauchinh (2016)'!$A$3,"MA_HT","TMD","MA_QH","TIN")</f>
        <v>0</v>
      </c>
      <c r="BB25" s="50">
        <f ca="1">+GETPIVOTDATA("XBC4",'bauchinh (2016)'!$A$3,"MA_HT","TMD","MA_QH","SON")</f>
        <v>0</v>
      </c>
      <c r="BC25" s="50">
        <f ca="1">+GETPIVOTDATA("XBC4",'bauchinh (2016)'!$A$3,"MA_HT","TMD","MA_QH","MNC")</f>
        <v>0</v>
      </c>
      <c r="BD25" s="22">
        <f ca="1">+GETPIVOTDATA("XBC4",'bauchinh (2016)'!$A$3,"MA_HT","TMD","MA_QH","PNK")</f>
        <v>0</v>
      </c>
      <c r="BE25" s="71">
        <f ca="1">+GETPIVOTDATA("XBC4",'bauchinh (2016)'!$A$3,"MA_HT","TMD","MA_QH","CSD")</f>
        <v>0</v>
      </c>
      <c r="BF25" s="74">
        <f ca="1" t="shared" si="13"/>
        <v>0</v>
      </c>
      <c r="BG25" s="101">
        <f ca="1">X$59-$BF25</f>
        <v>0</v>
      </c>
      <c r="BH25" s="41" t="e">
        <f ca="1" t="shared" si="14"/>
        <v>#REF!</v>
      </c>
      <c r="BI25" s="98"/>
      <c r="BJ25" s="107" t="e">
        <f>#REF!</f>
        <v>#REF!</v>
      </c>
      <c r="BK25" s="107" t="e">
        <f ca="1">BH25-BJ25</f>
        <v>#REF!</v>
      </c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</row>
    <row r="26" s="2" customFormat="1" ht="15.75" customHeight="1" spans="1:79">
      <c r="A26" s="39" t="s">
        <v>8370</v>
      </c>
      <c r="B26" s="39" t="s">
        <v>8371</v>
      </c>
      <c r="C26" s="40" t="s">
        <v>204</v>
      </c>
      <c r="D26" s="41" t="e">
        <f>+#REF!</f>
        <v>#REF!</v>
      </c>
      <c r="E26" s="42">
        <f ca="1" t="shared" si="15"/>
        <v>0</v>
      </c>
      <c r="F26" s="52">
        <f ca="1" t="shared" si="9"/>
        <v>0</v>
      </c>
      <c r="G26" s="22">
        <f ca="1">+GETPIVOTDATA("XBC4",'bauchinh (2016)'!$A$3,"MA_HT","SKC","MA_QH","LUC")</f>
        <v>0</v>
      </c>
      <c r="H26" s="22">
        <f ca="1">+GETPIVOTDATA("XBC4",'bauchinh (2016)'!$A$3,"MA_HT","SKC","MA_QH","LUK")</f>
        <v>0</v>
      </c>
      <c r="I26" s="22">
        <f ca="1">+GETPIVOTDATA("XBC4",'bauchinh (2016)'!$A$3,"MA_HT","SKC","MA_QH","LUN")</f>
        <v>0</v>
      </c>
      <c r="J26" s="22">
        <f ca="1">+GETPIVOTDATA("XBC4",'bauchinh (2016)'!$A$3,"MA_HT","SKC","MA_QH","HNK")</f>
        <v>0</v>
      </c>
      <c r="K26" s="22">
        <f ca="1">+GETPIVOTDATA("XBC4",'bauchinh (2016)'!$A$3,"MA_HT","SKC","MA_QH","CLN")</f>
        <v>0</v>
      </c>
      <c r="L26" s="22">
        <f ca="1">+GETPIVOTDATA("XBC4",'bauchinh (2016)'!$A$3,"MA_HT","SKC","MA_QH","RSX")</f>
        <v>0</v>
      </c>
      <c r="M26" s="22">
        <f ca="1">+GETPIVOTDATA("XBC4",'bauchinh (2016)'!$A$3,"MA_HT","SKC","MA_QH","RPH")</f>
        <v>0</v>
      </c>
      <c r="N26" s="22">
        <f ca="1">+GETPIVOTDATA("XBC4",'bauchinh (2016)'!$A$3,"MA_HT","SKC","MA_QH","RDD")</f>
        <v>0</v>
      </c>
      <c r="O26" s="22">
        <f ca="1">+GETPIVOTDATA("XBC4",'bauchinh (2016)'!$A$3,"MA_HT","SKC","MA_QH","NTS")</f>
        <v>0</v>
      </c>
      <c r="P26" s="22">
        <f ca="1">+GETPIVOTDATA("XBC4",'bauchinh (2016)'!$A$3,"MA_HT","SKC","MA_QH","LMU")</f>
        <v>0</v>
      </c>
      <c r="Q26" s="22">
        <f ca="1">+GETPIVOTDATA("XBC4",'bauchinh (2016)'!$A$3,"MA_HT","SKC","MA_QH","NKH")</f>
        <v>0</v>
      </c>
      <c r="R26" s="42">
        <f ca="1">SUM(S26:X26,Z26,AN26:BD26)</f>
        <v>0</v>
      </c>
      <c r="S26" s="22">
        <f ca="1">+GETPIVOTDATA("XBC4",'bauchinh (2016)'!$A$3,"MA_HT","SKC","MA_QH","CQP")</f>
        <v>0</v>
      </c>
      <c r="T26" s="22">
        <f ca="1">+GETPIVOTDATA("XBC4",'bauchinh (2016)'!$A$3,"MA_HT","SKC","MA_QH","CAN")</f>
        <v>0</v>
      </c>
      <c r="U26" s="22">
        <f ca="1">+GETPIVOTDATA("XBC4",'bauchinh (2016)'!$A$3,"MA_HT","SKC","MA_QH","SKK")</f>
        <v>0</v>
      </c>
      <c r="V26" s="22">
        <f ca="1">+GETPIVOTDATA("XBC4",'bauchinh (2016)'!$A$3,"MA_HT","SKC","MA_QH","SKT")</f>
        <v>0</v>
      </c>
      <c r="W26" s="22">
        <f ca="1">+GETPIVOTDATA("XBC4",'bauchinh (2016)'!$A$3,"MA_HT","SKC","MA_QH","SKN")</f>
        <v>0</v>
      </c>
      <c r="X26" s="22">
        <f ca="1">+GETPIVOTDATA("XBC4",'bauchinh (2016)'!$A$3,"MA_HT","SKC","MA_QH","TMD")</f>
        <v>0</v>
      </c>
      <c r="Y26" s="43" t="e">
        <f ca="1">$D26-$BF26</f>
        <v>#REF!</v>
      </c>
      <c r="Z26" s="22">
        <f ca="1">+GETPIVOTDATA("XBC4",'bauchinh (2016)'!$A$3,"MA_HT","SKC","MA_QH","SKS")</f>
        <v>0</v>
      </c>
      <c r="AA26" s="52">
        <f ca="1" t="shared" si="12"/>
        <v>0</v>
      </c>
      <c r="AB26" s="22">
        <f ca="1">+GETPIVOTDATA("XBC4",'bauchinh (2016)'!$A$3,"MA_HT","SKC","MA_QH","DGT")</f>
        <v>0</v>
      </c>
      <c r="AC26" s="22">
        <f ca="1">+GETPIVOTDATA("XBC4",'bauchinh (2016)'!$A$3,"MA_HT","SKC","MA_QH","DTL")</f>
        <v>0</v>
      </c>
      <c r="AD26" s="22">
        <f ca="1">+GETPIVOTDATA("XBC4",'bauchinh (2016)'!$A$3,"MA_HT","SKC","MA_QH","DNL")</f>
        <v>0</v>
      </c>
      <c r="AE26" s="22">
        <f ca="1">+GETPIVOTDATA("XBC4",'bauchinh (2016)'!$A$3,"MA_HT","SKC","MA_QH","DBV")</f>
        <v>0</v>
      </c>
      <c r="AF26" s="22">
        <f ca="1">+GETPIVOTDATA("XBC4",'bauchinh (2016)'!$A$3,"MA_HT","SKC","MA_QH","DVH")</f>
        <v>0</v>
      </c>
      <c r="AG26" s="22">
        <f ca="1">+GETPIVOTDATA("XBC4",'bauchinh (2016)'!$A$3,"MA_HT","SKC","MA_QH","DYT")</f>
        <v>0</v>
      </c>
      <c r="AH26" s="22">
        <f ca="1">+GETPIVOTDATA("XBC4",'bauchinh (2016)'!$A$3,"MA_HT","SKC","MA_QH","DGD")</f>
        <v>0</v>
      </c>
      <c r="AI26" s="22">
        <f ca="1">+GETPIVOTDATA("XBC4",'bauchinh (2016)'!$A$3,"MA_HT","SKC","MA_QH","DTT")</f>
        <v>0</v>
      </c>
      <c r="AJ26" s="22">
        <f ca="1">+GETPIVOTDATA("XBC4",'bauchinh (2016)'!$A$3,"MA_HT","SKC","MA_QH","NCK")</f>
        <v>0</v>
      </c>
      <c r="AK26" s="22">
        <f ca="1">+GETPIVOTDATA("XBC4",'bauchinh (2016)'!$A$3,"MA_HT","SKC","MA_QH","DXH")</f>
        <v>0</v>
      </c>
      <c r="AL26" s="22">
        <f ca="1">+GETPIVOTDATA("XBC4",'bauchinh (2016)'!$A$3,"MA_HT","SKC","MA_QH","DCH")</f>
        <v>0</v>
      </c>
      <c r="AM26" s="22">
        <f ca="1">+GETPIVOTDATA("XBC4",'bauchinh (2016)'!$A$3,"MA_HT","SKC","MA_QH","DKG")</f>
        <v>0</v>
      </c>
      <c r="AN26" s="22">
        <f ca="1">+GETPIVOTDATA("XBC4",'bauchinh (2016)'!$A$3,"MA_HT","SKC","MA_QH","DDT")</f>
        <v>0</v>
      </c>
      <c r="AO26" s="22">
        <f ca="1">+GETPIVOTDATA("XBC4",'bauchinh (2016)'!$A$3,"MA_HT","SKC","MA_QH","DDL")</f>
        <v>0</v>
      </c>
      <c r="AP26" s="22">
        <f ca="1">+GETPIVOTDATA("XBC4",'bauchinh (2016)'!$A$3,"MA_HT","SKC","MA_QH","DRA")</f>
        <v>0</v>
      </c>
      <c r="AQ26" s="22">
        <f ca="1">+GETPIVOTDATA("XBC4",'bauchinh (2016)'!$A$3,"MA_HT","SKC","MA_QH","ONT")</f>
        <v>0</v>
      </c>
      <c r="AR26" s="22">
        <f ca="1">+GETPIVOTDATA("XBC4",'bauchinh (2016)'!$A$3,"MA_HT","SKC","MA_QH","ODT")</f>
        <v>0</v>
      </c>
      <c r="AS26" s="22">
        <f ca="1">+GETPIVOTDATA("XBC4",'bauchinh (2016)'!$A$3,"MA_HT","SKC","MA_QH","TSC")</f>
        <v>0</v>
      </c>
      <c r="AT26" s="22">
        <f ca="1">+GETPIVOTDATA("XBC4",'bauchinh (2016)'!$A$3,"MA_HT","SKC","MA_QH","DTS")</f>
        <v>0</v>
      </c>
      <c r="AU26" s="22">
        <f ca="1">+GETPIVOTDATA("XBC4",'bauchinh (2016)'!$A$3,"MA_HT","SKC","MA_QH","DNG")</f>
        <v>0</v>
      </c>
      <c r="AV26" s="22">
        <f ca="1">+GETPIVOTDATA("XBC4",'bauchinh (2016)'!$A$3,"MA_HT","SKC","MA_QH","TON")</f>
        <v>0</v>
      </c>
      <c r="AW26" s="22">
        <f ca="1">+GETPIVOTDATA("XBC4",'bauchinh (2016)'!$A$3,"MA_HT","SKC","MA_QH","NTD")</f>
        <v>0</v>
      </c>
      <c r="AX26" s="22">
        <f ca="1">+GETPIVOTDATA("XBC4",'bauchinh (2016)'!$A$3,"MA_HT","SKC","MA_QH","SKX")</f>
        <v>0</v>
      </c>
      <c r="AY26" s="22">
        <f ca="1">+GETPIVOTDATA("XBC4",'bauchinh (2016)'!$A$3,"MA_HT","SKC","MA_QH","DSH")</f>
        <v>0</v>
      </c>
      <c r="AZ26" s="22">
        <f ca="1">+GETPIVOTDATA("XBC4",'bauchinh (2016)'!$A$3,"MA_HT","SKC","MA_QH","DKV")</f>
        <v>0</v>
      </c>
      <c r="BA26" s="89">
        <f ca="1">+GETPIVOTDATA("XBC4",'bauchinh (2016)'!$A$3,"MA_HT","SKC","MA_QH","TIN")</f>
        <v>0</v>
      </c>
      <c r="BB26" s="50">
        <f ca="1">+GETPIVOTDATA("XBC4",'bauchinh (2016)'!$A$3,"MA_HT","SKC","MA_QH","SON")</f>
        <v>0</v>
      </c>
      <c r="BC26" s="50">
        <f ca="1">+GETPIVOTDATA("XBC4",'bauchinh (2016)'!$A$3,"MA_HT","SKC","MA_QH","MNC")</f>
        <v>0</v>
      </c>
      <c r="BD26" s="22">
        <f ca="1">+GETPIVOTDATA("XBC4",'bauchinh (2016)'!$A$3,"MA_HT","SKC","MA_QH","PNK")</f>
        <v>0</v>
      </c>
      <c r="BE26" s="71">
        <f ca="1">+GETPIVOTDATA("XBC4",'bauchinh (2016)'!$A$3,"MA_HT","SKC","MA_QH","CSD")</f>
        <v>0</v>
      </c>
      <c r="BF26" s="74">
        <f ca="1" t="shared" si="13"/>
        <v>0</v>
      </c>
      <c r="BG26" s="101">
        <f ca="1">Y$59-$BF26</f>
        <v>0</v>
      </c>
      <c r="BH26" s="41" t="e">
        <f ca="1" t="shared" si="14"/>
        <v>#REF!</v>
      </c>
      <c r="BI26" s="98"/>
      <c r="BJ26" s="107" t="e">
        <f>#REF!</f>
        <v>#REF!</v>
      </c>
      <c r="BK26" s="107" t="e">
        <f ca="1">BH26-BJ26</f>
        <v>#REF!</v>
      </c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</row>
    <row r="27" s="2" customFormat="1" ht="15.75" customHeight="1" spans="1:79">
      <c r="A27" s="39" t="s">
        <v>8372</v>
      </c>
      <c r="B27" s="53" t="s">
        <v>8373</v>
      </c>
      <c r="C27" s="40" t="s">
        <v>174</v>
      </c>
      <c r="D27" s="41" t="e">
        <f>+#REF!</f>
        <v>#REF!</v>
      </c>
      <c r="E27" s="42">
        <f ca="1" t="shared" si="15"/>
        <v>0</v>
      </c>
      <c r="F27" s="52">
        <f ca="1" t="shared" si="9"/>
        <v>0</v>
      </c>
      <c r="G27" s="22">
        <f ca="1">+GETPIVOTDATA("XBC4",'bauchinh (2016)'!$A$3,"MA_HT","SKS","MA_QH","LUC")</f>
        <v>0</v>
      </c>
      <c r="H27" s="22">
        <f ca="1">+GETPIVOTDATA("XBC4",'bauchinh (2016)'!$A$3,"MA_HT","SKS","MA_QH","LUK")</f>
        <v>0</v>
      </c>
      <c r="I27" s="22">
        <f ca="1">+GETPIVOTDATA("XBC4",'bauchinh (2016)'!$A$3,"MA_HT","SKS","MA_QH","LUN")</f>
        <v>0</v>
      </c>
      <c r="J27" s="22">
        <f ca="1">+GETPIVOTDATA("XBC4",'bauchinh (2016)'!$A$3,"MA_HT","SKS","MA_QH","HNK")</f>
        <v>0</v>
      </c>
      <c r="K27" s="22">
        <f ca="1">+GETPIVOTDATA("XBC4",'bauchinh (2016)'!$A$3,"MA_HT","SKS","MA_QH","CLN")</f>
        <v>0</v>
      </c>
      <c r="L27" s="22">
        <f ca="1">+GETPIVOTDATA("XBC4",'bauchinh (2016)'!$A$3,"MA_HT","SKS","MA_QH","RSX")</f>
        <v>0</v>
      </c>
      <c r="M27" s="22">
        <f ca="1">+GETPIVOTDATA("XBC4",'bauchinh (2016)'!$A$3,"MA_HT","SKS","MA_QH","RPH")</f>
        <v>0</v>
      </c>
      <c r="N27" s="22">
        <f ca="1">+GETPIVOTDATA("XBC4",'bauchinh (2016)'!$A$3,"MA_HT","SKS","MA_QH","RDD")</f>
        <v>0</v>
      </c>
      <c r="O27" s="22">
        <f ca="1">+GETPIVOTDATA("XBC4",'bauchinh (2016)'!$A$3,"MA_HT","SKS","MA_QH","NTS")</f>
        <v>0</v>
      </c>
      <c r="P27" s="22">
        <f ca="1">+GETPIVOTDATA("XBC4",'bauchinh (2016)'!$A$3,"MA_HT","SKS","MA_QH","LMU")</f>
        <v>0</v>
      </c>
      <c r="Q27" s="22">
        <f ca="1">+GETPIVOTDATA("XBC4",'bauchinh (2016)'!$A$3,"MA_HT","SKS","MA_QH","NKH")</f>
        <v>0</v>
      </c>
      <c r="R27" s="42">
        <f ca="1">SUM(S27:Y27,AA27,AN27:BD27)</f>
        <v>0</v>
      </c>
      <c r="S27" s="22">
        <f ca="1">+GETPIVOTDATA("XBC4",'bauchinh (2016)'!$A$3,"MA_HT","SKS","MA_QH","CQP")</f>
        <v>0</v>
      </c>
      <c r="T27" s="22">
        <f ca="1">+GETPIVOTDATA("XBC4",'bauchinh (2016)'!$A$3,"MA_HT","SKS","MA_QH","CAN")</f>
        <v>0</v>
      </c>
      <c r="U27" s="22">
        <f ca="1">+GETPIVOTDATA("XBC4",'bauchinh (2016)'!$A$3,"MA_HT","SKS","MA_QH","SKK")</f>
        <v>0</v>
      </c>
      <c r="V27" s="22">
        <f ca="1">+GETPIVOTDATA("XBC4",'bauchinh (2016)'!$A$3,"MA_HT","SKS","MA_QH","SKT")</f>
        <v>0</v>
      </c>
      <c r="W27" s="22">
        <f ca="1">+GETPIVOTDATA("XBC4",'bauchinh (2016)'!$A$3,"MA_HT","SKS","MA_QH","SKN")</f>
        <v>0</v>
      </c>
      <c r="X27" s="22">
        <f ca="1">+GETPIVOTDATA("XBC4",'bauchinh (2016)'!$A$3,"MA_HT","SKS","MA_QH","TMD")</f>
        <v>0</v>
      </c>
      <c r="Y27" s="22">
        <f ca="1">+GETPIVOTDATA("XBC4",'bauchinh (2016)'!$A$3,"MA_HT","SKS","MA_QH","SKC")</f>
        <v>0</v>
      </c>
      <c r="Z27" s="43" t="e">
        <f ca="1">$D27-$BF27</f>
        <v>#REF!</v>
      </c>
      <c r="AA27" s="52">
        <f ca="1" t="shared" si="12"/>
        <v>0</v>
      </c>
      <c r="AB27" s="22">
        <f ca="1">+GETPIVOTDATA("XBC4",'bauchinh (2016)'!$A$3,"MA_HT","SKS","MA_QH","DGT")</f>
        <v>0</v>
      </c>
      <c r="AC27" s="22">
        <f ca="1">+GETPIVOTDATA("XBC4",'bauchinh (2016)'!$A$3,"MA_HT","SKS","MA_QH","DTL")</f>
        <v>0</v>
      </c>
      <c r="AD27" s="22">
        <f ca="1">+GETPIVOTDATA("XBC4",'bauchinh (2016)'!$A$3,"MA_HT","SKS","MA_QH","DNL")</f>
        <v>0</v>
      </c>
      <c r="AE27" s="22">
        <f ca="1">+GETPIVOTDATA("XBC4",'bauchinh (2016)'!$A$3,"MA_HT","SKS","MA_QH","DBV")</f>
        <v>0</v>
      </c>
      <c r="AF27" s="22">
        <f ca="1">+GETPIVOTDATA("XBC4",'bauchinh (2016)'!$A$3,"MA_HT","SKS","MA_QH","DVH")</f>
        <v>0</v>
      </c>
      <c r="AG27" s="22">
        <f ca="1">+GETPIVOTDATA("XBC4",'bauchinh (2016)'!$A$3,"MA_HT","SKS","MA_QH","DYT")</f>
        <v>0</v>
      </c>
      <c r="AH27" s="22">
        <f ca="1">+GETPIVOTDATA("XBC4",'bauchinh (2016)'!$A$3,"MA_HT","SKS","MA_QH","DGD")</f>
        <v>0</v>
      </c>
      <c r="AI27" s="22">
        <f ca="1">+GETPIVOTDATA("XBC4",'bauchinh (2016)'!$A$3,"MA_HT","SKS","MA_QH","DTT")</f>
        <v>0</v>
      </c>
      <c r="AJ27" s="22">
        <f ca="1">+GETPIVOTDATA("XBC4",'bauchinh (2016)'!$A$3,"MA_HT","SKS","MA_QH","NCK")</f>
        <v>0</v>
      </c>
      <c r="AK27" s="22">
        <f ca="1">+GETPIVOTDATA("XBC4",'bauchinh (2016)'!$A$3,"MA_HT","SKS","MA_QH","DXH")</f>
        <v>0</v>
      </c>
      <c r="AL27" s="22">
        <f ca="1">+GETPIVOTDATA("XBC4",'bauchinh (2016)'!$A$3,"MA_HT","SKS","MA_QH","DCH")</f>
        <v>0</v>
      </c>
      <c r="AM27" s="22">
        <f ca="1">+GETPIVOTDATA("XBC4",'bauchinh (2016)'!$A$3,"MA_HT","SKS","MA_QH","DKG")</f>
        <v>0</v>
      </c>
      <c r="AN27" s="22">
        <f ca="1">+GETPIVOTDATA("XBC4",'bauchinh (2016)'!$A$3,"MA_HT","SKS","MA_QH","DDT")</f>
        <v>0</v>
      </c>
      <c r="AO27" s="22">
        <f ca="1">+GETPIVOTDATA("XBC4",'bauchinh (2016)'!$A$3,"MA_HT","SKS","MA_QH","DDL")</f>
        <v>0</v>
      </c>
      <c r="AP27" s="22">
        <f ca="1">+GETPIVOTDATA("XBC4",'bauchinh (2016)'!$A$3,"MA_HT","SKS","MA_QH","DRA")</f>
        <v>0</v>
      </c>
      <c r="AQ27" s="22">
        <f ca="1">+GETPIVOTDATA("XBC4",'bauchinh (2016)'!$A$3,"MA_HT","SKS","MA_QH","ONT")</f>
        <v>0</v>
      </c>
      <c r="AR27" s="22">
        <f ca="1">+GETPIVOTDATA("XBC4",'bauchinh (2016)'!$A$3,"MA_HT","SKS","MA_QH","ODT")</f>
        <v>0</v>
      </c>
      <c r="AS27" s="22">
        <f ca="1">+GETPIVOTDATA("XBC4",'bauchinh (2016)'!$A$3,"MA_HT","SKS","MA_QH","TSC")</f>
        <v>0</v>
      </c>
      <c r="AT27" s="22">
        <f ca="1">+GETPIVOTDATA("XBC4",'bauchinh (2016)'!$A$3,"MA_HT","SKS","MA_QH","DTS")</f>
        <v>0</v>
      </c>
      <c r="AU27" s="22">
        <f ca="1">+GETPIVOTDATA("XBC4",'bauchinh (2016)'!$A$3,"MA_HT","SKS","MA_QH","DNG")</f>
        <v>0</v>
      </c>
      <c r="AV27" s="22">
        <f ca="1">+GETPIVOTDATA("XBC4",'bauchinh (2016)'!$A$3,"MA_HT","SKS","MA_QH","TON")</f>
        <v>0</v>
      </c>
      <c r="AW27" s="22">
        <f ca="1">+GETPIVOTDATA("XBC4",'bauchinh (2016)'!$A$3,"MA_HT","SKS","MA_QH","NTD")</f>
        <v>0</v>
      </c>
      <c r="AX27" s="22">
        <f ca="1">+GETPIVOTDATA("XBC4",'bauchinh (2016)'!$A$3,"MA_HT","SKS","MA_QH","SKX")</f>
        <v>0</v>
      </c>
      <c r="AY27" s="22">
        <f ca="1">+GETPIVOTDATA("XBC4",'bauchinh (2016)'!$A$3,"MA_HT","SKS","MA_QH","DSH")</f>
        <v>0</v>
      </c>
      <c r="AZ27" s="22">
        <f ca="1">+GETPIVOTDATA("XBC4",'bauchinh (2016)'!$A$3,"MA_HT","SKS","MA_QH","DKV")</f>
        <v>0</v>
      </c>
      <c r="BA27" s="89">
        <f ca="1">+GETPIVOTDATA("XBC4",'bauchinh (2016)'!$A$3,"MA_HT","SKS","MA_QH","TIN")</f>
        <v>0</v>
      </c>
      <c r="BB27" s="50">
        <f ca="1">+GETPIVOTDATA("XBC4",'bauchinh (2016)'!$A$3,"MA_HT","SKS","MA_QH","SON")</f>
        <v>0</v>
      </c>
      <c r="BC27" s="50">
        <f ca="1">+GETPIVOTDATA("XBC4",'bauchinh (2016)'!$A$3,"MA_HT","SKS","MA_QH","MNC")</f>
        <v>0</v>
      </c>
      <c r="BD27" s="22">
        <f ca="1">+GETPIVOTDATA("XBC4",'bauchinh (2016)'!$A$3,"MA_HT","SKS","MA_QH","PNK")</f>
        <v>0</v>
      </c>
      <c r="BE27" s="71">
        <f ca="1">+GETPIVOTDATA("XBC4",'bauchinh (2016)'!$A$3,"MA_HT","SKS","MA_QH","CSD")</f>
        <v>0</v>
      </c>
      <c r="BF27" s="74">
        <f ca="1" t="shared" si="13"/>
        <v>0</v>
      </c>
      <c r="BG27" s="101">
        <f ca="1">Z$59-$BF27</f>
        <v>0</v>
      </c>
      <c r="BH27" s="41" t="e">
        <f ca="1" t="shared" si="14"/>
        <v>#REF!</v>
      </c>
      <c r="BI27" s="98"/>
      <c r="BJ27" s="107" t="e">
        <f>#REF!</f>
        <v>#REF!</v>
      </c>
      <c r="BK27" s="107" t="e">
        <f ca="1">BH27-BJ27</f>
        <v>#REF!</v>
      </c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</row>
    <row r="28" s="2" customFormat="1" ht="15.75" customHeight="1" spans="1:79">
      <c r="A28" s="39" t="s">
        <v>8374</v>
      </c>
      <c r="B28" s="53" t="s">
        <v>8375</v>
      </c>
      <c r="C28" s="40" t="s">
        <v>8288</v>
      </c>
      <c r="D28" s="41" t="e">
        <f>+#REF!</f>
        <v>#REF!</v>
      </c>
      <c r="E28" s="42">
        <f ca="1" t="shared" si="15"/>
        <v>0</v>
      </c>
      <c r="F28" s="52">
        <f ca="1" t="shared" si="9"/>
        <v>0</v>
      </c>
      <c r="G28" s="44">
        <f ca="1">SUM(G29:G39)</f>
        <v>0</v>
      </c>
      <c r="H28" s="44">
        <f ca="1" t="shared" ref="H28:Q28" si="16">SUM(H29:H39)</f>
        <v>0</v>
      </c>
      <c r="I28" s="44">
        <f ca="1" t="shared" si="16"/>
        <v>0</v>
      </c>
      <c r="J28" s="44">
        <f ca="1" t="shared" si="16"/>
        <v>0</v>
      </c>
      <c r="K28" s="44">
        <f ca="1" t="shared" si="16"/>
        <v>0</v>
      </c>
      <c r="L28" s="44">
        <f ca="1" t="shared" si="16"/>
        <v>0</v>
      </c>
      <c r="M28" s="44">
        <f ca="1" t="shared" si="16"/>
        <v>0</v>
      </c>
      <c r="N28" s="44">
        <f ca="1" t="shared" si="16"/>
        <v>0</v>
      </c>
      <c r="O28" s="44">
        <f ca="1" t="shared" si="16"/>
        <v>0</v>
      </c>
      <c r="P28" s="44">
        <f ca="1" t="shared" si="16"/>
        <v>0</v>
      </c>
      <c r="Q28" s="44">
        <f ca="1" t="shared" si="16"/>
        <v>0</v>
      </c>
      <c r="R28" s="44">
        <f ca="1">SUM(S28:Z28,AN28:BD28)</f>
        <v>0</v>
      </c>
      <c r="S28" s="44">
        <f ca="1">SUM(S29:S39)</f>
        <v>0</v>
      </c>
      <c r="T28" s="44">
        <f ca="1" t="shared" ref="T28:Z28" si="17">SUM(T29:T39)</f>
        <v>0</v>
      </c>
      <c r="U28" s="44">
        <f ca="1" t="shared" si="17"/>
        <v>0</v>
      </c>
      <c r="V28" s="44">
        <f ca="1" t="shared" si="17"/>
        <v>0</v>
      </c>
      <c r="W28" s="44">
        <f ca="1" t="shared" si="17"/>
        <v>0</v>
      </c>
      <c r="X28" s="44">
        <f ca="1" t="shared" si="17"/>
        <v>0</v>
      </c>
      <c r="Y28" s="44">
        <f ca="1" t="shared" si="17"/>
        <v>0</v>
      </c>
      <c r="Z28" s="44">
        <f ca="1" t="shared" si="17"/>
        <v>0</v>
      </c>
      <c r="AA28" s="43" t="e">
        <f ca="1">$D28-$BF28</f>
        <v>#REF!</v>
      </c>
      <c r="AB28" s="44">
        <f ca="1">SUM(AB30:AB39)</f>
        <v>0</v>
      </c>
      <c r="AC28" s="44">
        <f ca="1">SUM(AC29,AC31:AC39)</f>
        <v>0</v>
      </c>
      <c r="AD28" s="44">
        <f ca="1">SUM(AD29:AD30,AD32:AD39)</f>
        <v>0</v>
      </c>
      <c r="AE28" s="44">
        <f ca="1">SUM(AE29:AE31,AE33:AE39)</f>
        <v>0</v>
      </c>
      <c r="AF28" s="44">
        <f ca="1">SUM(AF29:AF32,AF34:AF39)</f>
        <v>0</v>
      </c>
      <c r="AG28" s="44">
        <f ca="1">SUM(AG29:AG33,AG35:AG39)</f>
        <v>0</v>
      </c>
      <c r="AH28" s="44">
        <f ca="1">SUM(AH29:AH34,AH36:AH39)</f>
        <v>0</v>
      </c>
      <c r="AI28" s="44">
        <f ca="1">SUM(AI29:AI35,AI37:AI39)</f>
        <v>0</v>
      </c>
      <c r="AJ28" s="44">
        <f ca="1">SUM(AJ29:AJ36,AJ38:AJ39)</f>
        <v>0</v>
      </c>
      <c r="AK28" s="44">
        <f ca="1">SUM(AK29:AK37,AK39)</f>
        <v>0</v>
      </c>
      <c r="AL28" s="44">
        <f ca="1">SUM(AL29:AL38)</f>
        <v>0</v>
      </c>
      <c r="AM28" s="44">
        <f ca="1">SUM(AM29:AM38)</f>
        <v>0</v>
      </c>
      <c r="AN28" s="44">
        <f ca="1" t="shared" ref="AN28:BE28" si="18">SUM(AN29:AN39)</f>
        <v>0</v>
      </c>
      <c r="AO28" s="44">
        <f ca="1" t="shared" si="18"/>
        <v>0</v>
      </c>
      <c r="AP28" s="44">
        <f ca="1" t="shared" si="18"/>
        <v>0</v>
      </c>
      <c r="AQ28" s="44">
        <f ca="1" t="shared" si="18"/>
        <v>0</v>
      </c>
      <c r="AR28" s="44">
        <f ca="1" t="shared" si="18"/>
        <v>0</v>
      </c>
      <c r="AS28" s="44">
        <f ca="1" t="shared" si="18"/>
        <v>0</v>
      </c>
      <c r="AT28" s="44">
        <f ca="1" t="shared" si="18"/>
        <v>0</v>
      </c>
      <c r="AU28" s="44">
        <f ca="1" t="shared" si="18"/>
        <v>0</v>
      </c>
      <c r="AV28" s="44">
        <f ca="1" t="shared" si="18"/>
        <v>0</v>
      </c>
      <c r="AW28" s="44">
        <f ca="1" t="shared" si="18"/>
        <v>0</v>
      </c>
      <c r="AX28" s="44">
        <f ca="1" t="shared" si="18"/>
        <v>0</v>
      </c>
      <c r="AY28" s="44">
        <f ca="1" t="shared" si="18"/>
        <v>0</v>
      </c>
      <c r="AZ28" s="44">
        <f ca="1" t="shared" si="18"/>
        <v>0</v>
      </c>
      <c r="BA28" s="44">
        <f ca="1" t="shared" si="18"/>
        <v>0</v>
      </c>
      <c r="BB28" s="44">
        <f ca="1" t="shared" si="18"/>
        <v>0</v>
      </c>
      <c r="BC28" s="44">
        <f ca="1" t="shared" si="18"/>
        <v>0</v>
      </c>
      <c r="BD28" s="44">
        <f ca="1" t="shared" si="18"/>
        <v>0</v>
      </c>
      <c r="BE28" s="44">
        <f ca="1" t="shared" si="18"/>
        <v>0</v>
      </c>
      <c r="BF28" s="74">
        <f ca="1" t="shared" si="13"/>
        <v>0</v>
      </c>
      <c r="BG28" s="101">
        <f ca="1">AA$59-$BF28</f>
        <v>0</v>
      </c>
      <c r="BH28" s="41" t="e">
        <f ca="1" t="shared" si="14"/>
        <v>#REF!</v>
      </c>
      <c r="BI28" s="98"/>
      <c r="BJ28" s="107"/>
      <c r="BK28" s="107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</row>
    <row r="29" s="4" customFormat="1" ht="16.5" customHeight="1" spans="1:79">
      <c r="A29" s="45" t="s">
        <v>8376</v>
      </c>
      <c r="B29" s="45" t="s">
        <v>8377</v>
      </c>
      <c r="C29" s="46" t="s">
        <v>94</v>
      </c>
      <c r="D29" s="47" t="e">
        <f>+#REF!</f>
        <v>#REF!</v>
      </c>
      <c r="E29" s="42">
        <f ca="1" t="shared" si="15"/>
        <v>0</v>
      </c>
      <c r="F29" s="52">
        <f ca="1" t="shared" si="9"/>
        <v>0</v>
      </c>
      <c r="G29" s="50">
        <f ca="1">+GETPIVOTDATA("XBC4",'bauchinh (2016)'!$A$3,"MA_HT","DGT","MA_QH","LUC")</f>
        <v>0</v>
      </c>
      <c r="H29" s="50">
        <f ca="1">+GETPIVOTDATA("XBC4",'bauchinh (2016)'!$A$3,"MA_HT","DGT","MA_QH","LUK")</f>
        <v>0</v>
      </c>
      <c r="I29" s="50">
        <f ca="1">+GETPIVOTDATA("XBC4",'bauchinh (2016)'!$A$3,"MA_HT","DGT","MA_QH","LUN")</f>
        <v>0</v>
      </c>
      <c r="J29" s="50">
        <f ca="1">+GETPIVOTDATA("XBC4",'bauchinh (2016)'!$A$3,"MA_HT","DGT","MA_QH","HNK")</f>
        <v>0</v>
      </c>
      <c r="K29" s="50">
        <f ca="1">+GETPIVOTDATA("XBC4",'bauchinh (2016)'!$A$3,"MA_HT","DGT","MA_QH","CLN")</f>
        <v>0</v>
      </c>
      <c r="L29" s="50">
        <f ca="1">+GETPIVOTDATA("XBC4",'bauchinh (2016)'!$A$3,"MA_HT","DGT","MA_QH","RSX")</f>
        <v>0</v>
      </c>
      <c r="M29" s="50">
        <f ca="1">+GETPIVOTDATA("XBC4",'bauchinh (2016)'!$A$3,"MA_HT","DGT","MA_QH","RPH")</f>
        <v>0</v>
      </c>
      <c r="N29" s="50">
        <f ca="1">+GETPIVOTDATA("XBC4",'bauchinh (2016)'!$A$3,"MA_HT","DGT","MA_QH","RDD")</f>
        <v>0</v>
      </c>
      <c r="O29" s="50">
        <f ca="1">+GETPIVOTDATA("XBC4",'bauchinh (2016)'!$A$3,"MA_HT","DGT","MA_QH","NTS")</f>
        <v>0</v>
      </c>
      <c r="P29" s="50">
        <f ca="1">+GETPIVOTDATA("XBC4",'bauchinh (2016)'!$A$3,"MA_HT","DGT","MA_QH","LMU")</f>
        <v>0</v>
      </c>
      <c r="Q29" s="50">
        <f ca="1">+GETPIVOTDATA("XBC4",'bauchinh (2016)'!$A$3,"MA_HT","DGT","MA_QH","NKH")</f>
        <v>0</v>
      </c>
      <c r="R29" s="48">
        <f ca="1">SUM(S29:AA29,AN29:BD29)</f>
        <v>0</v>
      </c>
      <c r="S29" s="50">
        <f ca="1">+GETPIVOTDATA("XBC4",'bauchinh (2016)'!$A$3,"MA_HT","DGT","MA_QH","CQP")</f>
        <v>0</v>
      </c>
      <c r="T29" s="50">
        <f ca="1">+GETPIVOTDATA("XBC4",'bauchinh (2016)'!$A$3,"MA_HT","DGT","MA_QH","CAN")</f>
        <v>0</v>
      </c>
      <c r="U29" s="50">
        <f ca="1">+GETPIVOTDATA("XBC4",'bauchinh (2016)'!$A$3,"MA_HT","DGT","MA_QH","SKK")</f>
        <v>0</v>
      </c>
      <c r="V29" s="50">
        <f ca="1">+GETPIVOTDATA("XBC4",'bauchinh (2016)'!$A$3,"MA_HT","DGT","MA_QH","SKT")</f>
        <v>0</v>
      </c>
      <c r="W29" s="50">
        <f ca="1">+GETPIVOTDATA("XBC4",'bauchinh (2016)'!$A$3,"MA_HT","DGT","MA_QH","SKN")</f>
        <v>0</v>
      </c>
      <c r="X29" s="50">
        <f ca="1">+GETPIVOTDATA("XBC4",'bauchinh (2016)'!$A$3,"MA_HT","DGT","MA_QH","TMD")</f>
        <v>0</v>
      </c>
      <c r="Y29" s="50">
        <f ca="1">+GETPIVOTDATA("XBC4",'bauchinh (2016)'!$A$3,"MA_HT","DGT","MA_QH","SKC")</f>
        <v>0</v>
      </c>
      <c r="Z29" s="50">
        <f ca="1">+GETPIVOTDATA("XBC4",'bauchinh (2016)'!$A$3,"MA_HT","DGT","MA_QH","SKS")</f>
        <v>0</v>
      </c>
      <c r="AA29" s="52">
        <f ca="1">+SUM(AC29:AM29)</f>
        <v>0</v>
      </c>
      <c r="AB29" s="49" t="e">
        <f ca="1">$D29-$BF29</f>
        <v>#REF!</v>
      </c>
      <c r="AC29" s="50">
        <f ca="1">+GETPIVOTDATA("XBC4",'bauchinh (2016)'!$A$3,"MA_HT","DGT","MA_QH","DTL")</f>
        <v>0</v>
      </c>
      <c r="AD29" s="50">
        <f ca="1">+GETPIVOTDATA("XBC4",'bauchinh (2016)'!$A$3,"MA_HT","DGT","MA_QH","DNL")</f>
        <v>0</v>
      </c>
      <c r="AE29" s="50">
        <f ca="1">+GETPIVOTDATA("XBC4",'bauchinh (2016)'!$A$3,"MA_HT","DGT","MA_QH","DBV")</f>
        <v>0</v>
      </c>
      <c r="AF29" s="50">
        <f ca="1">+GETPIVOTDATA("XBC4",'bauchinh (2016)'!$A$3,"MA_HT","DGT","MA_QH","DVH")</f>
        <v>0</v>
      </c>
      <c r="AG29" s="50">
        <f ca="1">+GETPIVOTDATA("XBC4",'bauchinh (2016)'!$A$3,"MA_HT","DGT","MA_QH","DYT")</f>
        <v>0</v>
      </c>
      <c r="AH29" s="50">
        <f ca="1">+GETPIVOTDATA("XBC4",'bauchinh (2016)'!$A$3,"MA_HT","DGT","MA_QH","DGD")</f>
        <v>0</v>
      </c>
      <c r="AI29" s="50">
        <f ca="1">+GETPIVOTDATA("XBC4",'bauchinh (2016)'!$A$3,"MA_HT","DGT","MA_QH","DTT")</f>
        <v>0</v>
      </c>
      <c r="AJ29" s="50">
        <f ca="1">+GETPIVOTDATA("XBC4",'bauchinh (2016)'!$A$3,"MA_HT","DGT","MA_QH","NCK")</f>
        <v>0</v>
      </c>
      <c r="AK29" s="50">
        <f ca="1">+GETPIVOTDATA("XBC4",'bauchinh (2016)'!$A$3,"MA_HT","DGT","MA_QH","DXH")</f>
        <v>0</v>
      </c>
      <c r="AL29" s="50">
        <f ca="1">+GETPIVOTDATA("XBC4",'bauchinh (2016)'!$A$3,"MA_HT","DGT","MA_QH","DCH")</f>
        <v>0</v>
      </c>
      <c r="AM29" s="50">
        <f ca="1">+GETPIVOTDATA("XBC4",'bauchinh (2016)'!$A$3,"MA_HT","DGT","MA_QH","DKG")</f>
        <v>0</v>
      </c>
      <c r="AN29" s="50">
        <f ca="1">+GETPIVOTDATA("XBC4",'bauchinh (2016)'!$A$3,"MA_HT","DGT","MA_QH","DDT")</f>
        <v>0</v>
      </c>
      <c r="AO29" s="50">
        <f ca="1">+GETPIVOTDATA("XBC4",'bauchinh (2016)'!$A$3,"MA_HT","DGT","MA_QH","DDL")</f>
        <v>0</v>
      </c>
      <c r="AP29" s="50">
        <f ca="1">+GETPIVOTDATA("XBC4",'bauchinh (2016)'!$A$3,"MA_HT","DGT","MA_QH","DRA")</f>
        <v>0</v>
      </c>
      <c r="AQ29" s="50">
        <f ca="1">+GETPIVOTDATA("XBC4",'bauchinh (2016)'!$A$3,"MA_HT","DGT","MA_QH","ONT")</f>
        <v>0</v>
      </c>
      <c r="AR29" s="50">
        <f ca="1">+GETPIVOTDATA("XBC4",'bauchinh (2016)'!$A$3,"MA_HT","DGT","MA_QH","ODT")</f>
        <v>0</v>
      </c>
      <c r="AS29" s="50">
        <f ca="1">+GETPIVOTDATA("XBC4",'bauchinh (2016)'!$A$3,"MA_HT","DGT","MA_QH","TSC")</f>
        <v>0</v>
      </c>
      <c r="AT29" s="50">
        <f ca="1">+GETPIVOTDATA("XBC4",'bauchinh (2016)'!$A$3,"MA_HT","DGT","MA_QH","DTS")</f>
        <v>0</v>
      </c>
      <c r="AU29" s="50">
        <f ca="1">+GETPIVOTDATA("XBC4",'bauchinh (2016)'!$A$3,"MA_HT","DGT","MA_QH","DNG")</f>
        <v>0</v>
      </c>
      <c r="AV29" s="50">
        <f ca="1">+GETPIVOTDATA("XBC4",'bauchinh (2016)'!$A$3,"MA_HT","DGT","MA_QH","TON")</f>
        <v>0</v>
      </c>
      <c r="AW29" s="50">
        <f ca="1">+GETPIVOTDATA("XBC4",'bauchinh (2016)'!$A$3,"MA_HT","DGT","MA_QH","NTD")</f>
        <v>0</v>
      </c>
      <c r="AX29" s="50">
        <f ca="1">+GETPIVOTDATA("XBC4",'bauchinh (2016)'!$A$3,"MA_HT","DGT","MA_QH","SKX")</f>
        <v>0</v>
      </c>
      <c r="AY29" s="50">
        <f ca="1">+GETPIVOTDATA("XBC4",'bauchinh (2016)'!$A$3,"MA_HT","DGT","MA_QH","DSH")</f>
        <v>0</v>
      </c>
      <c r="AZ29" s="50">
        <f ca="1">+GETPIVOTDATA("XBC4",'bauchinh (2016)'!$A$3,"MA_HT","DGT","MA_QH","DKV")</f>
        <v>0</v>
      </c>
      <c r="BA29" s="88">
        <f ca="1">+GETPIVOTDATA("XBC4",'bauchinh (2016)'!$A$3,"MA_HT","DGT","MA_QH","TIN")</f>
        <v>0</v>
      </c>
      <c r="BB29" s="50">
        <f ca="1">+GETPIVOTDATA("XBC4",'bauchinh (2016)'!$A$3,"MA_HT","DGT","MA_QH","SON")</f>
        <v>0</v>
      </c>
      <c r="BC29" s="50">
        <f ca="1">+GETPIVOTDATA("XBC4",'bauchinh (2016)'!$A$3,"MA_HT","DGT","MA_QH","MNC")</f>
        <v>0</v>
      </c>
      <c r="BD29" s="50">
        <f ca="1">+GETPIVOTDATA("XBC4",'bauchinh (2016)'!$A$3,"MA_HT","DGT","MA_QH","PNK")</f>
        <v>0</v>
      </c>
      <c r="BE29" s="80">
        <f ca="1">+GETPIVOTDATA("XBC4",'bauchinh (2016)'!$A$3,"MA_HT","DGT","MA_QH","CSD")</f>
        <v>0</v>
      </c>
      <c r="BF29" s="103">
        <f ca="1" t="shared" si="13"/>
        <v>0</v>
      </c>
      <c r="BG29" s="104">
        <f ca="1">AB$59-$BF29</f>
        <v>0</v>
      </c>
      <c r="BH29" s="47" t="e">
        <f ca="1" t="shared" si="14"/>
        <v>#REF!</v>
      </c>
      <c r="BI29" s="105"/>
      <c r="BJ29" s="105" t="e">
        <f>#REF!</f>
        <v>#REF!</v>
      </c>
      <c r="BK29" s="108" t="e">
        <f ca="1" t="shared" ref="BK29:BK40" si="19">BH29-BJ29</f>
        <v>#REF!</v>
      </c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</row>
    <row r="30" s="4" customFormat="1" ht="16.5" customHeight="1" spans="1:79">
      <c r="A30" s="45" t="s">
        <v>8378</v>
      </c>
      <c r="B30" s="45" t="s">
        <v>8379</v>
      </c>
      <c r="C30" s="46" t="s">
        <v>216</v>
      </c>
      <c r="D30" s="47" t="e">
        <f>+#REF!</f>
        <v>#REF!</v>
      </c>
      <c r="E30" s="42">
        <f ca="1" t="shared" si="15"/>
        <v>0</v>
      </c>
      <c r="F30" s="52">
        <f ca="1" t="shared" si="9"/>
        <v>0</v>
      </c>
      <c r="G30" s="50">
        <f ca="1">+GETPIVOTDATA("XBC4",'bauchinh (2016)'!$A$3,"MA_HT","DTL","MA_QH","LUC")</f>
        <v>0</v>
      </c>
      <c r="H30" s="50">
        <f ca="1">+GETPIVOTDATA("XBC4",'bauchinh (2016)'!$A$3,"MA_HT","DTL","MA_QH","LUK")</f>
        <v>0</v>
      </c>
      <c r="I30" s="50">
        <f ca="1">+GETPIVOTDATA("XBC4",'bauchinh (2016)'!$A$3,"MA_HT","DTL","MA_QH","LUN")</f>
        <v>0</v>
      </c>
      <c r="J30" s="50">
        <f ca="1">+GETPIVOTDATA("XBC4",'bauchinh (2016)'!$A$3,"MA_HT","DTL","MA_QH","HNK")</f>
        <v>0</v>
      </c>
      <c r="K30" s="50">
        <f ca="1">+GETPIVOTDATA("XBC4",'bauchinh (2016)'!$A$3,"MA_HT","DTL","MA_QH","CLN")</f>
        <v>0</v>
      </c>
      <c r="L30" s="50">
        <f ca="1">+GETPIVOTDATA("XBC4",'bauchinh (2016)'!$A$3,"MA_HT","DTL","MA_QH","RSX")</f>
        <v>0</v>
      </c>
      <c r="M30" s="50">
        <f ca="1">+GETPIVOTDATA("XBC4",'bauchinh (2016)'!$A$3,"MA_HT","DTL","MA_QH","RPH")</f>
        <v>0</v>
      </c>
      <c r="N30" s="50">
        <f ca="1">+GETPIVOTDATA("XBC4",'bauchinh (2016)'!$A$3,"MA_HT","DTL","MA_QH","RDD")</f>
        <v>0</v>
      </c>
      <c r="O30" s="50">
        <f ca="1">+GETPIVOTDATA("XBC4",'bauchinh (2016)'!$A$3,"MA_HT","DTL","MA_QH","NTS")</f>
        <v>0</v>
      </c>
      <c r="P30" s="50">
        <f ca="1">+GETPIVOTDATA("XBC4",'bauchinh (2016)'!$A$3,"MA_HT","DTL","MA_QH","LMU")</f>
        <v>0</v>
      </c>
      <c r="Q30" s="50">
        <f ca="1">+GETPIVOTDATA("XBC4",'bauchinh (2016)'!$A$3,"MA_HT","DTL","MA_QH","NKH")</f>
        <v>0</v>
      </c>
      <c r="R30" s="48">
        <f ca="1" t="shared" ref="R30:R40" si="20">SUM(S30:AA30,AN30:BD30)</f>
        <v>0</v>
      </c>
      <c r="S30" s="50">
        <f ca="1">+GETPIVOTDATA("XBC4",'bauchinh (2016)'!$A$3,"MA_HT","DTL","MA_QH","CQP")</f>
        <v>0</v>
      </c>
      <c r="T30" s="50">
        <f ca="1">+GETPIVOTDATA("XBC4",'bauchinh (2016)'!$A$3,"MA_HT","DTL","MA_QH","CAN")</f>
        <v>0</v>
      </c>
      <c r="U30" s="50">
        <f ca="1">+GETPIVOTDATA("XBC4",'bauchinh (2016)'!$A$3,"MA_HT","DTL","MA_QH","SKK")</f>
        <v>0</v>
      </c>
      <c r="V30" s="50">
        <f ca="1">+GETPIVOTDATA("XBC4",'bauchinh (2016)'!$A$3,"MA_HT","DTL","MA_QH","SKT")</f>
        <v>0</v>
      </c>
      <c r="W30" s="50">
        <f ca="1">+GETPIVOTDATA("XBC4",'bauchinh (2016)'!$A$3,"MA_HT","DTL","MA_QH","SKN")</f>
        <v>0</v>
      </c>
      <c r="X30" s="50">
        <f ca="1">+GETPIVOTDATA("XBC4",'bauchinh (2016)'!$A$3,"MA_HT","DTL","MA_QH","TMD")</f>
        <v>0</v>
      </c>
      <c r="Y30" s="50">
        <f ca="1">+GETPIVOTDATA("XBC4",'bauchinh (2016)'!$A$3,"MA_HT","DTL","MA_QH","SKC")</f>
        <v>0</v>
      </c>
      <c r="Z30" s="50">
        <f ca="1">+GETPIVOTDATA("XBC4",'bauchinh (2016)'!$A$3,"MA_HT","DTL","MA_QH","SKS")</f>
        <v>0</v>
      </c>
      <c r="AA30" s="52">
        <f ca="1">+SUM(AB30,AD30:AM30)</f>
        <v>0</v>
      </c>
      <c r="AB30" s="50">
        <f ca="1">+GETPIVOTDATA("XBC4",'bauchinh (2016)'!$A$3,"MA_HT","DTL","MA_QH","DGT")</f>
        <v>0</v>
      </c>
      <c r="AC30" s="49" t="e">
        <f ca="1">$D30-$BF30</f>
        <v>#REF!</v>
      </c>
      <c r="AD30" s="50">
        <f ca="1">+GETPIVOTDATA("XBC4",'bauchinh (2016)'!$A$3,"MA_HT","DTL","MA_QH","DNL")</f>
        <v>0</v>
      </c>
      <c r="AE30" s="50">
        <f ca="1">+GETPIVOTDATA("XBC4",'bauchinh (2016)'!$A$3,"MA_HT","DTL","MA_QH","DBV")</f>
        <v>0</v>
      </c>
      <c r="AF30" s="50">
        <f ca="1">+GETPIVOTDATA("XBC4",'bauchinh (2016)'!$A$3,"MA_HT","DTL","MA_QH","DVH")</f>
        <v>0</v>
      </c>
      <c r="AG30" s="50">
        <f ca="1">+GETPIVOTDATA("XBC4",'bauchinh (2016)'!$A$3,"MA_HT","DTL","MA_QH","DYT")</f>
        <v>0</v>
      </c>
      <c r="AH30" s="50">
        <f ca="1">+GETPIVOTDATA("XBC4",'bauchinh (2016)'!$A$3,"MA_HT","DTL","MA_QH","DGD")</f>
        <v>0</v>
      </c>
      <c r="AI30" s="50">
        <f ca="1">+GETPIVOTDATA("XBC4",'bauchinh (2016)'!$A$3,"MA_HT","DTL","MA_QH","DTT")</f>
        <v>0</v>
      </c>
      <c r="AJ30" s="50">
        <f ca="1">+GETPIVOTDATA("XBC4",'bauchinh (2016)'!$A$3,"MA_HT","DTL","MA_QH","NCK")</f>
        <v>0</v>
      </c>
      <c r="AK30" s="50">
        <f ca="1">+GETPIVOTDATA("XBC4",'bauchinh (2016)'!$A$3,"MA_HT","DTL","MA_QH","DXH")</f>
        <v>0</v>
      </c>
      <c r="AL30" s="50">
        <f ca="1">+GETPIVOTDATA("XBC4",'bauchinh (2016)'!$A$3,"MA_HT","DTL","MA_QH","DCH")</f>
        <v>0</v>
      </c>
      <c r="AM30" s="50">
        <f ca="1">+GETPIVOTDATA("XBC4",'bauchinh (2016)'!$A$3,"MA_HT","DTL","MA_QH","DKG")</f>
        <v>0</v>
      </c>
      <c r="AN30" s="50">
        <f ca="1">+GETPIVOTDATA("XBC4",'bauchinh (2016)'!$A$3,"MA_HT","DTL","MA_QH","DDT")</f>
        <v>0</v>
      </c>
      <c r="AO30" s="50">
        <f ca="1">+GETPIVOTDATA("XBC4",'bauchinh (2016)'!$A$3,"MA_HT","DTL","MA_QH","DDL")</f>
        <v>0</v>
      </c>
      <c r="AP30" s="50">
        <f ca="1">+GETPIVOTDATA("XBC4",'bauchinh (2016)'!$A$3,"MA_HT","DTL","MA_QH","DRA")</f>
        <v>0</v>
      </c>
      <c r="AQ30" s="50">
        <f ca="1">+GETPIVOTDATA("XBC4",'bauchinh (2016)'!$A$3,"MA_HT","DTL","MA_QH","ONT")</f>
        <v>0</v>
      </c>
      <c r="AR30" s="50">
        <f ca="1">+GETPIVOTDATA("XBC4",'bauchinh (2016)'!$A$3,"MA_HT","DTL","MA_QH","ODT")</f>
        <v>0</v>
      </c>
      <c r="AS30" s="50">
        <f ca="1">+GETPIVOTDATA("XBC4",'bauchinh (2016)'!$A$3,"MA_HT","DTL","MA_QH","TSC")</f>
        <v>0</v>
      </c>
      <c r="AT30" s="50">
        <f ca="1">+GETPIVOTDATA("XBC4",'bauchinh (2016)'!$A$3,"MA_HT","DTL","MA_QH","DTS")</f>
        <v>0</v>
      </c>
      <c r="AU30" s="50">
        <f ca="1">+GETPIVOTDATA("XBC4",'bauchinh (2016)'!$A$3,"MA_HT","DTL","MA_QH","DNG")</f>
        <v>0</v>
      </c>
      <c r="AV30" s="50">
        <f ca="1">+GETPIVOTDATA("XBC4",'bauchinh (2016)'!$A$3,"MA_HT","DTL","MA_QH","TON")</f>
        <v>0</v>
      </c>
      <c r="AW30" s="50">
        <f ca="1">+GETPIVOTDATA("XBC4",'bauchinh (2016)'!$A$3,"MA_HT","DTL","MA_QH","NTD")</f>
        <v>0</v>
      </c>
      <c r="AX30" s="50">
        <f ca="1">+GETPIVOTDATA("XBC4",'bauchinh (2016)'!$A$3,"MA_HT","DTL","MA_QH","SKX")</f>
        <v>0</v>
      </c>
      <c r="AY30" s="50">
        <f ca="1">+GETPIVOTDATA("XBC4",'bauchinh (2016)'!$A$3,"MA_HT","DTL","MA_QH","DSH")</f>
        <v>0</v>
      </c>
      <c r="AZ30" s="50">
        <f ca="1">+GETPIVOTDATA("XBC4",'bauchinh (2016)'!$A$3,"MA_HT","DTL","MA_QH","DKV")</f>
        <v>0</v>
      </c>
      <c r="BA30" s="88">
        <f ca="1">+GETPIVOTDATA("XBC4",'bauchinh (2016)'!$A$3,"MA_HT","DTL","MA_QH","TIN")</f>
        <v>0</v>
      </c>
      <c r="BB30" s="50">
        <f ca="1">+GETPIVOTDATA("XBC4",'bauchinh (2016)'!$A$3,"MA_HT","DTL","MA_QH","SON")</f>
        <v>0</v>
      </c>
      <c r="BC30" s="50">
        <f ca="1">+GETPIVOTDATA("XBC4",'bauchinh (2016)'!$A$3,"MA_HT","DTL","MA_QH","MNC")</f>
        <v>0</v>
      </c>
      <c r="BD30" s="50">
        <f ca="1">+GETPIVOTDATA("XBC4",'bauchinh (2016)'!$A$3,"MA_HT","DTL","MA_QH","PNK")</f>
        <v>0</v>
      </c>
      <c r="BE30" s="80">
        <f ca="1">+GETPIVOTDATA("XBC4",'bauchinh (2016)'!$A$3,"MA_HT","DTL","MA_QH","CSD")</f>
        <v>0</v>
      </c>
      <c r="BF30" s="103">
        <f ca="1" t="shared" si="13"/>
        <v>0</v>
      </c>
      <c r="BG30" s="104">
        <f ca="1">AC$59-$BF30</f>
        <v>0</v>
      </c>
      <c r="BH30" s="47" t="e">
        <f ca="1" t="shared" si="14"/>
        <v>#REF!</v>
      </c>
      <c r="BI30" s="105"/>
      <c r="BJ30" s="105" t="e">
        <f>#REF!</f>
        <v>#REF!</v>
      </c>
      <c r="BK30" s="108" t="e">
        <f ca="1" t="shared" si="19"/>
        <v>#REF!</v>
      </c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</row>
    <row r="31" s="4" customFormat="1" ht="16.5" customHeight="1" spans="1:79">
      <c r="A31" s="45" t="s">
        <v>8380</v>
      </c>
      <c r="B31" s="45" t="s">
        <v>8381</v>
      </c>
      <c r="C31" s="46" t="s">
        <v>71</v>
      </c>
      <c r="D31" s="47" t="e">
        <f>+#REF!</f>
        <v>#REF!</v>
      </c>
      <c r="E31" s="42">
        <f ca="1" t="shared" si="15"/>
        <v>0</v>
      </c>
      <c r="F31" s="52">
        <f ca="1" t="shared" si="9"/>
        <v>0</v>
      </c>
      <c r="G31" s="50">
        <f ca="1">+GETPIVOTDATA("XBC4",'bauchinh (2016)'!$A$3,"MA_HT","DNL","MA_QH","LUC")</f>
        <v>0</v>
      </c>
      <c r="H31" s="50">
        <f ca="1">+GETPIVOTDATA("XBC4",'bauchinh (2016)'!$A$3,"MA_HT","DNL","MA_QH","LUK")</f>
        <v>0</v>
      </c>
      <c r="I31" s="50">
        <f ca="1">+GETPIVOTDATA("XBC4",'bauchinh (2016)'!$A$3,"MA_HT","DNL","MA_QH","LUN")</f>
        <v>0</v>
      </c>
      <c r="J31" s="50">
        <f ca="1">+GETPIVOTDATA("XBC4",'bauchinh (2016)'!$A$3,"MA_HT","DNL","MA_QH","HNK")</f>
        <v>0</v>
      </c>
      <c r="K31" s="50">
        <f ca="1">+GETPIVOTDATA("XBC4",'bauchinh (2016)'!$A$3,"MA_HT","DNL","MA_QH","CLN")</f>
        <v>0</v>
      </c>
      <c r="L31" s="50">
        <f ca="1">+GETPIVOTDATA("XBC4",'bauchinh (2016)'!$A$3,"MA_HT","DNL","MA_QH","RSX")</f>
        <v>0</v>
      </c>
      <c r="M31" s="50">
        <f ca="1">+GETPIVOTDATA("XBC4",'bauchinh (2016)'!$A$3,"MA_HT","DNL","MA_QH","RPH")</f>
        <v>0</v>
      </c>
      <c r="N31" s="50">
        <f ca="1">+GETPIVOTDATA("XBC4",'bauchinh (2016)'!$A$3,"MA_HT","DNL","MA_QH","RDD")</f>
        <v>0</v>
      </c>
      <c r="O31" s="50">
        <f ca="1">+GETPIVOTDATA("XBC4",'bauchinh (2016)'!$A$3,"MA_HT","DNL","MA_QH","NTS")</f>
        <v>0</v>
      </c>
      <c r="P31" s="50">
        <f ca="1">+GETPIVOTDATA("XBC4",'bauchinh (2016)'!$A$3,"MA_HT","DNL","MA_QH","LMU")</f>
        <v>0</v>
      </c>
      <c r="Q31" s="50">
        <f ca="1">+GETPIVOTDATA("XBC4",'bauchinh (2016)'!$A$3,"MA_HT","DNL","MA_QH","NKH")</f>
        <v>0</v>
      </c>
      <c r="R31" s="48">
        <f ca="1" t="shared" si="20"/>
        <v>0</v>
      </c>
      <c r="S31" s="50">
        <f ca="1">+GETPIVOTDATA("XBC4",'bauchinh (2016)'!$A$3,"MA_HT","DNL","MA_QH","CQP")</f>
        <v>0</v>
      </c>
      <c r="T31" s="50">
        <f ca="1">+GETPIVOTDATA("XBC4",'bauchinh (2016)'!$A$3,"MA_HT","DNL","MA_QH","CAN")</f>
        <v>0</v>
      </c>
      <c r="U31" s="50">
        <f ca="1">+GETPIVOTDATA("XBC4",'bauchinh (2016)'!$A$3,"MA_HT","DNL","MA_QH","SKK")</f>
        <v>0</v>
      </c>
      <c r="V31" s="50">
        <f ca="1">+GETPIVOTDATA("XBC4",'bauchinh (2016)'!$A$3,"MA_HT","DNL","MA_QH","SKT")</f>
        <v>0</v>
      </c>
      <c r="W31" s="50">
        <f ca="1">+GETPIVOTDATA("XBC4",'bauchinh (2016)'!$A$3,"MA_HT","DNL","MA_QH","SKN")</f>
        <v>0</v>
      </c>
      <c r="X31" s="50">
        <f ca="1">+GETPIVOTDATA("XBC4",'bauchinh (2016)'!$A$3,"MA_HT","DNL","MA_QH","TMD")</f>
        <v>0</v>
      </c>
      <c r="Y31" s="50">
        <f ca="1">+GETPIVOTDATA("XBC4",'bauchinh (2016)'!$A$3,"MA_HT","DNL","MA_QH","SKC")</f>
        <v>0</v>
      </c>
      <c r="Z31" s="50">
        <f ca="1">+GETPIVOTDATA("XBC4",'bauchinh (2016)'!$A$3,"MA_HT","DNL","MA_QH","SKS")</f>
        <v>0</v>
      </c>
      <c r="AA31" s="52">
        <f ca="1">+SUM(AB31:AC31,AE31:AM31)</f>
        <v>0</v>
      </c>
      <c r="AB31" s="50">
        <f ca="1">+GETPIVOTDATA("XBC4",'bauchinh (2016)'!$A$3,"MA_HT","DNL","MA_QH","DGT")</f>
        <v>0</v>
      </c>
      <c r="AC31" s="50">
        <f ca="1">+GETPIVOTDATA("XBC4",'bauchinh (2016)'!$A$3,"MA_HT","DNL","MA_QH","DTL")</f>
        <v>0</v>
      </c>
      <c r="AD31" s="49" t="e">
        <f ca="1">$D31-$BF31</f>
        <v>#REF!</v>
      </c>
      <c r="AE31" s="50">
        <f ca="1">+GETPIVOTDATA("XBC4",'bauchinh (2016)'!$A$3,"MA_HT","DNL","MA_QH","DBV")</f>
        <v>0</v>
      </c>
      <c r="AF31" s="50">
        <f ca="1">+GETPIVOTDATA("XBC4",'bauchinh (2016)'!$A$3,"MA_HT","DNL","MA_QH","DVH")</f>
        <v>0</v>
      </c>
      <c r="AG31" s="50">
        <f ca="1">+GETPIVOTDATA("XBC4",'bauchinh (2016)'!$A$3,"MA_HT","DNL","MA_QH","DYT")</f>
        <v>0</v>
      </c>
      <c r="AH31" s="50">
        <f ca="1">+GETPIVOTDATA("XBC4",'bauchinh (2016)'!$A$3,"MA_HT","DNL","MA_QH","DGD")</f>
        <v>0</v>
      </c>
      <c r="AI31" s="50">
        <f ca="1">+GETPIVOTDATA("XBC4",'bauchinh (2016)'!$A$3,"MA_HT","DNL","MA_QH","DTT")</f>
        <v>0</v>
      </c>
      <c r="AJ31" s="50">
        <f ca="1">+GETPIVOTDATA("XBC4",'bauchinh (2016)'!$A$3,"MA_HT","DNL","MA_QH","NCK")</f>
        <v>0</v>
      </c>
      <c r="AK31" s="50">
        <f ca="1">+GETPIVOTDATA("XBC4",'bauchinh (2016)'!$A$3,"MA_HT","DNL","MA_QH","DXH")</f>
        <v>0</v>
      </c>
      <c r="AL31" s="50">
        <f ca="1">+GETPIVOTDATA("XBC4",'bauchinh (2016)'!$A$3,"MA_HT","DNL","MA_QH","DCH")</f>
        <v>0</v>
      </c>
      <c r="AM31" s="50">
        <f ca="1">+GETPIVOTDATA("XBC4",'bauchinh (2016)'!$A$3,"MA_HT","DNL","MA_QH","DKG")</f>
        <v>0</v>
      </c>
      <c r="AN31" s="50">
        <f ca="1">+GETPIVOTDATA("XBC4",'bauchinh (2016)'!$A$3,"MA_HT","DNL","MA_QH","DDT")</f>
        <v>0</v>
      </c>
      <c r="AO31" s="50">
        <f ca="1">+GETPIVOTDATA("XBC4",'bauchinh (2016)'!$A$3,"MA_HT","DNL","MA_QH","DDL")</f>
        <v>0</v>
      </c>
      <c r="AP31" s="50">
        <f ca="1">+GETPIVOTDATA("XBC4",'bauchinh (2016)'!$A$3,"MA_HT","DNL","MA_QH","DRA")</f>
        <v>0</v>
      </c>
      <c r="AQ31" s="50">
        <f ca="1">+GETPIVOTDATA("XBC4",'bauchinh (2016)'!$A$3,"MA_HT","DNL","MA_QH","ONT")</f>
        <v>0</v>
      </c>
      <c r="AR31" s="50">
        <f ca="1">+GETPIVOTDATA("XBC4",'bauchinh (2016)'!$A$3,"MA_HT","DNL","MA_QH","ODT")</f>
        <v>0</v>
      </c>
      <c r="AS31" s="50">
        <f ca="1">+GETPIVOTDATA("XBC4",'bauchinh (2016)'!$A$3,"MA_HT","DNL","MA_QH","TSC")</f>
        <v>0</v>
      </c>
      <c r="AT31" s="50">
        <f ca="1">+GETPIVOTDATA("XBC4",'bauchinh (2016)'!$A$3,"MA_HT","DNL","MA_QH","DTS")</f>
        <v>0</v>
      </c>
      <c r="AU31" s="50">
        <f ca="1">+GETPIVOTDATA("XBC4",'bauchinh (2016)'!$A$3,"MA_HT","DNL","MA_QH","DNG")</f>
        <v>0</v>
      </c>
      <c r="AV31" s="50">
        <f ca="1">+GETPIVOTDATA("XBC4",'bauchinh (2016)'!$A$3,"MA_HT","DNL","MA_QH","TON")</f>
        <v>0</v>
      </c>
      <c r="AW31" s="50">
        <f ca="1">+GETPIVOTDATA("XBC4",'bauchinh (2016)'!$A$3,"MA_HT","DNL","MA_QH","NTD")</f>
        <v>0</v>
      </c>
      <c r="AX31" s="50">
        <f ca="1">+GETPIVOTDATA("XBC4",'bauchinh (2016)'!$A$3,"MA_HT","DNL","MA_QH","SKX")</f>
        <v>0</v>
      </c>
      <c r="AY31" s="50">
        <f ca="1">+GETPIVOTDATA("XBC4",'bauchinh (2016)'!$A$3,"MA_HT","DNL","MA_QH","DSH")</f>
        <v>0</v>
      </c>
      <c r="AZ31" s="50">
        <f ca="1">+GETPIVOTDATA("XBC4",'bauchinh (2016)'!$A$3,"MA_HT","DNL","MA_QH","DKV")</f>
        <v>0</v>
      </c>
      <c r="BA31" s="88">
        <f ca="1">+GETPIVOTDATA("XBC4",'bauchinh (2016)'!$A$3,"MA_HT","DNL","MA_QH","TIN")</f>
        <v>0</v>
      </c>
      <c r="BB31" s="50">
        <f ca="1">+GETPIVOTDATA("XBC4",'bauchinh (2016)'!$A$3,"MA_HT","DNL","MA_QH","SON")</f>
        <v>0</v>
      </c>
      <c r="BC31" s="50">
        <f ca="1">+GETPIVOTDATA("XBC4",'bauchinh (2016)'!$A$3,"MA_HT","DNL","MA_QH","MNC")</f>
        <v>0</v>
      </c>
      <c r="BD31" s="50">
        <f ca="1">+GETPIVOTDATA("XBC4",'bauchinh (2016)'!$A$3,"MA_HT","DNL","MA_QH","PNK")</f>
        <v>0</v>
      </c>
      <c r="BE31" s="80">
        <f ca="1">+GETPIVOTDATA("XBC4",'bauchinh (2016)'!$A$3,"MA_HT","DNL","MA_QH","CSD")</f>
        <v>0</v>
      </c>
      <c r="BF31" s="103">
        <f ca="1" t="shared" si="13"/>
        <v>0</v>
      </c>
      <c r="BG31" s="104">
        <f ca="1">AD$59-$BF31</f>
        <v>0</v>
      </c>
      <c r="BH31" s="47" t="e">
        <f ca="1" t="shared" si="14"/>
        <v>#REF!</v>
      </c>
      <c r="BI31" s="105"/>
      <c r="BJ31" s="105" t="e">
        <f>#REF!</f>
        <v>#REF!</v>
      </c>
      <c r="BK31" s="108" t="e">
        <f ca="1" t="shared" si="19"/>
        <v>#REF!</v>
      </c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</row>
    <row r="32" s="4" customFormat="1" ht="16.5" customHeight="1" spans="1:79">
      <c r="A32" s="45" t="s">
        <v>8382</v>
      </c>
      <c r="B32" s="45" t="s">
        <v>8383</v>
      </c>
      <c r="C32" s="46" t="s">
        <v>8285</v>
      </c>
      <c r="D32" s="47" t="e">
        <f>+#REF!</f>
        <v>#REF!</v>
      </c>
      <c r="E32" s="42">
        <f ca="1" t="shared" si="15"/>
        <v>0</v>
      </c>
      <c r="F32" s="52">
        <f ca="1" t="shared" si="9"/>
        <v>0</v>
      </c>
      <c r="G32" s="50">
        <f ca="1">+GETPIVOTDATA("XBC4",'bauchinh (2016)'!$A$3,"MA_HT","DBV","MA_QH","LUC")</f>
        <v>0</v>
      </c>
      <c r="H32" s="50">
        <f ca="1">+GETPIVOTDATA("XBC4",'bauchinh (2016)'!$A$3,"MA_HT","DBV","MA_QH","LUK")</f>
        <v>0</v>
      </c>
      <c r="I32" s="50">
        <f ca="1">+GETPIVOTDATA("XBC4",'bauchinh (2016)'!$A$3,"MA_HT","DBV","MA_QH","LUN")</f>
        <v>0</v>
      </c>
      <c r="J32" s="50">
        <f ca="1">+GETPIVOTDATA("XBC4",'bauchinh (2016)'!$A$3,"MA_HT","DBV","MA_QH","HNK")</f>
        <v>0</v>
      </c>
      <c r="K32" s="50">
        <f ca="1">+GETPIVOTDATA("XBC4",'bauchinh (2016)'!$A$3,"MA_HT","DBV","MA_QH","CLN")</f>
        <v>0</v>
      </c>
      <c r="L32" s="50">
        <f ca="1">+GETPIVOTDATA("XBC4",'bauchinh (2016)'!$A$3,"MA_HT","DBV","MA_QH","RSX")</f>
        <v>0</v>
      </c>
      <c r="M32" s="50">
        <f ca="1">+GETPIVOTDATA("XBC4",'bauchinh (2016)'!$A$3,"MA_HT","DBV","MA_QH","RPH")</f>
        <v>0</v>
      </c>
      <c r="N32" s="50">
        <f ca="1">+GETPIVOTDATA("XBC4",'bauchinh (2016)'!$A$3,"MA_HT","DBV","MA_QH","RDD")</f>
        <v>0</v>
      </c>
      <c r="O32" s="50">
        <f ca="1">+GETPIVOTDATA("XBC4",'bauchinh (2016)'!$A$3,"MA_HT","DBV","MA_QH","NTS")</f>
        <v>0</v>
      </c>
      <c r="P32" s="50">
        <f ca="1">+GETPIVOTDATA("XBC4",'bauchinh (2016)'!$A$3,"MA_HT","DBV","MA_QH","LMU")</f>
        <v>0</v>
      </c>
      <c r="Q32" s="50">
        <f ca="1">+GETPIVOTDATA("XBC4",'bauchinh (2016)'!$A$3,"MA_HT","DBV","MA_QH","NKH")</f>
        <v>0</v>
      </c>
      <c r="R32" s="48">
        <f ca="1" t="shared" si="20"/>
        <v>0</v>
      </c>
      <c r="S32" s="50">
        <f ca="1">+GETPIVOTDATA("XBC4",'bauchinh (2016)'!$A$3,"MA_HT","DBV","MA_QH","CQP")</f>
        <v>0</v>
      </c>
      <c r="T32" s="50">
        <f ca="1">+GETPIVOTDATA("XBC4",'bauchinh (2016)'!$A$3,"MA_HT","DBV","MA_QH","CAN")</f>
        <v>0</v>
      </c>
      <c r="U32" s="50">
        <f ca="1">+GETPIVOTDATA("XBC4",'bauchinh (2016)'!$A$3,"MA_HT","DBV","MA_QH","SKK")</f>
        <v>0</v>
      </c>
      <c r="V32" s="50">
        <f ca="1">+GETPIVOTDATA("XBC4",'bauchinh (2016)'!$A$3,"MA_HT","DBV","MA_QH","SKT")</f>
        <v>0</v>
      </c>
      <c r="W32" s="50">
        <f ca="1">+GETPIVOTDATA("XBC4",'bauchinh (2016)'!$A$3,"MA_HT","DBV","MA_QH","SKN")</f>
        <v>0</v>
      </c>
      <c r="X32" s="50">
        <f ca="1">+GETPIVOTDATA("XBC4",'bauchinh (2016)'!$A$3,"MA_HT","DBV","MA_QH","TMD")</f>
        <v>0</v>
      </c>
      <c r="Y32" s="50">
        <f ca="1">+GETPIVOTDATA("XBC4",'bauchinh (2016)'!$A$3,"MA_HT","DBV","MA_QH","SKC")</f>
        <v>0</v>
      </c>
      <c r="Z32" s="50">
        <f ca="1">+GETPIVOTDATA("XBC4",'bauchinh (2016)'!$A$3,"MA_HT","DBV","MA_QH","SKS")</f>
        <v>0</v>
      </c>
      <c r="AA32" s="52">
        <f ca="1">+SUM(AB32:AD32,AF32:AM32)</f>
        <v>0</v>
      </c>
      <c r="AB32" s="50">
        <f ca="1">+GETPIVOTDATA("XBC4",'bauchinh (2016)'!$A$3,"MA_HT","DBV","MA_QH","DGT")</f>
        <v>0</v>
      </c>
      <c r="AC32" s="50">
        <f ca="1">+GETPIVOTDATA("XBC4",'bauchinh (2016)'!$A$3,"MA_HT","DBV","MA_QH","DTL")</f>
        <v>0</v>
      </c>
      <c r="AD32" s="50">
        <f ca="1">+GETPIVOTDATA("XBC4",'bauchinh (2016)'!$A$3,"MA_HT","DBV","MA_QH","DNL")</f>
        <v>0</v>
      </c>
      <c r="AE32" s="49" t="e">
        <f ca="1">$D32-$BF32</f>
        <v>#REF!</v>
      </c>
      <c r="AF32" s="50">
        <f ca="1">+GETPIVOTDATA("XBC4",'bauchinh (2016)'!$A$3,"MA_HT","DBV","MA_QH","DVH")</f>
        <v>0</v>
      </c>
      <c r="AG32" s="50">
        <f ca="1">+GETPIVOTDATA("XBC4",'bauchinh (2016)'!$A$3,"MA_HT","DBV","MA_QH","DYT")</f>
        <v>0</v>
      </c>
      <c r="AH32" s="50">
        <f ca="1">+GETPIVOTDATA("XBC4",'bauchinh (2016)'!$A$3,"MA_HT","DBV","MA_QH","DGD")</f>
        <v>0</v>
      </c>
      <c r="AI32" s="50">
        <f ca="1">+GETPIVOTDATA("XBC4",'bauchinh (2016)'!$A$3,"MA_HT","DBV","MA_QH","DTT")</f>
        <v>0</v>
      </c>
      <c r="AJ32" s="50">
        <f ca="1">+GETPIVOTDATA("XBC4",'bauchinh (2016)'!$A$3,"MA_HT","DBV","MA_QH","NCK")</f>
        <v>0</v>
      </c>
      <c r="AK32" s="50">
        <f ca="1">+GETPIVOTDATA("XBC4",'bauchinh (2016)'!$A$3,"MA_HT","DBV","MA_QH","DXH")</f>
        <v>0</v>
      </c>
      <c r="AL32" s="50">
        <f ca="1">+GETPIVOTDATA("XBC4",'bauchinh (2016)'!$A$3,"MA_HT","DBV","MA_QH","DCH")</f>
        <v>0</v>
      </c>
      <c r="AM32" s="50">
        <f ca="1">+GETPIVOTDATA("XBC4",'bauchinh (2016)'!$A$3,"MA_HT","DBV","MA_QH","DKG")</f>
        <v>0</v>
      </c>
      <c r="AN32" s="50">
        <f ca="1">+GETPIVOTDATA("XBC4",'bauchinh (2016)'!$A$3,"MA_HT","DBV","MA_QH","DDT")</f>
        <v>0</v>
      </c>
      <c r="AO32" s="50">
        <f ca="1">+GETPIVOTDATA("XBC4",'bauchinh (2016)'!$A$3,"MA_HT","DBV","MA_QH","DDL")</f>
        <v>0</v>
      </c>
      <c r="AP32" s="50">
        <f ca="1">+GETPIVOTDATA("XBC4",'bauchinh (2016)'!$A$3,"MA_HT","DBV","MA_QH","DRA")</f>
        <v>0</v>
      </c>
      <c r="AQ32" s="50">
        <f ca="1">+GETPIVOTDATA("XBC4",'bauchinh (2016)'!$A$3,"MA_HT","DBV","MA_QH","ONT")</f>
        <v>0</v>
      </c>
      <c r="AR32" s="50">
        <f ca="1">+GETPIVOTDATA("XBC4",'bauchinh (2016)'!$A$3,"MA_HT","DBV","MA_QH","ODT")</f>
        <v>0</v>
      </c>
      <c r="AS32" s="50">
        <f ca="1">+GETPIVOTDATA("XBC4",'bauchinh (2016)'!$A$3,"MA_HT","DBV","MA_QH","TSC")</f>
        <v>0</v>
      </c>
      <c r="AT32" s="50">
        <f ca="1">+GETPIVOTDATA("XBC4",'bauchinh (2016)'!$A$3,"MA_HT","DBV","MA_QH","DTS")</f>
        <v>0</v>
      </c>
      <c r="AU32" s="50">
        <f ca="1">+GETPIVOTDATA("XBC4",'bauchinh (2016)'!$A$3,"MA_HT","DBV","MA_QH","DNG")</f>
        <v>0</v>
      </c>
      <c r="AV32" s="50">
        <f ca="1">+GETPIVOTDATA("XBC4",'bauchinh (2016)'!$A$3,"MA_HT","DBV","MA_QH","TON")</f>
        <v>0</v>
      </c>
      <c r="AW32" s="50">
        <f ca="1">+GETPIVOTDATA("XBC4",'bauchinh (2016)'!$A$3,"MA_HT","DBV","MA_QH","NTD")</f>
        <v>0</v>
      </c>
      <c r="AX32" s="50">
        <f ca="1">+GETPIVOTDATA("XBC4",'bauchinh (2016)'!$A$3,"MA_HT","DBV","MA_QH","SKX")</f>
        <v>0</v>
      </c>
      <c r="AY32" s="50">
        <f ca="1">+GETPIVOTDATA("XBC4",'bauchinh (2016)'!$A$3,"MA_HT","DBV","MA_QH","DSH")</f>
        <v>0</v>
      </c>
      <c r="AZ32" s="50">
        <f ca="1">+GETPIVOTDATA("XBC4",'bauchinh (2016)'!$A$3,"MA_HT","DBV","MA_QH","DKV")</f>
        <v>0</v>
      </c>
      <c r="BA32" s="88">
        <f ca="1">+GETPIVOTDATA("XBC4",'bauchinh (2016)'!$A$3,"MA_HT","DBV","MA_QH","TIN")</f>
        <v>0</v>
      </c>
      <c r="BB32" s="50">
        <f ca="1">+GETPIVOTDATA("XBC4",'bauchinh (2016)'!$A$3,"MA_HT","DBV","MA_QH","SON")</f>
        <v>0</v>
      </c>
      <c r="BC32" s="50">
        <f ca="1">+GETPIVOTDATA("XBC4",'bauchinh (2016)'!$A$3,"MA_HT","DBV","MA_QH","MNC")</f>
        <v>0</v>
      </c>
      <c r="BD32" s="50">
        <f ca="1">+GETPIVOTDATA("XBC4",'bauchinh (2016)'!$A$3,"MA_HT","DBV","MA_QH","PNK")</f>
        <v>0</v>
      </c>
      <c r="BE32" s="80">
        <f ca="1">+GETPIVOTDATA("XBC4",'bauchinh (2016)'!$A$3,"MA_HT","DBV","MA_QH","CSD")</f>
        <v>0</v>
      </c>
      <c r="BF32" s="103">
        <f ca="1" t="shared" si="13"/>
        <v>0</v>
      </c>
      <c r="BG32" s="104">
        <f ca="1">AE$59-$BF32</f>
        <v>0</v>
      </c>
      <c r="BH32" s="47" t="e">
        <f ca="1" t="shared" si="14"/>
        <v>#REF!</v>
      </c>
      <c r="BI32" s="105"/>
      <c r="BJ32" s="105" t="e">
        <f>#REF!</f>
        <v>#REF!</v>
      </c>
      <c r="BK32" s="108" t="e">
        <f ca="1" t="shared" si="19"/>
        <v>#REF!</v>
      </c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</row>
    <row r="33" s="4" customFormat="1" ht="16.5" customHeight="1" spans="1:79">
      <c r="A33" s="45" t="s">
        <v>8384</v>
      </c>
      <c r="B33" s="45" t="s">
        <v>8385</v>
      </c>
      <c r="C33" s="46" t="s">
        <v>212</v>
      </c>
      <c r="D33" s="47" t="e">
        <f>+#REF!</f>
        <v>#REF!</v>
      </c>
      <c r="E33" s="42">
        <f ca="1" t="shared" si="15"/>
        <v>0</v>
      </c>
      <c r="F33" s="52">
        <f ca="1" t="shared" si="9"/>
        <v>0</v>
      </c>
      <c r="G33" s="50">
        <f ca="1">+GETPIVOTDATA("XBC4",'bauchinh (2016)'!$A$3,"MA_HT","DVH","MA_QH","LUC")</f>
        <v>0</v>
      </c>
      <c r="H33" s="50">
        <f ca="1">+GETPIVOTDATA("XBC4",'bauchinh (2016)'!$A$3,"MA_HT","DVH","MA_QH","LUK")</f>
        <v>0</v>
      </c>
      <c r="I33" s="50">
        <f ca="1">+GETPIVOTDATA("XBC4",'bauchinh (2016)'!$A$3,"MA_HT","DVH","MA_QH","LUN")</f>
        <v>0</v>
      </c>
      <c r="J33" s="50">
        <f ca="1">+GETPIVOTDATA("XBC4",'bauchinh (2016)'!$A$3,"MA_HT","DVH","MA_QH","HNK")</f>
        <v>0</v>
      </c>
      <c r="K33" s="50">
        <f ca="1">+GETPIVOTDATA("XBC4",'bauchinh (2016)'!$A$3,"MA_HT","DVH","MA_QH","CLN")</f>
        <v>0</v>
      </c>
      <c r="L33" s="50">
        <f ca="1">+GETPIVOTDATA("XBC4",'bauchinh (2016)'!$A$3,"MA_HT","DVH","MA_QH","RSX")</f>
        <v>0</v>
      </c>
      <c r="M33" s="50">
        <f ca="1">+GETPIVOTDATA("XBC4",'bauchinh (2016)'!$A$3,"MA_HT","DVH","MA_QH","RPH")</f>
        <v>0</v>
      </c>
      <c r="N33" s="50">
        <f ca="1">+GETPIVOTDATA("XBC4",'bauchinh (2016)'!$A$3,"MA_HT","DVH","MA_QH","RDD")</f>
        <v>0</v>
      </c>
      <c r="O33" s="50">
        <f ca="1">+GETPIVOTDATA("XBC4",'bauchinh (2016)'!$A$3,"MA_HT","DVH","MA_QH","NTS")</f>
        <v>0</v>
      </c>
      <c r="P33" s="50">
        <f ca="1">+GETPIVOTDATA("XBC4",'bauchinh (2016)'!$A$3,"MA_HT","DVH","MA_QH","LMU")</f>
        <v>0</v>
      </c>
      <c r="Q33" s="50">
        <f ca="1">+GETPIVOTDATA("XBC4",'bauchinh (2016)'!$A$3,"MA_HT","DVH","MA_QH","NKH")</f>
        <v>0</v>
      </c>
      <c r="R33" s="48">
        <f ca="1" t="shared" si="20"/>
        <v>0</v>
      </c>
      <c r="S33" s="50">
        <f ca="1">+GETPIVOTDATA("XBC4",'bauchinh (2016)'!$A$3,"MA_HT","DVH","MA_QH","CQP")</f>
        <v>0</v>
      </c>
      <c r="T33" s="50">
        <f ca="1">+GETPIVOTDATA("XBC4",'bauchinh (2016)'!$A$3,"MA_HT","DVH","MA_QH","CAN")</f>
        <v>0</v>
      </c>
      <c r="U33" s="50">
        <f ca="1">+GETPIVOTDATA("XBC4",'bauchinh (2016)'!$A$3,"MA_HT","DVH","MA_QH","SKK")</f>
        <v>0</v>
      </c>
      <c r="V33" s="50">
        <f ca="1">+GETPIVOTDATA("XBC4",'bauchinh (2016)'!$A$3,"MA_HT","DVH","MA_QH","SKT")</f>
        <v>0</v>
      </c>
      <c r="W33" s="50">
        <f ca="1">+GETPIVOTDATA("XBC4",'bauchinh (2016)'!$A$3,"MA_HT","DVH","MA_QH","SKN")</f>
        <v>0</v>
      </c>
      <c r="X33" s="50">
        <f ca="1">+GETPIVOTDATA("XBC4",'bauchinh (2016)'!$A$3,"MA_HT","DVH","MA_QH","TMD")</f>
        <v>0</v>
      </c>
      <c r="Y33" s="50">
        <f ca="1">+GETPIVOTDATA("XBC4",'bauchinh (2016)'!$A$3,"MA_HT","DVH","MA_QH","SKC")</f>
        <v>0</v>
      </c>
      <c r="Z33" s="50">
        <f ca="1">+GETPIVOTDATA("XBC4",'bauchinh (2016)'!$A$3,"MA_HT","DVH","MA_QH","SKS")</f>
        <v>0</v>
      </c>
      <c r="AA33" s="52">
        <f ca="1">+SUM(AB33:AE33,AG33:AM33)</f>
        <v>0</v>
      </c>
      <c r="AB33" s="50">
        <f ca="1">+GETPIVOTDATA("XBC4",'bauchinh (2016)'!$A$3,"MA_HT","DVH","MA_QH","DGT")</f>
        <v>0</v>
      </c>
      <c r="AC33" s="50">
        <f ca="1">+GETPIVOTDATA("XBC4",'bauchinh (2016)'!$A$3,"MA_HT","DVH","MA_QH","DTL")</f>
        <v>0</v>
      </c>
      <c r="AD33" s="50">
        <f ca="1">+GETPIVOTDATA("XBC4",'bauchinh (2016)'!$A$3,"MA_HT","DVH","MA_QH","DNL")</f>
        <v>0</v>
      </c>
      <c r="AE33" s="50">
        <f ca="1">+GETPIVOTDATA("XBC4",'bauchinh (2016)'!$A$3,"MA_HT","DVH","MA_QH","DBV")</f>
        <v>0</v>
      </c>
      <c r="AF33" s="49" t="e">
        <f ca="1">$D33-$BF33</f>
        <v>#REF!</v>
      </c>
      <c r="AG33" s="50">
        <f ca="1">+GETPIVOTDATA("XBC4",'bauchinh (2016)'!$A$3,"MA_HT","DVH","MA_QH","DYT")</f>
        <v>0</v>
      </c>
      <c r="AH33" s="50">
        <f ca="1">+GETPIVOTDATA("XBC4",'bauchinh (2016)'!$A$3,"MA_HT","DVH","MA_QH","DGD")</f>
        <v>0</v>
      </c>
      <c r="AI33" s="50">
        <f ca="1">+GETPIVOTDATA("XBC4",'bauchinh (2016)'!$A$3,"MA_HT","DVH","MA_QH","DTT")</f>
        <v>0</v>
      </c>
      <c r="AJ33" s="50">
        <f ca="1">+GETPIVOTDATA("XBC4",'bauchinh (2016)'!$A$3,"MA_HT","DVH","MA_QH","NCK")</f>
        <v>0</v>
      </c>
      <c r="AK33" s="50">
        <f ca="1">+GETPIVOTDATA("XBC4",'bauchinh (2016)'!$A$3,"MA_HT","DVH","MA_QH","DXH")</f>
        <v>0</v>
      </c>
      <c r="AL33" s="50">
        <f ca="1">+GETPIVOTDATA("XBC4",'bauchinh (2016)'!$A$3,"MA_HT","DVH","MA_QH","DCH")</f>
        <v>0</v>
      </c>
      <c r="AM33" s="50">
        <f ca="1">+GETPIVOTDATA("XBC4",'bauchinh (2016)'!$A$3,"MA_HT","DVH","MA_QH","DKG")</f>
        <v>0</v>
      </c>
      <c r="AN33" s="50">
        <f ca="1">+GETPIVOTDATA("XBC4",'bauchinh (2016)'!$A$3,"MA_HT","DVH","MA_QH","DDT")</f>
        <v>0</v>
      </c>
      <c r="AO33" s="50">
        <f ca="1">+GETPIVOTDATA("XBC4",'bauchinh (2016)'!$A$3,"MA_HT","DVH","MA_QH","DDL")</f>
        <v>0</v>
      </c>
      <c r="AP33" s="50">
        <f ca="1">+GETPIVOTDATA("XBC4",'bauchinh (2016)'!$A$3,"MA_HT","DVH","MA_QH","DRA")</f>
        <v>0</v>
      </c>
      <c r="AQ33" s="50">
        <f ca="1">+GETPIVOTDATA("XBC4",'bauchinh (2016)'!$A$3,"MA_HT","DVH","MA_QH","ONT")</f>
        <v>0</v>
      </c>
      <c r="AR33" s="50">
        <f ca="1">+GETPIVOTDATA("XBC4",'bauchinh (2016)'!$A$3,"MA_HT","DVH","MA_QH","ODT")</f>
        <v>0</v>
      </c>
      <c r="AS33" s="50">
        <f ca="1">+GETPIVOTDATA("XBC4",'bauchinh (2016)'!$A$3,"MA_HT","DVH","MA_QH","TSC")</f>
        <v>0</v>
      </c>
      <c r="AT33" s="50">
        <f ca="1">+GETPIVOTDATA("XBC4",'bauchinh (2016)'!$A$3,"MA_HT","DVH","MA_QH","DTS")</f>
        <v>0</v>
      </c>
      <c r="AU33" s="50">
        <f ca="1">+GETPIVOTDATA("XBC4",'bauchinh (2016)'!$A$3,"MA_HT","DVH","MA_QH","DNG")</f>
        <v>0</v>
      </c>
      <c r="AV33" s="50">
        <f ca="1">+GETPIVOTDATA("XBC4",'bauchinh (2016)'!$A$3,"MA_HT","DVH","MA_QH","TON")</f>
        <v>0</v>
      </c>
      <c r="AW33" s="50">
        <f ca="1">+GETPIVOTDATA("XBC4",'bauchinh (2016)'!$A$3,"MA_HT","DVH","MA_QH","NTD")</f>
        <v>0</v>
      </c>
      <c r="AX33" s="50">
        <f ca="1">+GETPIVOTDATA("XBC4",'bauchinh (2016)'!$A$3,"MA_HT","DVH","MA_QH","SKX")</f>
        <v>0</v>
      </c>
      <c r="AY33" s="50">
        <f ca="1">+GETPIVOTDATA("XBC4",'bauchinh (2016)'!$A$3,"MA_HT","DVH","MA_QH","DSH")</f>
        <v>0</v>
      </c>
      <c r="AZ33" s="50">
        <f ca="1">+GETPIVOTDATA("XBC4",'bauchinh (2016)'!$A$3,"MA_HT","DVH","MA_QH","DKV")</f>
        <v>0</v>
      </c>
      <c r="BA33" s="88">
        <f ca="1">+GETPIVOTDATA("XBC4",'bauchinh (2016)'!$A$3,"MA_HT","DVH","MA_QH","TIN")</f>
        <v>0</v>
      </c>
      <c r="BB33" s="50">
        <f ca="1">+GETPIVOTDATA("XBC4",'bauchinh (2016)'!$A$3,"MA_HT","DVH","MA_QH","SON")</f>
        <v>0</v>
      </c>
      <c r="BC33" s="50">
        <f ca="1">+GETPIVOTDATA("XBC4",'bauchinh (2016)'!$A$3,"MA_HT","DVH","MA_QH","MNC")</f>
        <v>0</v>
      </c>
      <c r="BD33" s="50">
        <f ca="1">+GETPIVOTDATA("XBC4",'bauchinh (2016)'!$A$3,"MA_HT","DVH","MA_QH","PNK")</f>
        <v>0</v>
      </c>
      <c r="BE33" s="80">
        <f ca="1">+GETPIVOTDATA("XBC4",'bauchinh (2016)'!$A$3,"MA_HT","DVH","MA_QH","CSD")</f>
        <v>0</v>
      </c>
      <c r="BF33" s="103">
        <f ca="1" t="shared" si="13"/>
        <v>0</v>
      </c>
      <c r="BG33" s="104">
        <f ca="1">AF$59-$BF33</f>
        <v>0</v>
      </c>
      <c r="BH33" s="47" t="e">
        <f ca="1" t="shared" si="14"/>
        <v>#REF!</v>
      </c>
      <c r="BI33" s="105"/>
      <c r="BJ33" s="105" t="e">
        <f>#REF!</f>
        <v>#REF!</v>
      </c>
      <c r="BK33" s="108" t="e">
        <f ca="1" t="shared" si="19"/>
        <v>#REF!</v>
      </c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</row>
    <row r="34" s="4" customFormat="1" ht="16.5" customHeight="1" spans="1:79">
      <c r="A34" s="45" t="s">
        <v>8386</v>
      </c>
      <c r="B34" s="45" t="s">
        <v>8387</v>
      </c>
      <c r="C34" s="46" t="s">
        <v>8296</v>
      </c>
      <c r="D34" s="47" t="e">
        <f>+#REF!</f>
        <v>#REF!</v>
      </c>
      <c r="E34" s="42">
        <f ca="1" t="shared" si="15"/>
        <v>0</v>
      </c>
      <c r="F34" s="52">
        <f ca="1" t="shared" si="9"/>
        <v>0</v>
      </c>
      <c r="G34" s="50">
        <f ca="1">+GETPIVOTDATA("XBC4",'bauchinh (2016)'!$A$3,"MA_HT","DYT","MA_QH","LUC")</f>
        <v>0</v>
      </c>
      <c r="H34" s="50">
        <f ca="1">+GETPIVOTDATA("XBC4",'bauchinh (2016)'!$A$3,"MA_HT","DYT","MA_QH","LUK")</f>
        <v>0</v>
      </c>
      <c r="I34" s="50">
        <f ca="1">+GETPIVOTDATA("XBC4",'bauchinh (2016)'!$A$3,"MA_HT","DYT","MA_QH","LUN")</f>
        <v>0</v>
      </c>
      <c r="J34" s="50">
        <f ca="1">+GETPIVOTDATA("XBC4",'bauchinh (2016)'!$A$3,"MA_HT","DYT","MA_QH","HNK")</f>
        <v>0</v>
      </c>
      <c r="K34" s="50">
        <f ca="1">+GETPIVOTDATA("XBC4",'bauchinh (2016)'!$A$3,"MA_HT","DYT","MA_QH","CLN")</f>
        <v>0</v>
      </c>
      <c r="L34" s="50">
        <f ca="1">+GETPIVOTDATA("XBC4",'bauchinh (2016)'!$A$3,"MA_HT","DYT","MA_QH","RSX")</f>
        <v>0</v>
      </c>
      <c r="M34" s="50">
        <f ca="1">+GETPIVOTDATA("XBC4",'bauchinh (2016)'!$A$3,"MA_HT","DYT","MA_QH","RPH")</f>
        <v>0</v>
      </c>
      <c r="N34" s="50">
        <f ca="1">+GETPIVOTDATA("XBC4",'bauchinh (2016)'!$A$3,"MA_HT","DYT","MA_QH","RDD")</f>
        <v>0</v>
      </c>
      <c r="O34" s="50">
        <f ca="1">+GETPIVOTDATA("XBC4",'bauchinh (2016)'!$A$3,"MA_HT","DYT","MA_QH","NTS")</f>
        <v>0</v>
      </c>
      <c r="P34" s="50">
        <f ca="1">+GETPIVOTDATA("XBC4",'bauchinh (2016)'!$A$3,"MA_HT","DYT","MA_QH","LMU")</f>
        <v>0</v>
      </c>
      <c r="Q34" s="50">
        <f ca="1">+GETPIVOTDATA("XBC4",'bauchinh (2016)'!$A$3,"MA_HT","DYT","MA_QH","NKH")</f>
        <v>0</v>
      </c>
      <c r="R34" s="48">
        <f ca="1" t="shared" si="20"/>
        <v>0</v>
      </c>
      <c r="S34" s="50">
        <f ca="1">+GETPIVOTDATA("XBC4",'bauchinh (2016)'!$A$3,"MA_HT","DYT","MA_QH","CQP")</f>
        <v>0</v>
      </c>
      <c r="T34" s="50">
        <f ca="1">+GETPIVOTDATA("XBC4",'bauchinh (2016)'!$A$3,"MA_HT","DYT","MA_QH","CAN")</f>
        <v>0</v>
      </c>
      <c r="U34" s="50">
        <f ca="1">+GETPIVOTDATA("XBC4",'bauchinh (2016)'!$A$3,"MA_HT","DYT","MA_QH","SKK")</f>
        <v>0</v>
      </c>
      <c r="V34" s="50">
        <f ca="1">+GETPIVOTDATA("XBC4",'bauchinh (2016)'!$A$3,"MA_HT","DYT","MA_QH","SKT")</f>
        <v>0</v>
      </c>
      <c r="W34" s="50">
        <f ca="1">+GETPIVOTDATA("XBC4",'bauchinh (2016)'!$A$3,"MA_HT","DYT","MA_QH","SKN")</f>
        <v>0</v>
      </c>
      <c r="X34" s="50">
        <f ca="1">+GETPIVOTDATA("XBC4",'bauchinh (2016)'!$A$3,"MA_HT","DYT","MA_QH","TMD")</f>
        <v>0</v>
      </c>
      <c r="Y34" s="50">
        <f ca="1">+GETPIVOTDATA("XBC4",'bauchinh (2016)'!$A$3,"MA_HT","DYT","MA_QH","SKC")</f>
        <v>0</v>
      </c>
      <c r="Z34" s="50">
        <f ca="1">+GETPIVOTDATA("XBC4",'bauchinh (2016)'!$A$3,"MA_HT","DYT","MA_QH","SKS")</f>
        <v>0</v>
      </c>
      <c r="AA34" s="52">
        <f ca="1">+SUM(AB34:AF34,AH34:AM34)</f>
        <v>0</v>
      </c>
      <c r="AB34" s="50">
        <f ca="1">+GETPIVOTDATA("XBC4",'bauchinh (2016)'!$A$3,"MA_HT","DYT","MA_QH","DGT")</f>
        <v>0</v>
      </c>
      <c r="AC34" s="50">
        <f ca="1">+GETPIVOTDATA("XBC4",'bauchinh (2016)'!$A$3,"MA_HT","DYT","MA_QH","DTL")</f>
        <v>0</v>
      </c>
      <c r="AD34" s="50">
        <f ca="1">+GETPIVOTDATA("XBC4",'bauchinh (2016)'!$A$3,"MA_HT","DYT","MA_QH","DNL")</f>
        <v>0</v>
      </c>
      <c r="AE34" s="50">
        <f ca="1">+GETPIVOTDATA("XBC4",'bauchinh (2016)'!$A$3,"MA_HT","DYT","MA_QH","DBV")</f>
        <v>0</v>
      </c>
      <c r="AF34" s="50">
        <f ca="1">+GETPIVOTDATA("XBC4",'bauchinh (2016)'!$A$3,"MA_HT","DYT","MA_QH","DVH")</f>
        <v>0</v>
      </c>
      <c r="AG34" s="49" t="e">
        <f ca="1">$D34-$BF34</f>
        <v>#REF!</v>
      </c>
      <c r="AH34" s="50">
        <f ca="1">+GETPIVOTDATA("XBC4",'bauchinh (2016)'!$A$3,"MA_HT","DYT","MA_QH","DGD")</f>
        <v>0</v>
      </c>
      <c r="AI34" s="50">
        <f ca="1">+GETPIVOTDATA("XBC4",'bauchinh (2016)'!$A$3,"MA_HT","DYT","MA_QH","DTT")</f>
        <v>0</v>
      </c>
      <c r="AJ34" s="50">
        <f ca="1">+GETPIVOTDATA("XBC4",'bauchinh (2016)'!$A$3,"MA_HT","DYT","MA_QH","NCK")</f>
        <v>0</v>
      </c>
      <c r="AK34" s="50">
        <f ca="1">+GETPIVOTDATA("XBC4",'bauchinh (2016)'!$A$3,"MA_HT","DYT","MA_QH","DXH")</f>
        <v>0</v>
      </c>
      <c r="AL34" s="50">
        <f ca="1">+GETPIVOTDATA("XBC4",'bauchinh (2016)'!$A$3,"MA_HT","DYT","MA_QH","DCH")</f>
        <v>0</v>
      </c>
      <c r="AM34" s="50">
        <f ca="1">+GETPIVOTDATA("XBC4",'bauchinh (2016)'!$A$3,"MA_HT","DYT","MA_QH","DKG")</f>
        <v>0</v>
      </c>
      <c r="AN34" s="50">
        <f ca="1">+GETPIVOTDATA("XBC4",'bauchinh (2016)'!$A$3,"MA_HT","DYT","MA_QH","DDT")</f>
        <v>0</v>
      </c>
      <c r="AO34" s="50">
        <f ca="1">+GETPIVOTDATA("XBC4",'bauchinh (2016)'!$A$3,"MA_HT","DYT","MA_QH","DDL")</f>
        <v>0</v>
      </c>
      <c r="AP34" s="50">
        <f ca="1">+GETPIVOTDATA("XBC4",'bauchinh (2016)'!$A$3,"MA_HT","DYT","MA_QH","DRA")</f>
        <v>0</v>
      </c>
      <c r="AQ34" s="50">
        <f ca="1">+GETPIVOTDATA("XBC4",'bauchinh (2016)'!$A$3,"MA_HT","DYT","MA_QH","ONT")</f>
        <v>0</v>
      </c>
      <c r="AR34" s="50">
        <f ca="1">+GETPIVOTDATA("XBC4",'bauchinh (2016)'!$A$3,"MA_HT","DYT","MA_QH","ODT")</f>
        <v>0</v>
      </c>
      <c r="AS34" s="50">
        <f ca="1">+GETPIVOTDATA("XBC4",'bauchinh (2016)'!$A$3,"MA_HT","DYT","MA_QH","TSC")</f>
        <v>0</v>
      </c>
      <c r="AT34" s="50">
        <f ca="1">+GETPIVOTDATA("XBC4",'bauchinh (2016)'!$A$3,"MA_HT","DYT","MA_QH","DTS")</f>
        <v>0</v>
      </c>
      <c r="AU34" s="50">
        <f ca="1">+GETPIVOTDATA("XBC4",'bauchinh (2016)'!$A$3,"MA_HT","DYT","MA_QH","DNG")</f>
        <v>0</v>
      </c>
      <c r="AV34" s="50">
        <f ca="1">+GETPIVOTDATA("XBC4",'bauchinh (2016)'!$A$3,"MA_HT","DYT","MA_QH","TON")</f>
        <v>0</v>
      </c>
      <c r="AW34" s="50">
        <f ca="1">+GETPIVOTDATA("XBC4",'bauchinh (2016)'!$A$3,"MA_HT","DYT","MA_QH","NTD")</f>
        <v>0</v>
      </c>
      <c r="AX34" s="50">
        <f ca="1">+GETPIVOTDATA("XBC4",'bauchinh (2016)'!$A$3,"MA_HT","DYT","MA_QH","SKX")</f>
        <v>0</v>
      </c>
      <c r="AY34" s="50">
        <f ca="1">+GETPIVOTDATA("XBC4",'bauchinh (2016)'!$A$3,"MA_HT","DYT","MA_QH","DSH")</f>
        <v>0</v>
      </c>
      <c r="AZ34" s="50">
        <f ca="1">+GETPIVOTDATA("XBC4",'bauchinh (2016)'!$A$3,"MA_HT","DYT","MA_QH","DKV")</f>
        <v>0</v>
      </c>
      <c r="BA34" s="88">
        <f ca="1">+GETPIVOTDATA("XBC4",'bauchinh (2016)'!$A$3,"MA_HT","DYT","MA_QH","TIN")</f>
        <v>0</v>
      </c>
      <c r="BB34" s="50">
        <f ca="1">+GETPIVOTDATA("XBC4",'bauchinh (2016)'!$A$3,"MA_HT","DYT","MA_QH","SON")</f>
        <v>0</v>
      </c>
      <c r="BC34" s="50">
        <f ca="1">+GETPIVOTDATA("XBC4",'bauchinh (2016)'!$A$3,"MA_HT","DYT","MA_QH","MNC")</f>
        <v>0</v>
      </c>
      <c r="BD34" s="50">
        <f ca="1">+GETPIVOTDATA("XBC4",'bauchinh (2016)'!$A$3,"MA_HT","DYT","MA_QH","PNK")</f>
        <v>0</v>
      </c>
      <c r="BE34" s="80">
        <f ca="1">+GETPIVOTDATA("XBC4",'bauchinh (2016)'!$A$3,"MA_HT","DYT","MA_QH","CSD")</f>
        <v>0</v>
      </c>
      <c r="BF34" s="103">
        <f ca="1" t="shared" si="13"/>
        <v>0</v>
      </c>
      <c r="BG34" s="104">
        <f ca="1">AG$59-$BF34</f>
        <v>0</v>
      </c>
      <c r="BH34" s="47" t="e">
        <f ca="1" t="shared" si="14"/>
        <v>#REF!</v>
      </c>
      <c r="BI34" s="105"/>
      <c r="BJ34" s="105" t="e">
        <f>#REF!</f>
        <v>#REF!</v>
      </c>
      <c r="BK34" s="108" t="e">
        <f ca="1" t="shared" si="19"/>
        <v>#REF!</v>
      </c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</row>
    <row r="35" s="4" customFormat="1" ht="16.5" customHeight="1" spans="1:79">
      <c r="A35" s="45" t="s">
        <v>8388</v>
      </c>
      <c r="B35" s="45" t="s">
        <v>8389</v>
      </c>
      <c r="C35" s="46" t="s">
        <v>165</v>
      </c>
      <c r="D35" s="47" t="e">
        <f>+#REF!</f>
        <v>#REF!</v>
      </c>
      <c r="E35" s="42">
        <f ca="1" t="shared" si="15"/>
        <v>0</v>
      </c>
      <c r="F35" s="52">
        <f ca="1" t="shared" si="9"/>
        <v>0</v>
      </c>
      <c r="G35" s="50">
        <f ca="1">+GETPIVOTDATA("XBC4",'bauchinh (2016)'!$A$3,"MA_HT","DGD","MA_QH","LUC")</f>
        <v>0</v>
      </c>
      <c r="H35" s="50">
        <f ca="1">+GETPIVOTDATA("XBC4",'bauchinh (2016)'!$A$3,"MA_HT","DGD","MA_QH","LUK")</f>
        <v>0</v>
      </c>
      <c r="I35" s="50">
        <f ca="1">+GETPIVOTDATA("XBC4",'bauchinh (2016)'!$A$3,"MA_HT","DGD","MA_QH","LUN")</f>
        <v>0</v>
      </c>
      <c r="J35" s="50">
        <f ca="1">+GETPIVOTDATA("XBC4",'bauchinh (2016)'!$A$3,"MA_HT","DGD","MA_QH","HNK")</f>
        <v>0</v>
      </c>
      <c r="K35" s="50">
        <f ca="1">+GETPIVOTDATA("XBC4",'bauchinh (2016)'!$A$3,"MA_HT","DGD","MA_QH","CLN")</f>
        <v>0</v>
      </c>
      <c r="L35" s="50">
        <f ca="1">+GETPIVOTDATA("XBC4",'bauchinh (2016)'!$A$3,"MA_HT","DGD","MA_QH","RSX")</f>
        <v>0</v>
      </c>
      <c r="M35" s="50">
        <f ca="1">+GETPIVOTDATA("XBC4",'bauchinh (2016)'!$A$3,"MA_HT","DGD","MA_QH","RPH")</f>
        <v>0</v>
      </c>
      <c r="N35" s="50">
        <f ca="1">+GETPIVOTDATA("XBC4",'bauchinh (2016)'!$A$3,"MA_HT","DGD","MA_QH","RDD")</f>
        <v>0</v>
      </c>
      <c r="O35" s="50">
        <f ca="1">+GETPIVOTDATA("XBC4",'bauchinh (2016)'!$A$3,"MA_HT","DGD","MA_QH","NTS")</f>
        <v>0</v>
      </c>
      <c r="P35" s="50">
        <f ca="1">+GETPIVOTDATA("XBC4",'bauchinh (2016)'!$A$3,"MA_HT","DGD","MA_QH","LMU")</f>
        <v>0</v>
      </c>
      <c r="Q35" s="50">
        <f ca="1">+GETPIVOTDATA("XBC4",'bauchinh (2016)'!$A$3,"MA_HT","DGD","MA_QH","NKH")</f>
        <v>0</v>
      </c>
      <c r="R35" s="48">
        <f ca="1" t="shared" si="20"/>
        <v>0</v>
      </c>
      <c r="S35" s="50">
        <f ca="1">+GETPIVOTDATA("XBC4",'bauchinh (2016)'!$A$3,"MA_HT","DGD","MA_QH","CQP")</f>
        <v>0</v>
      </c>
      <c r="T35" s="50">
        <f ca="1">+GETPIVOTDATA("XBC4",'bauchinh (2016)'!$A$3,"MA_HT","DGD","MA_QH","CAN")</f>
        <v>0</v>
      </c>
      <c r="U35" s="50">
        <f ca="1">+GETPIVOTDATA("XBC4",'bauchinh (2016)'!$A$3,"MA_HT","DGD","MA_QH","SKK")</f>
        <v>0</v>
      </c>
      <c r="V35" s="50">
        <f ca="1">+GETPIVOTDATA("XBC4",'bauchinh (2016)'!$A$3,"MA_HT","DGD","MA_QH","SKT")</f>
        <v>0</v>
      </c>
      <c r="W35" s="50">
        <f ca="1">+GETPIVOTDATA("XBC4",'bauchinh (2016)'!$A$3,"MA_HT","DGD","MA_QH","SKN")</f>
        <v>0</v>
      </c>
      <c r="X35" s="50">
        <f ca="1">+GETPIVOTDATA("XBC4",'bauchinh (2016)'!$A$3,"MA_HT","DGD","MA_QH","TMD")</f>
        <v>0</v>
      </c>
      <c r="Y35" s="50">
        <f ca="1">+GETPIVOTDATA("XBC4",'bauchinh (2016)'!$A$3,"MA_HT","DGD","MA_QH","SKC")</f>
        <v>0</v>
      </c>
      <c r="Z35" s="50">
        <f ca="1">+GETPIVOTDATA("XBC4",'bauchinh (2016)'!$A$3,"MA_HT","DGD","MA_QH","SKS")</f>
        <v>0</v>
      </c>
      <c r="AA35" s="52">
        <f ca="1">+SUM(AB35:AG35,AI35:AM35)</f>
        <v>0</v>
      </c>
      <c r="AB35" s="50">
        <f ca="1">+GETPIVOTDATA("XBC4",'bauchinh (2016)'!$A$3,"MA_HT","DGD","MA_QH","DGT")</f>
        <v>0</v>
      </c>
      <c r="AC35" s="50">
        <f ca="1">+GETPIVOTDATA("XBC4",'bauchinh (2016)'!$A$3,"MA_HT","DGD","MA_QH","DTL")</f>
        <v>0</v>
      </c>
      <c r="AD35" s="50">
        <f ca="1">+GETPIVOTDATA("XBC4",'bauchinh (2016)'!$A$3,"MA_HT","DGD","MA_QH","DNL")</f>
        <v>0</v>
      </c>
      <c r="AE35" s="50">
        <f ca="1">+GETPIVOTDATA("XBC4",'bauchinh (2016)'!$A$3,"MA_HT","DGD","MA_QH","DBV")</f>
        <v>0</v>
      </c>
      <c r="AF35" s="50">
        <f ca="1">+GETPIVOTDATA("XBC4",'bauchinh (2016)'!$A$3,"MA_HT","DGD","MA_QH","DVH")</f>
        <v>0</v>
      </c>
      <c r="AG35" s="50">
        <f ca="1">+GETPIVOTDATA("XBC4",'bauchinh (2016)'!$A$3,"MA_HT","DGD","MA_QH","DYT")</f>
        <v>0</v>
      </c>
      <c r="AH35" s="49" t="e">
        <f ca="1">$D35-$BF35</f>
        <v>#REF!</v>
      </c>
      <c r="AI35" s="50">
        <f ca="1">+GETPIVOTDATA("XBC4",'bauchinh (2016)'!$A$3,"MA_HT","DGD","MA_QH","DTT")</f>
        <v>0</v>
      </c>
      <c r="AJ35" s="50">
        <f ca="1">+GETPIVOTDATA("XBC4",'bauchinh (2016)'!$A$3,"MA_HT","DGD","MA_QH","NCK")</f>
        <v>0</v>
      </c>
      <c r="AK35" s="50">
        <f ca="1">+GETPIVOTDATA("XBC4",'bauchinh (2016)'!$A$3,"MA_HT","DGD","MA_QH","DXH")</f>
        <v>0</v>
      </c>
      <c r="AL35" s="50">
        <f ca="1">+GETPIVOTDATA("XBC4",'bauchinh (2016)'!$A$3,"MA_HT","DGD","MA_QH","DCH")</f>
        <v>0</v>
      </c>
      <c r="AM35" s="50">
        <f ca="1">+GETPIVOTDATA("XBC4",'bauchinh (2016)'!$A$3,"MA_HT","DGD","MA_QH","DKG")</f>
        <v>0</v>
      </c>
      <c r="AN35" s="50">
        <f ca="1">+GETPIVOTDATA("XBC4",'bauchinh (2016)'!$A$3,"MA_HT","DGD","MA_QH","DDT")</f>
        <v>0</v>
      </c>
      <c r="AO35" s="50">
        <f ca="1">+GETPIVOTDATA("XBC4",'bauchinh (2016)'!$A$3,"MA_HT","DGD","MA_QH","DDL")</f>
        <v>0</v>
      </c>
      <c r="AP35" s="50">
        <f ca="1">+GETPIVOTDATA("XBC4",'bauchinh (2016)'!$A$3,"MA_HT","DGD","MA_QH","DRA")</f>
        <v>0</v>
      </c>
      <c r="AQ35" s="50">
        <f ca="1">+GETPIVOTDATA("XBC4",'bauchinh (2016)'!$A$3,"MA_HT","DGD","MA_QH","ONT")</f>
        <v>0</v>
      </c>
      <c r="AR35" s="50">
        <f ca="1">+GETPIVOTDATA("XBC4",'bauchinh (2016)'!$A$3,"MA_HT","DGD","MA_QH","ODT")</f>
        <v>0</v>
      </c>
      <c r="AS35" s="50">
        <f ca="1">+GETPIVOTDATA("XBC4",'bauchinh (2016)'!$A$3,"MA_HT","DGD","MA_QH","TSC")</f>
        <v>0</v>
      </c>
      <c r="AT35" s="50">
        <f ca="1">+GETPIVOTDATA("XBC4",'bauchinh (2016)'!$A$3,"MA_HT","DGD","MA_QH","DTS")</f>
        <v>0</v>
      </c>
      <c r="AU35" s="50">
        <f ca="1">+GETPIVOTDATA("XBC4",'bauchinh (2016)'!$A$3,"MA_HT","DGD","MA_QH","DNG")</f>
        <v>0</v>
      </c>
      <c r="AV35" s="50">
        <f ca="1">+GETPIVOTDATA("XBC4",'bauchinh (2016)'!$A$3,"MA_HT","DGD","MA_QH","TON")</f>
        <v>0</v>
      </c>
      <c r="AW35" s="50">
        <f ca="1">+GETPIVOTDATA("XBC4",'bauchinh (2016)'!$A$3,"MA_HT","DGD","MA_QH","NTD")</f>
        <v>0</v>
      </c>
      <c r="AX35" s="50">
        <f ca="1">+GETPIVOTDATA("XBC4",'bauchinh (2016)'!$A$3,"MA_HT","DGD","MA_QH","SKX")</f>
        <v>0</v>
      </c>
      <c r="AY35" s="50">
        <f ca="1">+GETPIVOTDATA("XBC4",'bauchinh (2016)'!$A$3,"MA_HT","DGD","MA_QH","DSH")</f>
        <v>0</v>
      </c>
      <c r="AZ35" s="50">
        <f ca="1">+GETPIVOTDATA("XBC4",'bauchinh (2016)'!$A$3,"MA_HT","DGD","MA_QH","DKV")</f>
        <v>0</v>
      </c>
      <c r="BA35" s="88">
        <f ca="1">+GETPIVOTDATA("XBC4",'bauchinh (2016)'!$A$3,"MA_HT","DGD","MA_QH","TIN")</f>
        <v>0</v>
      </c>
      <c r="BB35" s="50">
        <f ca="1">+GETPIVOTDATA("XBC4",'bauchinh (2016)'!$A$3,"MA_HT","DGD","MA_QH","SON")</f>
        <v>0</v>
      </c>
      <c r="BC35" s="50">
        <f ca="1">+GETPIVOTDATA("XBC4",'bauchinh (2016)'!$A$3,"MA_HT","DGD","MA_QH","MNC")</f>
        <v>0</v>
      </c>
      <c r="BD35" s="50">
        <f ca="1">+GETPIVOTDATA("XBC4",'bauchinh (2016)'!$A$3,"MA_HT","DGD","MA_QH","PNK")</f>
        <v>0</v>
      </c>
      <c r="BE35" s="80">
        <f ca="1">+GETPIVOTDATA("XBC4",'bauchinh (2016)'!$A$3,"MA_HT","DGD","MA_QH","CSD")</f>
        <v>0</v>
      </c>
      <c r="BF35" s="103">
        <f ca="1" t="shared" si="13"/>
        <v>0</v>
      </c>
      <c r="BG35" s="104">
        <f ca="1">AH$59-$BF35</f>
        <v>0</v>
      </c>
      <c r="BH35" s="47" t="e">
        <f ca="1" t="shared" si="14"/>
        <v>#REF!</v>
      </c>
      <c r="BI35" s="105"/>
      <c r="BJ35" s="105" t="e">
        <f>#REF!</f>
        <v>#REF!</v>
      </c>
      <c r="BK35" s="108" t="e">
        <f ca="1" t="shared" si="19"/>
        <v>#REF!</v>
      </c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</row>
    <row r="36" s="4" customFormat="1" ht="16.5" customHeight="1" spans="1:79">
      <c r="A36" s="45" t="s">
        <v>8390</v>
      </c>
      <c r="B36" s="45" t="s">
        <v>8391</v>
      </c>
      <c r="C36" s="46" t="s">
        <v>8294</v>
      </c>
      <c r="D36" s="47" t="e">
        <f>+#REF!</f>
        <v>#REF!</v>
      </c>
      <c r="E36" s="42">
        <f ca="1" t="shared" si="15"/>
        <v>0</v>
      </c>
      <c r="F36" s="52">
        <f ca="1" t="shared" si="9"/>
        <v>0</v>
      </c>
      <c r="G36" s="50">
        <f ca="1">+GETPIVOTDATA("XBC4",'bauchinh (2016)'!$A$3,"MA_HT","DTT","MA_QH","LUC")</f>
        <v>0</v>
      </c>
      <c r="H36" s="50">
        <f ca="1">+GETPIVOTDATA("XBC4",'bauchinh (2016)'!$A$3,"MA_HT","DTT","MA_QH","LUK")</f>
        <v>0</v>
      </c>
      <c r="I36" s="50">
        <f ca="1">+GETPIVOTDATA("XBC4",'bauchinh (2016)'!$A$3,"MA_HT","DTT","MA_QH","LUN")</f>
        <v>0</v>
      </c>
      <c r="J36" s="50">
        <f ca="1">+GETPIVOTDATA("XBC4",'bauchinh (2016)'!$A$3,"MA_HT","DTT","MA_QH","HNK")</f>
        <v>0</v>
      </c>
      <c r="K36" s="50">
        <f ca="1">+GETPIVOTDATA("XBC4",'bauchinh (2016)'!$A$3,"MA_HT","DTT","MA_QH","CLN")</f>
        <v>0</v>
      </c>
      <c r="L36" s="50">
        <f ca="1">+GETPIVOTDATA("XBC4",'bauchinh (2016)'!$A$3,"MA_HT","DTT","MA_QH","RSX")</f>
        <v>0</v>
      </c>
      <c r="M36" s="50">
        <f ca="1">+GETPIVOTDATA("XBC4",'bauchinh (2016)'!$A$3,"MA_HT","DTT","MA_QH","RPH")</f>
        <v>0</v>
      </c>
      <c r="N36" s="50">
        <f ca="1">+GETPIVOTDATA("XBC4",'bauchinh (2016)'!$A$3,"MA_HT","DTT","MA_QH","RDD")</f>
        <v>0</v>
      </c>
      <c r="O36" s="50">
        <f ca="1">+GETPIVOTDATA("XBC4",'bauchinh (2016)'!$A$3,"MA_HT","DTT","MA_QH","NTS")</f>
        <v>0</v>
      </c>
      <c r="P36" s="50">
        <f ca="1">+GETPIVOTDATA("XBC4",'bauchinh (2016)'!$A$3,"MA_HT","DTT","MA_QH","LMU")</f>
        <v>0</v>
      </c>
      <c r="Q36" s="50">
        <f ca="1">+GETPIVOTDATA("XBC4",'bauchinh (2016)'!$A$3,"MA_HT","DTT","MA_QH","NKH")</f>
        <v>0</v>
      </c>
      <c r="R36" s="48">
        <f ca="1" t="shared" si="20"/>
        <v>0</v>
      </c>
      <c r="S36" s="50">
        <f ca="1">+GETPIVOTDATA("XBC4",'bauchinh (2016)'!$A$3,"MA_HT","DTT","MA_QH","CQP")</f>
        <v>0</v>
      </c>
      <c r="T36" s="50">
        <f ca="1">+GETPIVOTDATA("XBC4",'bauchinh (2016)'!$A$3,"MA_HT","DTT","MA_QH","CAN")</f>
        <v>0</v>
      </c>
      <c r="U36" s="50">
        <f ca="1">+GETPIVOTDATA("XBC4",'bauchinh (2016)'!$A$3,"MA_HT","DTT","MA_QH","SKK")</f>
        <v>0</v>
      </c>
      <c r="V36" s="50">
        <f ca="1">+GETPIVOTDATA("XBC4",'bauchinh (2016)'!$A$3,"MA_HT","DTT","MA_QH","SKT")</f>
        <v>0</v>
      </c>
      <c r="W36" s="50">
        <f ca="1">+GETPIVOTDATA("XBC4",'bauchinh (2016)'!$A$3,"MA_HT","DTT","MA_QH","SKN")</f>
        <v>0</v>
      </c>
      <c r="X36" s="50">
        <f ca="1">+GETPIVOTDATA("XBC4",'bauchinh (2016)'!$A$3,"MA_HT","DTT","MA_QH","TMD")</f>
        <v>0</v>
      </c>
      <c r="Y36" s="50">
        <f ca="1">+GETPIVOTDATA("XBC4",'bauchinh (2016)'!$A$3,"MA_HT","DTT","MA_QH","SKC")</f>
        <v>0</v>
      </c>
      <c r="Z36" s="50">
        <f ca="1">+GETPIVOTDATA("XBC4",'bauchinh (2016)'!$A$3,"MA_HT","DTT","MA_QH","SKS")</f>
        <v>0</v>
      </c>
      <c r="AA36" s="52">
        <f ca="1">+SUM(AB36:AH36,AJ36:AM36)</f>
        <v>0</v>
      </c>
      <c r="AB36" s="50">
        <f ca="1">+GETPIVOTDATA("XBC4",'bauchinh (2016)'!$A$3,"MA_HT","DTT","MA_QH","DGT")</f>
        <v>0</v>
      </c>
      <c r="AC36" s="50">
        <f ca="1">+GETPIVOTDATA("XBC4",'bauchinh (2016)'!$A$3,"MA_HT","DTT","MA_QH","DTL")</f>
        <v>0</v>
      </c>
      <c r="AD36" s="50">
        <f ca="1">+GETPIVOTDATA("XBC4",'bauchinh (2016)'!$A$3,"MA_HT","DTT","MA_QH","DNL")</f>
        <v>0</v>
      </c>
      <c r="AE36" s="50">
        <f ca="1">+GETPIVOTDATA("XBC4",'bauchinh (2016)'!$A$3,"MA_HT","DTT","MA_QH","DBV")</f>
        <v>0</v>
      </c>
      <c r="AF36" s="50">
        <f ca="1">+GETPIVOTDATA("XBC4",'bauchinh (2016)'!$A$3,"MA_HT","DTT","MA_QH","DVH")</f>
        <v>0</v>
      </c>
      <c r="AG36" s="50">
        <f ca="1">+GETPIVOTDATA("XBC4",'bauchinh (2016)'!$A$3,"MA_HT","DTT","MA_QH","DYT")</f>
        <v>0</v>
      </c>
      <c r="AH36" s="50">
        <f ca="1">+GETPIVOTDATA("XBC4",'bauchinh (2016)'!$A$3,"MA_HT","DTT","MA_QH","DGD")</f>
        <v>0</v>
      </c>
      <c r="AI36" s="49" t="e">
        <f ca="1">$D36-$BF36</f>
        <v>#REF!</v>
      </c>
      <c r="AJ36" s="50">
        <f ca="1">+GETPIVOTDATA("XBC4",'bauchinh (2016)'!$A$3,"MA_HT","DTT","MA_QH","NCK")</f>
        <v>0</v>
      </c>
      <c r="AK36" s="50">
        <f ca="1">+GETPIVOTDATA("XBC4",'bauchinh (2016)'!$A$3,"MA_HT","DTT","MA_QH","DXH")</f>
        <v>0</v>
      </c>
      <c r="AL36" s="50">
        <f ca="1">+GETPIVOTDATA("XBC4",'bauchinh (2016)'!$A$3,"MA_HT","DTT","MA_QH","DCH")</f>
        <v>0</v>
      </c>
      <c r="AM36" s="50">
        <f ca="1">+GETPIVOTDATA("XBC4",'bauchinh (2016)'!$A$3,"MA_HT","DTT","MA_QH","DKG")</f>
        <v>0</v>
      </c>
      <c r="AN36" s="50">
        <f ca="1">+GETPIVOTDATA("XBC4",'bauchinh (2016)'!$A$3,"MA_HT","DTT","MA_QH","DDT")</f>
        <v>0</v>
      </c>
      <c r="AO36" s="50">
        <f ca="1">+GETPIVOTDATA("XBC4",'bauchinh (2016)'!$A$3,"MA_HT","DTT","MA_QH","DDL")</f>
        <v>0</v>
      </c>
      <c r="AP36" s="50">
        <f ca="1">+GETPIVOTDATA("XBC4",'bauchinh (2016)'!$A$3,"MA_HT","DTT","MA_QH","DRA")</f>
        <v>0</v>
      </c>
      <c r="AQ36" s="50">
        <f ca="1">+GETPIVOTDATA("XBC4",'bauchinh (2016)'!$A$3,"MA_HT","DTT","MA_QH","ONT")</f>
        <v>0</v>
      </c>
      <c r="AR36" s="50">
        <f ca="1">+GETPIVOTDATA("XBC4",'bauchinh (2016)'!$A$3,"MA_HT","DTT","MA_QH","ODT")</f>
        <v>0</v>
      </c>
      <c r="AS36" s="50">
        <f ca="1">+GETPIVOTDATA("XBC4",'bauchinh (2016)'!$A$3,"MA_HT","DTT","MA_QH","TSC")</f>
        <v>0</v>
      </c>
      <c r="AT36" s="50">
        <f ca="1">+GETPIVOTDATA("XBC4",'bauchinh (2016)'!$A$3,"MA_HT","DTT","MA_QH","DTS")</f>
        <v>0</v>
      </c>
      <c r="AU36" s="50">
        <f ca="1">+GETPIVOTDATA("XBC4",'bauchinh (2016)'!$A$3,"MA_HT","DTT","MA_QH","DNG")</f>
        <v>0</v>
      </c>
      <c r="AV36" s="50">
        <f ca="1">+GETPIVOTDATA("XBC4",'bauchinh (2016)'!$A$3,"MA_HT","DTT","MA_QH","TON")</f>
        <v>0</v>
      </c>
      <c r="AW36" s="50">
        <f ca="1">+GETPIVOTDATA("XBC4",'bauchinh (2016)'!$A$3,"MA_HT","DTT","MA_QH","NTD")</f>
        <v>0</v>
      </c>
      <c r="AX36" s="50">
        <f ca="1">+GETPIVOTDATA("XBC4",'bauchinh (2016)'!$A$3,"MA_HT","DTT","MA_QH","SKX")</f>
        <v>0</v>
      </c>
      <c r="AY36" s="50">
        <f ca="1">+GETPIVOTDATA("XBC4",'bauchinh (2016)'!$A$3,"MA_HT","DTT","MA_QH","DSH")</f>
        <v>0</v>
      </c>
      <c r="AZ36" s="50">
        <f ca="1">+GETPIVOTDATA("XBC4",'bauchinh (2016)'!$A$3,"MA_HT","DTT","MA_QH","DKV")</f>
        <v>0</v>
      </c>
      <c r="BA36" s="88">
        <f ca="1">+GETPIVOTDATA("XBC4",'bauchinh (2016)'!$A$3,"MA_HT","DTT","MA_QH","TIN")</f>
        <v>0</v>
      </c>
      <c r="BB36" s="50">
        <f ca="1">+GETPIVOTDATA("XBC4",'bauchinh (2016)'!$A$3,"MA_HT","DTT","MA_QH","SON")</f>
        <v>0</v>
      </c>
      <c r="BC36" s="50">
        <f ca="1">+GETPIVOTDATA("XBC4",'bauchinh (2016)'!$A$3,"MA_HT","DTT","MA_QH","MNC")</f>
        <v>0</v>
      </c>
      <c r="BD36" s="50">
        <f ca="1">+GETPIVOTDATA("XBC4",'bauchinh (2016)'!$A$3,"MA_HT","DTT","MA_QH","PNK")</f>
        <v>0</v>
      </c>
      <c r="BE36" s="80">
        <f ca="1">+GETPIVOTDATA("XBC4",'bauchinh (2016)'!$A$3,"MA_HT","DTT","MA_QH","CSD")</f>
        <v>0</v>
      </c>
      <c r="BF36" s="103">
        <f ca="1" t="shared" si="13"/>
        <v>0</v>
      </c>
      <c r="BG36" s="104">
        <f ca="1">AI$59-$BF36</f>
        <v>0</v>
      </c>
      <c r="BH36" s="47" t="e">
        <f ca="1" t="shared" si="14"/>
        <v>#REF!</v>
      </c>
      <c r="BI36" s="105"/>
      <c r="BJ36" s="105" t="e">
        <f>#REF!</f>
        <v>#REF!</v>
      </c>
      <c r="BK36" s="108" t="e">
        <f ca="1" t="shared" si="19"/>
        <v>#REF!</v>
      </c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</row>
    <row r="37" s="4" customFormat="1" ht="16.5" customHeight="1" spans="1:79">
      <c r="A37" s="45" t="s">
        <v>8392</v>
      </c>
      <c r="B37" s="45" t="s">
        <v>8393</v>
      </c>
      <c r="C37" s="46" t="s">
        <v>8302</v>
      </c>
      <c r="D37" s="47" t="e">
        <f>+#REF!</f>
        <v>#REF!</v>
      </c>
      <c r="E37" s="42">
        <f ca="1" t="shared" si="15"/>
        <v>0</v>
      </c>
      <c r="F37" s="52">
        <f ca="1" t="shared" si="9"/>
        <v>0</v>
      </c>
      <c r="G37" s="50">
        <f ca="1">+GETPIVOTDATA("XBC4",'bauchinh (2016)'!$A$3,"MA_HT","NCK","MA_QH","LUC")</f>
        <v>0</v>
      </c>
      <c r="H37" s="50">
        <f ca="1">+GETPIVOTDATA("XBC4",'bauchinh (2016)'!$A$3,"MA_HT","NCK","MA_QH","LUK")</f>
        <v>0</v>
      </c>
      <c r="I37" s="50">
        <f ca="1">+GETPIVOTDATA("XBC4",'bauchinh (2016)'!$A$3,"MA_HT","NCK","MA_QH","LUN")</f>
        <v>0</v>
      </c>
      <c r="J37" s="50">
        <f ca="1">+GETPIVOTDATA("XBC4",'bauchinh (2016)'!$A$3,"MA_HT","NCK","MA_QH","HNK")</f>
        <v>0</v>
      </c>
      <c r="K37" s="50">
        <f ca="1">+GETPIVOTDATA("XBC4",'bauchinh (2016)'!$A$3,"MA_HT","NCK","MA_QH","CLN")</f>
        <v>0</v>
      </c>
      <c r="L37" s="50">
        <f ca="1">+GETPIVOTDATA("XBC4",'bauchinh (2016)'!$A$3,"MA_HT","NCK","MA_QH","RSX")</f>
        <v>0</v>
      </c>
      <c r="M37" s="50">
        <f ca="1">+GETPIVOTDATA("XBC4",'bauchinh (2016)'!$A$3,"MA_HT","NCK","MA_QH","RPH")</f>
        <v>0</v>
      </c>
      <c r="N37" s="50">
        <f ca="1">+GETPIVOTDATA("XBC4",'bauchinh (2016)'!$A$3,"MA_HT","NCK","MA_QH","RDD")</f>
        <v>0</v>
      </c>
      <c r="O37" s="50">
        <f ca="1">+GETPIVOTDATA("XBC4",'bauchinh (2016)'!$A$3,"MA_HT","NCK","MA_QH","NTS")</f>
        <v>0</v>
      </c>
      <c r="P37" s="50">
        <f ca="1">+GETPIVOTDATA("XBC4",'bauchinh (2016)'!$A$3,"MA_HT","NCK","MA_QH","LMU")</f>
        <v>0</v>
      </c>
      <c r="Q37" s="50">
        <f ca="1">+GETPIVOTDATA("XBC4",'bauchinh (2016)'!$A$3,"MA_HT","NCK","MA_QH","NKH")</f>
        <v>0</v>
      </c>
      <c r="R37" s="48">
        <f ca="1" t="shared" si="20"/>
        <v>0</v>
      </c>
      <c r="S37" s="50">
        <f ca="1">+GETPIVOTDATA("XBC4",'bauchinh (2016)'!$A$3,"MA_HT","NCK","MA_QH","CQP")</f>
        <v>0</v>
      </c>
      <c r="T37" s="50">
        <f ca="1">+GETPIVOTDATA("XBC4",'bauchinh (2016)'!$A$3,"MA_HT","NCK","MA_QH","CAN")</f>
        <v>0</v>
      </c>
      <c r="U37" s="50">
        <f ca="1">+GETPIVOTDATA("XBC4",'bauchinh (2016)'!$A$3,"MA_HT","NCK","MA_QH","SKK")</f>
        <v>0</v>
      </c>
      <c r="V37" s="50">
        <f ca="1">+GETPIVOTDATA("XBC4",'bauchinh (2016)'!$A$3,"MA_HT","NCK","MA_QH","SKT")</f>
        <v>0</v>
      </c>
      <c r="W37" s="50">
        <f ca="1">+GETPIVOTDATA("XBC4",'bauchinh (2016)'!$A$3,"MA_HT","NCK","MA_QH","SKN")</f>
        <v>0</v>
      </c>
      <c r="X37" s="50">
        <f ca="1">+GETPIVOTDATA("XBC4",'bauchinh (2016)'!$A$3,"MA_HT","NCK","MA_QH","TMD")</f>
        <v>0</v>
      </c>
      <c r="Y37" s="50">
        <f ca="1">+GETPIVOTDATA("XBC4",'bauchinh (2016)'!$A$3,"MA_HT","NCK","MA_QH","SKC")</f>
        <v>0</v>
      </c>
      <c r="Z37" s="50">
        <f ca="1">+GETPIVOTDATA("XBC4",'bauchinh (2016)'!$A$3,"MA_HT","NCK","MA_QH","SKS")</f>
        <v>0</v>
      </c>
      <c r="AA37" s="52">
        <f ca="1">+SUM(AB37:AI37,AK37:AM37)</f>
        <v>0</v>
      </c>
      <c r="AB37" s="50">
        <f ca="1">+GETPIVOTDATA("XBC4",'bauchinh (2016)'!$A$3,"MA_HT","NCK","MA_QH","DGT")</f>
        <v>0</v>
      </c>
      <c r="AC37" s="50">
        <f ca="1">+GETPIVOTDATA("XBC4",'bauchinh (2016)'!$A$3,"MA_HT","NCK","MA_QH","DTL")</f>
        <v>0</v>
      </c>
      <c r="AD37" s="50">
        <f ca="1">+GETPIVOTDATA("XBC4",'bauchinh (2016)'!$A$3,"MA_HT","NCK","MA_QH","DNL")</f>
        <v>0</v>
      </c>
      <c r="AE37" s="50">
        <f ca="1">+GETPIVOTDATA("XBC4",'bauchinh (2016)'!$A$3,"MA_HT","NCK","MA_QH","DBV")</f>
        <v>0</v>
      </c>
      <c r="AF37" s="50">
        <f ca="1">+GETPIVOTDATA("XBC4",'bauchinh (2016)'!$A$3,"MA_HT","NCK","MA_QH","DVH")</f>
        <v>0</v>
      </c>
      <c r="AG37" s="50">
        <f ca="1">+GETPIVOTDATA("XBC4",'bauchinh (2016)'!$A$3,"MA_HT","NCK","MA_QH","DYT")</f>
        <v>0</v>
      </c>
      <c r="AH37" s="50">
        <f ca="1">+GETPIVOTDATA("XBC4",'bauchinh (2016)'!$A$3,"MA_HT","NCK","MA_QH","DGD")</f>
        <v>0</v>
      </c>
      <c r="AI37" s="50">
        <f ca="1">+GETPIVOTDATA("XBC4",'bauchinh (2016)'!$A$3,"MA_HT","NCK","MA_QH","DTT")</f>
        <v>0</v>
      </c>
      <c r="AJ37" s="49" t="e">
        <f ca="1">$D37-$BF37</f>
        <v>#REF!</v>
      </c>
      <c r="AK37" s="50">
        <f ca="1">+GETPIVOTDATA("XBC4",'bauchinh (2016)'!$A$3,"MA_HT","NCK","MA_QH","DXH")</f>
        <v>0</v>
      </c>
      <c r="AL37" s="50">
        <f ca="1">+GETPIVOTDATA("XBC4",'bauchinh (2016)'!$A$3,"MA_HT","NCK","MA_QH","DCH")</f>
        <v>0</v>
      </c>
      <c r="AM37" s="50">
        <f ca="1">+GETPIVOTDATA("XBC4",'bauchinh (2016)'!$A$3,"MA_HT","NCK","MA_QH","DKG")</f>
        <v>0</v>
      </c>
      <c r="AN37" s="50">
        <f ca="1">+GETPIVOTDATA("XBC4",'bauchinh (2016)'!$A$3,"MA_HT","NCK","MA_QH","DDT")</f>
        <v>0</v>
      </c>
      <c r="AO37" s="50">
        <f ca="1">+GETPIVOTDATA("XBC4",'bauchinh (2016)'!$A$3,"MA_HT","NCK","MA_QH","DDL")</f>
        <v>0</v>
      </c>
      <c r="AP37" s="50">
        <f ca="1">+GETPIVOTDATA("XBC4",'bauchinh (2016)'!$A$3,"MA_HT","NCK","MA_QH","DRA")</f>
        <v>0</v>
      </c>
      <c r="AQ37" s="50">
        <f ca="1">+GETPIVOTDATA("XBC4",'bauchinh (2016)'!$A$3,"MA_HT","NCK","MA_QH","ONT")</f>
        <v>0</v>
      </c>
      <c r="AR37" s="50">
        <f ca="1">+GETPIVOTDATA("XBC4",'bauchinh (2016)'!$A$3,"MA_HT","NCK","MA_QH","ODT")</f>
        <v>0</v>
      </c>
      <c r="AS37" s="50">
        <f ca="1">+GETPIVOTDATA("XBC4",'bauchinh (2016)'!$A$3,"MA_HT","NCK","MA_QH","TSC")</f>
        <v>0</v>
      </c>
      <c r="AT37" s="50">
        <f ca="1">+GETPIVOTDATA("XBC4",'bauchinh (2016)'!$A$3,"MA_HT","NCK","MA_QH","DTS")</f>
        <v>0</v>
      </c>
      <c r="AU37" s="50">
        <f ca="1">+GETPIVOTDATA("XBC4",'bauchinh (2016)'!$A$3,"MA_HT","NCK","MA_QH","DNG")</f>
        <v>0</v>
      </c>
      <c r="AV37" s="50">
        <f ca="1">+GETPIVOTDATA("XBC4",'bauchinh (2016)'!$A$3,"MA_HT","NCK","MA_QH","TON")</f>
        <v>0</v>
      </c>
      <c r="AW37" s="50">
        <f ca="1">+GETPIVOTDATA("XBC4",'bauchinh (2016)'!$A$3,"MA_HT","NCK","MA_QH","NTD")</f>
        <v>0</v>
      </c>
      <c r="AX37" s="50">
        <f ca="1">+GETPIVOTDATA("XBC4",'bauchinh (2016)'!$A$3,"MA_HT","NCK","MA_QH","SKX")</f>
        <v>0</v>
      </c>
      <c r="AY37" s="50">
        <f ca="1">+GETPIVOTDATA("XBC4",'bauchinh (2016)'!$A$3,"MA_HT","NCK","MA_QH","DSH")</f>
        <v>0</v>
      </c>
      <c r="AZ37" s="50">
        <f ca="1">+GETPIVOTDATA("XBC4",'bauchinh (2016)'!$A$3,"MA_HT","NCK","MA_QH","DKV")</f>
        <v>0</v>
      </c>
      <c r="BA37" s="88">
        <f ca="1">+GETPIVOTDATA("XBC4",'bauchinh (2016)'!$A$3,"MA_HT","NCK","MA_QH","TIN")</f>
        <v>0</v>
      </c>
      <c r="BB37" s="50">
        <f ca="1">+GETPIVOTDATA("XBC4",'bauchinh (2016)'!$A$3,"MA_HT","NCK","MA_QH","SON")</f>
        <v>0</v>
      </c>
      <c r="BC37" s="50">
        <f ca="1">+GETPIVOTDATA("XBC4",'bauchinh (2016)'!$A$3,"MA_HT","NCK","MA_QH","MNC")</f>
        <v>0</v>
      </c>
      <c r="BD37" s="50">
        <f ca="1">+GETPIVOTDATA("XBC4",'bauchinh (2016)'!$A$3,"MA_HT","NCK","MA_QH","PNK")</f>
        <v>0</v>
      </c>
      <c r="BE37" s="80">
        <f ca="1">+GETPIVOTDATA("XBC4",'bauchinh (2016)'!$A$3,"MA_HT","NCK","MA_QH","CSD")</f>
        <v>0</v>
      </c>
      <c r="BF37" s="103">
        <f ca="1" t="shared" si="13"/>
        <v>0</v>
      </c>
      <c r="BG37" s="104">
        <f ca="1">AJ$59-$BF37</f>
        <v>0</v>
      </c>
      <c r="BH37" s="47" t="e">
        <f ca="1" t="shared" si="14"/>
        <v>#REF!</v>
      </c>
      <c r="BI37" s="105"/>
      <c r="BJ37" s="105" t="e">
        <f>#REF!</f>
        <v>#REF!</v>
      </c>
      <c r="BK37" s="108" t="e">
        <f ca="1" t="shared" si="19"/>
        <v>#REF!</v>
      </c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</row>
    <row r="38" s="4" customFormat="1" ht="16.5" customHeight="1" spans="1:79">
      <c r="A38" s="45" t="s">
        <v>8394</v>
      </c>
      <c r="B38" s="45" t="s">
        <v>8395</v>
      </c>
      <c r="C38" s="46" t="s">
        <v>8295</v>
      </c>
      <c r="D38" s="47" t="e">
        <f>+#REF!</f>
        <v>#REF!</v>
      </c>
      <c r="E38" s="42">
        <f ca="1" t="shared" si="15"/>
        <v>0</v>
      </c>
      <c r="F38" s="52">
        <f ca="1" t="shared" si="9"/>
        <v>0</v>
      </c>
      <c r="G38" s="50">
        <f ca="1">+GETPIVOTDATA("XBC4",'bauchinh (2016)'!$A$3,"MA_HT","DXH","MA_QH","LUC")</f>
        <v>0</v>
      </c>
      <c r="H38" s="50">
        <f ca="1">+GETPIVOTDATA("XBC4",'bauchinh (2016)'!$A$3,"MA_HT","DXH","MA_QH","LUK")</f>
        <v>0</v>
      </c>
      <c r="I38" s="50">
        <f ca="1">+GETPIVOTDATA("XBC4",'bauchinh (2016)'!$A$3,"MA_HT","DXH","MA_QH","LUN")</f>
        <v>0</v>
      </c>
      <c r="J38" s="50">
        <f ca="1">+GETPIVOTDATA("XBC4",'bauchinh (2016)'!$A$3,"MA_HT","DXH","MA_QH","HNK")</f>
        <v>0</v>
      </c>
      <c r="K38" s="50">
        <f ca="1">+GETPIVOTDATA("XBC4",'bauchinh (2016)'!$A$3,"MA_HT","DXH","MA_QH","CLN")</f>
        <v>0</v>
      </c>
      <c r="L38" s="50">
        <f ca="1">+GETPIVOTDATA("XBC4",'bauchinh (2016)'!$A$3,"MA_HT","DXH","MA_QH","RSX")</f>
        <v>0</v>
      </c>
      <c r="M38" s="50">
        <f ca="1">+GETPIVOTDATA("XBC4",'bauchinh (2016)'!$A$3,"MA_HT","DXH","MA_QH","RPH")</f>
        <v>0</v>
      </c>
      <c r="N38" s="50">
        <f ca="1">+GETPIVOTDATA("XBC4",'bauchinh (2016)'!$A$3,"MA_HT","DXH","MA_QH","RDD")</f>
        <v>0</v>
      </c>
      <c r="O38" s="50">
        <f ca="1">+GETPIVOTDATA("XBC4",'bauchinh (2016)'!$A$3,"MA_HT","DXH","MA_QH","NTS")</f>
        <v>0</v>
      </c>
      <c r="P38" s="50">
        <f ca="1">+GETPIVOTDATA("XBC4",'bauchinh (2016)'!$A$3,"MA_HT","DXH","MA_QH","LMU")</f>
        <v>0</v>
      </c>
      <c r="Q38" s="50">
        <f ca="1">+GETPIVOTDATA("XBC4",'bauchinh (2016)'!$A$3,"MA_HT","DXH","MA_QH","NKH")</f>
        <v>0</v>
      </c>
      <c r="R38" s="48">
        <f ca="1" t="shared" si="20"/>
        <v>0</v>
      </c>
      <c r="S38" s="50">
        <f ca="1">+GETPIVOTDATA("XBC4",'bauchinh (2016)'!$A$3,"MA_HT","DXH","MA_QH","CQP")</f>
        <v>0</v>
      </c>
      <c r="T38" s="50">
        <f ca="1">+GETPIVOTDATA("XBC4",'bauchinh (2016)'!$A$3,"MA_HT","DXH","MA_QH","CAN")</f>
        <v>0</v>
      </c>
      <c r="U38" s="50">
        <f ca="1">+GETPIVOTDATA("XBC4",'bauchinh (2016)'!$A$3,"MA_HT","DXH","MA_QH","SKK")</f>
        <v>0</v>
      </c>
      <c r="V38" s="50">
        <f ca="1">+GETPIVOTDATA("XBC4",'bauchinh (2016)'!$A$3,"MA_HT","DXH","MA_QH","SKT")</f>
        <v>0</v>
      </c>
      <c r="W38" s="50">
        <f ca="1">+GETPIVOTDATA("XBC4",'bauchinh (2016)'!$A$3,"MA_HT","DXH","MA_QH","SKN")</f>
        <v>0</v>
      </c>
      <c r="X38" s="50">
        <f ca="1">+GETPIVOTDATA("XBC4",'bauchinh (2016)'!$A$3,"MA_HT","DXH","MA_QH","TMD")</f>
        <v>0</v>
      </c>
      <c r="Y38" s="50">
        <f ca="1">+GETPIVOTDATA("XBC4",'bauchinh (2016)'!$A$3,"MA_HT","DXH","MA_QH","SKC")</f>
        <v>0</v>
      </c>
      <c r="Z38" s="50">
        <f ca="1">+GETPIVOTDATA("XBC4",'bauchinh (2016)'!$A$3,"MA_HT","DXH","MA_QH","SKS")</f>
        <v>0</v>
      </c>
      <c r="AA38" s="52">
        <f ca="1">+SUM(AB38:AJ38,AL38:AM38)</f>
        <v>0</v>
      </c>
      <c r="AB38" s="50">
        <f ca="1">+GETPIVOTDATA("XBC4",'bauchinh (2016)'!$A$3,"MA_HT","DXH","MA_QH","DGT")</f>
        <v>0</v>
      </c>
      <c r="AC38" s="50">
        <f ca="1">+GETPIVOTDATA("XBC4",'bauchinh (2016)'!$A$3,"MA_HT","DXH","MA_QH","DTL")</f>
        <v>0</v>
      </c>
      <c r="AD38" s="50">
        <f ca="1">+GETPIVOTDATA("XBC4",'bauchinh (2016)'!$A$3,"MA_HT","DXH","MA_QH","DNL")</f>
        <v>0</v>
      </c>
      <c r="AE38" s="50">
        <f ca="1">+GETPIVOTDATA("XBC4",'bauchinh (2016)'!$A$3,"MA_HT","DXH","MA_QH","DBV")</f>
        <v>0</v>
      </c>
      <c r="AF38" s="50">
        <f ca="1">+GETPIVOTDATA("XBC4",'bauchinh (2016)'!$A$3,"MA_HT","DXH","MA_QH","DVH")</f>
        <v>0</v>
      </c>
      <c r="AG38" s="50">
        <f ca="1">+GETPIVOTDATA("XBC4",'bauchinh (2016)'!$A$3,"MA_HT","DXH","MA_QH","DYT")</f>
        <v>0</v>
      </c>
      <c r="AH38" s="50">
        <f ca="1">+GETPIVOTDATA("XBC4",'bauchinh (2016)'!$A$3,"MA_HT","DXH","MA_QH","DGD")</f>
        <v>0</v>
      </c>
      <c r="AI38" s="50">
        <f ca="1">+GETPIVOTDATA("XBC4",'bauchinh (2016)'!$A$3,"MA_HT","DXH","MA_QH","DTT")</f>
        <v>0</v>
      </c>
      <c r="AJ38" s="50">
        <f ca="1">+GETPIVOTDATA("XBC4",'bauchinh (2016)'!$A$3,"MA_HT","DXH","MA_QH","NCK")</f>
        <v>0</v>
      </c>
      <c r="AK38" s="49" t="e">
        <f ca="1">$D38-$BF38</f>
        <v>#REF!</v>
      </c>
      <c r="AL38" s="50">
        <f ca="1">+GETPIVOTDATA("XBC4",'bauchinh (2016)'!$A$3,"MA_HT","DXH","MA_QH","DCH")</f>
        <v>0</v>
      </c>
      <c r="AM38" s="50">
        <f ca="1">+GETPIVOTDATA("XBC4",'bauchinh (2016)'!$A$3,"MA_HT","DXH","MA_QH","DKG")</f>
        <v>0</v>
      </c>
      <c r="AN38" s="50">
        <f ca="1">+GETPIVOTDATA("XBC4",'bauchinh (2016)'!$A$3,"MA_HT","DXH","MA_QH","DDT")</f>
        <v>0</v>
      </c>
      <c r="AO38" s="50">
        <f ca="1">+GETPIVOTDATA("XBC4",'bauchinh (2016)'!$A$3,"MA_HT","DXH","MA_QH","DDL")</f>
        <v>0</v>
      </c>
      <c r="AP38" s="50">
        <f ca="1">+GETPIVOTDATA("XBC4",'bauchinh (2016)'!$A$3,"MA_HT","DXH","MA_QH","DRA")</f>
        <v>0</v>
      </c>
      <c r="AQ38" s="50">
        <f ca="1">+GETPIVOTDATA("XBC4",'bauchinh (2016)'!$A$3,"MA_HT","DXH","MA_QH","ONT")</f>
        <v>0</v>
      </c>
      <c r="AR38" s="50">
        <f ca="1">+GETPIVOTDATA("XBC4",'bauchinh (2016)'!$A$3,"MA_HT","DXH","MA_QH","ODT")</f>
        <v>0</v>
      </c>
      <c r="AS38" s="50">
        <f ca="1">+GETPIVOTDATA("XBC4",'bauchinh (2016)'!$A$3,"MA_HT","DXH","MA_QH","TSC")</f>
        <v>0</v>
      </c>
      <c r="AT38" s="50">
        <f ca="1">+GETPIVOTDATA("XBC4",'bauchinh (2016)'!$A$3,"MA_HT","DXH","MA_QH","DTS")</f>
        <v>0</v>
      </c>
      <c r="AU38" s="50">
        <f ca="1">+GETPIVOTDATA("XBC4",'bauchinh (2016)'!$A$3,"MA_HT","DXH","MA_QH","DNG")</f>
        <v>0</v>
      </c>
      <c r="AV38" s="50">
        <f ca="1">+GETPIVOTDATA("XBC4",'bauchinh (2016)'!$A$3,"MA_HT","DXH","MA_QH","TON")</f>
        <v>0</v>
      </c>
      <c r="AW38" s="50">
        <f ca="1">+GETPIVOTDATA("XBC4",'bauchinh (2016)'!$A$3,"MA_HT","DXH","MA_QH","NTD")</f>
        <v>0</v>
      </c>
      <c r="AX38" s="50">
        <f ca="1">+GETPIVOTDATA("XBC4",'bauchinh (2016)'!$A$3,"MA_HT","DXH","MA_QH","SKX")</f>
        <v>0</v>
      </c>
      <c r="AY38" s="50">
        <f ca="1">+GETPIVOTDATA("XBC4",'bauchinh (2016)'!$A$3,"MA_HT","DXH","MA_QH","DSH")</f>
        <v>0</v>
      </c>
      <c r="AZ38" s="50">
        <f ca="1">+GETPIVOTDATA("XBC4",'bauchinh (2016)'!$A$3,"MA_HT","DXH","MA_QH","DKV")</f>
        <v>0</v>
      </c>
      <c r="BA38" s="88">
        <f ca="1">+GETPIVOTDATA("XBC4",'bauchinh (2016)'!$A$3,"MA_HT","DXH","MA_QH","TIN")</f>
        <v>0</v>
      </c>
      <c r="BB38" s="50">
        <f ca="1">+GETPIVOTDATA("XBC4",'bauchinh (2016)'!$A$3,"MA_HT","DXH","MA_QH","SON")</f>
        <v>0</v>
      </c>
      <c r="BC38" s="50">
        <f ca="1">+GETPIVOTDATA("XBC4",'bauchinh (2016)'!$A$3,"MA_HT","DXH","MA_QH","MNC")</f>
        <v>0</v>
      </c>
      <c r="BD38" s="50">
        <f ca="1">+GETPIVOTDATA("XBC4",'bauchinh (2016)'!$A$3,"MA_HT","DXH","MA_QH","PNK")</f>
        <v>0</v>
      </c>
      <c r="BE38" s="80">
        <f ca="1">+GETPIVOTDATA("XBC4",'bauchinh (2016)'!$A$3,"MA_HT","DXH","MA_QH","CSD")</f>
        <v>0</v>
      </c>
      <c r="BF38" s="103">
        <f ca="1" t="shared" si="13"/>
        <v>0</v>
      </c>
      <c r="BG38" s="104">
        <f ca="1">AK$59-$BF38</f>
        <v>0</v>
      </c>
      <c r="BH38" s="47" t="e">
        <f ca="1" t="shared" si="14"/>
        <v>#REF!</v>
      </c>
      <c r="BI38" s="105"/>
      <c r="BJ38" s="105" t="e">
        <f>#REF!</f>
        <v>#REF!</v>
      </c>
      <c r="BK38" s="108" t="e">
        <f ca="1" t="shared" si="19"/>
        <v>#REF!</v>
      </c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</row>
    <row r="39" s="5" customFormat="1" ht="16.5" customHeight="1" spans="1:79">
      <c r="A39" s="45" t="s">
        <v>8396</v>
      </c>
      <c r="B39" s="45" t="s">
        <v>8397</v>
      </c>
      <c r="C39" s="46" t="s">
        <v>178</v>
      </c>
      <c r="D39" s="47" t="e">
        <f>+#REF!</f>
        <v>#REF!</v>
      </c>
      <c r="E39" s="42">
        <f ca="1" t="shared" si="15"/>
        <v>0</v>
      </c>
      <c r="F39" s="52">
        <f ca="1" t="shared" si="9"/>
        <v>0</v>
      </c>
      <c r="G39" s="50">
        <f ca="1">+GETPIVOTDATA("XBC4",'bauchinh (2016)'!$A$3,"MA_HT","DCH","MA_QH","LUC")</f>
        <v>0</v>
      </c>
      <c r="H39" s="50">
        <f ca="1">+GETPIVOTDATA("XBC4",'bauchinh (2016)'!$A$3,"MA_HT","DCH","MA_QH","LUK")</f>
        <v>0</v>
      </c>
      <c r="I39" s="50">
        <f ca="1">+GETPIVOTDATA("XBC4",'bauchinh (2016)'!$A$3,"MA_HT","DCH","MA_QH","LUN")</f>
        <v>0</v>
      </c>
      <c r="J39" s="50">
        <f ca="1">+GETPIVOTDATA("XBC4",'bauchinh (2016)'!$A$3,"MA_HT","DCH","MA_QH","HNK")</f>
        <v>0</v>
      </c>
      <c r="K39" s="50">
        <f ca="1">+GETPIVOTDATA("XBC4",'bauchinh (2016)'!$A$3,"MA_HT","DCH","MA_QH","CLN")</f>
        <v>0</v>
      </c>
      <c r="L39" s="50">
        <f ca="1">+GETPIVOTDATA("XBC4",'bauchinh (2016)'!$A$3,"MA_HT","DCH","MA_QH","RSX")</f>
        <v>0</v>
      </c>
      <c r="M39" s="50">
        <f ca="1">+GETPIVOTDATA("XBC4",'bauchinh (2016)'!$A$3,"MA_HT","DCH","MA_QH","RPH")</f>
        <v>0</v>
      </c>
      <c r="N39" s="50">
        <f ca="1">+GETPIVOTDATA("XBC4",'bauchinh (2016)'!$A$3,"MA_HT","DCH","MA_QH","RDD")</f>
        <v>0</v>
      </c>
      <c r="O39" s="50">
        <f ca="1">+GETPIVOTDATA("XBC4",'bauchinh (2016)'!$A$3,"MA_HT","DCH","MA_QH","NTS")</f>
        <v>0</v>
      </c>
      <c r="P39" s="50">
        <f ca="1">+GETPIVOTDATA("XBC4",'bauchinh (2016)'!$A$3,"MA_HT","DCH","MA_QH","LMU")</f>
        <v>0</v>
      </c>
      <c r="Q39" s="50">
        <f ca="1">+GETPIVOTDATA("XBC4",'bauchinh (2016)'!$A$3,"MA_HT","DCH","MA_QH","NKH")</f>
        <v>0</v>
      </c>
      <c r="R39" s="48">
        <f ca="1" t="shared" si="20"/>
        <v>0</v>
      </c>
      <c r="S39" s="50">
        <f ca="1">+GETPIVOTDATA("XBC4",'bauchinh (2016)'!$A$3,"MA_HT","DCH","MA_QH","CQP")</f>
        <v>0</v>
      </c>
      <c r="T39" s="50">
        <f ca="1">+GETPIVOTDATA("XBC4",'bauchinh (2016)'!$A$3,"MA_HT","DCH","MA_QH","CAN")</f>
        <v>0</v>
      </c>
      <c r="U39" s="50">
        <f ca="1">+GETPIVOTDATA("XBC4",'bauchinh (2016)'!$A$3,"MA_HT","DCH","MA_QH","SKK")</f>
        <v>0</v>
      </c>
      <c r="V39" s="50">
        <f ca="1">+GETPIVOTDATA("XBC4",'bauchinh (2016)'!$A$3,"MA_HT","DCH","MA_QH","SKT")</f>
        <v>0</v>
      </c>
      <c r="W39" s="50">
        <f ca="1">+GETPIVOTDATA("XBC4",'bauchinh (2016)'!$A$3,"MA_HT","DCH","MA_QH","SKN")</f>
        <v>0</v>
      </c>
      <c r="X39" s="50">
        <f ca="1">+GETPIVOTDATA("XBC4",'bauchinh (2016)'!$A$3,"MA_HT","DCH","MA_QH","TMD")</f>
        <v>0</v>
      </c>
      <c r="Y39" s="50">
        <f ca="1">+GETPIVOTDATA("XBC4",'bauchinh (2016)'!$A$3,"MA_HT","DCH","MA_QH","SKC")</f>
        <v>0</v>
      </c>
      <c r="Z39" s="50">
        <f ca="1">+GETPIVOTDATA("XBC4",'bauchinh (2016)'!$A$3,"MA_HT","DCH","MA_QH","SKS")</f>
        <v>0</v>
      </c>
      <c r="AA39" s="52">
        <f ca="1">+SUM(AB39:AK39,AM39)</f>
        <v>0</v>
      </c>
      <c r="AB39" s="50">
        <f ca="1">+GETPIVOTDATA("XBC4",'bauchinh (2016)'!$A$3,"MA_HT","DCH","MA_QH","DGT")</f>
        <v>0</v>
      </c>
      <c r="AC39" s="50">
        <f ca="1">+GETPIVOTDATA("XBC4",'bauchinh (2016)'!$A$3,"MA_HT","DCH","MA_QH","DTL")</f>
        <v>0</v>
      </c>
      <c r="AD39" s="50">
        <f ca="1">+GETPIVOTDATA("XBC4",'bauchinh (2016)'!$A$3,"MA_HT","DCH","MA_QH","DNL")</f>
        <v>0</v>
      </c>
      <c r="AE39" s="50">
        <f ca="1">+GETPIVOTDATA("XBC4",'bauchinh (2016)'!$A$3,"MA_HT","DCH","MA_QH","DBV")</f>
        <v>0</v>
      </c>
      <c r="AF39" s="50">
        <f ca="1">+GETPIVOTDATA("XBC4",'bauchinh (2016)'!$A$3,"MA_HT","DCH","MA_QH","DVH")</f>
        <v>0</v>
      </c>
      <c r="AG39" s="50">
        <f ca="1">+GETPIVOTDATA("XBC4",'bauchinh (2016)'!$A$3,"MA_HT","DCH","MA_QH","DYT")</f>
        <v>0</v>
      </c>
      <c r="AH39" s="50">
        <f ca="1">+GETPIVOTDATA("XBC4",'bauchinh (2016)'!$A$3,"MA_HT","DCH","MA_QH","DGD")</f>
        <v>0</v>
      </c>
      <c r="AI39" s="50">
        <f ca="1">+GETPIVOTDATA("XBC4",'bauchinh (2016)'!$A$3,"MA_HT","DCH","MA_QH","DTT")</f>
        <v>0</v>
      </c>
      <c r="AJ39" s="50">
        <f ca="1">+GETPIVOTDATA("XBC4",'bauchinh (2016)'!$A$3,"MA_HT","DCH","MA_QH","NCK")</f>
        <v>0</v>
      </c>
      <c r="AK39" s="50">
        <f ca="1">+GETPIVOTDATA("XBC4",'bauchinh (2016)'!$A$3,"MA_HT","DCH","MA_QH","DXH")</f>
        <v>0</v>
      </c>
      <c r="AL39" s="49" t="e">
        <f ca="1">$D39-$BF39</f>
        <v>#REF!</v>
      </c>
      <c r="AM39" s="50">
        <f ca="1">+GETPIVOTDATA("XBC4",'bauchinh (2016)'!$A$3,"MA_HT","DXH","MA_QH","DKG")</f>
        <v>0</v>
      </c>
      <c r="AN39" s="50">
        <f ca="1">+GETPIVOTDATA("XBC4",'bauchinh (2016)'!$A$3,"MA_HT","DCH","MA_QH","DDT")</f>
        <v>0</v>
      </c>
      <c r="AO39" s="50">
        <f ca="1">+GETPIVOTDATA("XBC4",'bauchinh (2016)'!$A$3,"MA_HT","DCH","MA_QH","DDL")</f>
        <v>0</v>
      </c>
      <c r="AP39" s="50">
        <f ca="1">+GETPIVOTDATA("XBC4",'bauchinh (2016)'!$A$3,"MA_HT","DCH","MA_QH","DRA")</f>
        <v>0</v>
      </c>
      <c r="AQ39" s="50">
        <f ca="1">+GETPIVOTDATA("XBC4",'bauchinh (2016)'!$A$3,"MA_HT","DCH","MA_QH","ONT")</f>
        <v>0</v>
      </c>
      <c r="AR39" s="50">
        <f ca="1">+GETPIVOTDATA("XBC4",'bauchinh (2016)'!$A$3,"MA_HT","DCH","MA_QH","ODT")</f>
        <v>0</v>
      </c>
      <c r="AS39" s="50">
        <f ca="1">+GETPIVOTDATA("XBC4",'bauchinh (2016)'!$A$3,"MA_HT","DCH","MA_QH","TSC")</f>
        <v>0</v>
      </c>
      <c r="AT39" s="50">
        <f ca="1">+GETPIVOTDATA("XBC4",'bauchinh (2016)'!$A$3,"MA_HT","DCH","MA_QH","DTS")</f>
        <v>0</v>
      </c>
      <c r="AU39" s="50">
        <f ca="1">+GETPIVOTDATA("XBC4",'bauchinh (2016)'!$A$3,"MA_HT","DCH","MA_QH","DNG")</f>
        <v>0</v>
      </c>
      <c r="AV39" s="50">
        <f ca="1">+GETPIVOTDATA("XBC4",'bauchinh (2016)'!$A$3,"MA_HT","DCH","MA_QH","TON")</f>
        <v>0</v>
      </c>
      <c r="AW39" s="50">
        <f ca="1">+GETPIVOTDATA("XBC4",'bauchinh (2016)'!$A$3,"MA_HT","DCH","MA_QH","NTD")</f>
        <v>0</v>
      </c>
      <c r="AX39" s="50">
        <f ca="1">+GETPIVOTDATA("XBC4",'bauchinh (2016)'!$A$3,"MA_HT","DCH","MA_QH","SKX")</f>
        <v>0</v>
      </c>
      <c r="AY39" s="50">
        <f ca="1">+GETPIVOTDATA("XBC4",'bauchinh (2016)'!$A$3,"MA_HT","DCH","MA_QH","DSH")</f>
        <v>0</v>
      </c>
      <c r="AZ39" s="50">
        <f ca="1">+GETPIVOTDATA("XBC4",'bauchinh (2016)'!$A$3,"MA_HT","DCH","MA_QH","DKV")</f>
        <v>0</v>
      </c>
      <c r="BA39" s="88">
        <f ca="1">+GETPIVOTDATA("XBC4",'bauchinh (2016)'!$A$3,"MA_HT","DCH","MA_QH","TIN")</f>
        <v>0</v>
      </c>
      <c r="BB39" s="50">
        <f ca="1">+GETPIVOTDATA("XBC4",'bauchinh (2016)'!$A$3,"MA_HT","DCH","MA_QH","SON")</f>
        <v>0</v>
      </c>
      <c r="BC39" s="50">
        <f ca="1">+GETPIVOTDATA("XBC4",'bauchinh (2016)'!$A$3,"MA_HT","DCH","MA_QH","MNC")</f>
        <v>0</v>
      </c>
      <c r="BD39" s="50">
        <f ca="1">+GETPIVOTDATA("XBC4",'bauchinh (2016)'!$A$3,"MA_HT","DCH","MA_QH","PNK")</f>
        <v>0</v>
      </c>
      <c r="BE39" s="80">
        <f ca="1">+GETPIVOTDATA("XBC4",'bauchinh (2016)'!$A$3,"MA_HT","DCH","MA_QH","CSD")</f>
        <v>0</v>
      </c>
      <c r="BF39" s="103">
        <f ca="1" t="shared" si="13"/>
        <v>0</v>
      </c>
      <c r="BG39" s="104">
        <f ca="1">AL$59-$BF39</f>
        <v>0</v>
      </c>
      <c r="BH39" s="47" t="e">
        <f ca="1" t="shared" si="14"/>
        <v>#REF!</v>
      </c>
      <c r="BI39" s="109"/>
      <c r="BJ39" s="109" t="e">
        <f>#REF!</f>
        <v>#REF!</v>
      </c>
      <c r="BK39" s="110" t="e">
        <f ca="1" t="shared" si="19"/>
        <v>#REF!</v>
      </c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</row>
    <row r="40" s="5" customFormat="1" ht="16.5" customHeight="1" spans="1:79">
      <c r="A40" s="45" t="s">
        <v>8398</v>
      </c>
      <c r="B40" s="45" t="s">
        <v>8399</v>
      </c>
      <c r="C40" s="46" t="s">
        <v>8312</v>
      </c>
      <c r="D40" s="47" t="e">
        <f>+#REF!</f>
        <v>#REF!</v>
      </c>
      <c r="E40" s="42">
        <f ca="1" t="shared" si="15"/>
        <v>0</v>
      </c>
      <c r="F40" s="52">
        <f ca="1" t="shared" si="9"/>
        <v>0</v>
      </c>
      <c r="G40" s="50">
        <f ca="1">+GETPIVOTDATA("XBC4",'bauchinh (2016)'!$A$3,"MA_HT","DKG","MA_QH","LUC")</f>
        <v>0</v>
      </c>
      <c r="H40" s="50">
        <f ca="1">+GETPIVOTDATA("XBC4",'bauchinh (2016)'!$A$3,"MA_HT","DKG","MA_QH","LUK")</f>
        <v>0</v>
      </c>
      <c r="I40" s="50">
        <f ca="1">+GETPIVOTDATA("XBC4",'bauchinh (2016)'!$A$3,"MA_HT","DKG","MA_QH","LUN")</f>
        <v>0</v>
      </c>
      <c r="J40" s="50">
        <f ca="1">+GETPIVOTDATA("XBC4",'bauchinh (2016)'!$A$3,"MA_HT","DKG","MA_QH","HNK")</f>
        <v>0</v>
      </c>
      <c r="K40" s="50">
        <f ca="1">+GETPIVOTDATA("XBC4",'bauchinh (2016)'!$A$3,"MA_HT","DKG","MA_QH","CLN")</f>
        <v>0</v>
      </c>
      <c r="L40" s="50">
        <f ca="1">+GETPIVOTDATA("XBC4",'bauchinh (2016)'!$A$3,"MA_HT","DKG","MA_QH","RSX")</f>
        <v>0</v>
      </c>
      <c r="M40" s="50">
        <f ca="1">+GETPIVOTDATA("XBC4",'bauchinh (2016)'!$A$3,"MA_HT","DKG","MA_QH","RPH")</f>
        <v>0</v>
      </c>
      <c r="N40" s="50">
        <f ca="1">+GETPIVOTDATA("XBC4",'bauchinh (2016)'!$A$3,"MA_HT","DKG","MA_QH","RDD")</f>
        <v>0</v>
      </c>
      <c r="O40" s="50">
        <f ca="1">+GETPIVOTDATA("XBC4",'bauchinh (2016)'!$A$3,"MA_HT","DKG","MA_QH","NTS")</f>
        <v>0</v>
      </c>
      <c r="P40" s="50">
        <f ca="1">+GETPIVOTDATA("XBC4",'bauchinh (2016)'!$A$3,"MA_HT","DKG","MA_QH","LMU")</f>
        <v>0</v>
      </c>
      <c r="Q40" s="50">
        <f ca="1">+GETPIVOTDATA("XBC4",'bauchinh (2016)'!$A$3,"MA_HT","DKG","MA_QH","NKH")</f>
        <v>0</v>
      </c>
      <c r="R40" s="48">
        <f ca="1" t="shared" si="20"/>
        <v>0</v>
      </c>
      <c r="S40" s="50">
        <f ca="1">+GETPIVOTDATA("XBC4",'bauchinh (2016)'!$A$3,"MA_HT","DKG","MA_QH","CQP")</f>
        <v>0</v>
      </c>
      <c r="T40" s="50">
        <f ca="1">+GETPIVOTDATA("XBC4",'bauchinh (2016)'!$A$3,"MA_HT","DKG","MA_QH","CAN")</f>
        <v>0</v>
      </c>
      <c r="U40" s="50">
        <f ca="1">+GETPIVOTDATA("XBC4",'bauchinh (2016)'!$A$3,"MA_HT","DKG","MA_QH","SKK")</f>
        <v>0</v>
      </c>
      <c r="V40" s="50">
        <f ca="1">+GETPIVOTDATA("XBC4",'bauchinh (2016)'!$A$3,"MA_HT","DKG","MA_QH","SKT")</f>
        <v>0</v>
      </c>
      <c r="W40" s="50">
        <f ca="1">+GETPIVOTDATA("XBC4",'bauchinh (2016)'!$A$3,"MA_HT","DKG","MA_QH","SKN")</f>
        <v>0</v>
      </c>
      <c r="X40" s="50">
        <f ca="1">+GETPIVOTDATA("XBC4",'bauchinh (2016)'!$A$3,"MA_HT","DKG","MA_QH","TMD")</f>
        <v>0</v>
      </c>
      <c r="Y40" s="50">
        <f ca="1">+GETPIVOTDATA("XBC4",'bauchinh (2016)'!$A$3,"MA_HT","DKG","MA_QH","SKC")</f>
        <v>0</v>
      </c>
      <c r="Z40" s="50">
        <f ca="1">+GETPIVOTDATA("XBC4",'bauchinh (2016)'!$A$3,"MA_HT","DKG","MA_QH","SKS")</f>
        <v>0</v>
      </c>
      <c r="AA40" s="52">
        <f ca="1">+SUM(AB40:AL40)</f>
        <v>0</v>
      </c>
      <c r="AB40" s="50">
        <f ca="1">+GETPIVOTDATA("XBC4",'bauchinh (2016)'!$A$3,"MA_HT","DKG","MA_QH","DGT")</f>
        <v>0</v>
      </c>
      <c r="AC40" s="50">
        <f ca="1">+GETPIVOTDATA("XBC4",'bauchinh (2016)'!$A$3,"MA_HT","DKG","MA_QH","DTL")</f>
        <v>0</v>
      </c>
      <c r="AD40" s="50">
        <f ca="1">+GETPIVOTDATA("XBC4",'bauchinh (2016)'!$A$3,"MA_HT","DKG","MA_QH","DNL")</f>
        <v>0</v>
      </c>
      <c r="AE40" s="50">
        <f ca="1">+GETPIVOTDATA("XBC4",'bauchinh (2016)'!$A$3,"MA_HT","DKG","MA_QH","DBV")</f>
        <v>0</v>
      </c>
      <c r="AF40" s="50">
        <f ca="1">+GETPIVOTDATA("XBC4",'bauchinh (2016)'!$A$3,"MA_HT","DKG","MA_QH","DVH")</f>
        <v>0</v>
      </c>
      <c r="AG40" s="50">
        <f ca="1">+GETPIVOTDATA("XBC4",'bauchinh (2016)'!$A$3,"MA_HT","DKG","MA_QH","DYT")</f>
        <v>0</v>
      </c>
      <c r="AH40" s="50">
        <f ca="1">+GETPIVOTDATA("XBC4",'bauchinh (2016)'!$A$3,"MA_HT","DKG","MA_QH","DGD")</f>
        <v>0</v>
      </c>
      <c r="AI40" s="50">
        <f ca="1">+GETPIVOTDATA("XBC4",'bauchinh (2016)'!$A$3,"MA_HT","DKG","MA_QH","DTT")</f>
        <v>0</v>
      </c>
      <c r="AJ40" s="50">
        <f ca="1">+GETPIVOTDATA("XBC4",'bauchinh (2016)'!$A$3,"MA_HT","DKG","MA_QH","NCK")</f>
        <v>0</v>
      </c>
      <c r="AK40" s="50">
        <f ca="1">+GETPIVOTDATA("XBC4",'bauchinh (2016)'!$A$3,"MA_HT","DKG","MA_QH","DXH")</f>
        <v>0</v>
      </c>
      <c r="AL40" s="60">
        <f ca="1">+GETPIVOTDATA("XBC4",'bauchinh (2016)'!$A$3,"MA_HT","DDT","MA_QH","DKG")</f>
        <v>0</v>
      </c>
      <c r="AM40" s="49" t="e">
        <f ca="1">$D40-$BF40</f>
        <v>#REF!</v>
      </c>
      <c r="AN40" s="50">
        <f ca="1">+GETPIVOTDATA("XBC4",'bauchinh (2016)'!$A$3,"MA_HT","DKG","MA_QH","DDT")</f>
        <v>0</v>
      </c>
      <c r="AO40" s="50">
        <f ca="1">+GETPIVOTDATA("XBC4",'bauchinh (2016)'!$A$3,"MA_HT","DKG","MA_QH","DDL")</f>
        <v>0</v>
      </c>
      <c r="AP40" s="50">
        <f ca="1">+GETPIVOTDATA("XBC4",'bauchinh (2016)'!$A$3,"MA_HT","DKG","MA_QH","DRA")</f>
        <v>0</v>
      </c>
      <c r="AQ40" s="50">
        <f ca="1">+GETPIVOTDATA("XBC4",'bauchinh (2016)'!$A$3,"MA_HT","DKG","MA_QH","ONT")</f>
        <v>0</v>
      </c>
      <c r="AR40" s="50">
        <f ca="1">+GETPIVOTDATA("XBC4",'bauchinh (2016)'!$A$3,"MA_HT","DKG","MA_QH","ODT")</f>
        <v>0</v>
      </c>
      <c r="AS40" s="50">
        <f ca="1">+GETPIVOTDATA("XBC4",'bauchinh (2016)'!$A$3,"MA_HT","DKG","MA_QH","TSC")</f>
        <v>0</v>
      </c>
      <c r="AT40" s="50">
        <f ca="1">+GETPIVOTDATA("XBC4",'bauchinh (2016)'!$A$3,"MA_HT","DKG","MA_QH","DTS")</f>
        <v>0</v>
      </c>
      <c r="AU40" s="50">
        <f ca="1">+GETPIVOTDATA("XBC4",'bauchinh (2016)'!$A$3,"MA_HT","DKG","MA_QH","DNG")</f>
        <v>0</v>
      </c>
      <c r="AV40" s="50">
        <f ca="1">+GETPIVOTDATA("XBC4",'bauchinh (2016)'!$A$3,"MA_HT","DKG","MA_QH","TON")</f>
        <v>0</v>
      </c>
      <c r="AW40" s="50">
        <f ca="1">+GETPIVOTDATA("XBC4",'bauchinh (2016)'!$A$3,"MA_HT","DKG","MA_QH","NTD")</f>
        <v>0</v>
      </c>
      <c r="AX40" s="50">
        <f ca="1">+GETPIVOTDATA("XBC4",'bauchinh (2016)'!$A$3,"MA_HT","DKG","MA_QH","SKX")</f>
        <v>0</v>
      </c>
      <c r="AY40" s="50">
        <f ca="1">+GETPIVOTDATA("XBC4",'bauchinh (2016)'!$A$3,"MA_HT","DKG","MA_QH","DSH")</f>
        <v>0</v>
      </c>
      <c r="AZ40" s="50">
        <f ca="1">+GETPIVOTDATA("XBC4",'bauchinh (2016)'!$A$3,"MA_HT","DKG","MA_QH","DKV")</f>
        <v>0</v>
      </c>
      <c r="BA40" s="88">
        <f ca="1">+GETPIVOTDATA("XBC4",'bauchinh (2016)'!$A$3,"MA_HT","DKG","MA_QH","TIN")</f>
        <v>0</v>
      </c>
      <c r="BB40" s="50">
        <f ca="1">+GETPIVOTDATA("XBC4",'bauchinh (2016)'!$A$3,"MA_HT","DKG","MA_QH","SON")</f>
        <v>0</v>
      </c>
      <c r="BC40" s="50">
        <f ca="1">+GETPIVOTDATA("XBC4",'bauchinh (2016)'!$A$3,"MA_HT","DKG","MA_QH","MNC")</f>
        <v>0</v>
      </c>
      <c r="BD40" s="50">
        <f ca="1">+GETPIVOTDATA("XBC4",'bauchinh (2016)'!$A$3,"MA_HT","DKG","MA_QH","PNK")</f>
        <v>0</v>
      </c>
      <c r="BE40" s="80">
        <f ca="1">+GETPIVOTDATA("XBC4",'bauchinh (2016)'!$A$3,"MA_HT","DKG","MA_QH","CSD")</f>
        <v>0</v>
      </c>
      <c r="BF40" s="103">
        <f ca="1" t="shared" si="13"/>
        <v>0</v>
      </c>
      <c r="BG40" s="104">
        <f ca="1">AM$59-$BF40</f>
        <v>0</v>
      </c>
      <c r="BH40" s="47" t="e">
        <f ca="1" t="shared" si="14"/>
        <v>#REF!</v>
      </c>
      <c r="BI40" s="109"/>
      <c r="BJ40" s="109" t="e">
        <f>#REF!</f>
        <v>#REF!</v>
      </c>
      <c r="BK40" s="110" t="e">
        <f ca="1" t="shared" si="19"/>
        <v>#REF!</v>
      </c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</row>
    <row r="41" s="6" customFormat="1" ht="15.75" customHeight="1" spans="1:79">
      <c r="A41" s="54" t="s">
        <v>8400</v>
      </c>
      <c r="B41" s="55" t="s">
        <v>8401</v>
      </c>
      <c r="C41" s="56" t="s">
        <v>8287</v>
      </c>
      <c r="D41" s="57" t="e">
        <f>+#REF!</f>
        <v>#REF!</v>
      </c>
      <c r="E41" s="58">
        <f ca="1" t="shared" si="15"/>
        <v>0</v>
      </c>
      <c r="F41" s="59">
        <f ca="1" t="shared" si="9"/>
        <v>0</v>
      </c>
      <c r="G41" s="60">
        <f ca="1">+GETPIVOTDATA("XBC4",'bauchinh (2016)'!$A$3,"MA_HT","DDT","MA_QH","LUC")</f>
        <v>0</v>
      </c>
      <c r="H41" s="60">
        <f ca="1">+GETPIVOTDATA("XBC4",'bauchinh (2016)'!$A$3,"MA_HT","DDT","MA_QH","LUK")</f>
        <v>0</v>
      </c>
      <c r="I41" s="60">
        <f ca="1">+GETPIVOTDATA("XBC4",'bauchinh (2016)'!$A$3,"MA_HT","DDT","MA_QH","LUN")</f>
        <v>0</v>
      </c>
      <c r="J41" s="60">
        <f ca="1">+GETPIVOTDATA("XBC4",'bauchinh (2016)'!$A$3,"MA_HT","DDT","MA_QH","HNK")</f>
        <v>0</v>
      </c>
      <c r="K41" s="60">
        <f ca="1">+GETPIVOTDATA("XBC4",'bauchinh (2016)'!$A$3,"MA_HT","DDT","MA_QH","CLN")</f>
        <v>0</v>
      </c>
      <c r="L41" s="60">
        <f ca="1">+GETPIVOTDATA("XBC4",'bauchinh (2016)'!$A$3,"MA_HT","DDT","MA_QH","RSX")</f>
        <v>0</v>
      </c>
      <c r="M41" s="60">
        <f ca="1">+GETPIVOTDATA("XBC4",'bauchinh (2016)'!$A$3,"MA_HT","DDT","MA_QH","RPH")</f>
        <v>0</v>
      </c>
      <c r="N41" s="60">
        <f ca="1">+GETPIVOTDATA("XBC4",'bauchinh (2016)'!$A$3,"MA_HT","DDT","MA_QH","RDD")</f>
        <v>0</v>
      </c>
      <c r="O41" s="60">
        <f ca="1">+GETPIVOTDATA("XBC4",'bauchinh (2016)'!$A$3,"MA_HT","DDT","MA_QH","NTS")</f>
        <v>0</v>
      </c>
      <c r="P41" s="60">
        <f ca="1">+GETPIVOTDATA("XBC4",'bauchinh (2016)'!$A$3,"MA_HT","DDT","MA_QH","LMU")</f>
        <v>0</v>
      </c>
      <c r="Q41" s="60">
        <f ca="1">+GETPIVOTDATA("XBC4",'bauchinh (2016)'!$A$3,"MA_HT","DDT","MA_QH","NKH")</f>
        <v>0</v>
      </c>
      <c r="R41" s="78">
        <f ca="1">SUM(S41:AA41,AO41:BD41)</f>
        <v>0</v>
      </c>
      <c r="S41" s="60">
        <f ca="1">+GETPIVOTDATA("XBC4",'bauchinh (2016)'!$A$3,"MA_HT","DDT","MA_QH","CQP")</f>
        <v>0</v>
      </c>
      <c r="T41" s="60">
        <f ca="1">+GETPIVOTDATA("XBC4",'bauchinh (2016)'!$A$3,"MA_HT","DDT","MA_QH","CAN")</f>
        <v>0</v>
      </c>
      <c r="U41" s="60">
        <f ca="1">+GETPIVOTDATA("XBC4",'bauchinh (2016)'!$A$3,"MA_HT","DDT","MA_QH","SKK")</f>
        <v>0</v>
      </c>
      <c r="V41" s="60">
        <f ca="1">+GETPIVOTDATA("XBC4",'bauchinh (2016)'!$A$3,"MA_HT","DDT","MA_QH","SKT")</f>
        <v>0</v>
      </c>
      <c r="W41" s="60">
        <f ca="1">+GETPIVOTDATA("XBC4",'bauchinh (2016)'!$A$3,"MA_HT","DDT","MA_QH","SKN")</f>
        <v>0</v>
      </c>
      <c r="X41" s="60">
        <f ca="1">+GETPIVOTDATA("XBC4",'bauchinh (2016)'!$A$3,"MA_HT","DDT","MA_QH","TMD")</f>
        <v>0</v>
      </c>
      <c r="Y41" s="60">
        <f ca="1">+GETPIVOTDATA("XBC4",'bauchinh (2016)'!$A$3,"MA_HT","DDT","MA_QH","SKC")</f>
        <v>0</v>
      </c>
      <c r="Z41" s="60">
        <f ca="1">+GETPIVOTDATA("XBC4",'bauchinh (2016)'!$A$3,"MA_HT","DDT","MA_QH","SKS")</f>
        <v>0</v>
      </c>
      <c r="AA41" s="59">
        <f ca="1" t="shared" ref="AA41:AA58" si="21">+SUM(AB41:AM41)</f>
        <v>0</v>
      </c>
      <c r="AB41" s="60">
        <f ca="1">+GETPIVOTDATA("XBC4",'bauchinh (2016)'!$A$3,"MA_HT","DDT","MA_QH","DGT")</f>
        <v>0</v>
      </c>
      <c r="AC41" s="60">
        <f ca="1">+GETPIVOTDATA("XBC4",'bauchinh (2016)'!$A$3,"MA_HT","DDT","MA_QH","DTL")</f>
        <v>0</v>
      </c>
      <c r="AD41" s="60">
        <f ca="1">+GETPIVOTDATA("XBC4",'bauchinh (2016)'!$A$3,"MA_HT","DDT","MA_QH","DNL")</f>
        <v>0</v>
      </c>
      <c r="AE41" s="60">
        <f ca="1">+GETPIVOTDATA("XBC4",'bauchinh (2016)'!$A$3,"MA_HT","DDT","MA_QH","DBV")</f>
        <v>0</v>
      </c>
      <c r="AF41" s="60">
        <f ca="1">+GETPIVOTDATA("XBC4",'bauchinh (2016)'!$A$3,"MA_HT","DDT","MA_QH","DVH")</f>
        <v>0</v>
      </c>
      <c r="AG41" s="60">
        <f ca="1">+GETPIVOTDATA("XBC4",'bauchinh (2016)'!$A$3,"MA_HT","DDT","MA_QH","DYT")</f>
        <v>0</v>
      </c>
      <c r="AH41" s="60">
        <f ca="1">+GETPIVOTDATA("XBC4",'bauchinh (2016)'!$A$3,"MA_HT","DDT","MA_QH","DGD")</f>
        <v>0</v>
      </c>
      <c r="AI41" s="60">
        <f ca="1">+GETPIVOTDATA("XBC4",'bauchinh (2016)'!$A$3,"MA_HT","DDT","MA_QH","DTT")</f>
        <v>0</v>
      </c>
      <c r="AJ41" s="60">
        <f ca="1">+GETPIVOTDATA("XBC4",'bauchinh (2016)'!$A$3,"MA_HT","DDT","MA_QH","NCK")</f>
        <v>0</v>
      </c>
      <c r="AK41" s="60">
        <f ca="1">+GETPIVOTDATA("XBC4",'bauchinh (2016)'!$A$3,"MA_HT","DDT","MA_QH","DXH")</f>
        <v>0</v>
      </c>
      <c r="AL41" s="60">
        <f ca="1">+GETPIVOTDATA("XBC4",'bauchinh (2016)'!$A$3,"MA_HT","DDT","MA_QH","DCH")</f>
        <v>0</v>
      </c>
      <c r="AM41" s="60">
        <f ca="1">+GETPIVOTDATA("XBC4",'bauchinh (2016)'!$A$3,"MA_HT","DDT","MA_QH","DKG")</f>
        <v>0</v>
      </c>
      <c r="AN41" s="81" t="e">
        <f ca="1">$D41-$BF41</f>
        <v>#REF!</v>
      </c>
      <c r="AO41" s="60">
        <f ca="1">+GETPIVOTDATA("XBC4",'bauchinh (2016)'!$A$3,"MA_HT","DDT","MA_QH","DDL")</f>
        <v>0</v>
      </c>
      <c r="AP41" s="60">
        <f ca="1">+GETPIVOTDATA("XBC4",'bauchinh (2016)'!$A$3,"MA_HT","DDT","MA_QH","DRA")</f>
        <v>0</v>
      </c>
      <c r="AQ41" s="60">
        <f ca="1">+GETPIVOTDATA("XBC4",'bauchinh (2016)'!$A$3,"MA_HT","DDT","MA_QH","ONT")</f>
        <v>0</v>
      </c>
      <c r="AR41" s="60">
        <f ca="1">+GETPIVOTDATA("XBC4",'bauchinh (2016)'!$A$3,"MA_HT","DDT","MA_QH","ODT")</f>
        <v>0</v>
      </c>
      <c r="AS41" s="60">
        <f ca="1">+GETPIVOTDATA("XBC4",'bauchinh (2016)'!$A$3,"MA_HT","DDT","MA_QH","TSC")</f>
        <v>0</v>
      </c>
      <c r="AT41" s="60">
        <f ca="1">+GETPIVOTDATA("XBC4",'bauchinh (2016)'!$A$3,"MA_HT","DDT","MA_QH","DTS")</f>
        <v>0</v>
      </c>
      <c r="AU41" s="60">
        <f ca="1">+GETPIVOTDATA("XBC4",'bauchinh (2016)'!$A$3,"MA_HT","DDT","MA_QH","DNG")</f>
        <v>0</v>
      </c>
      <c r="AV41" s="60">
        <f ca="1">+GETPIVOTDATA("XBC4",'bauchinh (2016)'!$A$3,"MA_HT","DDT","MA_QH","TON")</f>
        <v>0</v>
      </c>
      <c r="AW41" s="60">
        <f ca="1">+GETPIVOTDATA("XBC4",'bauchinh (2016)'!$A$3,"MA_HT","DDT","MA_QH","NTD")</f>
        <v>0</v>
      </c>
      <c r="AX41" s="60">
        <f ca="1">+GETPIVOTDATA("XBC4",'bauchinh (2016)'!$A$3,"MA_HT","DDT","MA_QH","SKX")</f>
        <v>0</v>
      </c>
      <c r="AY41" s="60">
        <f ca="1">+GETPIVOTDATA("XBC4",'bauchinh (2016)'!$A$3,"MA_HT","DDT","MA_QH","DSH")</f>
        <v>0</v>
      </c>
      <c r="AZ41" s="60">
        <f ca="1">+GETPIVOTDATA("XBC4",'bauchinh (2016)'!$A$3,"MA_HT","DDT","MA_QH","DKV")</f>
        <v>0</v>
      </c>
      <c r="BA41" s="90">
        <f ca="1">+GETPIVOTDATA("XBC4",'bauchinh (2016)'!$A$3,"MA_HT","DDT","MA_QH","TIN")</f>
        <v>0</v>
      </c>
      <c r="BB41" s="91">
        <f ca="1">+GETPIVOTDATA("XBC4",'bauchinh (2016)'!$A$3,"MA_HT","DDT","MA_QH","SON")</f>
        <v>0</v>
      </c>
      <c r="BC41" s="91">
        <f ca="1">+GETPIVOTDATA("XBC4",'bauchinh (2016)'!$A$3,"MA_HT","DDT","MA_QH","MNC")</f>
        <v>0</v>
      </c>
      <c r="BD41" s="60">
        <f ca="1">+GETPIVOTDATA("XBC4",'bauchinh (2016)'!$A$3,"MA_HT","DDT","MA_QH","PNK")</f>
        <v>0</v>
      </c>
      <c r="BE41" s="111">
        <f ca="1">+GETPIVOTDATA("XBC4",'bauchinh (2016)'!$A$3,"MA_HT","DDT","MA_QH","CSD")</f>
        <v>0</v>
      </c>
      <c r="BF41" s="112">
        <f ca="1" t="shared" si="13"/>
        <v>0</v>
      </c>
      <c r="BG41" s="113">
        <f ca="1">AN$59-$BF41</f>
        <v>0</v>
      </c>
      <c r="BH41" s="57" t="e">
        <f ca="1" t="shared" si="14"/>
        <v>#REF!</v>
      </c>
      <c r="BI41" s="114"/>
      <c r="BJ41" s="115"/>
      <c r="BK41" s="115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</row>
    <row r="42" s="2" customFormat="1" ht="15.75" customHeight="1" spans="1:79">
      <c r="A42" s="39" t="s">
        <v>8402</v>
      </c>
      <c r="B42" s="53" t="s">
        <v>8403</v>
      </c>
      <c r="C42" s="40" t="s">
        <v>8286</v>
      </c>
      <c r="D42" s="41" t="e">
        <f>+#REF!</f>
        <v>#REF!</v>
      </c>
      <c r="E42" s="42">
        <f ca="1" t="shared" si="15"/>
        <v>0</v>
      </c>
      <c r="F42" s="52">
        <f ca="1" t="shared" si="9"/>
        <v>0</v>
      </c>
      <c r="G42" s="22">
        <f ca="1">+GETPIVOTDATA("XBC4",'bauchinh (2016)'!$A$3,"MA_HT","DDL","MA_QH","LUC")</f>
        <v>0</v>
      </c>
      <c r="H42" s="22">
        <f ca="1">+GETPIVOTDATA("XBC4",'bauchinh (2016)'!$A$3,"MA_HT","DDL","MA_QH","LUK")</f>
        <v>0</v>
      </c>
      <c r="I42" s="22">
        <f ca="1">+GETPIVOTDATA("XBC4",'bauchinh (2016)'!$A$3,"MA_HT","DDL","MA_QH","LUN")</f>
        <v>0</v>
      </c>
      <c r="J42" s="22">
        <f ca="1">+GETPIVOTDATA("XBC4",'bauchinh (2016)'!$A$3,"MA_HT","DDL","MA_QH","HNK")</f>
        <v>0</v>
      </c>
      <c r="K42" s="22">
        <f ca="1">+GETPIVOTDATA("XBC4",'bauchinh (2016)'!$A$3,"MA_HT","DDL","MA_QH","CLN")</f>
        <v>0</v>
      </c>
      <c r="L42" s="22">
        <f ca="1">+GETPIVOTDATA("XBC4",'bauchinh (2016)'!$A$3,"MA_HT","DDL","MA_QH","RSX")</f>
        <v>0</v>
      </c>
      <c r="M42" s="22">
        <f ca="1">+GETPIVOTDATA("XBC4",'bauchinh (2016)'!$A$3,"MA_HT","DDL","MA_QH","RPH")</f>
        <v>0</v>
      </c>
      <c r="N42" s="22">
        <f ca="1">+GETPIVOTDATA("XBC4",'bauchinh (2016)'!$A$3,"MA_HT","DDL","MA_QH","RDD")</f>
        <v>0</v>
      </c>
      <c r="O42" s="22">
        <f ca="1">+GETPIVOTDATA("XBC4",'bauchinh (2016)'!$A$3,"MA_HT","DDL","MA_QH","NTS")</f>
        <v>0</v>
      </c>
      <c r="P42" s="22">
        <f ca="1">+GETPIVOTDATA("XBC4",'bauchinh (2016)'!$A$3,"MA_HT","DDL","MA_QH","LMU")</f>
        <v>0</v>
      </c>
      <c r="Q42" s="22">
        <f ca="1">+GETPIVOTDATA("XBC4",'bauchinh (2016)'!$A$3,"MA_HT","DDL","MA_QH","NKH")</f>
        <v>0</v>
      </c>
      <c r="R42" s="79">
        <f ca="1">SUM(S42:AA42,AN42,AP42:BD42)</f>
        <v>0</v>
      </c>
      <c r="S42" s="22">
        <f ca="1">+GETPIVOTDATA("XBC4",'bauchinh (2016)'!$A$3,"MA_HT","DDL","MA_QH","CQP")</f>
        <v>0</v>
      </c>
      <c r="T42" s="22">
        <f ca="1">+GETPIVOTDATA("XBC4",'bauchinh (2016)'!$A$3,"MA_HT","DDL","MA_QH","CAN")</f>
        <v>0</v>
      </c>
      <c r="U42" s="22">
        <f ca="1">+GETPIVOTDATA("XBC4",'bauchinh (2016)'!$A$3,"MA_HT","DDL","MA_QH","SKK")</f>
        <v>0</v>
      </c>
      <c r="V42" s="22">
        <f ca="1">+GETPIVOTDATA("XBC4",'bauchinh (2016)'!$A$3,"MA_HT","DDL","MA_QH","SKT")</f>
        <v>0</v>
      </c>
      <c r="W42" s="22">
        <f ca="1">+GETPIVOTDATA("XBC4",'bauchinh (2016)'!$A$3,"MA_HT","DDL","MA_QH","SKN")</f>
        <v>0</v>
      </c>
      <c r="X42" s="22">
        <f ca="1">+GETPIVOTDATA("XBC4",'bauchinh (2016)'!$A$3,"MA_HT","DDL","MA_QH","TMD")</f>
        <v>0</v>
      </c>
      <c r="Y42" s="22">
        <f ca="1">+GETPIVOTDATA("XBC4",'bauchinh (2016)'!$A$3,"MA_HT","DDL","MA_QH","SKC")</f>
        <v>0</v>
      </c>
      <c r="Z42" s="22">
        <f ca="1">+GETPIVOTDATA("XBC4",'bauchinh (2016)'!$A$3,"MA_HT","DDL","MA_QH","SKS")</f>
        <v>0</v>
      </c>
      <c r="AA42" s="52">
        <f ca="1" t="shared" si="21"/>
        <v>0</v>
      </c>
      <c r="AB42" s="22">
        <f ca="1">+GETPIVOTDATA("XBC4",'bauchinh (2016)'!$A$3,"MA_HT","DDL","MA_QH","DGT")</f>
        <v>0</v>
      </c>
      <c r="AC42" s="22">
        <f ca="1">+GETPIVOTDATA("XBC4",'bauchinh (2016)'!$A$3,"MA_HT","DDL","MA_QH","DTL")</f>
        <v>0</v>
      </c>
      <c r="AD42" s="22">
        <f ca="1">+GETPIVOTDATA("XBC4",'bauchinh (2016)'!$A$3,"MA_HT","DDL","MA_QH","DNL")</f>
        <v>0</v>
      </c>
      <c r="AE42" s="22">
        <f ca="1">+GETPIVOTDATA("XBC4",'bauchinh (2016)'!$A$3,"MA_HT","DDL","MA_QH","DBV")</f>
        <v>0</v>
      </c>
      <c r="AF42" s="22">
        <f ca="1">+GETPIVOTDATA("XBC4",'bauchinh (2016)'!$A$3,"MA_HT","DDL","MA_QH","DVH")</f>
        <v>0</v>
      </c>
      <c r="AG42" s="22">
        <f ca="1">+GETPIVOTDATA("XBC4",'bauchinh (2016)'!$A$3,"MA_HT","DDL","MA_QH","DYT")</f>
        <v>0</v>
      </c>
      <c r="AH42" s="22">
        <f ca="1">+GETPIVOTDATA("XBC4",'bauchinh (2016)'!$A$3,"MA_HT","DDL","MA_QH","DGD")</f>
        <v>0</v>
      </c>
      <c r="AI42" s="22">
        <f ca="1">+GETPIVOTDATA("XBC4",'bauchinh (2016)'!$A$3,"MA_HT","DDL","MA_QH","DTT")</f>
        <v>0</v>
      </c>
      <c r="AJ42" s="22">
        <f ca="1">+GETPIVOTDATA("XBC4",'bauchinh (2016)'!$A$3,"MA_HT","DDL","MA_QH","NCK")</f>
        <v>0</v>
      </c>
      <c r="AK42" s="22">
        <f ca="1">+GETPIVOTDATA("XBC4",'bauchinh (2016)'!$A$3,"MA_HT","DDL","MA_QH","DXH")</f>
        <v>0</v>
      </c>
      <c r="AL42" s="22">
        <f ca="1">+GETPIVOTDATA("XBC4",'bauchinh (2016)'!$A$3,"MA_HT","DDL","MA_QH","DCH")</f>
        <v>0</v>
      </c>
      <c r="AM42" s="22">
        <f ca="1">+GETPIVOTDATA("XBC4",'bauchinh (2016)'!$A$3,"MA_HT","DDL","MA_QH","DKG")</f>
        <v>0</v>
      </c>
      <c r="AN42" s="22">
        <f ca="1">+GETPIVOTDATA("XBC4",'bauchinh (2016)'!$A$3,"MA_HT","DDL","MA_QH","DDT")</f>
        <v>0</v>
      </c>
      <c r="AO42" s="43" t="e">
        <f ca="1">$D42-$BF42</f>
        <v>#REF!</v>
      </c>
      <c r="AP42" s="22">
        <f ca="1">+GETPIVOTDATA("XBC4",'bauchinh (2016)'!$A$3,"MA_HT","DDL","MA_QH","DRA")</f>
        <v>0</v>
      </c>
      <c r="AQ42" s="22">
        <f ca="1">+GETPIVOTDATA("XBC4",'bauchinh (2016)'!$A$3,"MA_HT","DDL","MA_QH","ONT")</f>
        <v>0</v>
      </c>
      <c r="AR42" s="22">
        <f ca="1">+GETPIVOTDATA("XBC4",'bauchinh (2016)'!$A$3,"MA_HT","DDL","MA_QH","ODT")</f>
        <v>0</v>
      </c>
      <c r="AS42" s="22">
        <f ca="1">+GETPIVOTDATA("XBC4",'bauchinh (2016)'!$A$3,"MA_HT","DDL","MA_QH","TSC")</f>
        <v>0</v>
      </c>
      <c r="AT42" s="22">
        <f ca="1">+GETPIVOTDATA("XBC4",'bauchinh (2016)'!$A$3,"MA_HT","DDL","MA_QH","DTS")</f>
        <v>0</v>
      </c>
      <c r="AU42" s="22">
        <f ca="1">+GETPIVOTDATA("XBC4",'bauchinh (2016)'!$A$3,"MA_HT","DDL","MA_QH","DNG")</f>
        <v>0</v>
      </c>
      <c r="AV42" s="22">
        <f ca="1">+GETPIVOTDATA("XBC4",'bauchinh (2016)'!$A$3,"MA_HT","DDL","MA_QH","TON")</f>
        <v>0</v>
      </c>
      <c r="AW42" s="22">
        <f ca="1">+GETPIVOTDATA("XBC4",'bauchinh (2016)'!$A$3,"MA_HT","DDL","MA_QH","NTD")</f>
        <v>0</v>
      </c>
      <c r="AX42" s="22">
        <f ca="1">+GETPIVOTDATA("XBC4",'bauchinh (2016)'!$A$3,"MA_HT","DDL","MA_QH","SKX")</f>
        <v>0</v>
      </c>
      <c r="AY42" s="22">
        <f ca="1">+GETPIVOTDATA("XBC4",'bauchinh (2016)'!$A$3,"MA_HT","DDL","MA_QH","DSH")</f>
        <v>0</v>
      </c>
      <c r="AZ42" s="22">
        <f ca="1">+GETPIVOTDATA("XBC4",'bauchinh (2016)'!$A$3,"MA_HT","DDL","MA_QH","DKV")</f>
        <v>0</v>
      </c>
      <c r="BA42" s="89">
        <f ca="1">+GETPIVOTDATA("XBC4",'bauchinh (2016)'!$A$3,"MA_HT","DDL","MA_QH","TIN")</f>
        <v>0</v>
      </c>
      <c r="BB42" s="50">
        <f ca="1">+GETPIVOTDATA("XBC4",'bauchinh (2016)'!$A$3,"MA_HT","DDL","MA_QH","SON")</f>
        <v>0</v>
      </c>
      <c r="BC42" s="50">
        <f ca="1">+GETPIVOTDATA("XBC4",'bauchinh (2016)'!$A$3,"MA_HT","DDL","MA_QH","MNC")</f>
        <v>0</v>
      </c>
      <c r="BD42" s="22">
        <f ca="1">+GETPIVOTDATA("XBC4",'bauchinh (2016)'!$A$3,"MA_HT","DDL","MA_QH","PNK")</f>
        <v>0</v>
      </c>
      <c r="BE42" s="71">
        <f ca="1">+GETPIVOTDATA("XBC4",'bauchinh (2016)'!$A$3,"MA_HT","DDL","MA_QH","CSD")</f>
        <v>0</v>
      </c>
      <c r="BF42" s="74">
        <f ca="1" t="shared" si="13"/>
        <v>0</v>
      </c>
      <c r="BG42" s="101">
        <f ca="1">AO$59-$BF42</f>
        <v>0</v>
      </c>
      <c r="BH42" s="41" t="e">
        <f ca="1" t="shared" si="14"/>
        <v>#REF!</v>
      </c>
      <c r="BI42" s="98"/>
      <c r="BJ42" s="107"/>
      <c r="BK42" s="10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</row>
    <row r="43" s="2" customFormat="1" ht="15.75" customHeight="1" spans="1:79">
      <c r="A43" s="39" t="s">
        <v>8404</v>
      </c>
      <c r="B43" s="53" t="s">
        <v>8405</v>
      </c>
      <c r="C43" s="40" t="s">
        <v>8291</v>
      </c>
      <c r="D43" s="41" t="e">
        <f>+#REF!</f>
        <v>#REF!</v>
      </c>
      <c r="E43" s="42">
        <f ca="1" t="shared" si="15"/>
        <v>0</v>
      </c>
      <c r="F43" s="52">
        <f ca="1" t="shared" si="9"/>
        <v>0</v>
      </c>
      <c r="G43" s="22">
        <f ca="1">+GETPIVOTDATA("XBC4",'bauchinh (2016)'!$A$3,"MA_HT","DRA","MA_QH","LUC")</f>
        <v>0</v>
      </c>
      <c r="H43" s="22">
        <f ca="1">+GETPIVOTDATA("XBC4",'bauchinh (2016)'!$A$3,"MA_HT","DRA","MA_QH","LUK")</f>
        <v>0</v>
      </c>
      <c r="I43" s="22">
        <f ca="1">+GETPIVOTDATA("XBC4",'bauchinh (2016)'!$A$3,"MA_HT","DRA","MA_QH","LUN")</f>
        <v>0</v>
      </c>
      <c r="J43" s="22">
        <f ca="1">+GETPIVOTDATA("XBC4",'bauchinh (2016)'!$A$3,"MA_HT","DRA","MA_QH","HNK")</f>
        <v>0</v>
      </c>
      <c r="K43" s="22">
        <f ca="1">+GETPIVOTDATA("XBC4",'bauchinh (2016)'!$A$3,"MA_HT","DRA","MA_QH","CLN")</f>
        <v>0</v>
      </c>
      <c r="L43" s="22">
        <f ca="1">+GETPIVOTDATA("XBC4",'bauchinh (2016)'!$A$3,"MA_HT","DRA","MA_QH","RSX")</f>
        <v>0</v>
      </c>
      <c r="M43" s="22">
        <f ca="1">+GETPIVOTDATA("XBC4",'bauchinh (2016)'!$A$3,"MA_HT","DRA","MA_QH","RPH")</f>
        <v>0</v>
      </c>
      <c r="N43" s="22">
        <f ca="1">+GETPIVOTDATA("XBC4",'bauchinh (2016)'!$A$3,"MA_HT","DRA","MA_QH","RDD")</f>
        <v>0</v>
      </c>
      <c r="O43" s="22">
        <f ca="1">+GETPIVOTDATA("XBC4",'bauchinh (2016)'!$A$3,"MA_HT","DRA","MA_QH","NTS")</f>
        <v>0</v>
      </c>
      <c r="P43" s="22">
        <f ca="1">+GETPIVOTDATA("XBC4",'bauchinh (2016)'!$A$3,"MA_HT","DRA","MA_QH","LMU")</f>
        <v>0</v>
      </c>
      <c r="Q43" s="22">
        <f ca="1">+GETPIVOTDATA("XBC4",'bauchinh (2016)'!$A$3,"MA_HT","DRA","MA_QH","NKH")</f>
        <v>0</v>
      </c>
      <c r="R43" s="79">
        <f ca="1">SUM(S43:AA43,AN43:AO43,AQ43:BD43)</f>
        <v>0</v>
      </c>
      <c r="S43" s="22">
        <f ca="1">+GETPIVOTDATA("XBC4",'bauchinh (2016)'!$A$3,"MA_HT","DRA","MA_QH","CQP")</f>
        <v>0</v>
      </c>
      <c r="T43" s="22">
        <f ca="1">+GETPIVOTDATA("XBC4",'bauchinh (2016)'!$A$3,"MA_HT","DRA","MA_QH","CAN")</f>
        <v>0</v>
      </c>
      <c r="U43" s="22">
        <f ca="1">+GETPIVOTDATA("XBC4",'bauchinh (2016)'!$A$3,"MA_HT","DRA","MA_QH","SKK")</f>
        <v>0</v>
      </c>
      <c r="V43" s="22">
        <f ca="1">+GETPIVOTDATA("XBC4",'bauchinh (2016)'!$A$3,"MA_HT","DRA","MA_QH","SKT")</f>
        <v>0</v>
      </c>
      <c r="W43" s="22">
        <f ca="1">+GETPIVOTDATA("XBC4",'bauchinh (2016)'!$A$3,"MA_HT","DRA","MA_QH","SKN")</f>
        <v>0</v>
      </c>
      <c r="X43" s="22">
        <f ca="1">+GETPIVOTDATA("XBC4",'bauchinh (2016)'!$A$3,"MA_HT","DRA","MA_QH","TMD")</f>
        <v>0</v>
      </c>
      <c r="Y43" s="22">
        <f ca="1">+GETPIVOTDATA("XBC4",'bauchinh (2016)'!$A$3,"MA_HT","DRA","MA_QH","SKC")</f>
        <v>0</v>
      </c>
      <c r="Z43" s="22">
        <f ca="1">+GETPIVOTDATA("XBC4",'bauchinh (2016)'!$A$3,"MA_HT","DRA","MA_QH","SKS")</f>
        <v>0</v>
      </c>
      <c r="AA43" s="52">
        <f ca="1" t="shared" si="21"/>
        <v>0</v>
      </c>
      <c r="AB43" s="22">
        <f ca="1">+GETPIVOTDATA("XBC4",'bauchinh (2016)'!$A$3,"MA_HT","DRA","MA_QH","DGT")</f>
        <v>0</v>
      </c>
      <c r="AC43" s="22">
        <f ca="1">+GETPIVOTDATA("XBC4",'bauchinh (2016)'!$A$3,"MA_HT","DRA","MA_QH","DTL")</f>
        <v>0</v>
      </c>
      <c r="AD43" s="22">
        <f ca="1">+GETPIVOTDATA("XBC4",'bauchinh (2016)'!$A$3,"MA_HT","DRA","MA_QH","DNL")</f>
        <v>0</v>
      </c>
      <c r="AE43" s="22">
        <f ca="1">+GETPIVOTDATA("XBC4",'bauchinh (2016)'!$A$3,"MA_HT","DRA","MA_QH","DBV")</f>
        <v>0</v>
      </c>
      <c r="AF43" s="22">
        <f ca="1">+GETPIVOTDATA("XBC4",'bauchinh (2016)'!$A$3,"MA_HT","DRA","MA_QH","DVH")</f>
        <v>0</v>
      </c>
      <c r="AG43" s="22">
        <f ca="1">+GETPIVOTDATA("XBC4",'bauchinh (2016)'!$A$3,"MA_HT","DRA","MA_QH","DYT")</f>
        <v>0</v>
      </c>
      <c r="AH43" s="22">
        <f ca="1">+GETPIVOTDATA("XBC4",'bauchinh (2016)'!$A$3,"MA_HT","DRA","MA_QH","DGD")</f>
        <v>0</v>
      </c>
      <c r="AI43" s="22">
        <f ca="1">+GETPIVOTDATA("XBC4",'bauchinh (2016)'!$A$3,"MA_HT","DRA","MA_QH","DTT")</f>
        <v>0</v>
      </c>
      <c r="AJ43" s="22">
        <f ca="1">+GETPIVOTDATA("XBC4",'bauchinh (2016)'!$A$3,"MA_HT","DRA","MA_QH","NCK")</f>
        <v>0</v>
      </c>
      <c r="AK43" s="22">
        <f ca="1">+GETPIVOTDATA("XBC4",'bauchinh (2016)'!$A$3,"MA_HT","DRA","MA_QH","DXH")</f>
        <v>0</v>
      </c>
      <c r="AL43" s="22">
        <f ca="1">+GETPIVOTDATA("XBC4",'bauchinh (2016)'!$A$3,"MA_HT","DRA","MA_QH","DCH")</f>
        <v>0</v>
      </c>
      <c r="AM43" s="22">
        <f ca="1">+GETPIVOTDATA("XBC4",'bauchinh (2016)'!$A$3,"MA_HT","DRA","MA_QH","DKG")</f>
        <v>0</v>
      </c>
      <c r="AN43" s="22">
        <f ca="1">+GETPIVOTDATA("XBC4",'bauchinh (2016)'!$A$3,"MA_HT","DRA","MA_QH","DDT")</f>
        <v>0</v>
      </c>
      <c r="AO43" s="22">
        <f ca="1">+GETPIVOTDATA("XBC4",'bauchinh (2016)'!$A$3,"MA_HT","DRA","MA_QH","DDL")</f>
        <v>0</v>
      </c>
      <c r="AP43" s="43" t="e">
        <f ca="1">$D43-$BF43</f>
        <v>#REF!</v>
      </c>
      <c r="AQ43" s="22">
        <f ca="1">+GETPIVOTDATA("XBC4",'bauchinh (2016)'!$A$3,"MA_HT","DRA","MA_QH","ONT")</f>
        <v>0</v>
      </c>
      <c r="AR43" s="22">
        <f ca="1">+GETPIVOTDATA("XBC4",'bauchinh (2016)'!$A$3,"MA_HT","DRA","MA_QH","ODT")</f>
        <v>0</v>
      </c>
      <c r="AS43" s="22">
        <f ca="1">+GETPIVOTDATA("XBC4",'bauchinh (2016)'!$A$3,"MA_HT","DRA","MA_QH","TSC")</f>
        <v>0</v>
      </c>
      <c r="AT43" s="22">
        <f ca="1">+GETPIVOTDATA("XBC4",'bauchinh (2016)'!$A$3,"MA_HT","DRA","MA_QH","DTS")</f>
        <v>0</v>
      </c>
      <c r="AU43" s="22">
        <f ca="1">+GETPIVOTDATA("XBC4",'bauchinh (2016)'!$A$3,"MA_HT","DRA","MA_QH","DNG")</f>
        <v>0</v>
      </c>
      <c r="AV43" s="22">
        <f ca="1">+GETPIVOTDATA("XBC4",'bauchinh (2016)'!$A$3,"MA_HT","DRA","MA_QH","TON")</f>
        <v>0</v>
      </c>
      <c r="AW43" s="22">
        <f ca="1">+GETPIVOTDATA("XBC4",'bauchinh (2016)'!$A$3,"MA_HT","DRA","MA_QH","NTD")</f>
        <v>0</v>
      </c>
      <c r="AX43" s="22">
        <f ca="1">+GETPIVOTDATA("XBC4",'bauchinh (2016)'!$A$3,"MA_HT","DRA","MA_QH","SKX")</f>
        <v>0</v>
      </c>
      <c r="AY43" s="22">
        <f ca="1">+GETPIVOTDATA("XBC4",'bauchinh (2016)'!$A$3,"MA_HT","DRA","MA_QH","DSH")</f>
        <v>0</v>
      </c>
      <c r="AZ43" s="22">
        <f ca="1">+GETPIVOTDATA("XBC4",'bauchinh (2016)'!$A$3,"MA_HT","DRA","MA_QH","DKV")</f>
        <v>0</v>
      </c>
      <c r="BA43" s="89">
        <f ca="1">+GETPIVOTDATA("XBC4",'bauchinh (2016)'!$A$3,"MA_HT","DRA","MA_QH","TIN")</f>
        <v>0</v>
      </c>
      <c r="BB43" s="50">
        <f ca="1">+GETPIVOTDATA("XBC4",'bauchinh (2016)'!$A$3,"MA_HT","DRA","MA_QH","SON")</f>
        <v>0</v>
      </c>
      <c r="BC43" s="50">
        <f ca="1">+GETPIVOTDATA("XBC4",'bauchinh (2016)'!$A$3,"MA_HT","DRA","MA_QH","MNC")</f>
        <v>0</v>
      </c>
      <c r="BD43" s="22">
        <f ca="1">+GETPIVOTDATA("XBC4",'bauchinh (2016)'!$A$3,"MA_HT","DRA","MA_QH","PNK")</f>
        <v>0</v>
      </c>
      <c r="BE43" s="71">
        <f ca="1">+GETPIVOTDATA("XBC4",'bauchinh (2016)'!$A$3,"MA_HT","DRA","MA_QH","CSD")</f>
        <v>0</v>
      </c>
      <c r="BF43" s="74">
        <f ca="1" t="shared" si="13"/>
        <v>0</v>
      </c>
      <c r="BG43" s="101">
        <f ca="1">AP$59-$BF43</f>
        <v>0</v>
      </c>
      <c r="BH43" s="41" t="e">
        <f ca="1" t="shared" si="14"/>
        <v>#REF!</v>
      </c>
      <c r="BI43" s="98"/>
      <c r="BJ43" s="107" t="e">
        <f>#REF!</f>
        <v>#REF!</v>
      </c>
      <c r="BK43" s="107" t="e">
        <f ca="1">BH43-BJ43</f>
        <v>#REF!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</row>
    <row r="44" s="2" customFormat="1" ht="15.75" customHeight="1" spans="1:79">
      <c r="A44" s="39" t="s">
        <v>8406</v>
      </c>
      <c r="B44" s="53" t="s">
        <v>8407</v>
      </c>
      <c r="C44" s="40" t="s">
        <v>188</v>
      </c>
      <c r="D44" s="41" t="e">
        <f>+#REF!</f>
        <v>#REF!</v>
      </c>
      <c r="E44" s="42">
        <f ca="1" t="shared" si="15"/>
        <v>0</v>
      </c>
      <c r="F44" s="52">
        <f ca="1" t="shared" si="9"/>
        <v>0</v>
      </c>
      <c r="G44" s="22">
        <f ca="1">+GETPIVOTDATA("XBC4",'bauchinh (2016)'!$A$3,"MA_HT","ONT","MA_QH","LUC")</f>
        <v>0</v>
      </c>
      <c r="H44" s="22">
        <f ca="1">+GETPIVOTDATA("XBC4",'bauchinh (2016)'!$A$3,"MA_HT","ONT","MA_QH","LUK")</f>
        <v>0</v>
      </c>
      <c r="I44" s="22">
        <f ca="1">+GETPIVOTDATA("XBC4",'bauchinh (2016)'!$A$3,"MA_HT","ONT","MA_QH","LUN")</f>
        <v>0</v>
      </c>
      <c r="J44" s="22">
        <f ca="1">+GETPIVOTDATA("XBC4",'bauchinh (2016)'!$A$3,"MA_HT","ONT","MA_QH","HNK")</f>
        <v>0</v>
      </c>
      <c r="K44" s="22">
        <f ca="1">+GETPIVOTDATA("XBC4",'bauchinh (2016)'!$A$3,"MA_HT","ONT","MA_QH","CLN")</f>
        <v>0</v>
      </c>
      <c r="L44" s="22">
        <f ca="1">+GETPIVOTDATA("XBC4",'bauchinh (2016)'!$A$3,"MA_HT","ONT","MA_QH","RSX")</f>
        <v>0</v>
      </c>
      <c r="M44" s="22">
        <f ca="1">+GETPIVOTDATA("XBC4",'bauchinh (2016)'!$A$3,"MA_HT","ONT","MA_QH","RPH")</f>
        <v>0</v>
      </c>
      <c r="N44" s="22">
        <f ca="1">+GETPIVOTDATA("XBC4",'bauchinh (2016)'!$A$3,"MA_HT","ONT","MA_QH","RDD")</f>
        <v>0</v>
      </c>
      <c r="O44" s="22">
        <f ca="1">+GETPIVOTDATA("XBC4",'bauchinh (2016)'!$A$3,"MA_HT","ONT","MA_QH","NTS")</f>
        <v>0</v>
      </c>
      <c r="P44" s="22">
        <f ca="1">+GETPIVOTDATA("XBC4",'bauchinh (2016)'!$A$3,"MA_HT","ONT","MA_QH","LMU")</f>
        <v>0</v>
      </c>
      <c r="Q44" s="22">
        <f ca="1">+GETPIVOTDATA("XBC4",'bauchinh (2016)'!$A$3,"MA_HT","ONT","MA_QH","NKH")</f>
        <v>0</v>
      </c>
      <c r="R44" s="79">
        <f ca="1">SUM(S44:AA44,AN44:AP44,AR44:BD44)</f>
        <v>0</v>
      </c>
      <c r="S44" s="22">
        <f ca="1">+GETPIVOTDATA("XBC4",'bauchinh (2016)'!$A$3,"MA_HT","ONT","MA_QH","CQP")</f>
        <v>0</v>
      </c>
      <c r="T44" s="22">
        <f ca="1">+GETPIVOTDATA("XBC4",'bauchinh (2016)'!$A$3,"MA_HT","ONT","MA_QH","CAN")</f>
        <v>0</v>
      </c>
      <c r="U44" s="22">
        <f ca="1">+GETPIVOTDATA("XBC4",'bauchinh (2016)'!$A$3,"MA_HT","ONT","MA_QH","SKK")</f>
        <v>0</v>
      </c>
      <c r="V44" s="22">
        <f ca="1">+GETPIVOTDATA("XBC4",'bauchinh (2016)'!$A$3,"MA_HT","ONT","MA_QH","SKT")</f>
        <v>0</v>
      </c>
      <c r="W44" s="22">
        <f ca="1">+GETPIVOTDATA("XBC4",'bauchinh (2016)'!$A$3,"MA_HT","ONT","MA_QH","SKN")</f>
        <v>0</v>
      </c>
      <c r="X44" s="22">
        <f ca="1">+GETPIVOTDATA("XBC4",'bauchinh (2016)'!$A$3,"MA_HT","ONT","MA_QH","TMD")</f>
        <v>0</v>
      </c>
      <c r="Y44" s="22">
        <f ca="1">+GETPIVOTDATA("XBC4",'bauchinh (2016)'!$A$3,"MA_HT","ONT","MA_QH","SKC")</f>
        <v>0</v>
      </c>
      <c r="Z44" s="22">
        <f ca="1">+GETPIVOTDATA("XBC4",'bauchinh (2016)'!$A$3,"MA_HT","ONT","MA_QH","SKS")</f>
        <v>0</v>
      </c>
      <c r="AA44" s="52">
        <f ca="1" t="shared" si="21"/>
        <v>0</v>
      </c>
      <c r="AB44" s="22">
        <f ca="1">+GETPIVOTDATA("XBC4",'bauchinh (2016)'!$A$3,"MA_HT","ONT","MA_QH","DGT")</f>
        <v>0</v>
      </c>
      <c r="AC44" s="22">
        <f ca="1">+GETPIVOTDATA("XBC4",'bauchinh (2016)'!$A$3,"MA_HT","ONT","MA_QH","DTL")</f>
        <v>0</v>
      </c>
      <c r="AD44" s="22">
        <f ca="1">+GETPIVOTDATA("XBC4",'bauchinh (2016)'!$A$3,"MA_HT","ONT","MA_QH","DNL")</f>
        <v>0</v>
      </c>
      <c r="AE44" s="22">
        <f ca="1">+GETPIVOTDATA("XBC4",'bauchinh (2016)'!$A$3,"MA_HT","ONT","MA_QH","DBV")</f>
        <v>0</v>
      </c>
      <c r="AF44" s="22">
        <f ca="1">+GETPIVOTDATA("XBC4",'bauchinh (2016)'!$A$3,"MA_HT","ONT","MA_QH","DVH")</f>
        <v>0</v>
      </c>
      <c r="AG44" s="22">
        <f ca="1">+GETPIVOTDATA("XBC4",'bauchinh (2016)'!$A$3,"MA_HT","ONT","MA_QH","DYT")</f>
        <v>0</v>
      </c>
      <c r="AH44" s="22">
        <f ca="1">+GETPIVOTDATA("XBC4",'bauchinh (2016)'!$A$3,"MA_HT","ONT","MA_QH","DGD")</f>
        <v>0</v>
      </c>
      <c r="AI44" s="22">
        <f ca="1">+GETPIVOTDATA("XBC4",'bauchinh (2016)'!$A$3,"MA_HT","ONT","MA_QH","DTT")</f>
        <v>0</v>
      </c>
      <c r="AJ44" s="22">
        <f ca="1">+GETPIVOTDATA("XBC4",'bauchinh (2016)'!$A$3,"MA_HT","ONT","MA_QH","NCK")</f>
        <v>0</v>
      </c>
      <c r="AK44" s="22">
        <f ca="1">+GETPIVOTDATA("XBC4",'bauchinh (2016)'!$A$3,"MA_HT","ONT","MA_QH","DXH")</f>
        <v>0</v>
      </c>
      <c r="AL44" s="22">
        <f ca="1">+GETPIVOTDATA("XBC4",'bauchinh (2016)'!$A$3,"MA_HT","ONT","MA_QH","DCH")</f>
        <v>0</v>
      </c>
      <c r="AM44" s="22">
        <f ca="1">+GETPIVOTDATA("XBC4",'bauchinh (2016)'!$A$3,"MA_HT","ONT","MA_QH","DKG")</f>
        <v>0</v>
      </c>
      <c r="AN44" s="22">
        <f ca="1">+GETPIVOTDATA("XBC4",'bauchinh (2016)'!$A$3,"MA_HT","ONT","MA_QH","DDT")</f>
        <v>0</v>
      </c>
      <c r="AO44" s="22">
        <f ca="1">+GETPIVOTDATA("XBC4",'bauchinh (2016)'!$A$3,"MA_HT","ONT","MA_QH","DDL")</f>
        <v>0</v>
      </c>
      <c r="AP44" s="22">
        <f ca="1">+GETPIVOTDATA("XBC4",'bauchinh (2016)'!$A$3,"MA_HT","ONT","MA_QH","DRA")</f>
        <v>0</v>
      </c>
      <c r="AQ44" s="43" t="e">
        <f ca="1">$D44-$BF44</f>
        <v>#REF!</v>
      </c>
      <c r="AR44" s="22">
        <f ca="1">+GETPIVOTDATA("XBC4",'bauchinh (2016)'!$A$3,"MA_HT","ONT","MA_QH","ODT")</f>
        <v>0</v>
      </c>
      <c r="AS44" s="22">
        <f ca="1">+GETPIVOTDATA("XBC4",'bauchinh (2016)'!$A$3,"MA_HT","ONT","MA_QH","TSC")</f>
        <v>0</v>
      </c>
      <c r="AT44" s="22">
        <f ca="1">+GETPIVOTDATA("XBC4",'bauchinh (2016)'!$A$3,"MA_HT","ONT","MA_QH","DTS")</f>
        <v>0</v>
      </c>
      <c r="AU44" s="22">
        <f ca="1">+GETPIVOTDATA("XBC4",'bauchinh (2016)'!$A$3,"MA_HT","ONT","MA_QH","DNG")</f>
        <v>0</v>
      </c>
      <c r="AV44" s="22">
        <f ca="1">+GETPIVOTDATA("XBC4",'bauchinh (2016)'!$A$3,"MA_HT","ONT","MA_QH","TON")</f>
        <v>0</v>
      </c>
      <c r="AW44" s="22">
        <f ca="1">+GETPIVOTDATA("XBC4",'bauchinh (2016)'!$A$3,"MA_HT","ONT","MA_QH","NTD")</f>
        <v>0</v>
      </c>
      <c r="AX44" s="22">
        <f ca="1">+GETPIVOTDATA("XBC4",'bauchinh (2016)'!$A$3,"MA_HT","ONT","MA_QH","SKX")</f>
        <v>0</v>
      </c>
      <c r="AY44" s="22">
        <f ca="1">+GETPIVOTDATA("XBC4",'bauchinh (2016)'!$A$3,"MA_HT","ONT","MA_QH","DSH")</f>
        <v>0</v>
      </c>
      <c r="AZ44" s="22">
        <f ca="1">+GETPIVOTDATA("XBC4",'bauchinh (2016)'!$A$3,"MA_HT","ONT","MA_QH","DKV")</f>
        <v>0</v>
      </c>
      <c r="BA44" s="89">
        <f ca="1">+GETPIVOTDATA("XBC4",'bauchinh (2016)'!$A$3,"MA_HT","ONT","MA_QH","TIN")</f>
        <v>0</v>
      </c>
      <c r="BB44" s="50">
        <f ca="1">+GETPIVOTDATA("XBC4",'bauchinh (2016)'!$A$3,"MA_HT","ONT","MA_QH","SON")</f>
        <v>0</v>
      </c>
      <c r="BC44" s="50">
        <f ca="1">+GETPIVOTDATA("XBC4",'bauchinh (2016)'!$A$3,"MA_HT","ONT","MA_QH","MNC")</f>
        <v>0</v>
      </c>
      <c r="BD44" s="22">
        <f ca="1">+GETPIVOTDATA("XBC4",'bauchinh (2016)'!$A$3,"MA_HT","ONT","MA_QH","PNK")</f>
        <v>0</v>
      </c>
      <c r="BE44" s="71">
        <f ca="1">+GETPIVOTDATA("XBC4",'bauchinh (2016)'!$A$3,"MA_HT","ONT","MA_QH","CSD")</f>
        <v>0</v>
      </c>
      <c r="BF44" s="74">
        <f ca="1" t="shared" si="13"/>
        <v>0</v>
      </c>
      <c r="BG44" s="101">
        <f ca="1">AQ$59-$BF44</f>
        <v>0</v>
      </c>
      <c r="BH44" s="41" t="e">
        <f ca="1" t="shared" si="14"/>
        <v>#REF!</v>
      </c>
      <c r="BI44" s="98"/>
      <c r="BJ44" s="107" t="e">
        <f>#REF!</f>
        <v>#REF!</v>
      </c>
      <c r="BK44" s="107" t="e">
        <f ca="1">BH44-BJ44</f>
        <v>#REF!</v>
      </c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</row>
    <row r="45" s="2" customFormat="1" ht="15.75" customHeight="1" spans="1:79">
      <c r="A45" s="61" t="s">
        <v>8408</v>
      </c>
      <c r="B45" s="62" t="s">
        <v>8409</v>
      </c>
      <c r="C45" s="63" t="s">
        <v>201</v>
      </c>
      <c r="D45" s="64" t="e">
        <f>+#REF!</f>
        <v>#REF!</v>
      </c>
      <c r="E45" s="65">
        <f ca="1" t="shared" si="15"/>
        <v>0</v>
      </c>
      <c r="F45" s="66">
        <f ca="1" t="shared" si="9"/>
        <v>0</v>
      </c>
      <c r="G45" s="67">
        <f ca="1">+GETPIVOTDATA("XBC4",'bauchinh (2016)'!$A$3,"MA_HT","ODT","MA_QH","LUC")</f>
        <v>0</v>
      </c>
      <c r="H45" s="67">
        <f ca="1">+GETPIVOTDATA("XBC4",'bauchinh (2016)'!$A$3,"MA_HT","ODT","MA_QH","LUK")</f>
        <v>0</v>
      </c>
      <c r="I45" s="67">
        <f ca="1">+GETPIVOTDATA("XBC4",'bauchinh (2016)'!$A$3,"MA_HT","ODT","MA_QH","LUN")</f>
        <v>0</v>
      </c>
      <c r="J45" s="67">
        <f ca="1">+GETPIVOTDATA("XBC4",'bauchinh (2016)'!$A$3,"MA_HT","ODT","MA_QH","HNK")</f>
        <v>0</v>
      </c>
      <c r="K45" s="67">
        <f ca="1">+GETPIVOTDATA("XBC4",'bauchinh (2016)'!$A$3,"MA_HT","ODT","MA_QH","CLN")</f>
        <v>0</v>
      </c>
      <c r="L45" s="67">
        <f ca="1">+GETPIVOTDATA("XBC4",'bauchinh (2016)'!$A$3,"MA_HT","ODT","MA_QH","RSX")</f>
        <v>0</v>
      </c>
      <c r="M45" s="67">
        <f ca="1">+GETPIVOTDATA("XBC4",'bauchinh (2016)'!$A$3,"MA_HT","ODT","MA_QH","RPH")</f>
        <v>0</v>
      </c>
      <c r="N45" s="67">
        <f ca="1">+GETPIVOTDATA("XBC4",'bauchinh (2016)'!$A$3,"MA_HT","ODT","MA_QH","RDD")</f>
        <v>0</v>
      </c>
      <c r="O45" s="67">
        <f ca="1">+GETPIVOTDATA("XBC4",'bauchinh (2016)'!$A$3,"MA_HT","ODT","MA_QH","NTS")</f>
        <v>0</v>
      </c>
      <c r="P45" s="67">
        <f ca="1">+GETPIVOTDATA("XBC4",'bauchinh (2016)'!$A$3,"MA_HT","ODT","MA_QH","LMU")</f>
        <v>0</v>
      </c>
      <c r="Q45" s="67">
        <f ca="1">+GETPIVOTDATA("XBC4",'bauchinh (2016)'!$A$3,"MA_HT","ODT","MA_QH","NKH")</f>
        <v>0</v>
      </c>
      <c r="R45" s="79">
        <f ca="1">SUM(S45:AA45,AN45:AQ45,AS45:BD45)</f>
        <v>0</v>
      </c>
      <c r="S45" s="67">
        <f ca="1">+GETPIVOTDATA("XBC4",'bauchinh (2016)'!$A$3,"MA_HT","ODT","MA_QH","CQP")</f>
        <v>0</v>
      </c>
      <c r="T45" s="67">
        <f ca="1">+GETPIVOTDATA("XBC4",'bauchinh (2016)'!$A$3,"MA_HT","ODT","MA_QH","CAN")</f>
        <v>0</v>
      </c>
      <c r="U45" s="67">
        <f ca="1">+GETPIVOTDATA("XBC4",'bauchinh (2016)'!$A$3,"MA_HT","ODT","MA_QH","SKK")</f>
        <v>0</v>
      </c>
      <c r="V45" s="67">
        <f ca="1">+GETPIVOTDATA("XBC4",'bauchinh (2016)'!$A$3,"MA_HT","ODT","MA_QH","SKT")</f>
        <v>0</v>
      </c>
      <c r="W45" s="67">
        <f ca="1">+GETPIVOTDATA("XBC4",'bauchinh (2016)'!$A$3,"MA_HT","ODT","MA_QH","SKN")</f>
        <v>0</v>
      </c>
      <c r="X45" s="67">
        <f ca="1">+GETPIVOTDATA("XBC4",'bauchinh (2016)'!$A$3,"MA_HT","ODT","MA_QH","TMD")</f>
        <v>0</v>
      </c>
      <c r="Y45" s="67">
        <f ca="1">+GETPIVOTDATA("XBC4",'bauchinh (2016)'!$A$3,"MA_HT","ODT","MA_QH","SKC")</f>
        <v>0</v>
      </c>
      <c r="Z45" s="67">
        <f ca="1">+GETPIVOTDATA("XBC4",'bauchinh (2016)'!$A$3,"MA_HT","ODT","MA_QH","SKS")</f>
        <v>0</v>
      </c>
      <c r="AA45" s="66">
        <f ca="1" t="shared" si="21"/>
        <v>0</v>
      </c>
      <c r="AB45" s="67">
        <f ca="1">+GETPIVOTDATA("XBC4",'bauchinh (2016)'!$A$3,"MA_HT","ODT","MA_QH","DGT")</f>
        <v>0</v>
      </c>
      <c r="AC45" s="67">
        <f ca="1">+GETPIVOTDATA("XBC4",'bauchinh (2016)'!$A$3,"MA_HT","ODT","MA_QH","DTL")</f>
        <v>0</v>
      </c>
      <c r="AD45" s="67">
        <f ca="1">+GETPIVOTDATA("XBC4",'bauchinh (2016)'!$A$3,"MA_HT","ODT","MA_QH","DNL")</f>
        <v>0</v>
      </c>
      <c r="AE45" s="67">
        <f ca="1">+GETPIVOTDATA("XBC4",'bauchinh (2016)'!$A$3,"MA_HT","ODT","MA_QH","DBV")</f>
        <v>0</v>
      </c>
      <c r="AF45" s="67">
        <f ca="1">+GETPIVOTDATA("XBC4",'bauchinh (2016)'!$A$3,"MA_HT","ODT","MA_QH","DVH")</f>
        <v>0</v>
      </c>
      <c r="AG45" s="67">
        <f ca="1">+GETPIVOTDATA("XBC4",'bauchinh (2016)'!$A$3,"MA_HT","ODT","MA_QH","DYT")</f>
        <v>0</v>
      </c>
      <c r="AH45" s="67">
        <f ca="1">+GETPIVOTDATA("XBC4",'bauchinh (2016)'!$A$3,"MA_HT","ODT","MA_QH","DGD")</f>
        <v>0</v>
      </c>
      <c r="AI45" s="67">
        <f ca="1">+GETPIVOTDATA("XBC4",'bauchinh (2016)'!$A$3,"MA_HT","ODT","MA_QH","DTT")</f>
        <v>0</v>
      </c>
      <c r="AJ45" s="67">
        <f ca="1">+GETPIVOTDATA("XBC4",'bauchinh (2016)'!$A$3,"MA_HT","ODT","MA_QH","NCK")</f>
        <v>0</v>
      </c>
      <c r="AK45" s="67">
        <f ca="1">+GETPIVOTDATA("XBC4",'bauchinh (2016)'!$A$3,"MA_HT","ODT","MA_QH","DXH")</f>
        <v>0</v>
      </c>
      <c r="AL45" s="67">
        <f ca="1">+GETPIVOTDATA("XBC4",'bauchinh (2016)'!$A$3,"MA_HT","ODT","MA_QH","DCH")</f>
        <v>0</v>
      </c>
      <c r="AM45" s="67">
        <f ca="1">+GETPIVOTDATA("XBC4",'bauchinh (2016)'!$A$3,"MA_HT","ODT","MA_QH","DKG")</f>
        <v>0</v>
      </c>
      <c r="AN45" s="67">
        <f ca="1">+GETPIVOTDATA("XBC4",'bauchinh (2016)'!$A$3,"MA_HT","ODT","MA_QH","DDT")</f>
        <v>0</v>
      </c>
      <c r="AO45" s="67">
        <f ca="1">+GETPIVOTDATA("XBC4",'bauchinh (2016)'!$A$3,"MA_HT","ODT","MA_QH","DDL")</f>
        <v>0</v>
      </c>
      <c r="AP45" s="67">
        <f ca="1">+GETPIVOTDATA("XBC4",'bauchinh (2016)'!$A$3,"MA_HT","ODT","MA_QH","DRA")</f>
        <v>0</v>
      </c>
      <c r="AQ45" s="67">
        <f ca="1">+GETPIVOTDATA("XBC4",'bauchinh (2016)'!$A$3,"MA_HT","ODT","MA_QH","ONT")</f>
        <v>0</v>
      </c>
      <c r="AR45" s="82" t="e">
        <f ca="1">$D45-$BF45</f>
        <v>#REF!</v>
      </c>
      <c r="AS45" s="67">
        <f ca="1">+GETPIVOTDATA("XBC4",'bauchinh (2016)'!$A$3,"MA_HT","ODT","MA_QH","TSC")</f>
        <v>0</v>
      </c>
      <c r="AT45" s="67">
        <f ca="1">+GETPIVOTDATA("XBC4",'bauchinh (2016)'!$A$3,"MA_HT","ODT","MA_QH","DTS")</f>
        <v>0</v>
      </c>
      <c r="AU45" s="67">
        <f ca="1">+GETPIVOTDATA("XBC4",'bauchinh (2016)'!$A$3,"MA_HT","ODT","MA_QH","DNG")</f>
        <v>0</v>
      </c>
      <c r="AV45" s="67">
        <f ca="1">+GETPIVOTDATA("XBC4",'bauchinh (2016)'!$A$3,"MA_HT","ODT","MA_QH","TON")</f>
        <v>0</v>
      </c>
      <c r="AW45" s="67">
        <f ca="1">+GETPIVOTDATA("XBC4",'bauchinh (2016)'!$A$3,"MA_HT","ODT","MA_QH","NTD")</f>
        <v>0</v>
      </c>
      <c r="AX45" s="67">
        <f ca="1">+GETPIVOTDATA("XBC4",'bauchinh (2016)'!$A$3,"MA_HT","ODT","MA_QH","SKX")</f>
        <v>0</v>
      </c>
      <c r="AY45" s="67">
        <f ca="1">+GETPIVOTDATA("XBC4",'bauchinh (2016)'!$A$3,"MA_HT","ODT","MA_QH","DSH")</f>
        <v>0</v>
      </c>
      <c r="AZ45" s="67">
        <f ca="1">+GETPIVOTDATA("XBC4",'bauchinh (2016)'!$A$3,"MA_HT","ODT","MA_QH","DKV")</f>
        <v>0</v>
      </c>
      <c r="BA45" s="92">
        <f ca="1">+GETPIVOTDATA("XBC4",'bauchinh (2016)'!$A$3,"MA_HT","ODT","MA_QH","TIN")</f>
        <v>0</v>
      </c>
      <c r="BB45" s="93">
        <f ca="1">+GETPIVOTDATA("XBC4",'bauchinh (2016)'!$A$3,"MA_HT","ODT","MA_QH","SON")</f>
        <v>0</v>
      </c>
      <c r="BC45" s="93">
        <f ca="1">+GETPIVOTDATA("XBC4",'bauchinh (2016)'!$A$3,"MA_HT","ODT","MA_QH","MNC")</f>
        <v>0</v>
      </c>
      <c r="BD45" s="67">
        <f ca="1">+GETPIVOTDATA("XBC4",'bauchinh (2016)'!$A$3,"MA_HT","ODT","MA_QH","PNK")</f>
        <v>0</v>
      </c>
      <c r="BE45" s="116">
        <f ca="1">+GETPIVOTDATA("XBC4",'bauchinh (2016)'!$A$3,"MA_HT","ODT","MA_QH","CSD")</f>
        <v>0</v>
      </c>
      <c r="BF45" s="117">
        <f ca="1" t="shared" si="13"/>
        <v>0</v>
      </c>
      <c r="BG45" s="118">
        <f ca="1">AR$59-$BF45</f>
        <v>0</v>
      </c>
      <c r="BH45" s="64" t="e">
        <f ca="1" t="shared" si="14"/>
        <v>#REF!</v>
      </c>
      <c r="BI45" s="98"/>
      <c r="BJ45" s="107" t="e">
        <f>#REF!</f>
        <v>#REF!</v>
      </c>
      <c r="BK45" s="107" t="e">
        <f ca="1">BH45-BJ45</f>
        <v>#REF!</v>
      </c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</row>
    <row r="46" s="6" customFormat="1" ht="15.75" customHeight="1" spans="1:79">
      <c r="A46" s="39" t="s">
        <v>8410</v>
      </c>
      <c r="B46" s="53" t="s">
        <v>8411</v>
      </c>
      <c r="C46" s="40" t="s">
        <v>336</v>
      </c>
      <c r="D46" s="41" t="e">
        <f>+#REF!</f>
        <v>#REF!</v>
      </c>
      <c r="E46" s="42">
        <f ca="1" t="shared" si="15"/>
        <v>0</v>
      </c>
      <c r="F46" s="52">
        <f ca="1" t="shared" si="9"/>
        <v>0</v>
      </c>
      <c r="G46" s="22">
        <f ca="1">+GETPIVOTDATA("XBC4",'bauchinh (2016)'!$A$3,"MA_HT","TSC","MA_QH","LUC")</f>
        <v>0</v>
      </c>
      <c r="H46" s="22">
        <f ca="1">+GETPIVOTDATA("XBC4",'bauchinh (2016)'!$A$3,"MA_HT","TSC","MA_QH","LUK")</f>
        <v>0</v>
      </c>
      <c r="I46" s="22">
        <f ca="1">+GETPIVOTDATA("XBC4",'bauchinh (2016)'!$A$3,"MA_HT","TSC","MA_QH","LUN")</f>
        <v>0</v>
      </c>
      <c r="J46" s="22">
        <f ca="1">+GETPIVOTDATA("XBC4",'bauchinh (2016)'!$A$3,"MA_HT","TSC","MA_QH","HNK")</f>
        <v>0</v>
      </c>
      <c r="K46" s="22">
        <f ca="1">+GETPIVOTDATA("XBC4",'bauchinh (2016)'!$A$3,"MA_HT","TSC","MA_QH","CLN")</f>
        <v>0</v>
      </c>
      <c r="L46" s="22">
        <f ca="1">+GETPIVOTDATA("XBC4",'bauchinh (2016)'!$A$3,"MA_HT","TSC","MA_QH","RSX")</f>
        <v>0</v>
      </c>
      <c r="M46" s="22">
        <f ca="1">+GETPIVOTDATA("XBC4",'bauchinh (2016)'!$A$3,"MA_HT","TSC","MA_QH","RPH")</f>
        <v>0</v>
      </c>
      <c r="N46" s="22">
        <f ca="1">+GETPIVOTDATA("XBC4",'bauchinh (2016)'!$A$3,"MA_HT","TSC","MA_QH","RDD")</f>
        <v>0</v>
      </c>
      <c r="O46" s="22">
        <f ca="1">+GETPIVOTDATA("XBC4",'bauchinh (2016)'!$A$3,"MA_HT","TSC","MA_QH","NTS")</f>
        <v>0</v>
      </c>
      <c r="P46" s="22">
        <f ca="1">+GETPIVOTDATA("XBC4",'bauchinh (2016)'!$A$3,"MA_HT","TSC","MA_QH","LMU")</f>
        <v>0</v>
      </c>
      <c r="Q46" s="22">
        <f ca="1">+GETPIVOTDATA("XBC4",'bauchinh (2016)'!$A$3,"MA_HT","TSC","MA_QH","NKH")</f>
        <v>0</v>
      </c>
      <c r="R46" s="48">
        <f ca="1">SUM(S46:AA46,AN46:AR46,AT46:BD46)</f>
        <v>0</v>
      </c>
      <c r="S46" s="22">
        <f ca="1">+GETPIVOTDATA("XBC4",'bauchinh (2016)'!$A$3,"MA_HT","TSC","MA_QH","CQP")</f>
        <v>0</v>
      </c>
      <c r="T46" s="22">
        <f ca="1">+GETPIVOTDATA("XBC4",'bauchinh (2016)'!$A$3,"MA_HT","TSC","MA_QH","CAN")</f>
        <v>0</v>
      </c>
      <c r="U46" s="22">
        <f ca="1">+GETPIVOTDATA("XBC4",'bauchinh (2016)'!$A$3,"MA_HT","TSC","MA_QH","SKK")</f>
        <v>0</v>
      </c>
      <c r="V46" s="22">
        <f ca="1">+GETPIVOTDATA("XBC4",'bauchinh (2016)'!$A$3,"MA_HT","TSC","MA_QH","SKT")</f>
        <v>0</v>
      </c>
      <c r="W46" s="22">
        <f ca="1">+GETPIVOTDATA("XBC4",'bauchinh (2016)'!$A$3,"MA_HT","TSC","MA_QH","SKN")</f>
        <v>0</v>
      </c>
      <c r="X46" s="22">
        <f ca="1">+GETPIVOTDATA("XBC4",'bauchinh (2016)'!$A$3,"MA_HT","TSC","MA_QH","TMD")</f>
        <v>0</v>
      </c>
      <c r="Y46" s="22">
        <f ca="1">+GETPIVOTDATA("XBC4",'bauchinh (2016)'!$A$3,"MA_HT","TSC","MA_QH","SKC")</f>
        <v>0</v>
      </c>
      <c r="Z46" s="22">
        <f ca="1">+GETPIVOTDATA("XBC4",'bauchinh (2016)'!$A$3,"MA_HT","TSC","MA_QH","SKS")</f>
        <v>0</v>
      </c>
      <c r="AA46" s="52">
        <f ca="1" t="shared" si="21"/>
        <v>0</v>
      </c>
      <c r="AB46" s="22">
        <f ca="1">+GETPIVOTDATA("XBC4",'bauchinh (2016)'!$A$3,"MA_HT","TSC","MA_QH","DGT")</f>
        <v>0</v>
      </c>
      <c r="AC46" s="22">
        <f ca="1">+GETPIVOTDATA("XBC4",'bauchinh (2016)'!$A$3,"MA_HT","TSC","MA_QH","DTL")</f>
        <v>0</v>
      </c>
      <c r="AD46" s="22">
        <f ca="1">+GETPIVOTDATA("XBC4",'bauchinh (2016)'!$A$3,"MA_HT","TSC","MA_QH","DNL")</f>
        <v>0</v>
      </c>
      <c r="AE46" s="22">
        <f ca="1">+GETPIVOTDATA("XBC4",'bauchinh (2016)'!$A$3,"MA_HT","TSC","MA_QH","DBV")</f>
        <v>0</v>
      </c>
      <c r="AF46" s="22">
        <f ca="1">+GETPIVOTDATA("XBC4",'bauchinh (2016)'!$A$3,"MA_HT","TSC","MA_QH","DVH")</f>
        <v>0</v>
      </c>
      <c r="AG46" s="22">
        <f ca="1">+GETPIVOTDATA("XBC4",'bauchinh (2016)'!$A$3,"MA_HT","TSC","MA_QH","DYT")</f>
        <v>0</v>
      </c>
      <c r="AH46" s="22">
        <f ca="1">+GETPIVOTDATA("XBC4",'bauchinh (2016)'!$A$3,"MA_HT","TSC","MA_QH","DGD")</f>
        <v>0</v>
      </c>
      <c r="AI46" s="22">
        <f ca="1">+GETPIVOTDATA("XBC4",'bauchinh (2016)'!$A$3,"MA_HT","TSC","MA_QH","DTT")</f>
        <v>0</v>
      </c>
      <c r="AJ46" s="22">
        <f ca="1">+GETPIVOTDATA("XBC4",'bauchinh (2016)'!$A$3,"MA_HT","TSC","MA_QH","NCK")</f>
        <v>0</v>
      </c>
      <c r="AK46" s="22">
        <f ca="1">+GETPIVOTDATA("XBC4",'bauchinh (2016)'!$A$3,"MA_HT","TSC","MA_QH","DXH")</f>
        <v>0</v>
      </c>
      <c r="AL46" s="22">
        <f ca="1">+GETPIVOTDATA("XBC4",'bauchinh (2016)'!$A$3,"MA_HT","TSC","MA_QH","DCH")</f>
        <v>0</v>
      </c>
      <c r="AM46" s="22">
        <f ca="1">+GETPIVOTDATA("XBC4",'bauchinh (2016)'!$A$3,"MA_HT","TSC","MA_QH","DKG")</f>
        <v>0</v>
      </c>
      <c r="AN46" s="22">
        <f ca="1">+GETPIVOTDATA("XBC4",'bauchinh (2016)'!$A$3,"MA_HT","TSC","MA_QH","DDT")</f>
        <v>0</v>
      </c>
      <c r="AO46" s="22">
        <f ca="1">+GETPIVOTDATA("XBC4",'bauchinh (2016)'!$A$3,"MA_HT","TSC","MA_QH","DDL")</f>
        <v>0</v>
      </c>
      <c r="AP46" s="22">
        <f ca="1">+GETPIVOTDATA("XBC4",'bauchinh (2016)'!$A$3,"MA_HT","TSC","MA_QH","DRA")</f>
        <v>0</v>
      </c>
      <c r="AQ46" s="22">
        <f ca="1">+GETPIVOTDATA("XBC4",'bauchinh (2016)'!$A$3,"MA_HT","TSC","MA_QH","ONT")</f>
        <v>0</v>
      </c>
      <c r="AR46" s="22">
        <f ca="1">+GETPIVOTDATA("XBC4",'bauchinh (2016)'!$A$3,"MA_HT","TSC","MA_QH","ODT")</f>
        <v>0</v>
      </c>
      <c r="AS46" s="43" t="e">
        <f ca="1">$D46-$BF46</f>
        <v>#REF!</v>
      </c>
      <c r="AT46" s="22">
        <f ca="1">+GETPIVOTDATA("XBC4",'bauchinh (2016)'!$A$3,"MA_HT","TSC","MA_QH","DTS")</f>
        <v>0</v>
      </c>
      <c r="AU46" s="22">
        <f ca="1">+GETPIVOTDATA("XBC4",'bauchinh (2016)'!$A$3,"MA_HT","TSC","MA_QH","DNG")</f>
        <v>0</v>
      </c>
      <c r="AV46" s="22">
        <f ca="1">+GETPIVOTDATA("XBC4",'bauchinh (2016)'!$A$3,"MA_HT","TSC","MA_QH","TON")</f>
        <v>0</v>
      </c>
      <c r="AW46" s="22">
        <f ca="1">+GETPIVOTDATA("XBC4",'bauchinh (2016)'!$A$3,"MA_HT","TSC","MA_QH","NTD")</f>
        <v>0</v>
      </c>
      <c r="AX46" s="22">
        <f ca="1">+GETPIVOTDATA("XBC4",'bauchinh (2016)'!$A$3,"MA_HT","TSC","MA_QH","SKX")</f>
        <v>0</v>
      </c>
      <c r="AY46" s="22">
        <f ca="1">+GETPIVOTDATA("XBC4",'bauchinh (2016)'!$A$3,"MA_HT","TSC","MA_QH","DSH")</f>
        <v>0</v>
      </c>
      <c r="AZ46" s="22">
        <f ca="1">+GETPIVOTDATA("XBC4",'bauchinh (2016)'!$A$3,"MA_HT","TSC","MA_QH","DKV")</f>
        <v>0</v>
      </c>
      <c r="BA46" s="89">
        <f ca="1">+GETPIVOTDATA("XBC4",'bauchinh (2016)'!$A$3,"MA_HT","TSC","MA_QH","TIN")</f>
        <v>0</v>
      </c>
      <c r="BB46" s="50">
        <f ca="1">+GETPIVOTDATA("XBC4",'bauchinh (2016)'!$A$3,"MA_HT","TSC","MA_QH","SON")</f>
        <v>0</v>
      </c>
      <c r="BC46" s="50">
        <f ca="1">+GETPIVOTDATA("XBC4",'bauchinh (2016)'!$A$3,"MA_HT","TSC","MA_QH","MNC")</f>
        <v>0</v>
      </c>
      <c r="BD46" s="22">
        <f ca="1">+GETPIVOTDATA("XBC4",'bauchinh (2016)'!$A$3,"MA_HT","TSC","MA_QH","PNK")</f>
        <v>0</v>
      </c>
      <c r="BE46" s="71">
        <f ca="1">+GETPIVOTDATA("XBC4",'bauchinh (2016)'!$A$3,"MA_HT","TSC","MA_QH","CSD")</f>
        <v>0</v>
      </c>
      <c r="BF46" s="74">
        <f ca="1" t="shared" si="13"/>
        <v>0</v>
      </c>
      <c r="BG46" s="101">
        <f ca="1">AS$59-$BF46</f>
        <v>0</v>
      </c>
      <c r="BH46" s="41" t="e">
        <f ca="1" t="shared" si="14"/>
        <v>#REF!</v>
      </c>
      <c r="BI46" s="114"/>
      <c r="BJ46" s="114" t="e">
        <f>#REF!</f>
        <v>#REF!</v>
      </c>
      <c r="BK46" s="115" t="e">
        <f ca="1">BH46-BJ46</f>
        <v>#REF!</v>
      </c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</row>
    <row r="47" s="2" customFormat="1" ht="15.75" customHeight="1" spans="1:79">
      <c r="A47" s="54" t="s">
        <v>8412</v>
      </c>
      <c r="B47" s="55" t="s">
        <v>8413</v>
      </c>
      <c r="C47" s="56" t="s">
        <v>8293</v>
      </c>
      <c r="D47" s="57" t="e">
        <f>+#REF!</f>
        <v>#REF!</v>
      </c>
      <c r="E47" s="58">
        <f ca="1" t="shared" si="15"/>
        <v>0</v>
      </c>
      <c r="F47" s="59">
        <f ca="1" t="shared" si="9"/>
        <v>0</v>
      </c>
      <c r="G47" s="60">
        <f ca="1">+GETPIVOTDATA("XBC4",'bauchinh (2016)'!$A$3,"MA_HT","DTS","MA_QH","LUC")</f>
        <v>0</v>
      </c>
      <c r="H47" s="60">
        <f ca="1">+GETPIVOTDATA("XBC4",'bauchinh (2016)'!$A$3,"MA_HT","DTS","MA_QH","LUK")</f>
        <v>0</v>
      </c>
      <c r="I47" s="60">
        <f ca="1">+GETPIVOTDATA("XBC4",'bauchinh (2016)'!$A$3,"MA_HT","DTS","MA_QH","LUN")</f>
        <v>0</v>
      </c>
      <c r="J47" s="60">
        <f ca="1">+GETPIVOTDATA("XBC4",'bauchinh (2016)'!$A$3,"MA_HT","DTS","MA_QH","HNK")</f>
        <v>0</v>
      </c>
      <c r="K47" s="60">
        <f ca="1">+GETPIVOTDATA("XBC4",'bauchinh (2016)'!$A$3,"MA_HT","DTS","MA_QH","CLN")</f>
        <v>0</v>
      </c>
      <c r="L47" s="60">
        <f ca="1">+GETPIVOTDATA("XBC4",'bauchinh (2016)'!$A$3,"MA_HT","DTS","MA_QH","RSX")</f>
        <v>0</v>
      </c>
      <c r="M47" s="60">
        <f ca="1">+GETPIVOTDATA("XBC4",'bauchinh (2016)'!$A$3,"MA_HT","DTS","MA_QH","RPH")</f>
        <v>0</v>
      </c>
      <c r="N47" s="60">
        <f ca="1">+GETPIVOTDATA("XBC4",'bauchinh (2016)'!$A$3,"MA_HT","DTS","MA_QH","RDD")</f>
        <v>0</v>
      </c>
      <c r="O47" s="60">
        <f ca="1">+GETPIVOTDATA("XBC4",'bauchinh (2016)'!$A$3,"MA_HT","DTS","MA_QH","NTS")</f>
        <v>0</v>
      </c>
      <c r="P47" s="60">
        <f ca="1">+GETPIVOTDATA("XBC4",'bauchinh (2016)'!$A$3,"MA_HT","DTS","MA_QH","LMU")</f>
        <v>0</v>
      </c>
      <c r="Q47" s="60">
        <f ca="1">+GETPIVOTDATA("XBC4",'bauchinh (2016)'!$A$3,"MA_HT","DTS","MA_QH","NKH")</f>
        <v>0</v>
      </c>
      <c r="R47" s="78">
        <f ca="1">SUM(S47:AA47,AN47:AS47,AU47:BD47)</f>
        <v>0</v>
      </c>
      <c r="S47" s="60">
        <f ca="1">+GETPIVOTDATA("XBC4",'bauchinh (2016)'!$A$3,"MA_HT","DTS","MA_QH","CQP")</f>
        <v>0</v>
      </c>
      <c r="T47" s="60">
        <f ca="1">+GETPIVOTDATA("XBC4",'bauchinh (2016)'!$A$3,"MA_HT","DTS","MA_QH","CAN")</f>
        <v>0</v>
      </c>
      <c r="U47" s="60">
        <f ca="1">+GETPIVOTDATA("XBC4",'bauchinh (2016)'!$A$3,"MA_HT","DTS","MA_QH","SKK")</f>
        <v>0</v>
      </c>
      <c r="V47" s="60">
        <f ca="1">+GETPIVOTDATA("XBC4",'bauchinh (2016)'!$A$3,"MA_HT","DTS","MA_QH","SKT")</f>
        <v>0</v>
      </c>
      <c r="W47" s="60">
        <f ca="1">+GETPIVOTDATA("XBC4",'bauchinh (2016)'!$A$3,"MA_HT","DTS","MA_QH","SKN")</f>
        <v>0</v>
      </c>
      <c r="X47" s="60">
        <f ca="1">+GETPIVOTDATA("XBC4",'bauchinh (2016)'!$A$3,"MA_HT","DTS","MA_QH","TMD")</f>
        <v>0</v>
      </c>
      <c r="Y47" s="60">
        <f ca="1">+GETPIVOTDATA("XBC4",'bauchinh (2016)'!$A$3,"MA_HT","DTS","MA_QH","SKC")</f>
        <v>0</v>
      </c>
      <c r="Z47" s="60">
        <f ca="1">+GETPIVOTDATA("XBC4",'bauchinh (2016)'!$A$3,"MA_HT","DTS","MA_QH","SKS")</f>
        <v>0</v>
      </c>
      <c r="AA47" s="59">
        <f ca="1" t="shared" si="21"/>
        <v>0</v>
      </c>
      <c r="AB47" s="60">
        <f ca="1">+GETPIVOTDATA("XBC4",'bauchinh (2016)'!$A$3,"MA_HT","DTS","MA_QH","DGT")</f>
        <v>0</v>
      </c>
      <c r="AC47" s="60">
        <f ca="1">+GETPIVOTDATA("XBC4",'bauchinh (2016)'!$A$3,"MA_HT","DTS","MA_QH","DTL")</f>
        <v>0</v>
      </c>
      <c r="AD47" s="60">
        <f ca="1">+GETPIVOTDATA("XBC4",'bauchinh (2016)'!$A$3,"MA_HT","DTS","MA_QH","DNL")</f>
        <v>0</v>
      </c>
      <c r="AE47" s="60">
        <f ca="1">+GETPIVOTDATA("XBC4",'bauchinh (2016)'!$A$3,"MA_HT","DTS","MA_QH","DBV")</f>
        <v>0</v>
      </c>
      <c r="AF47" s="60">
        <f ca="1">+GETPIVOTDATA("XBC4",'bauchinh (2016)'!$A$3,"MA_HT","DTS","MA_QH","DVH")</f>
        <v>0</v>
      </c>
      <c r="AG47" s="60">
        <f ca="1">+GETPIVOTDATA("XBC4",'bauchinh (2016)'!$A$3,"MA_HT","DTS","MA_QH","DYT")</f>
        <v>0</v>
      </c>
      <c r="AH47" s="60">
        <f ca="1">+GETPIVOTDATA("XBC4",'bauchinh (2016)'!$A$3,"MA_HT","DTS","MA_QH","DGD")</f>
        <v>0</v>
      </c>
      <c r="AI47" s="60">
        <f ca="1">+GETPIVOTDATA("XBC4",'bauchinh (2016)'!$A$3,"MA_HT","DTS","MA_QH","DTT")</f>
        <v>0</v>
      </c>
      <c r="AJ47" s="60">
        <f ca="1">+GETPIVOTDATA("XBC4",'bauchinh (2016)'!$A$3,"MA_HT","DTS","MA_QH","NCK")</f>
        <v>0</v>
      </c>
      <c r="AK47" s="60">
        <f ca="1">+GETPIVOTDATA("XBC4",'bauchinh (2016)'!$A$3,"MA_HT","DTS","MA_QH","DXH")</f>
        <v>0</v>
      </c>
      <c r="AL47" s="60">
        <f ca="1">+GETPIVOTDATA("XBC4",'bauchinh (2016)'!$A$3,"MA_HT","DTS","MA_QH","DCH")</f>
        <v>0</v>
      </c>
      <c r="AM47" s="60">
        <f ca="1">+GETPIVOTDATA("XBC4",'bauchinh (2016)'!$A$3,"MA_HT","DTS","MA_QH","DKG")</f>
        <v>0</v>
      </c>
      <c r="AN47" s="60">
        <f ca="1">+GETPIVOTDATA("XBC4",'bauchinh (2016)'!$A$3,"MA_HT","DTS","MA_QH","DDT")</f>
        <v>0</v>
      </c>
      <c r="AO47" s="60">
        <f ca="1">+GETPIVOTDATA("XBC4",'bauchinh (2016)'!$A$3,"MA_HT","DTS","MA_QH","DDL")</f>
        <v>0</v>
      </c>
      <c r="AP47" s="60">
        <f ca="1">+GETPIVOTDATA("XBC4",'bauchinh (2016)'!$A$3,"MA_HT","DTS","MA_QH","DRA")</f>
        <v>0</v>
      </c>
      <c r="AQ47" s="60">
        <f ca="1">+GETPIVOTDATA("XBC4",'bauchinh (2016)'!$A$3,"MA_HT","DTS","MA_QH","ONT")</f>
        <v>0</v>
      </c>
      <c r="AR47" s="60">
        <f ca="1">+GETPIVOTDATA("XBC4",'bauchinh (2016)'!$A$3,"MA_HT","DTS","MA_QH","ODT")</f>
        <v>0</v>
      </c>
      <c r="AS47" s="60">
        <f ca="1">+GETPIVOTDATA("XBC4",'bauchinh (2016)'!$A$3,"MA_HT","DTS","MA_QH","TSC")</f>
        <v>0</v>
      </c>
      <c r="AT47" s="81" t="e">
        <f ca="1">$D47-$BF47</f>
        <v>#REF!</v>
      </c>
      <c r="AU47" s="60">
        <f ca="1">+GETPIVOTDATA("XBC4",'bauchinh (2016)'!$A$3,"MA_HT","DTS","MA_QH","DNG")</f>
        <v>0</v>
      </c>
      <c r="AV47" s="60">
        <f ca="1">+GETPIVOTDATA("XBC4",'bauchinh (2016)'!$A$3,"MA_HT","DTS","MA_QH","TON")</f>
        <v>0</v>
      </c>
      <c r="AW47" s="60">
        <f ca="1">+GETPIVOTDATA("XBC4",'bauchinh (2016)'!$A$3,"MA_HT","DTS","MA_QH","NTD")</f>
        <v>0</v>
      </c>
      <c r="AX47" s="60">
        <f ca="1">+GETPIVOTDATA("XBC4",'bauchinh (2016)'!$A$3,"MA_HT","DTS","MA_QH","SKX")</f>
        <v>0</v>
      </c>
      <c r="AY47" s="60">
        <f ca="1">+GETPIVOTDATA("XBC4",'bauchinh (2016)'!$A$3,"MA_HT","DTS","MA_QH","DSH")</f>
        <v>0</v>
      </c>
      <c r="AZ47" s="60">
        <f ca="1">+GETPIVOTDATA("XBC4",'bauchinh (2016)'!$A$3,"MA_HT","DTS","MA_QH","DKV")</f>
        <v>0</v>
      </c>
      <c r="BA47" s="90">
        <f ca="1">+GETPIVOTDATA("XBC4",'bauchinh (2016)'!$A$3,"MA_HT","DTS","MA_QH","TIN")</f>
        <v>0</v>
      </c>
      <c r="BB47" s="91">
        <f ca="1">+GETPIVOTDATA("XBC4",'bauchinh (2016)'!$A$3,"MA_HT","DTS","MA_QH","SON")</f>
        <v>0</v>
      </c>
      <c r="BC47" s="91">
        <f ca="1">+GETPIVOTDATA("XBC4",'bauchinh (2016)'!$A$3,"MA_HT","DTS","MA_QH","MNC")</f>
        <v>0</v>
      </c>
      <c r="BD47" s="60">
        <f ca="1">+GETPIVOTDATA("XBC4",'bauchinh (2016)'!$A$3,"MA_HT","DTS","MA_QH","PNK")</f>
        <v>0</v>
      </c>
      <c r="BE47" s="111">
        <f ca="1">+GETPIVOTDATA("XBC4",'bauchinh (2016)'!$A$3,"MA_HT","DTS","MA_QH","CSD")</f>
        <v>0</v>
      </c>
      <c r="BF47" s="112">
        <f ca="1" t="shared" si="13"/>
        <v>0</v>
      </c>
      <c r="BG47" s="113">
        <f ca="1">AT$59-$BF47</f>
        <v>0</v>
      </c>
      <c r="BH47" s="57" t="e">
        <f ca="1" t="shared" si="14"/>
        <v>#REF!</v>
      </c>
      <c r="BI47" s="98"/>
      <c r="BJ47" s="98"/>
      <c r="BK47" s="107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</row>
    <row r="48" s="2" customFormat="1" ht="15.75" customHeight="1" spans="1:79">
      <c r="A48" s="39" t="s">
        <v>8414</v>
      </c>
      <c r="B48" s="53" t="s">
        <v>8415</v>
      </c>
      <c r="C48" s="40" t="s">
        <v>8290</v>
      </c>
      <c r="D48" s="41" t="e">
        <f>+#REF!</f>
        <v>#REF!</v>
      </c>
      <c r="E48" s="42">
        <f ca="1" t="shared" si="15"/>
        <v>0</v>
      </c>
      <c r="F48" s="52">
        <f ca="1" t="shared" si="9"/>
        <v>0</v>
      </c>
      <c r="G48" s="22">
        <f ca="1">+GETPIVOTDATA("XBC4",'bauchinh (2016)'!$A$3,"MA_HT","DNG","MA_QH","LUC")</f>
        <v>0</v>
      </c>
      <c r="H48" s="22">
        <f ca="1">+GETPIVOTDATA("XBC4",'bauchinh (2016)'!$A$3,"MA_HT","DNG","MA_QH","LUK")</f>
        <v>0</v>
      </c>
      <c r="I48" s="22">
        <f ca="1">+GETPIVOTDATA("XBC4",'bauchinh (2016)'!$A$3,"MA_HT","DNG","MA_QH","LUN")</f>
        <v>0</v>
      </c>
      <c r="J48" s="22">
        <f ca="1">+GETPIVOTDATA("XBC4",'bauchinh (2016)'!$A$3,"MA_HT","DNG","MA_QH","HNK")</f>
        <v>0</v>
      </c>
      <c r="K48" s="22">
        <f ca="1">+GETPIVOTDATA("XBC4",'bauchinh (2016)'!$A$3,"MA_HT","DNG","MA_QH","CLN")</f>
        <v>0</v>
      </c>
      <c r="L48" s="22">
        <f ca="1">+GETPIVOTDATA("XBC4",'bauchinh (2016)'!$A$3,"MA_HT","DNG","MA_QH","RSX")</f>
        <v>0</v>
      </c>
      <c r="M48" s="22">
        <f ca="1">+GETPIVOTDATA("XBC4",'bauchinh (2016)'!$A$3,"MA_HT","DNG","MA_QH","RPH")</f>
        <v>0</v>
      </c>
      <c r="N48" s="22">
        <f ca="1">+GETPIVOTDATA("XBC4",'bauchinh (2016)'!$A$3,"MA_HT","DNG","MA_QH","RDD")</f>
        <v>0</v>
      </c>
      <c r="O48" s="22">
        <f ca="1">+GETPIVOTDATA("XBC4",'bauchinh (2016)'!$A$3,"MA_HT","DNG","MA_QH","NTS")</f>
        <v>0</v>
      </c>
      <c r="P48" s="22">
        <f ca="1">+GETPIVOTDATA("XBC4",'bauchinh (2016)'!$A$3,"MA_HT","DNG","MA_QH","LMU")</f>
        <v>0</v>
      </c>
      <c r="Q48" s="22">
        <f ca="1">+GETPIVOTDATA("XBC4",'bauchinh (2016)'!$A$3,"MA_HT","DNG","MA_QH","NKH")</f>
        <v>0</v>
      </c>
      <c r="R48" s="79">
        <f ca="1">SUM(S48:AA48,AN48:AT48,AV48:BD48)</f>
        <v>0</v>
      </c>
      <c r="S48" s="22">
        <f ca="1">+GETPIVOTDATA("XBC4",'bauchinh (2016)'!$A$3,"MA_HT","DNG","MA_QH","CQP")</f>
        <v>0</v>
      </c>
      <c r="T48" s="22">
        <f ca="1">+GETPIVOTDATA("XBC4",'bauchinh (2016)'!$A$3,"MA_HT","DNG","MA_QH","CAN")</f>
        <v>0</v>
      </c>
      <c r="U48" s="22">
        <f ca="1">+GETPIVOTDATA("XBC4",'bauchinh (2016)'!$A$3,"MA_HT","DNG","MA_QH","SKK")</f>
        <v>0</v>
      </c>
      <c r="V48" s="22">
        <f ca="1">+GETPIVOTDATA("XBC4",'bauchinh (2016)'!$A$3,"MA_HT","DNG","MA_QH","SKT")</f>
        <v>0</v>
      </c>
      <c r="W48" s="22">
        <f ca="1">+GETPIVOTDATA("XBC4",'bauchinh (2016)'!$A$3,"MA_HT","DNG","MA_QH","SKN")</f>
        <v>0</v>
      </c>
      <c r="X48" s="22">
        <f ca="1">+GETPIVOTDATA("XBC4",'bauchinh (2016)'!$A$3,"MA_HT","DNG","MA_QH","TMD")</f>
        <v>0</v>
      </c>
      <c r="Y48" s="22">
        <f ca="1">+GETPIVOTDATA("XBC4",'bauchinh (2016)'!$A$3,"MA_HT","DNG","MA_QH","SKC")</f>
        <v>0</v>
      </c>
      <c r="Z48" s="22">
        <f ca="1">+GETPIVOTDATA("XBC4",'bauchinh (2016)'!$A$3,"MA_HT","DNG","MA_QH","SKS")</f>
        <v>0</v>
      </c>
      <c r="AA48" s="52">
        <f ca="1" t="shared" si="21"/>
        <v>0</v>
      </c>
      <c r="AB48" s="22">
        <f ca="1">+GETPIVOTDATA("XBC4",'bauchinh (2016)'!$A$3,"MA_HT","DNG","MA_QH","DGT")</f>
        <v>0</v>
      </c>
      <c r="AC48" s="22">
        <f ca="1">+GETPIVOTDATA("XBC4",'bauchinh (2016)'!$A$3,"MA_HT","DNG","MA_QH","DTL")</f>
        <v>0</v>
      </c>
      <c r="AD48" s="22">
        <f ca="1">+GETPIVOTDATA("XBC4",'bauchinh (2016)'!$A$3,"MA_HT","DNG","MA_QH","DNL")</f>
        <v>0</v>
      </c>
      <c r="AE48" s="22">
        <f ca="1">+GETPIVOTDATA("XBC4",'bauchinh (2016)'!$A$3,"MA_HT","DNG","MA_QH","DBV")</f>
        <v>0</v>
      </c>
      <c r="AF48" s="22">
        <f ca="1">+GETPIVOTDATA("XBC4",'bauchinh (2016)'!$A$3,"MA_HT","DNG","MA_QH","DVH")</f>
        <v>0</v>
      </c>
      <c r="AG48" s="22">
        <f ca="1">+GETPIVOTDATA("XBC4",'bauchinh (2016)'!$A$3,"MA_HT","DNG","MA_QH","DYT")</f>
        <v>0</v>
      </c>
      <c r="AH48" s="22">
        <f ca="1">+GETPIVOTDATA("XBC4",'bauchinh (2016)'!$A$3,"MA_HT","DNG","MA_QH","DGD")</f>
        <v>0</v>
      </c>
      <c r="AI48" s="22">
        <f ca="1">+GETPIVOTDATA("XBC4",'bauchinh (2016)'!$A$3,"MA_HT","DNG","MA_QH","DTT")</f>
        <v>0</v>
      </c>
      <c r="AJ48" s="22">
        <f ca="1">+GETPIVOTDATA("XBC4",'bauchinh (2016)'!$A$3,"MA_HT","DNG","MA_QH","NCK")</f>
        <v>0</v>
      </c>
      <c r="AK48" s="22">
        <f ca="1">+GETPIVOTDATA("XBC4",'bauchinh (2016)'!$A$3,"MA_HT","DNG","MA_QH","DXH")</f>
        <v>0</v>
      </c>
      <c r="AL48" s="22">
        <f ca="1">+GETPIVOTDATA("XBC4",'bauchinh (2016)'!$A$3,"MA_HT","DNG","MA_QH","DCH")</f>
        <v>0</v>
      </c>
      <c r="AM48" s="22">
        <f ca="1">+GETPIVOTDATA("XBC4",'bauchinh (2016)'!$A$3,"MA_HT","DNG","MA_QH","DKG")</f>
        <v>0</v>
      </c>
      <c r="AN48" s="22">
        <f ca="1">+GETPIVOTDATA("XBC4",'bauchinh (2016)'!$A$3,"MA_HT","DNG","MA_QH","DDT")</f>
        <v>0</v>
      </c>
      <c r="AO48" s="22">
        <f ca="1">+GETPIVOTDATA("XBC4",'bauchinh (2016)'!$A$3,"MA_HT","DNG","MA_QH","DDL")</f>
        <v>0</v>
      </c>
      <c r="AP48" s="22">
        <f ca="1">+GETPIVOTDATA("XBC4",'bauchinh (2016)'!$A$3,"MA_HT","DNG","MA_QH","DRA")</f>
        <v>0</v>
      </c>
      <c r="AQ48" s="22">
        <f ca="1">+GETPIVOTDATA("XBC4",'bauchinh (2016)'!$A$3,"MA_HT","DNG","MA_QH","ONT")</f>
        <v>0</v>
      </c>
      <c r="AR48" s="22">
        <f ca="1">+GETPIVOTDATA("XBC4",'bauchinh (2016)'!$A$3,"MA_HT","DNG","MA_QH","ODT")</f>
        <v>0</v>
      </c>
      <c r="AS48" s="22">
        <f ca="1">+GETPIVOTDATA("XBC4",'bauchinh (2016)'!$A$3,"MA_HT","DNG","MA_QH","TSC")</f>
        <v>0</v>
      </c>
      <c r="AT48" s="22">
        <f ca="1">+GETPIVOTDATA("XBC4",'bauchinh (2016)'!$A$3,"MA_HT","DNG","MA_QH","DTS")</f>
        <v>0</v>
      </c>
      <c r="AU48" s="43" t="e">
        <f ca="1">$D48-$BF48</f>
        <v>#REF!</v>
      </c>
      <c r="AV48" s="22">
        <f ca="1">+GETPIVOTDATA("XBC4",'bauchinh (2016)'!$A$3,"MA_HT","DNG","MA_QH","TON")</f>
        <v>0</v>
      </c>
      <c r="AW48" s="22">
        <f ca="1">+GETPIVOTDATA("XBC4",'bauchinh (2016)'!$A$3,"MA_HT","DNG","MA_QH","NTD")</f>
        <v>0</v>
      </c>
      <c r="AX48" s="22">
        <f ca="1">+GETPIVOTDATA("XBC4",'bauchinh (2016)'!$A$3,"MA_HT","DNG","MA_QH","SKX")</f>
        <v>0</v>
      </c>
      <c r="AY48" s="22">
        <f ca="1">+GETPIVOTDATA("XBC4",'bauchinh (2016)'!$A$3,"MA_HT","DNG","MA_QH","DSH")</f>
        <v>0</v>
      </c>
      <c r="AZ48" s="22">
        <f ca="1">+GETPIVOTDATA("XBC4",'bauchinh (2016)'!$A$3,"MA_HT","DNG","MA_QH","DKV")</f>
        <v>0</v>
      </c>
      <c r="BA48" s="89">
        <f ca="1">+GETPIVOTDATA("XBC4",'bauchinh (2016)'!$A$3,"MA_HT","DNG","MA_QH","TIN")</f>
        <v>0</v>
      </c>
      <c r="BB48" s="50">
        <f ca="1">+GETPIVOTDATA("XBC4",'bauchinh (2016)'!$A$3,"MA_HT","DNG","MA_QH","SON")</f>
        <v>0</v>
      </c>
      <c r="BC48" s="50">
        <f ca="1">+GETPIVOTDATA("XBC4",'bauchinh (2016)'!$A$3,"MA_HT","DNG","MA_QH","MNC")</f>
        <v>0</v>
      </c>
      <c r="BD48" s="22">
        <f ca="1">+GETPIVOTDATA("XBC4",'bauchinh (2016)'!$A$3,"MA_HT","DNG","MA_QH","PNK")</f>
        <v>0</v>
      </c>
      <c r="BE48" s="71">
        <f ca="1">+GETPIVOTDATA("XBC4",'bauchinh (2016)'!$A$3,"MA_HT","DNG","MA_QH","CSD")</f>
        <v>0</v>
      </c>
      <c r="BF48" s="74">
        <f ca="1" t="shared" si="13"/>
        <v>0</v>
      </c>
      <c r="BG48" s="101">
        <f ca="1">AU$59-$BF48</f>
        <v>0</v>
      </c>
      <c r="BH48" s="41" t="e">
        <f ca="1" t="shared" si="14"/>
        <v>#REF!</v>
      </c>
      <c r="BI48" s="98"/>
      <c r="BJ48" s="98" t="e">
        <f>#REF!</f>
        <v>#REF!</v>
      </c>
      <c r="BK48" s="107" t="e">
        <f ca="1">BH48-BJ48</f>
        <v>#REF!</v>
      </c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</row>
    <row r="49" s="2" customFormat="1" ht="15.75" customHeight="1" spans="1:79">
      <c r="A49" s="39" t="s">
        <v>8416</v>
      </c>
      <c r="B49" s="53" t="s">
        <v>8417</v>
      </c>
      <c r="C49" s="40" t="s">
        <v>324</v>
      </c>
      <c r="D49" s="41" t="e">
        <f>+#REF!</f>
        <v>#REF!</v>
      </c>
      <c r="E49" s="42">
        <f ca="1" t="shared" si="15"/>
        <v>0</v>
      </c>
      <c r="F49" s="52">
        <f ca="1" t="shared" si="9"/>
        <v>0</v>
      </c>
      <c r="G49" s="22">
        <f ca="1">+GETPIVOTDATA("XBC4",'bauchinh (2016)'!$A$3,"MA_HT","TON","MA_QH","LUC")</f>
        <v>0</v>
      </c>
      <c r="H49" s="22">
        <f ca="1">+GETPIVOTDATA("XBC4",'bauchinh (2016)'!$A$3,"MA_HT","TON","MA_QH","LUK")</f>
        <v>0</v>
      </c>
      <c r="I49" s="22">
        <f ca="1">+GETPIVOTDATA("XBC4",'bauchinh (2016)'!$A$3,"MA_HT","TON","MA_QH","LUN")</f>
        <v>0</v>
      </c>
      <c r="J49" s="22">
        <f ca="1">+GETPIVOTDATA("XBC4",'bauchinh (2016)'!$A$3,"MA_HT","TON","MA_QH","HNK")</f>
        <v>0</v>
      </c>
      <c r="K49" s="22">
        <f ca="1">+GETPIVOTDATA("XBC4",'bauchinh (2016)'!$A$3,"MA_HT","TON","MA_QH","CLN")</f>
        <v>0</v>
      </c>
      <c r="L49" s="22">
        <f ca="1">+GETPIVOTDATA("XBC4",'bauchinh (2016)'!$A$3,"MA_HT","TON","MA_QH","RSX")</f>
        <v>0</v>
      </c>
      <c r="M49" s="22">
        <f ca="1">+GETPIVOTDATA("XBC4",'bauchinh (2016)'!$A$3,"MA_HT","TON","MA_QH","RPH")</f>
        <v>0</v>
      </c>
      <c r="N49" s="22">
        <f ca="1">+GETPIVOTDATA("XBC4",'bauchinh (2016)'!$A$3,"MA_HT","TON","MA_QH","RDD")</f>
        <v>0</v>
      </c>
      <c r="O49" s="22">
        <f ca="1">+GETPIVOTDATA("XBC4",'bauchinh (2016)'!$A$3,"MA_HT","TON","MA_QH","NTS")</f>
        <v>0</v>
      </c>
      <c r="P49" s="22">
        <f ca="1">+GETPIVOTDATA("XBC4",'bauchinh (2016)'!$A$3,"MA_HT","TON","MA_QH","LMU")</f>
        <v>0</v>
      </c>
      <c r="Q49" s="22">
        <f ca="1">+GETPIVOTDATA("XBC4",'bauchinh (2016)'!$A$3,"MA_HT","TON","MA_QH","NKH")</f>
        <v>0</v>
      </c>
      <c r="R49" s="79">
        <f ca="1">SUM(S49:AA49,AN49:AU49,AW49:BD49)</f>
        <v>0</v>
      </c>
      <c r="S49" s="22">
        <f ca="1">+GETPIVOTDATA("XBC4",'bauchinh (2016)'!$A$3,"MA_HT","TON","MA_QH","CQP")</f>
        <v>0</v>
      </c>
      <c r="T49" s="22">
        <f ca="1">+GETPIVOTDATA("XBC4",'bauchinh (2016)'!$A$3,"MA_HT","TON","MA_QH","CAN")</f>
        <v>0</v>
      </c>
      <c r="U49" s="22">
        <f ca="1">+GETPIVOTDATA("XBC4",'bauchinh (2016)'!$A$3,"MA_HT","TON","MA_QH","SKK")</f>
        <v>0</v>
      </c>
      <c r="V49" s="22">
        <f ca="1">+GETPIVOTDATA("XBC4",'bauchinh (2016)'!$A$3,"MA_HT","TON","MA_QH","SKT")</f>
        <v>0</v>
      </c>
      <c r="W49" s="22">
        <f ca="1">+GETPIVOTDATA("XBC4",'bauchinh (2016)'!$A$3,"MA_HT","TON","MA_QH","SKN")</f>
        <v>0</v>
      </c>
      <c r="X49" s="22">
        <f ca="1">+GETPIVOTDATA("XBC4",'bauchinh (2016)'!$A$3,"MA_HT","TON","MA_QH","TMD")</f>
        <v>0</v>
      </c>
      <c r="Y49" s="22">
        <f ca="1">+GETPIVOTDATA("XBC4",'bauchinh (2016)'!$A$3,"MA_HT","TON","MA_QH","SKC")</f>
        <v>0</v>
      </c>
      <c r="Z49" s="22">
        <f ca="1">+GETPIVOTDATA("XBC4",'bauchinh (2016)'!$A$3,"MA_HT","TON","MA_QH","SKS")</f>
        <v>0</v>
      </c>
      <c r="AA49" s="52">
        <f ca="1" t="shared" si="21"/>
        <v>0</v>
      </c>
      <c r="AB49" s="22">
        <f ca="1">+GETPIVOTDATA("XBC4",'bauchinh (2016)'!$A$3,"MA_HT","TON","MA_QH","DGT")</f>
        <v>0</v>
      </c>
      <c r="AC49" s="22">
        <f ca="1">+GETPIVOTDATA("XBC4",'bauchinh (2016)'!$A$3,"MA_HT","TON","MA_QH","DTL")</f>
        <v>0</v>
      </c>
      <c r="AD49" s="22">
        <f ca="1">+GETPIVOTDATA("XBC4",'bauchinh (2016)'!$A$3,"MA_HT","TON","MA_QH","DNL")</f>
        <v>0</v>
      </c>
      <c r="AE49" s="22">
        <f ca="1">+GETPIVOTDATA("XBC4",'bauchinh (2016)'!$A$3,"MA_HT","TON","MA_QH","DBV")</f>
        <v>0</v>
      </c>
      <c r="AF49" s="22">
        <f ca="1">+GETPIVOTDATA("XBC4",'bauchinh (2016)'!$A$3,"MA_HT","TON","MA_QH","DVH")</f>
        <v>0</v>
      </c>
      <c r="AG49" s="22">
        <f ca="1">+GETPIVOTDATA("XBC4",'bauchinh (2016)'!$A$3,"MA_HT","TON","MA_QH","DYT")</f>
        <v>0</v>
      </c>
      <c r="AH49" s="22">
        <f ca="1">+GETPIVOTDATA("XBC4",'bauchinh (2016)'!$A$3,"MA_HT","TON","MA_QH","DGD")</f>
        <v>0</v>
      </c>
      <c r="AI49" s="22">
        <f ca="1">+GETPIVOTDATA("XBC4",'bauchinh (2016)'!$A$3,"MA_HT","TON","MA_QH","DTT")</f>
        <v>0</v>
      </c>
      <c r="AJ49" s="22">
        <f ca="1">+GETPIVOTDATA("XBC4",'bauchinh (2016)'!$A$3,"MA_HT","TON","MA_QH","NCK")</f>
        <v>0</v>
      </c>
      <c r="AK49" s="22">
        <f ca="1">+GETPIVOTDATA("XBC4",'bauchinh (2016)'!$A$3,"MA_HT","TON","MA_QH","DXH")</f>
        <v>0</v>
      </c>
      <c r="AL49" s="22">
        <f ca="1">+GETPIVOTDATA("XBC4",'bauchinh (2016)'!$A$3,"MA_HT","TON","MA_QH","DCH")</f>
        <v>0</v>
      </c>
      <c r="AM49" s="22">
        <f ca="1">+GETPIVOTDATA("XBC4",'bauchinh (2016)'!$A$3,"MA_HT","TON","MA_QH","DKG")</f>
        <v>0</v>
      </c>
      <c r="AN49" s="22">
        <f ca="1">+GETPIVOTDATA("XBC4",'bauchinh (2016)'!$A$3,"MA_HT","TON","MA_QH","DDT")</f>
        <v>0</v>
      </c>
      <c r="AO49" s="22">
        <f ca="1">+GETPIVOTDATA("XBC4",'bauchinh (2016)'!$A$3,"MA_HT","TON","MA_QH","DDL")</f>
        <v>0</v>
      </c>
      <c r="AP49" s="22">
        <f ca="1">+GETPIVOTDATA("XBC4",'bauchinh (2016)'!$A$3,"MA_HT","TON","MA_QH","DRA")</f>
        <v>0</v>
      </c>
      <c r="AQ49" s="22">
        <f ca="1">+GETPIVOTDATA("XBC4",'bauchinh (2016)'!$A$3,"MA_HT","TON","MA_QH","ONT")</f>
        <v>0</v>
      </c>
      <c r="AR49" s="22">
        <f ca="1">+GETPIVOTDATA("XBC4",'bauchinh (2016)'!$A$3,"MA_HT","TON","MA_QH","ODT")</f>
        <v>0</v>
      </c>
      <c r="AS49" s="22">
        <f ca="1">+GETPIVOTDATA("XBC4",'bauchinh (2016)'!$A$3,"MA_HT","TON","MA_QH","TSC")</f>
        <v>0</v>
      </c>
      <c r="AT49" s="22">
        <f ca="1">+GETPIVOTDATA("XBC4",'bauchinh (2016)'!$A$3,"MA_HT","TON","MA_QH","DTS")</f>
        <v>0</v>
      </c>
      <c r="AU49" s="22">
        <f ca="1">+GETPIVOTDATA("XBC4",'bauchinh (2016)'!$A$3,"MA_HT","TON","MA_QH","DNG")</f>
        <v>0</v>
      </c>
      <c r="AV49" s="43" t="e">
        <f ca="1">$D49-$BF49</f>
        <v>#REF!</v>
      </c>
      <c r="AW49" s="22">
        <f ca="1">+GETPIVOTDATA("XBC4",'bauchinh (2016)'!$A$3,"MA_HT","TON","MA_QH","NTD")</f>
        <v>0</v>
      </c>
      <c r="AX49" s="22">
        <f ca="1">+GETPIVOTDATA("XBC4",'bauchinh (2016)'!$A$3,"MA_HT","TON","MA_QH","SKX")</f>
        <v>0</v>
      </c>
      <c r="AY49" s="22">
        <f ca="1">+GETPIVOTDATA("XBC4",'bauchinh (2016)'!$A$3,"MA_HT","TON","MA_QH","DSH")</f>
        <v>0</v>
      </c>
      <c r="AZ49" s="22">
        <f ca="1">+GETPIVOTDATA("XBC4",'bauchinh (2016)'!$A$3,"MA_HT","TON","MA_QH","DKV")</f>
        <v>0</v>
      </c>
      <c r="BA49" s="89">
        <f ca="1">+GETPIVOTDATA("XBC4",'bauchinh (2016)'!$A$3,"MA_HT","TON","MA_QH","TIN")</f>
        <v>0</v>
      </c>
      <c r="BB49" s="50">
        <f ca="1">+GETPIVOTDATA("XBC4",'bauchinh (2016)'!$A$3,"MA_HT","TON","MA_QH","SON")</f>
        <v>0</v>
      </c>
      <c r="BC49" s="50">
        <f ca="1">+GETPIVOTDATA("XBC4",'bauchinh (2016)'!$A$3,"MA_HT","TON","MA_QH","MNC")</f>
        <v>0</v>
      </c>
      <c r="BD49" s="22">
        <f ca="1">+GETPIVOTDATA("XBC4",'bauchinh (2016)'!$A$3,"MA_HT","TON","MA_QH","PNK")</f>
        <v>0</v>
      </c>
      <c r="BE49" s="71">
        <f ca="1">+GETPIVOTDATA("XBC4",'bauchinh (2016)'!$A$3,"MA_HT","TON","MA_QH","CSD")</f>
        <v>0</v>
      </c>
      <c r="BF49" s="74">
        <f ca="1" t="shared" si="13"/>
        <v>0</v>
      </c>
      <c r="BG49" s="101">
        <f ca="1">AV$59-$BF49</f>
        <v>0</v>
      </c>
      <c r="BH49" s="41" t="e">
        <f ca="1" t="shared" si="14"/>
        <v>#REF!</v>
      </c>
      <c r="BI49" s="98"/>
      <c r="BJ49" s="98" t="e">
        <f>#REF!</f>
        <v>#REF!</v>
      </c>
      <c r="BK49" s="107" t="e">
        <f ca="1">BH49-BJ49</f>
        <v>#REF!</v>
      </c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</row>
    <row r="50" s="2" customFormat="1" ht="15.75" customHeight="1" spans="1:79">
      <c r="A50" s="39" t="s">
        <v>8418</v>
      </c>
      <c r="B50" s="53" t="s">
        <v>8419</v>
      </c>
      <c r="C50" s="40" t="s">
        <v>182</v>
      </c>
      <c r="D50" s="41" t="e">
        <f>+#REF!</f>
        <v>#REF!</v>
      </c>
      <c r="E50" s="42">
        <f ca="1" t="shared" si="15"/>
        <v>0</v>
      </c>
      <c r="F50" s="52">
        <f ca="1" t="shared" si="9"/>
        <v>0</v>
      </c>
      <c r="G50" s="22">
        <f ca="1">+GETPIVOTDATA("XBC4",'bauchinh (2016)'!$A$3,"MA_HT","NTD","MA_QH","LUC")</f>
        <v>0</v>
      </c>
      <c r="H50" s="22">
        <f ca="1">+GETPIVOTDATA("XBC4",'bauchinh (2016)'!$A$3,"MA_HT","NTD","MA_QH","LUK")</f>
        <v>0</v>
      </c>
      <c r="I50" s="22">
        <f ca="1">+GETPIVOTDATA("XBC4",'bauchinh (2016)'!$A$3,"MA_HT","NTD","MA_QH","LUN")</f>
        <v>0</v>
      </c>
      <c r="J50" s="22">
        <f ca="1">+GETPIVOTDATA("XBC4",'bauchinh (2016)'!$A$3,"MA_HT","NTD","MA_QH","HNK")</f>
        <v>0</v>
      </c>
      <c r="K50" s="22">
        <f ca="1">+GETPIVOTDATA("XBC4",'bauchinh (2016)'!$A$3,"MA_HT","NTD","MA_QH","CLN")</f>
        <v>0</v>
      </c>
      <c r="L50" s="22">
        <f ca="1">+GETPIVOTDATA("XBC4",'bauchinh (2016)'!$A$3,"MA_HT","NTD","MA_QH","RSX")</f>
        <v>0</v>
      </c>
      <c r="M50" s="22">
        <f ca="1">+GETPIVOTDATA("XBC4",'bauchinh (2016)'!$A$3,"MA_HT","NTD","MA_QH","RPH")</f>
        <v>0</v>
      </c>
      <c r="N50" s="22">
        <f ca="1">+GETPIVOTDATA("XBC4",'bauchinh (2016)'!$A$3,"MA_HT","NTD","MA_QH","RDD")</f>
        <v>0</v>
      </c>
      <c r="O50" s="22">
        <f ca="1">+GETPIVOTDATA("XBC4",'bauchinh (2016)'!$A$3,"MA_HT","NTD","MA_QH","NTS")</f>
        <v>0</v>
      </c>
      <c r="P50" s="22">
        <f ca="1">+GETPIVOTDATA("XBC4",'bauchinh (2016)'!$A$3,"MA_HT","NTD","MA_QH","LMU")</f>
        <v>0</v>
      </c>
      <c r="Q50" s="22">
        <f ca="1">+GETPIVOTDATA("XBC4",'bauchinh (2016)'!$A$3,"MA_HT","NTD","MA_QH","NKH")</f>
        <v>0</v>
      </c>
      <c r="R50" s="79">
        <f ca="1">SUM(S50:AA50,AN50:AV50,AX50:BD50)</f>
        <v>0</v>
      </c>
      <c r="S50" s="22">
        <f ca="1">+GETPIVOTDATA("XBC4",'bauchinh (2016)'!$A$3,"MA_HT","NTD","MA_QH","CQP")</f>
        <v>0</v>
      </c>
      <c r="T50" s="22">
        <f ca="1">+GETPIVOTDATA("XBC4",'bauchinh (2016)'!$A$3,"MA_HT","NTD","MA_QH","CAN")</f>
        <v>0</v>
      </c>
      <c r="U50" s="22">
        <f ca="1">+GETPIVOTDATA("XBC4",'bauchinh (2016)'!$A$3,"MA_HT","NTD","MA_QH","SKK")</f>
        <v>0</v>
      </c>
      <c r="V50" s="22">
        <f ca="1">+GETPIVOTDATA("XBC4",'bauchinh (2016)'!$A$3,"MA_HT","NTD","MA_QH","SKT")</f>
        <v>0</v>
      </c>
      <c r="W50" s="22">
        <f ca="1">+GETPIVOTDATA("XBC4",'bauchinh (2016)'!$A$3,"MA_HT","NTD","MA_QH","SKN")</f>
        <v>0</v>
      </c>
      <c r="X50" s="22">
        <f ca="1">+GETPIVOTDATA("XBC4",'bauchinh (2016)'!$A$3,"MA_HT","NTD","MA_QH","TMD")</f>
        <v>0</v>
      </c>
      <c r="Y50" s="22">
        <f ca="1">+GETPIVOTDATA("XBC4",'bauchinh (2016)'!$A$3,"MA_HT","NTD","MA_QH","SKC")</f>
        <v>0</v>
      </c>
      <c r="Z50" s="22">
        <f ca="1">+GETPIVOTDATA("XBC4",'bauchinh (2016)'!$A$3,"MA_HT","NTD","MA_QH","SKS")</f>
        <v>0</v>
      </c>
      <c r="AA50" s="52">
        <f ca="1" t="shared" si="21"/>
        <v>0</v>
      </c>
      <c r="AB50" s="22">
        <f ca="1">+GETPIVOTDATA("XBC4",'bauchinh (2016)'!$A$3,"MA_HT","NTD","MA_QH","DGT")</f>
        <v>0</v>
      </c>
      <c r="AC50" s="22">
        <f ca="1">+GETPIVOTDATA("XBC4",'bauchinh (2016)'!$A$3,"MA_HT","NTD","MA_QH","DTL")</f>
        <v>0</v>
      </c>
      <c r="AD50" s="22">
        <f ca="1">+GETPIVOTDATA("XBC4",'bauchinh (2016)'!$A$3,"MA_HT","NTD","MA_QH","DNL")</f>
        <v>0</v>
      </c>
      <c r="AE50" s="22">
        <f ca="1">+GETPIVOTDATA("XBC4",'bauchinh (2016)'!$A$3,"MA_HT","NTD","MA_QH","DBV")</f>
        <v>0</v>
      </c>
      <c r="AF50" s="22">
        <f ca="1">+GETPIVOTDATA("XBC4",'bauchinh (2016)'!$A$3,"MA_HT","NTD","MA_QH","DVH")</f>
        <v>0</v>
      </c>
      <c r="AG50" s="22">
        <f ca="1">+GETPIVOTDATA("XBC4",'bauchinh (2016)'!$A$3,"MA_HT","NTD","MA_QH","DYT")</f>
        <v>0</v>
      </c>
      <c r="AH50" s="22">
        <f ca="1">+GETPIVOTDATA("XBC4",'bauchinh (2016)'!$A$3,"MA_HT","NTD","MA_QH","DGD")</f>
        <v>0</v>
      </c>
      <c r="AI50" s="22">
        <f ca="1">+GETPIVOTDATA("XBC4",'bauchinh (2016)'!$A$3,"MA_HT","NTD","MA_QH","DTT")</f>
        <v>0</v>
      </c>
      <c r="AJ50" s="22">
        <f ca="1">+GETPIVOTDATA("XBC4",'bauchinh (2016)'!$A$3,"MA_HT","NTD","MA_QH","NCK")</f>
        <v>0</v>
      </c>
      <c r="AK50" s="22">
        <f ca="1">+GETPIVOTDATA("XBC4",'bauchinh (2016)'!$A$3,"MA_HT","NTD","MA_QH","DXH")</f>
        <v>0</v>
      </c>
      <c r="AL50" s="22">
        <f ca="1">+GETPIVOTDATA("XBC4",'bauchinh (2016)'!$A$3,"MA_HT","NTD","MA_QH","DCH")</f>
        <v>0</v>
      </c>
      <c r="AM50" s="22">
        <f ca="1">+GETPIVOTDATA("XBC4",'bauchinh (2016)'!$A$3,"MA_HT","NTD","MA_QH","DKG")</f>
        <v>0</v>
      </c>
      <c r="AN50" s="22">
        <f ca="1">+GETPIVOTDATA("XBC4",'bauchinh (2016)'!$A$3,"MA_HT","NTD","MA_QH","DDT")</f>
        <v>0</v>
      </c>
      <c r="AO50" s="22">
        <f ca="1">+GETPIVOTDATA("XBC4",'bauchinh (2016)'!$A$3,"MA_HT","NTD","MA_QH","DDL")</f>
        <v>0</v>
      </c>
      <c r="AP50" s="22">
        <f ca="1">+GETPIVOTDATA("XBC4",'bauchinh (2016)'!$A$3,"MA_HT","NTD","MA_QH","DRA")</f>
        <v>0</v>
      </c>
      <c r="AQ50" s="22">
        <f ca="1">+GETPIVOTDATA("XBC4",'bauchinh (2016)'!$A$3,"MA_HT","NTD","MA_QH","ONT")</f>
        <v>0</v>
      </c>
      <c r="AR50" s="22">
        <f ca="1">+GETPIVOTDATA("XBC4",'bauchinh (2016)'!$A$3,"MA_HT","NTD","MA_QH","ODT")</f>
        <v>0</v>
      </c>
      <c r="AS50" s="22">
        <f ca="1">+GETPIVOTDATA("XBC4",'bauchinh (2016)'!$A$3,"MA_HT","NTD","MA_QH","TSC")</f>
        <v>0</v>
      </c>
      <c r="AT50" s="22">
        <f ca="1">+GETPIVOTDATA("XBC4",'bauchinh (2016)'!$A$3,"MA_HT","NTD","MA_QH","DTS")</f>
        <v>0</v>
      </c>
      <c r="AU50" s="22">
        <f ca="1">+GETPIVOTDATA("XBC4",'bauchinh (2016)'!$A$3,"MA_HT","NTD","MA_QH","DNG")</f>
        <v>0</v>
      </c>
      <c r="AV50" s="22">
        <f ca="1">+GETPIVOTDATA("XBC4",'bauchinh (2016)'!$A$3,"MA_HT","NTD","MA_QH","TON")</f>
        <v>0</v>
      </c>
      <c r="AW50" s="43" t="e">
        <f ca="1">$D50-$BF50</f>
        <v>#REF!</v>
      </c>
      <c r="AX50" s="22">
        <f ca="1">+GETPIVOTDATA("XBC4",'bauchinh (2016)'!$A$3,"MA_HT","NTD","MA_QH","SKX")</f>
        <v>0</v>
      </c>
      <c r="AY50" s="22">
        <f ca="1">+GETPIVOTDATA("XBC4",'bauchinh (2016)'!$A$3,"MA_HT","NTD","MA_QH","DSH")</f>
        <v>0</v>
      </c>
      <c r="AZ50" s="22">
        <f ca="1">+GETPIVOTDATA("XBC4",'bauchinh (2016)'!$A$3,"MA_HT","NTD","MA_QH","DKV")</f>
        <v>0</v>
      </c>
      <c r="BA50" s="89">
        <f ca="1">+GETPIVOTDATA("XBC4",'bauchinh (2016)'!$A$3,"MA_HT","NTD","MA_QH","TIN")</f>
        <v>0</v>
      </c>
      <c r="BB50" s="50">
        <f ca="1">+GETPIVOTDATA("XBC4",'bauchinh (2016)'!$A$3,"MA_HT","NTD","MA_QH","SON")</f>
        <v>0</v>
      </c>
      <c r="BC50" s="50">
        <f ca="1">+GETPIVOTDATA("XBC4",'bauchinh (2016)'!$A$3,"MA_HT","NTD","MA_QH","MNC")</f>
        <v>0</v>
      </c>
      <c r="BD50" s="22">
        <f ca="1">+GETPIVOTDATA("XBC4",'bauchinh (2016)'!$A$3,"MA_HT","NTD","MA_QH","PNK")</f>
        <v>0</v>
      </c>
      <c r="BE50" s="71">
        <f ca="1">+GETPIVOTDATA("XBC4",'bauchinh (2016)'!$A$3,"MA_HT","NTD","MA_QH","CSD")</f>
        <v>0</v>
      </c>
      <c r="BF50" s="74">
        <f ca="1" t="shared" si="13"/>
        <v>0</v>
      </c>
      <c r="BG50" s="101">
        <f ca="1">AW$59-$BF50</f>
        <v>0</v>
      </c>
      <c r="BH50" s="41" t="e">
        <f ca="1" t="shared" si="14"/>
        <v>#REF!</v>
      </c>
      <c r="BI50" s="98"/>
      <c r="BJ50" s="98"/>
      <c r="BK50" s="107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</row>
    <row r="51" s="2" customFormat="1" ht="15.75" customHeight="1" spans="1:79">
      <c r="A51" s="39" t="s">
        <v>8420</v>
      </c>
      <c r="B51" s="39" t="s">
        <v>8421</v>
      </c>
      <c r="C51" s="40" t="s">
        <v>236</v>
      </c>
      <c r="D51" s="41" t="e">
        <f>+#REF!</f>
        <v>#REF!</v>
      </c>
      <c r="E51" s="42">
        <f ca="1" t="shared" si="15"/>
        <v>0</v>
      </c>
      <c r="F51" s="52">
        <f ca="1" t="shared" si="9"/>
        <v>0</v>
      </c>
      <c r="G51" s="22">
        <f ca="1">+GETPIVOTDATA("XBC4",'bauchinh (2016)'!$A$3,"MA_HT","SKX","MA_QH","LUC")</f>
        <v>0</v>
      </c>
      <c r="H51" s="22">
        <f ca="1">+GETPIVOTDATA("XBC4",'bauchinh (2016)'!$A$3,"MA_HT","SKX","MA_QH","LUK")</f>
        <v>0</v>
      </c>
      <c r="I51" s="22">
        <f ca="1">+GETPIVOTDATA("XBC4",'bauchinh (2016)'!$A$3,"MA_HT","SKX","MA_QH","LUN")</f>
        <v>0</v>
      </c>
      <c r="J51" s="22">
        <f ca="1">+GETPIVOTDATA("XBC4",'bauchinh (2016)'!$A$3,"MA_HT","SKX","MA_QH","HNK")</f>
        <v>0</v>
      </c>
      <c r="K51" s="22">
        <f ca="1">+GETPIVOTDATA("XBC4",'bauchinh (2016)'!$A$3,"MA_HT","SKX","MA_QH","CLN")</f>
        <v>0</v>
      </c>
      <c r="L51" s="22">
        <f ca="1">+GETPIVOTDATA("XBC4",'bauchinh (2016)'!$A$3,"MA_HT","SKX","MA_QH","RSX")</f>
        <v>0</v>
      </c>
      <c r="M51" s="22">
        <f ca="1">+GETPIVOTDATA("XBC4",'bauchinh (2016)'!$A$3,"MA_HT","SKX","MA_QH","RPH")</f>
        <v>0</v>
      </c>
      <c r="N51" s="22">
        <f ca="1">+GETPIVOTDATA("XBC4",'bauchinh (2016)'!$A$3,"MA_HT","SKX","MA_QH","RDD")</f>
        <v>0</v>
      </c>
      <c r="O51" s="22">
        <f ca="1">+GETPIVOTDATA("XBC4",'bauchinh (2016)'!$A$3,"MA_HT","SKX","MA_QH","NTS")</f>
        <v>0</v>
      </c>
      <c r="P51" s="22">
        <f ca="1">+GETPIVOTDATA("XBC4",'bauchinh (2016)'!$A$3,"MA_HT","SKX","MA_QH","LMU")</f>
        <v>0</v>
      </c>
      <c r="Q51" s="22">
        <f ca="1">+GETPIVOTDATA("XBC4",'bauchinh (2016)'!$A$3,"MA_HT","SKX","MA_QH","NKH")</f>
        <v>0</v>
      </c>
      <c r="R51" s="79">
        <f ca="1">SUM(S51:AA51,AN51:AW51,AY51:BD51)</f>
        <v>0</v>
      </c>
      <c r="S51" s="22">
        <f ca="1">+GETPIVOTDATA("XBC4",'bauchinh (2016)'!$A$3,"MA_HT","SKX","MA_QH","CQP")</f>
        <v>0</v>
      </c>
      <c r="T51" s="22">
        <f ca="1">+GETPIVOTDATA("XBC4",'bauchinh (2016)'!$A$3,"MA_HT","SKX","MA_QH","CAN")</f>
        <v>0</v>
      </c>
      <c r="U51" s="22">
        <f ca="1">+GETPIVOTDATA("XBC4",'bauchinh (2016)'!$A$3,"MA_HT","SKX","MA_QH","SKK")</f>
        <v>0</v>
      </c>
      <c r="V51" s="22">
        <f ca="1">+GETPIVOTDATA("XBC4",'bauchinh (2016)'!$A$3,"MA_HT","SKX","MA_QH","SKT")</f>
        <v>0</v>
      </c>
      <c r="W51" s="22">
        <f ca="1">+GETPIVOTDATA("XBC4",'bauchinh (2016)'!$A$3,"MA_HT","SKX","MA_QH","SKN")</f>
        <v>0</v>
      </c>
      <c r="X51" s="22">
        <f ca="1">+GETPIVOTDATA("XBC4",'bauchinh (2016)'!$A$3,"MA_HT","SKX","MA_QH","TMD")</f>
        <v>0</v>
      </c>
      <c r="Y51" s="22">
        <f ca="1">+GETPIVOTDATA("XBC4",'bauchinh (2016)'!$A$3,"MA_HT","SKX","MA_QH","SKC")</f>
        <v>0</v>
      </c>
      <c r="Z51" s="22">
        <f ca="1">+GETPIVOTDATA("XBC4",'bauchinh (2016)'!$A$3,"MA_HT","SKX","MA_QH","SKS")</f>
        <v>0</v>
      </c>
      <c r="AA51" s="52">
        <f ca="1" t="shared" si="21"/>
        <v>0</v>
      </c>
      <c r="AB51" s="22">
        <f ca="1">+GETPIVOTDATA("XBC4",'bauchinh (2016)'!$A$3,"MA_HT","SKX","MA_QH","DGT")</f>
        <v>0</v>
      </c>
      <c r="AC51" s="22">
        <f ca="1">+GETPIVOTDATA("XBC4",'bauchinh (2016)'!$A$3,"MA_HT","SKX","MA_QH","DTL")</f>
        <v>0</v>
      </c>
      <c r="AD51" s="22">
        <f ca="1">+GETPIVOTDATA("XBC4",'bauchinh (2016)'!$A$3,"MA_HT","SKX","MA_QH","DNL")</f>
        <v>0</v>
      </c>
      <c r="AE51" s="22">
        <f ca="1">+GETPIVOTDATA("XBC4",'bauchinh (2016)'!$A$3,"MA_HT","SKX","MA_QH","DBV")</f>
        <v>0</v>
      </c>
      <c r="AF51" s="22">
        <f ca="1">+GETPIVOTDATA("XBC4",'bauchinh (2016)'!$A$3,"MA_HT","SKX","MA_QH","DVH")</f>
        <v>0</v>
      </c>
      <c r="AG51" s="22">
        <f ca="1">+GETPIVOTDATA("XBC4",'bauchinh (2016)'!$A$3,"MA_HT","SKX","MA_QH","DYT")</f>
        <v>0</v>
      </c>
      <c r="AH51" s="22">
        <f ca="1">+GETPIVOTDATA("XBC4",'bauchinh (2016)'!$A$3,"MA_HT","SKX","MA_QH","DGD")</f>
        <v>0</v>
      </c>
      <c r="AI51" s="22">
        <f ca="1">+GETPIVOTDATA("XBC4",'bauchinh (2016)'!$A$3,"MA_HT","SKX","MA_QH","DTT")</f>
        <v>0</v>
      </c>
      <c r="AJ51" s="22">
        <f ca="1">+GETPIVOTDATA("XBC4",'bauchinh (2016)'!$A$3,"MA_HT","SKX","MA_QH","NCK")</f>
        <v>0</v>
      </c>
      <c r="AK51" s="22">
        <f ca="1">+GETPIVOTDATA("XBC4",'bauchinh (2016)'!$A$3,"MA_HT","SKX","MA_QH","DXH")</f>
        <v>0</v>
      </c>
      <c r="AL51" s="22">
        <f ca="1">+GETPIVOTDATA("XBC4",'bauchinh (2016)'!$A$3,"MA_HT","SKX","MA_QH","DCH")</f>
        <v>0</v>
      </c>
      <c r="AM51" s="22">
        <f ca="1">+GETPIVOTDATA("XBC4",'bauchinh (2016)'!$A$3,"MA_HT","SKX","MA_QH","DKG")</f>
        <v>0</v>
      </c>
      <c r="AN51" s="22">
        <f ca="1">+GETPIVOTDATA("XBC4",'bauchinh (2016)'!$A$3,"MA_HT","SKX","MA_QH","DDT")</f>
        <v>0</v>
      </c>
      <c r="AO51" s="22">
        <f ca="1">+GETPIVOTDATA("XBC4",'bauchinh (2016)'!$A$3,"MA_HT","SKX","MA_QH","DDL")</f>
        <v>0</v>
      </c>
      <c r="AP51" s="22">
        <f ca="1">+GETPIVOTDATA("XBC4",'bauchinh (2016)'!$A$3,"MA_HT","SKX","MA_QH","DRA")</f>
        <v>0</v>
      </c>
      <c r="AQ51" s="22">
        <f ca="1">+GETPIVOTDATA("XBC4",'bauchinh (2016)'!$A$3,"MA_HT","SKX","MA_QH","ONT")</f>
        <v>0</v>
      </c>
      <c r="AR51" s="22">
        <f ca="1">+GETPIVOTDATA("XBC4",'bauchinh (2016)'!$A$3,"MA_HT","SKX","MA_QH","ODT")</f>
        <v>0</v>
      </c>
      <c r="AS51" s="22">
        <f ca="1">+GETPIVOTDATA("XBC4",'bauchinh (2016)'!$A$3,"MA_HT","SKX","MA_QH","TSC")</f>
        <v>0</v>
      </c>
      <c r="AT51" s="22">
        <f ca="1">+GETPIVOTDATA("XBC4",'bauchinh (2016)'!$A$3,"MA_HT","SKX","MA_QH","DTS")</f>
        <v>0</v>
      </c>
      <c r="AU51" s="22">
        <f ca="1">+GETPIVOTDATA("XBC4",'bauchinh (2016)'!$A$3,"MA_HT","SKX","MA_QH","DNG")</f>
        <v>0</v>
      </c>
      <c r="AV51" s="22">
        <f ca="1">+GETPIVOTDATA("XBC4",'bauchinh (2016)'!$A$3,"MA_HT","SKX","MA_QH","TON")</f>
        <v>0</v>
      </c>
      <c r="AW51" s="22">
        <f ca="1">+GETPIVOTDATA("XBC4",'bauchinh (2016)'!$A$3,"MA_HT","SKX","MA_QH","NTD")</f>
        <v>0</v>
      </c>
      <c r="AX51" s="43" t="e">
        <f ca="1">$D51-$BF51</f>
        <v>#REF!</v>
      </c>
      <c r="AY51" s="22">
        <f ca="1">+GETPIVOTDATA("XBC4",'bauchinh (2016)'!$A$3,"MA_HT","SKX","MA_QH","DSH")</f>
        <v>0</v>
      </c>
      <c r="AZ51" s="22">
        <f ca="1">+GETPIVOTDATA("XBC4",'bauchinh (2016)'!$A$3,"MA_HT","SKX","MA_QH","DKV")</f>
        <v>0</v>
      </c>
      <c r="BA51" s="89">
        <f ca="1">+GETPIVOTDATA("XBC4",'bauchinh (2016)'!$A$3,"MA_HT","SKX","MA_QH","TIN")</f>
        <v>0</v>
      </c>
      <c r="BB51" s="50">
        <f ca="1">+GETPIVOTDATA("XBC4",'bauchinh (2016)'!$A$3,"MA_HT","SKX","MA_QH","SON")</f>
        <v>0</v>
      </c>
      <c r="BC51" s="50">
        <f ca="1">+GETPIVOTDATA("XBC4",'bauchinh (2016)'!$A$3,"MA_HT","SKX","MA_QH","MNC")</f>
        <v>0</v>
      </c>
      <c r="BD51" s="22">
        <f ca="1">+GETPIVOTDATA("XBC4",'bauchinh (2016)'!$A$3,"MA_HT","SKX","MA_QH","PNK")</f>
        <v>0</v>
      </c>
      <c r="BE51" s="71">
        <f ca="1">+GETPIVOTDATA("XBC4",'bauchinh (2016)'!$A$3,"MA_HT","SKX","MA_QH","CSD")</f>
        <v>0</v>
      </c>
      <c r="BF51" s="74">
        <f ca="1" t="shared" si="13"/>
        <v>0</v>
      </c>
      <c r="BG51" s="101">
        <f ca="1">AX$59-$BF51</f>
        <v>0</v>
      </c>
      <c r="BH51" s="41" t="e">
        <f ca="1" t="shared" si="14"/>
        <v>#REF!</v>
      </c>
      <c r="BI51" s="98"/>
      <c r="BJ51" s="98" t="e">
        <f>#REF!</f>
        <v>#REF!</v>
      </c>
      <c r="BK51" s="107" t="e">
        <f ca="1">BH51-BJ51</f>
        <v>#REF!</v>
      </c>
      <c r="BL51" s="98"/>
      <c r="BM51" s="122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</row>
    <row r="52" s="2" customFormat="1" ht="15.75" customHeight="1" spans="1:79">
      <c r="A52" s="39" t="s">
        <v>8422</v>
      </c>
      <c r="B52" s="39" t="s">
        <v>8423</v>
      </c>
      <c r="C52" s="40" t="s">
        <v>8292</v>
      </c>
      <c r="D52" s="41" t="e">
        <f>+#REF!</f>
        <v>#REF!</v>
      </c>
      <c r="E52" s="42">
        <f ca="1" t="shared" si="15"/>
        <v>0</v>
      </c>
      <c r="F52" s="52">
        <f ca="1" t="shared" si="9"/>
        <v>0</v>
      </c>
      <c r="G52" s="22">
        <f ca="1">+GETPIVOTDATA("XBC4",'bauchinh (2016)'!$A$3,"MA_HT","DSH","MA_QH","LUC")</f>
        <v>0</v>
      </c>
      <c r="H52" s="22">
        <f ca="1">+GETPIVOTDATA("XBC4",'bauchinh (2016)'!$A$3,"MA_HT","DSH","MA_QH","LUK")</f>
        <v>0</v>
      </c>
      <c r="I52" s="22">
        <f ca="1">+GETPIVOTDATA("XBC4",'bauchinh (2016)'!$A$3,"MA_HT","DSH","MA_QH","LUN")</f>
        <v>0</v>
      </c>
      <c r="J52" s="22">
        <f ca="1">+GETPIVOTDATA("XBC4",'bauchinh (2016)'!$A$3,"MA_HT","DSH","MA_QH","HNK")</f>
        <v>0</v>
      </c>
      <c r="K52" s="22">
        <f ca="1">+GETPIVOTDATA("XBC4",'bauchinh (2016)'!$A$3,"MA_HT","DSH","MA_QH","CLN")</f>
        <v>0</v>
      </c>
      <c r="L52" s="22">
        <f ca="1">+GETPIVOTDATA("XBC4",'bauchinh (2016)'!$A$3,"MA_HT","DSH","MA_QH","RSX")</f>
        <v>0</v>
      </c>
      <c r="M52" s="22">
        <f ca="1">+GETPIVOTDATA("XBC4",'bauchinh (2016)'!$A$3,"MA_HT","DSH","MA_QH","RPH")</f>
        <v>0</v>
      </c>
      <c r="N52" s="22">
        <f ca="1">+GETPIVOTDATA("XBC4",'bauchinh (2016)'!$A$3,"MA_HT","DSH","MA_QH","RDD")</f>
        <v>0</v>
      </c>
      <c r="O52" s="22">
        <f ca="1">+GETPIVOTDATA("XBC4",'bauchinh (2016)'!$A$3,"MA_HT","DSH","MA_QH","NTS")</f>
        <v>0</v>
      </c>
      <c r="P52" s="22">
        <f ca="1">+GETPIVOTDATA("XBC4",'bauchinh (2016)'!$A$3,"MA_HT","DSH","MA_QH","LMU")</f>
        <v>0</v>
      </c>
      <c r="Q52" s="22">
        <f ca="1">+GETPIVOTDATA("XBC4",'bauchinh (2016)'!$A$3,"MA_HT","DSH","MA_QH","NKH")</f>
        <v>0</v>
      </c>
      <c r="R52" s="79">
        <f ca="1">SUM(S52:AA52,AN52:AX52,AZ52:BD52)</f>
        <v>0</v>
      </c>
      <c r="S52" s="22">
        <f ca="1">+GETPIVOTDATA("XBC4",'bauchinh (2016)'!$A$3,"MA_HT","DSH","MA_QH","CQP")</f>
        <v>0</v>
      </c>
      <c r="T52" s="22">
        <f ca="1">+GETPIVOTDATA("XBC4",'bauchinh (2016)'!$A$3,"MA_HT","DSH","MA_QH","CAN")</f>
        <v>0</v>
      </c>
      <c r="U52" s="22">
        <f ca="1">+GETPIVOTDATA("XBC4",'bauchinh (2016)'!$A$3,"MA_HT","DSH","MA_QH","SKK")</f>
        <v>0</v>
      </c>
      <c r="V52" s="22">
        <f ca="1">+GETPIVOTDATA("XBC4",'bauchinh (2016)'!$A$3,"MA_HT","DSH","MA_QH","SKT")</f>
        <v>0</v>
      </c>
      <c r="W52" s="22">
        <f ca="1">+GETPIVOTDATA("XBC4",'bauchinh (2016)'!$A$3,"MA_HT","DSH","MA_QH","SKN")</f>
        <v>0</v>
      </c>
      <c r="X52" s="22">
        <f ca="1">+GETPIVOTDATA("XBC4",'bauchinh (2016)'!$A$3,"MA_HT","DSH","MA_QH","TMD")</f>
        <v>0</v>
      </c>
      <c r="Y52" s="22">
        <f ca="1">+GETPIVOTDATA("XBC4",'bauchinh (2016)'!$A$3,"MA_HT","DSH","MA_QH","SKC")</f>
        <v>0</v>
      </c>
      <c r="Z52" s="22">
        <f ca="1">+GETPIVOTDATA("XBC4",'bauchinh (2016)'!$A$3,"MA_HT","DSH","MA_QH","SKS")</f>
        <v>0</v>
      </c>
      <c r="AA52" s="52">
        <f ca="1" t="shared" si="21"/>
        <v>0</v>
      </c>
      <c r="AB52" s="22">
        <f ca="1">+GETPIVOTDATA("XBC4",'bauchinh (2016)'!$A$3,"MA_HT","DSH","MA_QH","DGT")</f>
        <v>0</v>
      </c>
      <c r="AC52" s="22">
        <f ca="1">+GETPIVOTDATA("XBC4",'bauchinh (2016)'!$A$3,"MA_HT","DSH","MA_QH","DTL")</f>
        <v>0</v>
      </c>
      <c r="AD52" s="22">
        <f ca="1">+GETPIVOTDATA("XBC4",'bauchinh (2016)'!$A$3,"MA_HT","DSH","MA_QH","DNL")</f>
        <v>0</v>
      </c>
      <c r="AE52" s="22">
        <f ca="1">+GETPIVOTDATA("XBC4",'bauchinh (2016)'!$A$3,"MA_HT","DSH","MA_QH","DBV")</f>
        <v>0</v>
      </c>
      <c r="AF52" s="22">
        <f ca="1">+GETPIVOTDATA("XBC4",'bauchinh (2016)'!$A$3,"MA_HT","DSH","MA_QH","DVH")</f>
        <v>0</v>
      </c>
      <c r="AG52" s="22">
        <f ca="1">+GETPIVOTDATA("XBC4",'bauchinh (2016)'!$A$3,"MA_HT","DSH","MA_QH","DYT")</f>
        <v>0</v>
      </c>
      <c r="AH52" s="22">
        <f ca="1">+GETPIVOTDATA("XBC4",'bauchinh (2016)'!$A$3,"MA_HT","DSH","MA_QH","DGD")</f>
        <v>0</v>
      </c>
      <c r="AI52" s="22">
        <f ca="1">+GETPIVOTDATA("XBC4",'bauchinh (2016)'!$A$3,"MA_HT","DSH","MA_QH","DTT")</f>
        <v>0</v>
      </c>
      <c r="AJ52" s="22">
        <f ca="1">+GETPIVOTDATA("XBC4",'bauchinh (2016)'!$A$3,"MA_HT","DSH","MA_QH","NCK")</f>
        <v>0</v>
      </c>
      <c r="AK52" s="22">
        <f ca="1">+GETPIVOTDATA("XBC4",'bauchinh (2016)'!$A$3,"MA_HT","DSH","MA_QH","DXH")</f>
        <v>0</v>
      </c>
      <c r="AL52" s="22">
        <f ca="1">+GETPIVOTDATA("XBC4",'bauchinh (2016)'!$A$3,"MA_HT","DSH","MA_QH","DCH")</f>
        <v>0</v>
      </c>
      <c r="AM52" s="22">
        <f ca="1">+GETPIVOTDATA("XBC4",'bauchinh (2016)'!$A$3,"MA_HT","DSH","MA_QH","DKG")</f>
        <v>0</v>
      </c>
      <c r="AN52" s="22">
        <f ca="1">+GETPIVOTDATA("XBC4",'bauchinh (2016)'!$A$3,"MA_HT","DSH","MA_QH","DDT")</f>
        <v>0</v>
      </c>
      <c r="AO52" s="22">
        <f ca="1">+GETPIVOTDATA("XBC4",'bauchinh (2016)'!$A$3,"MA_HT","DSH","MA_QH","DDL")</f>
        <v>0</v>
      </c>
      <c r="AP52" s="22">
        <f ca="1">+GETPIVOTDATA("XBC4",'bauchinh (2016)'!$A$3,"MA_HT","DSH","MA_QH","DRA")</f>
        <v>0</v>
      </c>
      <c r="AQ52" s="22">
        <f ca="1">+GETPIVOTDATA("XBC4",'bauchinh (2016)'!$A$3,"MA_HT","DSH","MA_QH","ONT")</f>
        <v>0</v>
      </c>
      <c r="AR52" s="22">
        <f ca="1">+GETPIVOTDATA("XBC4",'bauchinh (2016)'!$A$3,"MA_HT","DSH","MA_QH","ODT")</f>
        <v>0</v>
      </c>
      <c r="AS52" s="22">
        <f ca="1">+GETPIVOTDATA("XBC4",'bauchinh (2016)'!$A$3,"MA_HT","DSH","MA_QH","TSC")</f>
        <v>0</v>
      </c>
      <c r="AT52" s="22">
        <f ca="1">+GETPIVOTDATA("XBC4",'bauchinh (2016)'!$A$3,"MA_HT","DSH","MA_QH","DTS")</f>
        <v>0</v>
      </c>
      <c r="AU52" s="22">
        <f ca="1">+GETPIVOTDATA("XBC4",'bauchinh (2016)'!$A$3,"MA_HT","DSH","MA_QH","DNG")</f>
        <v>0</v>
      </c>
      <c r="AV52" s="22">
        <f ca="1">+GETPIVOTDATA("XBC4",'bauchinh (2016)'!$A$3,"MA_HT","DSH","MA_QH","TON")</f>
        <v>0</v>
      </c>
      <c r="AW52" s="22">
        <f ca="1">+GETPIVOTDATA("XBC4",'bauchinh (2016)'!$A$3,"MA_HT","DSH","MA_QH","NTD")</f>
        <v>0</v>
      </c>
      <c r="AX52" s="22">
        <f ca="1">+GETPIVOTDATA("XBC4",'bauchinh (2016)'!$A$3,"MA_HT","DSH","MA_QH","SKX")</f>
        <v>0</v>
      </c>
      <c r="AY52" s="43" t="e">
        <f ca="1">$D52-$BF52</f>
        <v>#REF!</v>
      </c>
      <c r="AZ52" s="22">
        <f ca="1">+GETPIVOTDATA("XBC4",'bauchinh (2016)'!$A$3,"MA_HT","DSH","MA_QH","DKV")</f>
        <v>0</v>
      </c>
      <c r="BA52" s="89">
        <f ca="1">+GETPIVOTDATA("XBC4",'bauchinh (2016)'!$A$3,"MA_HT","DSH","MA_QH","TIN")</f>
        <v>0</v>
      </c>
      <c r="BB52" s="50">
        <f ca="1">+GETPIVOTDATA("XBC4",'bauchinh (2016)'!$A$3,"MA_HT","DSH","MA_QH","SON")</f>
        <v>0</v>
      </c>
      <c r="BC52" s="50">
        <f ca="1">+GETPIVOTDATA("XBC4",'bauchinh (2016)'!$A$3,"MA_HT","DSH","MA_QH","MNC")</f>
        <v>0</v>
      </c>
      <c r="BD52" s="22">
        <f ca="1">+GETPIVOTDATA("XBC4",'bauchinh (2016)'!$A$3,"MA_HT","DSH","MA_QH","PNK")</f>
        <v>0</v>
      </c>
      <c r="BE52" s="71">
        <f ca="1">+GETPIVOTDATA("XBC4",'bauchinh (2016)'!$A$3,"MA_HT","DSH","MA_QH","CSD")</f>
        <v>0</v>
      </c>
      <c r="BF52" s="74">
        <f ca="1" t="shared" si="13"/>
        <v>0</v>
      </c>
      <c r="BG52" s="101">
        <f ca="1">AY$59-$BF52</f>
        <v>0</v>
      </c>
      <c r="BH52" s="41" t="e">
        <f ca="1" t="shared" si="14"/>
        <v>#REF!</v>
      </c>
      <c r="BI52" s="98"/>
      <c r="BJ52" s="98" t="e">
        <f>#REF!</f>
        <v>#REF!</v>
      </c>
      <c r="BK52" s="107" t="e">
        <f ca="1">BH52-BJ52</f>
        <v>#REF!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</row>
    <row r="53" s="2" customFormat="1" ht="15.75" customHeight="1" spans="1:79">
      <c r="A53" s="39" t="s">
        <v>8424</v>
      </c>
      <c r="B53" s="39" t="s">
        <v>8425</v>
      </c>
      <c r="C53" s="40" t="s">
        <v>8289</v>
      </c>
      <c r="D53" s="41" t="e">
        <f>+#REF!</f>
        <v>#REF!</v>
      </c>
      <c r="E53" s="42">
        <f ca="1" t="shared" si="15"/>
        <v>0</v>
      </c>
      <c r="F53" s="52">
        <f ca="1" t="shared" si="9"/>
        <v>0</v>
      </c>
      <c r="G53" s="22">
        <f ca="1">+GETPIVOTDATA("XBC4",'bauchinh (2016)'!$A$3,"MA_HT","DKV","MA_QH","LUC")</f>
        <v>0</v>
      </c>
      <c r="H53" s="22">
        <f ca="1">+GETPIVOTDATA("XBC4",'bauchinh (2016)'!$A$3,"MA_HT","DKV","MA_QH","LUK")</f>
        <v>0</v>
      </c>
      <c r="I53" s="22">
        <f ca="1">+GETPIVOTDATA("XBC4",'bauchinh (2016)'!$A$3,"MA_HT","DKV","MA_QH","LUN")</f>
        <v>0</v>
      </c>
      <c r="J53" s="22">
        <f ca="1">+GETPIVOTDATA("XBC4",'bauchinh (2016)'!$A$3,"MA_HT","DKV","MA_QH","HNK")</f>
        <v>0</v>
      </c>
      <c r="K53" s="22">
        <f ca="1">+GETPIVOTDATA("XBC4",'bauchinh (2016)'!$A$3,"MA_HT","DKV","MA_QH","CLN")</f>
        <v>0</v>
      </c>
      <c r="L53" s="22">
        <f ca="1">+GETPIVOTDATA("XBC4",'bauchinh (2016)'!$A$3,"MA_HT","DKV","MA_QH","RSX")</f>
        <v>0</v>
      </c>
      <c r="M53" s="22">
        <f ca="1">+GETPIVOTDATA("XBC4",'bauchinh (2016)'!$A$3,"MA_HT","DKV","MA_QH","RPH")</f>
        <v>0</v>
      </c>
      <c r="N53" s="22">
        <f ca="1">+GETPIVOTDATA("XBC4",'bauchinh (2016)'!$A$3,"MA_HT","DKV","MA_QH","RDD")</f>
        <v>0</v>
      </c>
      <c r="O53" s="22">
        <f ca="1">+GETPIVOTDATA("XBC4",'bauchinh (2016)'!$A$3,"MA_HT","DKV","MA_QH","NTS")</f>
        <v>0</v>
      </c>
      <c r="P53" s="22">
        <f ca="1">+GETPIVOTDATA("XBC4",'bauchinh (2016)'!$A$3,"MA_HT","DKV","MA_QH","LMU")</f>
        <v>0</v>
      </c>
      <c r="Q53" s="22">
        <f ca="1">+GETPIVOTDATA("XBC4",'bauchinh (2016)'!$A$3,"MA_HT","DKV","MA_QH","NKH")</f>
        <v>0</v>
      </c>
      <c r="R53" s="79">
        <f ca="1">SUM(S53:AA53,AN53:AY53,BB53:BD53)</f>
        <v>0</v>
      </c>
      <c r="S53" s="22">
        <f ca="1">+GETPIVOTDATA("XBC4",'bauchinh (2016)'!$A$3,"MA_HT","DKV","MA_QH","CQP")</f>
        <v>0</v>
      </c>
      <c r="T53" s="22">
        <f ca="1">+GETPIVOTDATA("XBC4",'bauchinh (2016)'!$A$3,"MA_HT","DKV","MA_QH","CAN")</f>
        <v>0</v>
      </c>
      <c r="U53" s="22">
        <f ca="1">+GETPIVOTDATA("XBC4",'bauchinh (2016)'!$A$3,"MA_HT","DKV","MA_QH","SKK")</f>
        <v>0</v>
      </c>
      <c r="V53" s="22">
        <f ca="1">+GETPIVOTDATA("XBC4",'bauchinh (2016)'!$A$3,"MA_HT","DKV","MA_QH","SKT")</f>
        <v>0</v>
      </c>
      <c r="W53" s="22">
        <f ca="1">+GETPIVOTDATA("XBC4",'bauchinh (2016)'!$A$3,"MA_HT","DKV","MA_QH","SKN")</f>
        <v>0</v>
      </c>
      <c r="X53" s="22">
        <f ca="1">+GETPIVOTDATA("XBC4",'bauchinh (2016)'!$A$3,"MA_HT","DKV","MA_QH","TMD")</f>
        <v>0</v>
      </c>
      <c r="Y53" s="22">
        <f ca="1">+GETPIVOTDATA("XBC4",'bauchinh (2016)'!$A$3,"MA_HT","DKV","MA_QH","SKC")</f>
        <v>0</v>
      </c>
      <c r="Z53" s="22">
        <f ca="1">+GETPIVOTDATA("XBC4",'bauchinh (2016)'!$A$3,"MA_HT","DKV","MA_QH","SKS")</f>
        <v>0</v>
      </c>
      <c r="AA53" s="52">
        <f ca="1" t="shared" si="21"/>
        <v>0</v>
      </c>
      <c r="AB53" s="22">
        <f ca="1">+GETPIVOTDATA("XBC4",'bauchinh (2016)'!$A$3,"MA_HT","DKV","MA_QH","DGT")</f>
        <v>0</v>
      </c>
      <c r="AC53" s="22">
        <f ca="1">+GETPIVOTDATA("XBC4",'bauchinh (2016)'!$A$3,"MA_HT","DKV","MA_QH","DTL")</f>
        <v>0</v>
      </c>
      <c r="AD53" s="22">
        <f ca="1">+GETPIVOTDATA("XBC4",'bauchinh (2016)'!$A$3,"MA_HT","DKV","MA_QH","DNL")</f>
        <v>0</v>
      </c>
      <c r="AE53" s="22">
        <f ca="1">+GETPIVOTDATA("XBC4",'bauchinh (2016)'!$A$3,"MA_HT","DKV","MA_QH","DBV")</f>
        <v>0</v>
      </c>
      <c r="AF53" s="22">
        <f ca="1">+GETPIVOTDATA("XBC4",'bauchinh (2016)'!$A$3,"MA_HT","DKV","MA_QH","DVH")</f>
        <v>0</v>
      </c>
      <c r="AG53" s="22">
        <f ca="1">+GETPIVOTDATA("XBC4",'bauchinh (2016)'!$A$3,"MA_HT","DKV","MA_QH","DYT")</f>
        <v>0</v>
      </c>
      <c r="AH53" s="22">
        <f ca="1">+GETPIVOTDATA("XBC4",'bauchinh (2016)'!$A$3,"MA_HT","DKV","MA_QH","DGD")</f>
        <v>0</v>
      </c>
      <c r="AI53" s="22">
        <f ca="1">+GETPIVOTDATA("XBC4",'bauchinh (2016)'!$A$3,"MA_HT","DKV","MA_QH","DTT")</f>
        <v>0</v>
      </c>
      <c r="AJ53" s="22">
        <f ca="1">+GETPIVOTDATA("XBC4",'bauchinh (2016)'!$A$3,"MA_HT","DKV","MA_QH","NCK")</f>
        <v>0</v>
      </c>
      <c r="AK53" s="22">
        <f ca="1">+GETPIVOTDATA("XBC4",'bauchinh (2016)'!$A$3,"MA_HT","DKV","MA_QH","DXH")</f>
        <v>0</v>
      </c>
      <c r="AL53" s="22">
        <f ca="1">+GETPIVOTDATA("XBC4",'bauchinh (2016)'!$A$3,"MA_HT","DKV","MA_QH","DCH")</f>
        <v>0</v>
      </c>
      <c r="AM53" s="22">
        <f ca="1">+GETPIVOTDATA("XBC4",'bauchinh (2016)'!$A$3,"MA_HT","DKV","MA_QH","DKG")</f>
        <v>0</v>
      </c>
      <c r="AN53" s="22">
        <f ca="1">+GETPIVOTDATA("XBC4",'bauchinh (2016)'!$A$3,"MA_HT","DKV","MA_QH","DDT")</f>
        <v>0</v>
      </c>
      <c r="AO53" s="22">
        <f ca="1">+GETPIVOTDATA("XBC4",'bauchinh (2016)'!$A$3,"MA_HT","DKV","MA_QH","DDL")</f>
        <v>0</v>
      </c>
      <c r="AP53" s="22">
        <f ca="1">+GETPIVOTDATA("XBC4",'bauchinh (2016)'!$A$3,"MA_HT","DKV","MA_QH","DRA")</f>
        <v>0</v>
      </c>
      <c r="AQ53" s="22">
        <f ca="1">+GETPIVOTDATA("XBC4",'bauchinh (2016)'!$A$3,"MA_HT","DKV","MA_QH","ONT")</f>
        <v>0</v>
      </c>
      <c r="AR53" s="22">
        <f ca="1">+GETPIVOTDATA("XBC4",'bauchinh (2016)'!$A$3,"MA_HT","DKV","MA_QH","ODT")</f>
        <v>0</v>
      </c>
      <c r="AS53" s="22">
        <f ca="1">+GETPIVOTDATA("XBC4",'bauchinh (2016)'!$A$3,"MA_HT","DKV","MA_QH","TSC")</f>
        <v>0</v>
      </c>
      <c r="AT53" s="22">
        <f ca="1">+GETPIVOTDATA("XBC4",'bauchinh (2016)'!$A$3,"MA_HT","DKV","MA_QH","DTS")</f>
        <v>0</v>
      </c>
      <c r="AU53" s="22">
        <f ca="1">+GETPIVOTDATA("XBC4",'bauchinh (2016)'!$A$3,"MA_HT","DKV","MA_QH","DNG")</f>
        <v>0</v>
      </c>
      <c r="AV53" s="22">
        <f ca="1">+GETPIVOTDATA("XBC4",'bauchinh (2016)'!$A$3,"MA_HT","DKV","MA_QH","TON")</f>
        <v>0</v>
      </c>
      <c r="AW53" s="22">
        <f ca="1">+GETPIVOTDATA("XBC4",'bauchinh (2016)'!$A$3,"MA_HT","DKV","MA_QH","NTD")</f>
        <v>0</v>
      </c>
      <c r="AX53" s="22">
        <f ca="1">+GETPIVOTDATA("XBC4",'bauchinh (2016)'!$A$3,"MA_HT","DKV","MA_QH","SKX")</f>
        <v>0</v>
      </c>
      <c r="AY53" s="22">
        <f ca="1">+GETPIVOTDATA("XBC4",'bauchinh (2016)'!$A$3,"MA_HT","DKV","MA_QH","DSH")</f>
        <v>0</v>
      </c>
      <c r="AZ53" s="43" t="e">
        <f ca="1">$D53-$BF53</f>
        <v>#REF!</v>
      </c>
      <c r="BA53" s="89">
        <f ca="1">+GETPIVOTDATA("XBC4",'bauchinh (2016)'!$A$3,"MA_HT","DKV","MA_QH","TIN")</f>
        <v>0</v>
      </c>
      <c r="BB53" s="50">
        <f ca="1">+GETPIVOTDATA("XBC4",'bauchinh (2016)'!$A$3,"MA_HT","DKV","MA_QH","SON")</f>
        <v>0</v>
      </c>
      <c r="BC53" s="50">
        <f ca="1">+GETPIVOTDATA("XBC4",'bauchinh (2016)'!$A$3,"MA_HT","DKV","MA_QH","MNC")</f>
        <v>0</v>
      </c>
      <c r="BD53" s="22">
        <f ca="1">+GETPIVOTDATA("XBC4",'bauchinh (2016)'!$A$3,"MA_HT","DKV","MA_QH","PNK")</f>
        <v>0</v>
      </c>
      <c r="BE53" s="71">
        <f ca="1">+GETPIVOTDATA("XBC4",'bauchinh (2016)'!$A$3,"MA_HT","DKV","MA_QH","CSD")</f>
        <v>0</v>
      </c>
      <c r="BF53" s="74">
        <f ca="1" t="shared" si="13"/>
        <v>0</v>
      </c>
      <c r="BG53" s="101">
        <f ca="1">AZ$59-$BF53</f>
        <v>0</v>
      </c>
      <c r="BH53" s="41" t="e">
        <f ca="1" t="shared" si="14"/>
        <v>#REF!</v>
      </c>
      <c r="BI53" s="98"/>
      <c r="BJ53" s="98" t="e">
        <f>#REF!</f>
        <v>#REF!</v>
      </c>
      <c r="BK53" s="107" t="e">
        <f ca="1">BH53-BJ53</f>
        <v>#REF!</v>
      </c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</row>
    <row r="54" s="2" customFormat="1" ht="15.75" customHeight="1" spans="1:75">
      <c r="A54" s="39" t="s">
        <v>8426</v>
      </c>
      <c r="B54" s="39" t="s">
        <v>8427</v>
      </c>
      <c r="C54" s="40" t="s">
        <v>8310</v>
      </c>
      <c r="D54" s="41" t="e">
        <f>+#REF!</f>
        <v>#REF!</v>
      </c>
      <c r="E54" s="33">
        <f ca="1" t="shared" si="15"/>
        <v>0</v>
      </c>
      <c r="F54" s="52">
        <f ca="1">SUM(F29:F39)</f>
        <v>0</v>
      </c>
      <c r="G54" s="22">
        <f ca="1">+GETPIVOTDATA("XBC4",'bauchinh (2016)'!$A$3,"MA_HT","TIN","MA_QH","LUC")</f>
        <v>0</v>
      </c>
      <c r="H54" s="22">
        <f ca="1">+GETPIVOTDATA("XBC4",'bauchinh (2016)'!$A$3,"MA_HT","TIN","MA_QH","LUK")</f>
        <v>0</v>
      </c>
      <c r="I54" s="22">
        <f ca="1">+GETPIVOTDATA("XBC4",'bauchinh (2016)'!$A$3,"MA_HT","TIN","MA_QH","LUN")</f>
        <v>0</v>
      </c>
      <c r="J54" s="22">
        <f ca="1">+GETPIVOTDATA("XBC4",'bauchinh (2016)'!$A$3,"MA_HT","TIN","MA_QH","HNK")</f>
        <v>0</v>
      </c>
      <c r="K54" s="22">
        <f ca="1">+GETPIVOTDATA("XBC4",'bauchinh (2016)'!$A$3,"MA_HT","TIN","MA_QH","CLN")</f>
        <v>0</v>
      </c>
      <c r="L54" s="22">
        <f ca="1">+GETPIVOTDATA("XBC4",'bauchinh (2016)'!$A$3,"MA_HT","TIN","MA_QH","RSX")</f>
        <v>0</v>
      </c>
      <c r="M54" s="22">
        <f ca="1">+GETPIVOTDATA("XBC4",'bauchinh (2016)'!$A$3,"MA_HT","TIN","MA_QH","RPH")</f>
        <v>0</v>
      </c>
      <c r="N54" s="22">
        <f ca="1">+GETPIVOTDATA("XBC4",'bauchinh (2016)'!$A$3,"MA_HT","TIN","MA_QH","RDD")</f>
        <v>0</v>
      </c>
      <c r="O54" s="22">
        <f ca="1">+GETPIVOTDATA("XBC4",'bauchinh (2016)'!$A$3,"MA_HT","TIN","MA_QH","NTS")</f>
        <v>0</v>
      </c>
      <c r="P54" s="22">
        <f ca="1">+GETPIVOTDATA("XBC4",'bauchinh (2016)'!$A$3,"MA_HT","TIN","MA_QH","LMU")</f>
        <v>0</v>
      </c>
      <c r="Q54" s="22">
        <f ca="1">+GETPIVOTDATA("XBC4",'bauchinh (2016)'!$A$3,"MA_HT","TIN","MA_QH","NKH")</f>
        <v>0</v>
      </c>
      <c r="R54" s="79">
        <f ca="1">SUM(S54:AA54,AN54:AZ54,BB54:BD54)</f>
        <v>0</v>
      </c>
      <c r="S54" s="22">
        <f ca="1">+GETPIVOTDATA("XBC4",'bauchinh (2016)'!$A$3,"MA_HT","TIN","MA_QH","CQP")</f>
        <v>0</v>
      </c>
      <c r="T54" s="22">
        <f ca="1">+GETPIVOTDATA("XBC4",'bauchinh (2016)'!$A$3,"MA_HT","TIN","MA_QH","CAN")</f>
        <v>0</v>
      </c>
      <c r="U54" s="22">
        <f ca="1">+GETPIVOTDATA("XBC4",'bauchinh (2016)'!$A$3,"MA_HT","TIN","MA_QH","SKK")</f>
        <v>0</v>
      </c>
      <c r="V54" s="22">
        <f ca="1">+GETPIVOTDATA("XBC4",'bauchinh (2016)'!$A$3,"MA_HT","TIN","MA_QH","SKT")</f>
        <v>0</v>
      </c>
      <c r="W54" s="22">
        <f ca="1">+GETPIVOTDATA("XBC4",'bauchinh (2016)'!$A$3,"MA_HT","TIN","MA_QH","SKN")</f>
        <v>0</v>
      </c>
      <c r="X54" s="22">
        <f ca="1">+GETPIVOTDATA("XBC4",'bauchinh (2016)'!$A$3,"MA_HT","TIN","MA_QH","TMD")</f>
        <v>0</v>
      </c>
      <c r="Y54" s="22">
        <f ca="1">+GETPIVOTDATA("XBC4",'bauchinh (2016)'!$A$3,"MA_HT","TIN","MA_QH","SKC")</f>
        <v>0</v>
      </c>
      <c r="Z54" s="22">
        <f ca="1">+GETPIVOTDATA("XBC4",'bauchinh (2016)'!$A$3,"MA_HT","TIN","MA_QH","SKS")</f>
        <v>0</v>
      </c>
      <c r="AA54" s="52">
        <f ca="1" t="shared" si="21"/>
        <v>0</v>
      </c>
      <c r="AB54" s="22">
        <f ca="1">+GETPIVOTDATA("XBC4",'bauchinh (2016)'!$A$3,"MA_HT","TIN","MA_QH","DGT")</f>
        <v>0</v>
      </c>
      <c r="AC54" s="22">
        <f ca="1">+GETPIVOTDATA("XBC4",'bauchinh (2016)'!$A$3,"MA_HT","TIN","MA_QH","DTL")</f>
        <v>0</v>
      </c>
      <c r="AD54" s="22">
        <f ca="1">+GETPIVOTDATA("XBC4",'bauchinh (2016)'!$A$3,"MA_HT","TIN","MA_QH","DNL")</f>
        <v>0</v>
      </c>
      <c r="AE54" s="22">
        <f ca="1">+GETPIVOTDATA("XBC4",'bauchinh (2016)'!$A$3,"MA_HT","TIN","MA_QH","DBV")</f>
        <v>0</v>
      </c>
      <c r="AF54" s="22">
        <f ca="1">+GETPIVOTDATA("XBC4",'bauchinh (2016)'!$A$3,"MA_HT","TIN","MA_QH","DVH")</f>
        <v>0</v>
      </c>
      <c r="AG54" s="22">
        <f ca="1">+GETPIVOTDATA("XBC4",'bauchinh (2016)'!$A$3,"MA_HT","TIN","MA_QH","DYT")</f>
        <v>0</v>
      </c>
      <c r="AH54" s="22">
        <f ca="1">+GETPIVOTDATA("XBC4",'bauchinh (2016)'!$A$3,"MA_HT","TIN","MA_QH","DGD")</f>
        <v>0</v>
      </c>
      <c r="AI54" s="22">
        <f ca="1">+GETPIVOTDATA("XBC4",'bauchinh (2016)'!$A$3,"MA_HT","TIN","MA_QH","DTT")</f>
        <v>0</v>
      </c>
      <c r="AJ54" s="22">
        <f ca="1">+GETPIVOTDATA("XBC4",'bauchinh (2016)'!$A$3,"MA_HT","TIN","MA_QH","NCK")</f>
        <v>0</v>
      </c>
      <c r="AK54" s="22">
        <f ca="1">+GETPIVOTDATA("XBC4",'bauchinh (2016)'!$A$3,"MA_HT","TIN","MA_QH","DXH")</f>
        <v>0</v>
      </c>
      <c r="AL54" s="22">
        <f ca="1">+GETPIVOTDATA("XBC4",'bauchinh (2016)'!$A$3,"MA_HT","TIN","MA_QH","DCH")</f>
        <v>0</v>
      </c>
      <c r="AM54" s="22">
        <f ca="1">+GETPIVOTDATA("XBC4",'bauchinh (2016)'!$A$3,"MA_HT","TIN","MA_QH","DKG")</f>
        <v>0</v>
      </c>
      <c r="AN54" s="22">
        <f ca="1">+GETPIVOTDATA("XBC4",'bauchinh (2016)'!$A$3,"MA_HT","TIN","MA_QH","DDT")</f>
        <v>0</v>
      </c>
      <c r="AO54" s="22">
        <f ca="1">+GETPIVOTDATA("XBC4",'bauchinh (2016)'!$A$3,"MA_HT","TIN","MA_QH","DDL")</f>
        <v>0</v>
      </c>
      <c r="AP54" s="22">
        <f ca="1">+GETPIVOTDATA("XBC4",'bauchinh (2016)'!$A$3,"MA_HT","TIN","MA_QH","DRA")</f>
        <v>0</v>
      </c>
      <c r="AQ54" s="22">
        <f ca="1">+GETPIVOTDATA("XBC4",'bauchinh (2016)'!$A$3,"MA_HT","TIN","MA_QH","ONT")</f>
        <v>0</v>
      </c>
      <c r="AR54" s="22">
        <f ca="1">+GETPIVOTDATA("XBC4",'bauchinh (2016)'!$A$3,"MA_HT","TIN","MA_QH","ODT")</f>
        <v>0</v>
      </c>
      <c r="AS54" s="22">
        <f ca="1">+GETPIVOTDATA("XBC4",'bauchinh (2016)'!$A$3,"MA_HT","TIN","MA_QH","TSC")</f>
        <v>0</v>
      </c>
      <c r="AT54" s="22">
        <f ca="1">+GETPIVOTDATA("XBC4",'bauchinh (2016)'!$A$3,"MA_HT","TIN","MA_QH","DTS")</f>
        <v>0</v>
      </c>
      <c r="AU54" s="22">
        <f ca="1">+GETPIVOTDATA("XBC4",'bauchinh (2016)'!$A$3,"MA_HT","TIN","MA_QH","DNG")</f>
        <v>0</v>
      </c>
      <c r="AV54" s="22">
        <f ca="1">+GETPIVOTDATA("XBC4",'bauchinh (2016)'!$A$3,"MA_HT","TIN","MA_QH","TON")</f>
        <v>0</v>
      </c>
      <c r="AW54" s="22">
        <f ca="1">+GETPIVOTDATA("XBC4",'bauchinh (2016)'!$A$3,"MA_HT","TIN","MA_QH","NTD")</f>
        <v>0</v>
      </c>
      <c r="AX54" s="22">
        <f ca="1">+GETPIVOTDATA("XBC4",'bauchinh (2016)'!$A$3,"MA_HT","TIN","MA_QH","SKX")</f>
        <v>0</v>
      </c>
      <c r="AY54" s="22">
        <f ca="1">+GETPIVOTDATA("XBC4",'bauchinh (2016)'!$A$3,"MA_HT","TIN","MA_QH","DSH")</f>
        <v>0</v>
      </c>
      <c r="AZ54" s="22">
        <f ca="1">+GETPIVOTDATA("XBC4",'bauchinh (2016)'!$A$3,"MA_HT","TIN","MA_QH","DKV")</f>
        <v>0</v>
      </c>
      <c r="BA54" s="43" t="e">
        <f ca="1">$D54-$BF54</f>
        <v>#REF!</v>
      </c>
      <c r="BB54" s="22">
        <f ca="1">+GETPIVOTDATA("XBC4",'bauchinh (2016)'!$A$3,"MA_HT","TIN","MA_QH","SON")</f>
        <v>0</v>
      </c>
      <c r="BC54" s="22">
        <f ca="1">+GETPIVOTDATA("XBC4",'bauchinh (2016)'!$A$3,"MA_HT","TIN","MA_QH","MNC")</f>
        <v>0</v>
      </c>
      <c r="BD54" s="22">
        <f ca="1">+GETPIVOTDATA("XBC4",'bauchinh (2016)'!$A$3,"MA_HT","TIN","MA_QH","PNK")</f>
        <v>0</v>
      </c>
      <c r="BE54" s="71">
        <f ca="1">+GETPIVOTDATA("XBC4",'bauchinh (2016)'!$A$3,"MA_HT","TIN","MA_QH","CSD")</f>
        <v>0</v>
      </c>
      <c r="BF54" s="74">
        <f ca="1" t="shared" si="13"/>
        <v>0</v>
      </c>
      <c r="BG54" s="101">
        <f ca="1">BA59-BF54</f>
        <v>0</v>
      </c>
      <c r="BH54" s="41" t="e">
        <f ca="1" t="shared" si="14"/>
        <v>#REF!</v>
      </c>
      <c r="BI54" s="98"/>
      <c r="BJ54" s="39" t="e">
        <f>SUM(BJ29:BJ39)</f>
        <v>#REF!</v>
      </c>
      <c r="BK54" s="107" t="e">
        <f ca="1">BH54-BJ54</f>
        <v>#REF!</v>
      </c>
      <c r="BL54" s="107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</row>
    <row r="55" s="2" customFormat="1" ht="15.75" customHeight="1" spans="1:79">
      <c r="A55" s="68" t="s">
        <v>8428</v>
      </c>
      <c r="B55" s="69" t="s">
        <v>8429</v>
      </c>
      <c r="C55" s="40" t="s">
        <v>8309</v>
      </c>
      <c r="D55" s="41" t="e">
        <f>+#REF!</f>
        <v>#REF!</v>
      </c>
      <c r="E55" s="42">
        <f ca="1" t="shared" si="15"/>
        <v>0</v>
      </c>
      <c r="F55" s="52">
        <f ca="1" t="shared" si="9"/>
        <v>0</v>
      </c>
      <c r="G55" s="22">
        <f ca="1">+GETPIVOTDATA("XBC4",'bauchinh (2016)'!$A$3,"MA_HT","SON","MA_QH","LUC")</f>
        <v>0</v>
      </c>
      <c r="H55" s="22">
        <f ca="1">+GETPIVOTDATA("XBC4",'bauchinh (2016)'!$A$3,"MA_HT","SON","MA_QH","LUK")</f>
        <v>0</v>
      </c>
      <c r="I55" s="22">
        <f ca="1">+GETPIVOTDATA("XBC4",'bauchinh (2016)'!$A$3,"MA_HT","SON","MA_QH","LUN")</f>
        <v>0</v>
      </c>
      <c r="J55" s="22">
        <f ca="1">+GETPIVOTDATA("XBC4",'bauchinh (2016)'!$A$3,"MA_HT","SON","MA_QH","HNK")</f>
        <v>0</v>
      </c>
      <c r="K55" s="22">
        <f ca="1">+GETPIVOTDATA("XBC4",'bauchinh (2016)'!$A$3,"MA_HT","SON","MA_QH","CLN")</f>
        <v>0</v>
      </c>
      <c r="L55" s="22">
        <f ca="1">+GETPIVOTDATA("XBC4",'bauchinh (2016)'!$A$3,"MA_HT","SON","MA_QH","RSX")</f>
        <v>0</v>
      </c>
      <c r="M55" s="22">
        <f ca="1">+GETPIVOTDATA("XBC4",'bauchinh (2016)'!$A$3,"MA_HT","SON","MA_QH","RPH")</f>
        <v>0</v>
      </c>
      <c r="N55" s="22">
        <f ca="1">+GETPIVOTDATA("XBC4",'bauchinh (2016)'!$A$3,"MA_HT","SON","MA_QH","RDD")</f>
        <v>0</v>
      </c>
      <c r="O55" s="22">
        <f ca="1">+GETPIVOTDATA("XBC4",'bauchinh (2016)'!$A$3,"MA_HT","SON","MA_QH","NTS")</f>
        <v>0</v>
      </c>
      <c r="P55" s="22">
        <f ca="1">+GETPIVOTDATA("XBC4",'bauchinh (2016)'!$A$3,"MA_HT","SON","MA_QH","LMU")</f>
        <v>0</v>
      </c>
      <c r="Q55" s="22">
        <f ca="1">+GETPIVOTDATA("XBC4",'bauchinh (2016)'!$A$3,"MA_HT","SON","MA_QH","NKH")</f>
        <v>0</v>
      </c>
      <c r="R55" s="79">
        <f ca="1">SUM(S55:AA55,AN55:AZ55,BC55:BD55)</f>
        <v>0</v>
      </c>
      <c r="S55" s="22">
        <f ca="1">+GETPIVOTDATA("XBC4",'bauchinh (2016)'!$A$3,"MA_HT","SON","MA_QH","CQP")</f>
        <v>0</v>
      </c>
      <c r="T55" s="22">
        <f ca="1">+GETPIVOTDATA("XBC4",'bauchinh (2016)'!$A$3,"MA_HT","SON","MA_QH","CAN")</f>
        <v>0</v>
      </c>
      <c r="U55" s="22">
        <f ca="1">+GETPIVOTDATA("XBC4",'bauchinh (2016)'!$A$3,"MA_HT","SON","MA_QH","SKK")</f>
        <v>0</v>
      </c>
      <c r="V55" s="22">
        <f ca="1">+GETPIVOTDATA("XBC4",'bauchinh (2016)'!$A$3,"MA_HT","SON","MA_QH","SKT")</f>
        <v>0</v>
      </c>
      <c r="W55" s="22">
        <f ca="1">+GETPIVOTDATA("XBC4",'bauchinh (2016)'!$A$3,"MA_HT","SON","MA_QH","SKN")</f>
        <v>0</v>
      </c>
      <c r="X55" s="22">
        <f ca="1">+GETPIVOTDATA("XBC4",'bauchinh (2016)'!$A$3,"MA_HT","SON","MA_QH","TMD")</f>
        <v>0</v>
      </c>
      <c r="Y55" s="22">
        <f ca="1">+GETPIVOTDATA("XBC4",'bauchinh (2016)'!$A$3,"MA_HT","SON","MA_QH","SKC")</f>
        <v>0</v>
      </c>
      <c r="Z55" s="22">
        <f ca="1">+GETPIVOTDATA("XBC4",'bauchinh (2016)'!$A$3,"MA_HT","SON","MA_QH","SKS")</f>
        <v>0</v>
      </c>
      <c r="AA55" s="52">
        <f ca="1" t="shared" si="21"/>
        <v>0</v>
      </c>
      <c r="AB55" s="22">
        <f ca="1">+GETPIVOTDATA("XBC4",'bauchinh (2016)'!$A$3,"MA_HT","SON","MA_QH","DGT")</f>
        <v>0</v>
      </c>
      <c r="AC55" s="22">
        <f ca="1">+GETPIVOTDATA("XBC4",'bauchinh (2016)'!$A$3,"MA_HT","SON","MA_QH","DTL")</f>
        <v>0</v>
      </c>
      <c r="AD55" s="22">
        <f ca="1">+GETPIVOTDATA("XBC4",'bauchinh (2016)'!$A$3,"MA_HT","SON","MA_QH","DNL")</f>
        <v>0</v>
      </c>
      <c r="AE55" s="22">
        <f ca="1">+GETPIVOTDATA("XBC4",'bauchinh (2016)'!$A$3,"MA_HT","SON","MA_QH","DBV")</f>
        <v>0</v>
      </c>
      <c r="AF55" s="22">
        <f ca="1">+GETPIVOTDATA("XBC4",'bauchinh (2016)'!$A$3,"MA_HT","SON","MA_QH","DVH")</f>
        <v>0</v>
      </c>
      <c r="AG55" s="22">
        <f ca="1">+GETPIVOTDATA("XBC4",'bauchinh (2016)'!$A$3,"MA_HT","SON","MA_QH","DYT")</f>
        <v>0</v>
      </c>
      <c r="AH55" s="22">
        <f ca="1">+GETPIVOTDATA("XBC4",'bauchinh (2016)'!$A$3,"MA_HT","SON","MA_QH","DGD")</f>
        <v>0</v>
      </c>
      <c r="AI55" s="22">
        <f ca="1">+GETPIVOTDATA("XBC4",'bauchinh (2016)'!$A$3,"MA_HT","SON","MA_QH","DTT")</f>
        <v>0</v>
      </c>
      <c r="AJ55" s="22">
        <f ca="1">+GETPIVOTDATA("XBC4",'bauchinh (2016)'!$A$3,"MA_HT","SON","MA_QH","NCK")</f>
        <v>0</v>
      </c>
      <c r="AK55" s="22">
        <f ca="1">+GETPIVOTDATA("XBC4",'bauchinh (2016)'!$A$3,"MA_HT","SON","MA_QH","DXH")</f>
        <v>0</v>
      </c>
      <c r="AL55" s="22">
        <f ca="1">+GETPIVOTDATA("XBC4",'bauchinh (2016)'!$A$3,"MA_HT","SON","MA_QH","DCH")</f>
        <v>0</v>
      </c>
      <c r="AM55" s="22">
        <f ca="1">+GETPIVOTDATA("XBC4",'bauchinh (2016)'!$A$3,"MA_HT","SON","MA_QH","DKG")</f>
        <v>0</v>
      </c>
      <c r="AN55" s="22">
        <f ca="1">+GETPIVOTDATA("XBC4",'bauchinh (2016)'!$A$3,"MA_HT","SON","MA_QH","DDT")</f>
        <v>0</v>
      </c>
      <c r="AO55" s="22">
        <f ca="1">+GETPIVOTDATA("XBC4",'bauchinh (2016)'!$A$3,"MA_HT","SON","MA_QH","DDL")</f>
        <v>0</v>
      </c>
      <c r="AP55" s="22">
        <f ca="1">+GETPIVOTDATA("XBC4",'bauchinh (2016)'!$A$3,"MA_HT","SON","MA_QH","DRA")</f>
        <v>0</v>
      </c>
      <c r="AQ55" s="22">
        <f ca="1">+GETPIVOTDATA("XBC4",'bauchinh (2016)'!$A$3,"MA_HT","SON","MA_QH","ONT")</f>
        <v>0</v>
      </c>
      <c r="AR55" s="22">
        <f ca="1">+GETPIVOTDATA("XBC4",'bauchinh (2016)'!$A$3,"MA_HT","SON","MA_QH","ODT")</f>
        <v>0</v>
      </c>
      <c r="AS55" s="22">
        <f ca="1">+GETPIVOTDATA("XBC4",'bauchinh (2016)'!$A$3,"MA_HT","SON","MA_QH","TSC")</f>
        <v>0</v>
      </c>
      <c r="AT55" s="22">
        <f ca="1">+GETPIVOTDATA("XBC4",'bauchinh (2016)'!$A$3,"MA_HT","SON","MA_QH","DTS")</f>
        <v>0</v>
      </c>
      <c r="AU55" s="22">
        <f ca="1">+GETPIVOTDATA("XBC4",'bauchinh (2016)'!$A$3,"MA_HT","SON","MA_QH","DNG")</f>
        <v>0</v>
      </c>
      <c r="AV55" s="22">
        <f ca="1">+GETPIVOTDATA("XBC4",'bauchinh (2016)'!$A$3,"MA_HT","SON","MA_QH","TON")</f>
        <v>0</v>
      </c>
      <c r="AW55" s="22">
        <f ca="1">+GETPIVOTDATA("XBC4",'bauchinh (2016)'!$A$3,"MA_HT","SON","MA_QH","NTD")</f>
        <v>0</v>
      </c>
      <c r="AX55" s="22">
        <f ca="1">+GETPIVOTDATA("XBC4",'bauchinh (2016)'!$A$3,"MA_HT","SON","MA_QH","SKX")</f>
        <v>0</v>
      </c>
      <c r="AY55" s="22">
        <f ca="1">+GETPIVOTDATA("XBC4",'bauchinh (2016)'!$A$3,"MA_HT","SON","MA_QH","DSH")</f>
        <v>0</v>
      </c>
      <c r="AZ55" s="22">
        <f ca="1">+GETPIVOTDATA("XBC4",'bauchinh (2016)'!$A$3,"MA_HT","SON","MA_QH","DKV")</f>
        <v>0</v>
      </c>
      <c r="BA55" s="89">
        <f ca="1">+GETPIVOTDATA("XBC4",'bauchinh (2016)'!$A$3,"MA_HT","SON","MA_QH","TIN")</f>
        <v>0</v>
      </c>
      <c r="BB55" s="43" t="e">
        <f ca="1">$D55-$BF55</f>
        <v>#REF!</v>
      </c>
      <c r="BC55" s="50">
        <f ca="1">+GETPIVOTDATA("XBC4",'bauchinh (2016)'!$A$3,"MA_HT","SON","MA_QH","MNC")</f>
        <v>0</v>
      </c>
      <c r="BD55" s="22">
        <f ca="1">+GETPIVOTDATA("XBC4",'bauchinh (2016)'!$A$3,"MA_HT","SON","MA_QH","PNK")</f>
        <v>0</v>
      </c>
      <c r="BE55" s="71">
        <f ca="1">+GETPIVOTDATA("XBC4",'bauchinh (2016)'!$A$3,"MA_HT","SON","MA_QH","CSD")</f>
        <v>0</v>
      </c>
      <c r="BF55" s="74">
        <f ca="1" t="shared" si="13"/>
        <v>0</v>
      </c>
      <c r="BG55" s="101">
        <f ca="1">BB$59-$BF55</f>
        <v>0</v>
      </c>
      <c r="BH55" s="41" t="e">
        <f ca="1" t="shared" si="14"/>
        <v>#REF!</v>
      </c>
      <c r="BI55" s="98"/>
      <c r="BJ55" s="98"/>
      <c r="BK55" s="107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</row>
    <row r="56" s="2" customFormat="1" ht="15.75" customHeight="1" spans="1:79">
      <c r="A56" s="68" t="s">
        <v>8430</v>
      </c>
      <c r="B56" s="69" t="s">
        <v>8431</v>
      </c>
      <c r="C56" s="40" t="s">
        <v>8301</v>
      </c>
      <c r="D56" s="41" t="e">
        <f>+#REF!</f>
        <v>#REF!</v>
      </c>
      <c r="E56" s="42">
        <f ca="1" t="shared" si="15"/>
        <v>0</v>
      </c>
      <c r="F56" s="52">
        <f ca="1" t="shared" si="9"/>
        <v>0</v>
      </c>
      <c r="G56" s="22">
        <f ca="1">+GETPIVOTDATA("XBC4",'bauchinh (2016)'!$A$3,"MA_HT","MNC","MA_QH","LUC")</f>
        <v>0</v>
      </c>
      <c r="H56" s="22">
        <f ca="1">+GETPIVOTDATA("XBC4",'bauchinh (2016)'!$A$3,"MA_HT","MNC","MA_QH","LUK")</f>
        <v>0</v>
      </c>
      <c r="I56" s="22">
        <f ca="1">+GETPIVOTDATA("XBC4",'bauchinh (2016)'!$A$3,"MA_HT","MNC","MA_QH","LUN")</f>
        <v>0</v>
      </c>
      <c r="J56" s="22">
        <f ca="1">+GETPIVOTDATA("XBC4",'bauchinh (2016)'!$A$3,"MA_HT","MNC","MA_QH","HNK")</f>
        <v>0</v>
      </c>
      <c r="K56" s="22">
        <f ca="1">+GETPIVOTDATA("XBC4",'bauchinh (2016)'!$A$3,"MA_HT","MNC","MA_QH","CLN")</f>
        <v>0</v>
      </c>
      <c r="L56" s="22">
        <f ca="1">+GETPIVOTDATA("XBC4",'bauchinh (2016)'!$A$3,"MA_HT","MNC","MA_QH","RSX")</f>
        <v>0</v>
      </c>
      <c r="M56" s="22">
        <f ca="1">+GETPIVOTDATA("XBC4",'bauchinh (2016)'!$A$3,"MA_HT","MNC","MA_QH","RPH")</f>
        <v>0</v>
      </c>
      <c r="N56" s="22">
        <f ca="1">+GETPIVOTDATA("XBC4",'bauchinh (2016)'!$A$3,"MA_HT","MNC","MA_QH","RDD")</f>
        <v>0</v>
      </c>
      <c r="O56" s="22">
        <f ca="1">+GETPIVOTDATA("XBC4",'bauchinh (2016)'!$A$3,"MA_HT","MNC","MA_QH","NTS")</f>
        <v>0</v>
      </c>
      <c r="P56" s="22">
        <f ca="1">+GETPIVOTDATA("XBC4",'bauchinh (2016)'!$A$3,"MA_HT","MNC","MA_QH","LMU")</f>
        <v>0</v>
      </c>
      <c r="Q56" s="22">
        <f ca="1">+GETPIVOTDATA("XBC4",'bauchinh (2016)'!$A$3,"MA_HT","MNC","MA_QH","NKH")</f>
        <v>0</v>
      </c>
      <c r="R56" s="79">
        <f ca="1">SUM(S56:AA56,AN56:BB56,BD56)</f>
        <v>0</v>
      </c>
      <c r="S56" s="22">
        <f ca="1">+GETPIVOTDATA("XBC4",'bauchinh (2016)'!$A$3,"MA_HT","MNC","MA_QH","CQP")</f>
        <v>0</v>
      </c>
      <c r="T56" s="22">
        <f ca="1">+GETPIVOTDATA("XBC4",'bauchinh (2016)'!$A$3,"MA_HT","MNC","MA_QH","CAN")</f>
        <v>0</v>
      </c>
      <c r="U56" s="22">
        <f ca="1">+GETPIVOTDATA("XBC4",'bauchinh (2016)'!$A$3,"MA_HT","MNC","MA_QH","SKK")</f>
        <v>0</v>
      </c>
      <c r="V56" s="22">
        <f ca="1">+GETPIVOTDATA("XBC4",'bauchinh (2016)'!$A$3,"MA_HT","MNC","MA_QH","SKT")</f>
        <v>0</v>
      </c>
      <c r="W56" s="22">
        <f ca="1">+GETPIVOTDATA("XBC4",'bauchinh (2016)'!$A$3,"MA_HT","MNC","MA_QH","SKN")</f>
        <v>0</v>
      </c>
      <c r="X56" s="22">
        <f ca="1">+GETPIVOTDATA("XBC4",'bauchinh (2016)'!$A$3,"MA_HT","MNC","MA_QH","TMD")</f>
        <v>0</v>
      </c>
      <c r="Y56" s="22">
        <f ca="1">+GETPIVOTDATA("XBC4",'bauchinh (2016)'!$A$3,"MA_HT","MNC","MA_QH","SKC")</f>
        <v>0</v>
      </c>
      <c r="Z56" s="22">
        <f ca="1">+GETPIVOTDATA("XBC4",'bauchinh (2016)'!$A$3,"MA_HT","MNC","MA_QH","SKS")</f>
        <v>0</v>
      </c>
      <c r="AA56" s="52">
        <f ca="1" t="shared" si="21"/>
        <v>0</v>
      </c>
      <c r="AB56" s="22">
        <f ca="1">+GETPIVOTDATA("XBC4",'bauchinh (2016)'!$A$3,"MA_HT","MNC","MA_QH","DGT")</f>
        <v>0</v>
      </c>
      <c r="AC56" s="22">
        <f ca="1">+GETPIVOTDATA("XBC4",'bauchinh (2016)'!$A$3,"MA_HT","MNC","MA_QH","DTL")</f>
        <v>0</v>
      </c>
      <c r="AD56" s="22">
        <f ca="1">+GETPIVOTDATA("XBC4",'bauchinh (2016)'!$A$3,"MA_HT","MNC","MA_QH","DNL")</f>
        <v>0</v>
      </c>
      <c r="AE56" s="22">
        <f ca="1">+GETPIVOTDATA("XBC4",'bauchinh (2016)'!$A$3,"MA_HT","MNC","MA_QH","DBV")</f>
        <v>0</v>
      </c>
      <c r="AF56" s="22">
        <f ca="1">+GETPIVOTDATA("XBC4",'bauchinh (2016)'!$A$3,"MA_HT","MNC","MA_QH","DVH")</f>
        <v>0</v>
      </c>
      <c r="AG56" s="22">
        <f ca="1">+GETPIVOTDATA("XBC4",'bauchinh (2016)'!$A$3,"MA_HT","MNC","MA_QH","DYT")</f>
        <v>0</v>
      </c>
      <c r="AH56" s="22">
        <f ca="1">+GETPIVOTDATA("XBC4",'bauchinh (2016)'!$A$3,"MA_HT","MNC","MA_QH","DGD")</f>
        <v>0</v>
      </c>
      <c r="AI56" s="22">
        <f ca="1">+GETPIVOTDATA("XBC4",'bauchinh (2016)'!$A$3,"MA_HT","MNC","MA_QH","DTT")</f>
        <v>0</v>
      </c>
      <c r="AJ56" s="22">
        <f ca="1">+GETPIVOTDATA("XBC4",'bauchinh (2016)'!$A$3,"MA_HT","MNC","MA_QH","NCK")</f>
        <v>0</v>
      </c>
      <c r="AK56" s="22">
        <f ca="1">+GETPIVOTDATA("XBC4",'bauchinh (2016)'!$A$3,"MA_HT","MNC","MA_QH","DXH")</f>
        <v>0</v>
      </c>
      <c r="AL56" s="22">
        <f ca="1">+GETPIVOTDATA("XBC4",'bauchinh (2016)'!$A$3,"MA_HT","MNC","MA_QH","DCH")</f>
        <v>0</v>
      </c>
      <c r="AM56" s="22">
        <f ca="1">+GETPIVOTDATA("XBC4",'bauchinh (2016)'!$A$3,"MA_HT","MNC","MA_QH","DKG")</f>
        <v>0</v>
      </c>
      <c r="AN56" s="22">
        <f ca="1">+GETPIVOTDATA("XBC4",'bauchinh (2016)'!$A$3,"MA_HT","MNC","MA_QH","DDT")</f>
        <v>0</v>
      </c>
      <c r="AO56" s="22">
        <f ca="1">+GETPIVOTDATA("XBC4",'bauchinh (2016)'!$A$3,"MA_HT","MNC","MA_QH","DDL")</f>
        <v>0</v>
      </c>
      <c r="AP56" s="22">
        <f ca="1">+GETPIVOTDATA("XBC4",'bauchinh (2016)'!$A$3,"MA_HT","MNC","MA_QH","DRA")</f>
        <v>0</v>
      </c>
      <c r="AQ56" s="22">
        <f ca="1">+GETPIVOTDATA("XBC4",'bauchinh (2016)'!$A$3,"MA_HT","MNC","MA_QH","ONT")</f>
        <v>0</v>
      </c>
      <c r="AR56" s="22">
        <f ca="1">+GETPIVOTDATA("XBC4",'bauchinh (2016)'!$A$3,"MA_HT","MNC","MA_QH","ODT")</f>
        <v>0</v>
      </c>
      <c r="AS56" s="22">
        <f ca="1">+GETPIVOTDATA("XBC4",'bauchinh (2016)'!$A$3,"MA_HT","MNC","MA_QH","TSC")</f>
        <v>0</v>
      </c>
      <c r="AT56" s="22">
        <f ca="1">+GETPIVOTDATA("XBC4",'bauchinh (2016)'!$A$3,"MA_HT","MNC","MA_QH","DTS")</f>
        <v>0</v>
      </c>
      <c r="AU56" s="22">
        <f ca="1">+GETPIVOTDATA("XBC4",'bauchinh (2016)'!$A$3,"MA_HT","MNC","MA_QH","DNG")</f>
        <v>0</v>
      </c>
      <c r="AV56" s="22">
        <f ca="1">+GETPIVOTDATA("XBC4",'bauchinh (2016)'!$A$3,"MA_HT","MNC","MA_QH","TON")</f>
        <v>0</v>
      </c>
      <c r="AW56" s="22">
        <f ca="1">+GETPIVOTDATA("XBC4",'bauchinh (2016)'!$A$3,"MA_HT","MNC","MA_QH","NTD")</f>
        <v>0</v>
      </c>
      <c r="AX56" s="22">
        <f ca="1">+GETPIVOTDATA("XBC4",'bauchinh (2016)'!$A$3,"MA_HT","MNC","MA_QH","SKX")</f>
        <v>0</v>
      </c>
      <c r="AY56" s="22">
        <f ca="1">+GETPIVOTDATA("XBC4",'bauchinh (2016)'!$A$3,"MA_HT","MNC","MA_QH","DSH")</f>
        <v>0</v>
      </c>
      <c r="AZ56" s="22">
        <f ca="1">+GETPIVOTDATA("XBC4",'bauchinh (2016)'!$A$3,"MA_HT","MNC","MA_QH","DKV")</f>
        <v>0</v>
      </c>
      <c r="BA56" s="89">
        <f ca="1">+GETPIVOTDATA("XBC4",'bauchinh (2016)'!$A$3,"MA_HT","MNC","MA_QH","TIN")</f>
        <v>0</v>
      </c>
      <c r="BB56" s="50">
        <f ca="1">+GETPIVOTDATA("XBC4",'bauchinh (2016)'!$A$3,"MA_HT","MNC","MA_QH","SON")</f>
        <v>0</v>
      </c>
      <c r="BC56" s="43" t="e">
        <f ca="1">$D56-$BF56</f>
        <v>#REF!</v>
      </c>
      <c r="BD56" s="22">
        <f ca="1">+GETPIVOTDATA("XBC4",'bauchinh (2016)'!$A$3,"MA_HT","MNC","MA_QH","PNK")</f>
        <v>0</v>
      </c>
      <c r="BE56" s="71">
        <f ca="1">+GETPIVOTDATA("XBC4",'bauchinh (2016)'!$A$3,"MA_HT","MNC","MA_QH","CSD")</f>
        <v>0</v>
      </c>
      <c r="BF56" s="74">
        <f ca="1" t="shared" si="13"/>
        <v>0</v>
      </c>
      <c r="BG56" s="101">
        <f ca="1">BC$59-$BF56</f>
        <v>0</v>
      </c>
      <c r="BH56" s="41" t="e">
        <f ca="1" t="shared" si="14"/>
        <v>#REF!</v>
      </c>
      <c r="BI56" s="98"/>
      <c r="BJ56" s="98"/>
      <c r="BK56" s="107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</row>
    <row r="57" s="2" customFormat="1" ht="15.75" customHeight="1" spans="1:79">
      <c r="A57" s="68" t="s">
        <v>8432</v>
      </c>
      <c r="B57" s="69" t="s">
        <v>8433</v>
      </c>
      <c r="C57" s="40" t="s">
        <v>59</v>
      </c>
      <c r="D57" s="41" t="e">
        <f>+#REF!</f>
        <v>#REF!</v>
      </c>
      <c r="E57" s="42">
        <f ca="1" t="shared" si="15"/>
        <v>0</v>
      </c>
      <c r="F57" s="52">
        <f ca="1" t="shared" si="9"/>
        <v>0</v>
      </c>
      <c r="G57" s="22">
        <f ca="1">+GETPIVOTDATA("XBC4",'bauchinh (2016)'!$A$3,"MA_HT","PNK","MA_QH","LUC")</f>
        <v>0</v>
      </c>
      <c r="H57" s="22">
        <f ca="1">+GETPIVOTDATA("XBC4",'bauchinh (2016)'!$A$3,"MA_HT","PNK","MA_QH","LUK")</f>
        <v>0</v>
      </c>
      <c r="I57" s="22">
        <f ca="1">+GETPIVOTDATA("XBC4",'bauchinh (2016)'!$A$3,"MA_HT","PNK","MA_QH","LUN")</f>
        <v>0</v>
      </c>
      <c r="J57" s="22">
        <f ca="1">+GETPIVOTDATA("XBC4",'bauchinh (2016)'!$A$3,"MA_HT","PNK","MA_QH","HNK")</f>
        <v>0</v>
      </c>
      <c r="K57" s="22">
        <f ca="1">+GETPIVOTDATA("XBC4",'bauchinh (2016)'!$A$3,"MA_HT","PNK","MA_QH","CLN")</f>
        <v>0</v>
      </c>
      <c r="L57" s="22">
        <f ca="1">+GETPIVOTDATA("XBC4",'bauchinh (2016)'!$A$3,"MA_HT","PNK","MA_QH","RSX")</f>
        <v>0</v>
      </c>
      <c r="M57" s="22">
        <f ca="1">+GETPIVOTDATA("XBC4",'bauchinh (2016)'!$A$3,"MA_HT","PNK","MA_QH","RPH")</f>
        <v>0</v>
      </c>
      <c r="N57" s="22">
        <f ca="1">+GETPIVOTDATA("XBC4",'bauchinh (2016)'!$A$3,"MA_HT","PNK","MA_QH","RDD")</f>
        <v>0</v>
      </c>
      <c r="O57" s="22">
        <f ca="1">+GETPIVOTDATA("XBC4",'bauchinh (2016)'!$A$3,"MA_HT","PNK","MA_QH","NTS")</f>
        <v>0</v>
      </c>
      <c r="P57" s="22">
        <f ca="1">+GETPIVOTDATA("XBC4",'bauchinh (2016)'!$A$3,"MA_HT","PNK","MA_QH","LMU")</f>
        <v>0</v>
      </c>
      <c r="Q57" s="22">
        <f ca="1">+GETPIVOTDATA("XBC4",'bauchinh (2016)'!$A$3,"MA_HT","PNK","MA_QH","NKH")</f>
        <v>0</v>
      </c>
      <c r="R57" s="79">
        <f ca="1">SUM(S57:AA57,AN57:BC57)</f>
        <v>0</v>
      </c>
      <c r="S57" s="22">
        <f ca="1">+GETPIVOTDATA("XBC4",'bauchinh (2016)'!$A$3,"MA_HT","PNK","MA_QH","CQP")</f>
        <v>0</v>
      </c>
      <c r="T57" s="22">
        <f ca="1">+GETPIVOTDATA("XBC4",'bauchinh (2016)'!$A$3,"MA_HT","PNK","MA_QH","CAN")</f>
        <v>0</v>
      </c>
      <c r="U57" s="22">
        <f ca="1">+GETPIVOTDATA("XBC4",'bauchinh (2016)'!$A$3,"MA_HT","PNK","MA_QH","SKK")</f>
        <v>0</v>
      </c>
      <c r="V57" s="22">
        <f ca="1">+GETPIVOTDATA("XBC4",'bauchinh (2016)'!$A$3,"MA_HT","PNK","MA_QH","SKT")</f>
        <v>0</v>
      </c>
      <c r="W57" s="22">
        <f ca="1">+GETPIVOTDATA("XBC4",'bauchinh (2016)'!$A$3,"MA_HT","PNK","MA_QH","SKN")</f>
        <v>0</v>
      </c>
      <c r="X57" s="22">
        <f ca="1">+GETPIVOTDATA("XBC4",'bauchinh (2016)'!$A$3,"MA_HT","PNK","MA_QH","TMD")</f>
        <v>0</v>
      </c>
      <c r="Y57" s="22">
        <f ca="1">+GETPIVOTDATA("XBC4",'bauchinh (2016)'!$A$3,"MA_HT","PNK","MA_QH","SKC")</f>
        <v>0</v>
      </c>
      <c r="Z57" s="22">
        <f ca="1">+GETPIVOTDATA("XBC4",'bauchinh (2016)'!$A$3,"MA_HT","PNK","MA_QH","SKS")</f>
        <v>0</v>
      </c>
      <c r="AA57" s="52">
        <f ca="1" t="shared" si="21"/>
        <v>0</v>
      </c>
      <c r="AB57" s="22">
        <f ca="1">+GETPIVOTDATA("XBC4",'bauchinh (2016)'!$A$3,"MA_HT","PNK","MA_QH","DGT")</f>
        <v>0</v>
      </c>
      <c r="AC57" s="22">
        <f ca="1">+GETPIVOTDATA("XBC4",'bauchinh (2016)'!$A$3,"MA_HT","PNK","MA_QH","DTL")</f>
        <v>0</v>
      </c>
      <c r="AD57" s="22">
        <f ca="1">+GETPIVOTDATA("XBC4",'bauchinh (2016)'!$A$3,"MA_HT","PNK","MA_QH","DNL")</f>
        <v>0</v>
      </c>
      <c r="AE57" s="22">
        <f ca="1">+GETPIVOTDATA("XBC4",'bauchinh (2016)'!$A$3,"MA_HT","PNK","MA_QH","DBV")</f>
        <v>0</v>
      </c>
      <c r="AF57" s="22">
        <f ca="1">+GETPIVOTDATA("XBC4",'bauchinh (2016)'!$A$3,"MA_HT","PNK","MA_QH","DVH")</f>
        <v>0</v>
      </c>
      <c r="AG57" s="22">
        <f ca="1">+GETPIVOTDATA("XBC4",'bauchinh (2016)'!$A$3,"MA_HT","PNK","MA_QH","DYT")</f>
        <v>0</v>
      </c>
      <c r="AH57" s="22">
        <f ca="1">+GETPIVOTDATA("XBC4",'bauchinh (2016)'!$A$3,"MA_HT","PNK","MA_QH","DGD")</f>
        <v>0</v>
      </c>
      <c r="AI57" s="22">
        <f ca="1">+GETPIVOTDATA("XBC4",'bauchinh (2016)'!$A$3,"MA_HT","PNK","MA_QH","DTT")</f>
        <v>0</v>
      </c>
      <c r="AJ57" s="22">
        <f ca="1">+GETPIVOTDATA("XBC4",'bauchinh (2016)'!$A$3,"MA_HT","PNK","MA_QH","NCK")</f>
        <v>0</v>
      </c>
      <c r="AK57" s="22">
        <f ca="1">+GETPIVOTDATA("XBC4",'bauchinh (2016)'!$A$3,"MA_HT","PNK","MA_QH","DXH")</f>
        <v>0</v>
      </c>
      <c r="AL57" s="22">
        <f ca="1">+GETPIVOTDATA("XBC4",'bauchinh (2016)'!$A$3,"MA_HT","PNK","MA_QH","DCH")</f>
        <v>0</v>
      </c>
      <c r="AM57" s="22">
        <f ca="1">+GETPIVOTDATA("XBC4",'bauchinh (2016)'!$A$3,"MA_HT","PNK","MA_QH","DKG")</f>
        <v>0</v>
      </c>
      <c r="AN57" s="22">
        <f ca="1">+GETPIVOTDATA("XBC4",'bauchinh (2016)'!$A$3,"MA_HT","PNK","MA_QH","DDT")</f>
        <v>0</v>
      </c>
      <c r="AO57" s="22">
        <f ca="1">+GETPIVOTDATA("XBC4",'bauchinh (2016)'!$A$3,"MA_HT","PNK","MA_QH","DDL")</f>
        <v>0</v>
      </c>
      <c r="AP57" s="22">
        <f ca="1">+GETPIVOTDATA("XBC4",'bauchinh (2016)'!$A$3,"MA_HT","PNK","MA_QH","DRA")</f>
        <v>0</v>
      </c>
      <c r="AQ57" s="22">
        <f ca="1">+GETPIVOTDATA("XBC4",'bauchinh (2016)'!$A$3,"MA_HT","PNK","MA_QH","ONT")</f>
        <v>0</v>
      </c>
      <c r="AR57" s="22">
        <f ca="1">+GETPIVOTDATA("XBC4",'bauchinh (2016)'!$A$3,"MA_HT","PNK","MA_QH","ODT")</f>
        <v>0</v>
      </c>
      <c r="AS57" s="22">
        <f ca="1">+GETPIVOTDATA("XBC4",'bauchinh (2016)'!$A$3,"MA_HT","PNK","MA_QH","TSC")</f>
        <v>0</v>
      </c>
      <c r="AT57" s="22">
        <f ca="1">+GETPIVOTDATA("XBC4",'bauchinh (2016)'!$A$3,"MA_HT","PNK","MA_QH","DTS")</f>
        <v>0</v>
      </c>
      <c r="AU57" s="22">
        <f ca="1">+GETPIVOTDATA("XBC4",'bauchinh (2016)'!$A$3,"MA_HT","PNK","MA_QH","DNG")</f>
        <v>0</v>
      </c>
      <c r="AV57" s="22">
        <f ca="1">+GETPIVOTDATA("XBC4",'bauchinh (2016)'!$A$3,"MA_HT","PNK","MA_QH","TON")</f>
        <v>0</v>
      </c>
      <c r="AW57" s="22">
        <f ca="1">+GETPIVOTDATA("XBC4",'bauchinh (2016)'!$A$3,"MA_HT","PNK","MA_QH","NTD")</f>
        <v>0</v>
      </c>
      <c r="AX57" s="22">
        <f ca="1">+GETPIVOTDATA("XBC4",'bauchinh (2016)'!$A$3,"MA_HT","PNK","MA_QH","SKX")</f>
        <v>0</v>
      </c>
      <c r="AY57" s="22">
        <f ca="1">+GETPIVOTDATA("XBC4",'bauchinh (2016)'!$A$3,"MA_HT","PNK","MA_QH","DSH")</f>
        <v>0</v>
      </c>
      <c r="AZ57" s="22">
        <f ca="1">+GETPIVOTDATA("XBC4",'bauchinh (2016)'!$A$3,"MA_HT","PNK","MA_QH","DKV")</f>
        <v>0</v>
      </c>
      <c r="BA57" s="89">
        <f ca="1">+GETPIVOTDATA("XBC4",'bauchinh (2016)'!$A$3,"MA_HT","PNK","MA_QH","TIN")</f>
        <v>0</v>
      </c>
      <c r="BB57" s="50">
        <f ca="1">+GETPIVOTDATA("XBC4",'bauchinh (2016)'!$A$3,"MA_HT","PNK","MA_QH","SON")</f>
        <v>0</v>
      </c>
      <c r="BC57" s="50">
        <f ca="1">+GETPIVOTDATA("XBC4",'bauchinh (2016)'!$A$3,"MA_HT","PNK","MA_QH","MNC")</f>
        <v>0</v>
      </c>
      <c r="BD57" s="43" t="e">
        <f ca="1">$D57-$BF57</f>
        <v>#REF!</v>
      </c>
      <c r="BE57" s="71">
        <f ca="1">+GETPIVOTDATA("XBC4",'bauchinh (2016)'!$A$3,"MA_HT","PNK","MA_QH","CSD")</f>
        <v>0</v>
      </c>
      <c r="BF57" s="74">
        <f ca="1" t="shared" si="13"/>
        <v>0</v>
      </c>
      <c r="BG57" s="101">
        <f ca="1">BD$59-$BF57</f>
        <v>0</v>
      </c>
      <c r="BH57" s="41" t="e">
        <f ca="1" t="shared" si="14"/>
        <v>#REF!</v>
      </c>
      <c r="BI57" s="98"/>
      <c r="BJ57" s="98" t="e">
        <f>#REF!</f>
        <v>#REF!</v>
      </c>
      <c r="BK57" s="107" t="e">
        <f ca="1">BH57-BJ57</f>
        <v>#REF!</v>
      </c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</row>
    <row r="58" s="3" customFormat="1" ht="15.75" customHeight="1" spans="1:79">
      <c r="A58" s="70" t="s">
        <v>8434</v>
      </c>
      <c r="B58" s="36" t="s">
        <v>8435</v>
      </c>
      <c r="C58" s="37" t="s">
        <v>8284</v>
      </c>
      <c r="D58" s="32" t="e">
        <f>+#REF!</f>
        <v>#REF!</v>
      </c>
      <c r="E58" s="42">
        <f ca="1" t="shared" si="15"/>
        <v>0</v>
      </c>
      <c r="F58" s="33">
        <f ca="1" t="shared" si="9"/>
        <v>0</v>
      </c>
      <c r="G58" s="71">
        <f ca="1">+GETPIVOTDATA("XBC4",'bauchinh (2016)'!$A$3,"MA_HT","CSD","MA_QH","LUC")</f>
        <v>0</v>
      </c>
      <c r="H58" s="71">
        <f ca="1">+GETPIVOTDATA("XBC4",'bauchinh (2016)'!$A$3,"MA_HT","CSD","MA_QH","LUK")</f>
        <v>0</v>
      </c>
      <c r="I58" s="71">
        <f ca="1">+GETPIVOTDATA("XBC4",'bauchinh (2016)'!$A$3,"MA_HT","CSD","MA_QH","LUN")</f>
        <v>0</v>
      </c>
      <c r="J58" s="71">
        <f ca="1">+GETPIVOTDATA("XBC4",'bauchinh (2016)'!$A$3,"MA_HT","CSD","MA_QH","HNK")</f>
        <v>0</v>
      </c>
      <c r="K58" s="71">
        <f ca="1">+GETPIVOTDATA("XBC4",'bauchinh (2016)'!$A$3,"MA_HT","CSD","MA_QH","CLN")</f>
        <v>0</v>
      </c>
      <c r="L58" s="71">
        <f ca="1">+GETPIVOTDATA("XBC4",'bauchinh (2016)'!$A$3,"MA_HT","CSD","MA_QH","RSX")</f>
        <v>0</v>
      </c>
      <c r="M58" s="71">
        <f ca="1">+GETPIVOTDATA("XBC4",'bauchinh (2016)'!$A$3,"MA_HT","CSD","MA_QH","RPH")</f>
        <v>0</v>
      </c>
      <c r="N58" s="71">
        <f ca="1">+GETPIVOTDATA("XBC4",'bauchinh (2016)'!$A$3,"MA_HT","CSD","MA_QH","RDD")</f>
        <v>0</v>
      </c>
      <c r="O58" s="71">
        <f ca="1">+GETPIVOTDATA("XBC4",'bauchinh (2016)'!$A$3,"MA_HT","CSD","MA_QH","NTS")</f>
        <v>0</v>
      </c>
      <c r="P58" s="71">
        <f ca="1">+GETPIVOTDATA("XBC4",'bauchinh (2016)'!$A$3,"MA_HT","CSD","MA_QH","LMU")</f>
        <v>0</v>
      </c>
      <c r="Q58" s="71">
        <f ca="1">+GETPIVOTDATA("XBC4",'bauchinh (2016)'!$A$3,"MA_HT","CSD","MA_QH","NKH")</f>
        <v>0</v>
      </c>
      <c r="R58" s="79">
        <f ca="1">SUM(S58:AA58,AN58:BD58)</f>
        <v>0</v>
      </c>
      <c r="S58" s="80">
        <f ca="1">+GETPIVOTDATA("XBC4",'bauchinh (2016)'!$A$3,"MA_HT","CSD","MA_QH","CQP")</f>
        <v>0</v>
      </c>
      <c r="T58" s="80">
        <f ca="1">+GETPIVOTDATA("XBC4",'bauchinh (2016)'!$A$3,"MA_HT","CSD","MA_QH","CAN")</f>
        <v>0</v>
      </c>
      <c r="U58" s="71">
        <f ca="1">+GETPIVOTDATA("XBC4",'bauchinh (2016)'!$A$3,"MA_HT","CSD","MA_QH","SKK")</f>
        <v>0</v>
      </c>
      <c r="V58" s="71">
        <f ca="1">+GETPIVOTDATA("XBC4",'bauchinh (2016)'!$A$3,"MA_HT","CSD","MA_QH","SKT")</f>
        <v>0</v>
      </c>
      <c r="W58" s="71">
        <f ca="1">+GETPIVOTDATA("XBC4",'bauchinh (2016)'!$A$3,"MA_HT","CSD","MA_QH","SKN")</f>
        <v>0</v>
      </c>
      <c r="X58" s="71">
        <f ca="1">+GETPIVOTDATA("XBC4",'bauchinh (2016)'!$A$3,"MA_HT","CSD","MA_QH","TMD")</f>
        <v>0</v>
      </c>
      <c r="Y58" s="71">
        <f ca="1">+GETPIVOTDATA("XBC4",'bauchinh (2016)'!$A$3,"MA_HT","CSD","MA_QH","SKC")</f>
        <v>0</v>
      </c>
      <c r="Z58" s="71">
        <f ca="1">+GETPIVOTDATA("XBC4",'bauchinh (2016)'!$A$3,"MA_HT","CSD","MA_QH","SKS")</f>
        <v>0</v>
      </c>
      <c r="AA58" s="52">
        <f ca="1" t="shared" si="21"/>
        <v>0</v>
      </c>
      <c r="AB58" s="80">
        <f ca="1">+GETPIVOTDATA("XBC4",'bauchinh (2016)'!$A$3,"MA_HT","CSD","MA_QH","DGT")</f>
        <v>0</v>
      </c>
      <c r="AC58" s="80">
        <f ca="1">+GETPIVOTDATA("XBC4",'bauchinh (2016)'!$A$3,"MA_HT","CSD","MA_QH","DTL")</f>
        <v>0</v>
      </c>
      <c r="AD58" s="80">
        <f ca="1">+GETPIVOTDATA("XBC4",'bauchinh (2016)'!$A$3,"MA_HT","CSD","MA_QH","DNL")</f>
        <v>0</v>
      </c>
      <c r="AE58" s="80">
        <f ca="1">+GETPIVOTDATA("XBC4",'bauchinh (2016)'!$A$3,"MA_HT","CSD","MA_QH","DBV")</f>
        <v>0</v>
      </c>
      <c r="AF58" s="80">
        <f ca="1">+GETPIVOTDATA("XBC4",'bauchinh (2016)'!$A$3,"MA_HT","CSD","MA_QH","DVH")</f>
        <v>0</v>
      </c>
      <c r="AG58" s="80">
        <f ca="1">+GETPIVOTDATA("XBC4",'bauchinh (2016)'!$A$3,"MA_HT","CSD","MA_QH","DYT")</f>
        <v>0</v>
      </c>
      <c r="AH58" s="80">
        <f ca="1">+GETPIVOTDATA("XBC4",'bauchinh (2016)'!$A$3,"MA_HT","CSD","MA_QH","DGD")</f>
        <v>0</v>
      </c>
      <c r="AI58" s="80">
        <f ca="1">+GETPIVOTDATA("XBC4",'bauchinh (2016)'!$A$3,"MA_HT","CSD","MA_QH","DTT")</f>
        <v>0</v>
      </c>
      <c r="AJ58" s="80">
        <f ca="1">+GETPIVOTDATA("XBC4",'bauchinh (2016)'!$A$3,"MA_HT","CSD","MA_QH","NCK")</f>
        <v>0</v>
      </c>
      <c r="AK58" s="80">
        <f ca="1">+GETPIVOTDATA("XBC4",'bauchinh (2016)'!$A$3,"MA_HT","CSD","MA_QH","DXH")</f>
        <v>0</v>
      </c>
      <c r="AL58" s="80">
        <f ca="1">+GETPIVOTDATA("XBC4",'bauchinh (2016)'!$A$3,"MA_HT","CSD","MA_QH","DCH")</f>
        <v>0</v>
      </c>
      <c r="AM58" s="80">
        <f ca="1">+GETPIVOTDATA("XBC4",'bauchinh (2016)'!$A$3,"MA_HT","CSD","MA_QH","DKG")</f>
        <v>0</v>
      </c>
      <c r="AN58" s="71">
        <f ca="1">+GETPIVOTDATA("XBC4",'bauchinh (2016)'!$A$3,"MA_HT","CSD","MA_QH","DDT")</f>
        <v>0</v>
      </c>
      <c r="AO58" s="71">
        <f ca="1">+GETPIVOTDATA("XBC4",'bauchinh (2016)'!$A$3,"MA_HT","CSD","MA_QH","DDL")</f>
        <v>0</v>
      </c>
      <c r="AP58" s="71">
        <f ca="1">+GETPIVOTDATA("XBC4",'bauchinh (2016)'!$A$3,"MA_HT","CSD","MA_QH","DRA")</f>
        <v>0</v>
      </c>
      <c r="AQ58" s="71">
        <f ca="1">+GETPIVOTDATA("XBC4",'bauchinh (2016)'!$A$3,"MA_HT","CSD","MA_QH","ONT")</f>
        <v>0</v>
      </c>
      <c r="AR58" s="71">
        <f ca="1">+GETPIVOTDATA("XBC4",'bauchinh (2016)'!$A$3,"MA_HT","CSD","MA_QH","ODT")</f>
        <v>0</v>
      </c>
      <c r="AS58" s="71">
        <f ca="1">+GETPIVOTDATA("XBC4",'bauchinh (2016)'!$A$3,"MA_HT","CSD","MA_QH","TSC")</f>
        <v>0</v>
      </c>
      <c r="AT58" s="71">
        <f ca="1">+GETPIVOTDATA("XBC4",'bauchinh (2016)'!$A$3,"MA_HT","CSD","MA_QH","DTS")</f>
        <v>0</v>
      </c>
      <c r="AU58" s="71">
        <f ca="1">+GETPIVOTDATA("XBC4",'bauchinh (2016)'!$A$3,"MA_HT","CSD","MA_QH","DNG")</f>
        <v>0</v>
      </c>
      <c r="AV58" s="71">
        <f ca="1">+GETPIVOTDATA("XBC4",'bauchinh (2016)'!$A$3,"MA_HT","CSD","MA_QH","TON")</f>
        <v>0</v>
      </c>
      <c r="AW58" s="71">
        <f ca="1">+GETPIVOTDATA("XBC4",'bauchinh (2016)'!$A$3,"MA_HT","CSD","MA_QH","NTD")</f>
        <v>0</v>
      </c>
      <c r="AX58" s="71">
        <f ca="1">+GETPIVOTDATA("XBC4",'bauchinh (2016)'!$A$3,"MA_HT","CSD","MA_QH","SKX")</f>
        <v>0</v>
      </c>
      <c r="AY58" s="71">
        <f ca="1">+GETPIVOTDATA("XBC4",'bauchinh (2016)'!$A$3,"MA_HT","CSD","MA_QH","DSH")</f>
        <v>0</v>
      </c>
      <c r="AZ58" s="71">
        <f ca="1">+GETPIVOTDATA("XBC4",'bauchinh (2016)'!$A$3,"MA_HT","CSD","MA_QH","DKV")</f>
        <v>0</v>
      </c>
      <c r="BA58" s="89">
        <f ca="1">+GETPIVOTDATA("XBC4",'bauchinh (2016)'!$A$3,"MA_HT","CSD","MA_QH","TIN")</f>
        <v>0</v>
      </c>
      <c r="BB58" s="80">
        <f ca="1">+GETPIVOTDATA("XBC4",'bauchinh (2016)'!$A$3,"MA_HT","CSD","MA_QH","SON")</f>
        <v>0</v>
      </c>
      <c r="BC58" s="80">
        <f ca="1">+GETPIVOTDATA("XBC4",'bauchinh (2016)'!$A$3,"MA_HT","CSD","MA_QH","MNC")</f>
        <v>0</v>
      </c>
      <c r="BD58" s="71">
        <f ca="1">+GETPIVOTDATA("XBC4",'bauchinh (2016)'!$A$3,"MA_HT","CSD","MA_QH","PNK")</f>
        <v>0</v>
      </c>
      <c r="BE58" s="38" t="e">
        <f ca="1">$D58-$BF58</f>
        <v>#REF!</v>
      </c>
      <c r="BF58" s="74">
        <f ca="1">R58+E58</f>
        <v>0</v>
      </c>
      <c r="BG58" s="119">
        <f ca="1">BE$59-$BF58</f>
        <v>0</v>
      </c>
      <c r="BH58" s="41" t="e">
        <f ca="1" t="shared" si="14"/>
        <v>#REF!</v>
      </c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</row>
    <row r="59" s="2" customFormat="1" ht="13.5" spans="1:246">
      <c r="A59" s="72"/>
      <c r="B59" s="72" t="s">
        <v>8436</v>
      </c>
      <c r="C59" s="73"/>
      <c r="D59" s="74"/>
      <c r="E59" s="75">
        <f ca="1">E58+E19</f>
        <v>0</v>
      </c>
      <c r="F59" s="74">
        <f ca="1" t="shared" ref="F59:Q59" si="22">F58+F19+F6</f>
        <v>0</v>
      </c>
      <c r="G59" s="74">
        <f ca="1" t="shared" si="22"/>
        <v>0</v>
      </c>
      <c r="H59" s="74">
        <f ca="1" t="shared" si="22"/>
        <v>0</v>
      </c>
      <c r="I59" s="74">
        <f ca="1" t="shared" si="22"/>
        <v>0</v>
      </c>
      <c r="J59" s="74">
        <f ca="1" t="shared" si="22"/>
        <v>0</v>
      </c>
      <c r="K59" s="74">
        <f ca="1" t="shared" si="22"/>
        <v>0</v>
      </c>
      <c r="L59" s="74">
        <f ca="1" t="shared" si="22"/>
        <v>0</v>
      </c>
      <c r="M59" s="74">
        <f ca="1" t="shared" si="22"/>
        <v>0</v>
      </c>
      <c r="N59" s="74">
        <f ca="1" t="shared" si="22"/>
        <v>0</v>
      </c>
      <c r="O59" s="74">
        <f ca="1" t="shared" si="22"/>
        <v>0</v>
      </c>
      <c r="P59" s="74">
        <f ca="1" t="shared" si="22"/>
        <v>0</v>
      </c>
      <c r="Q59" s="74">
        <f ca="1" t="shared" si="22"/>
        <v>0</v>
      </c>
      <c r="R59" s="75">
        <f ca="1">+R58+R6</f>
        <v>0</v>
      </c>
      <c r="S59" s="74">
        <f ca="1" t="shared" ref="S59:BD59" si="23">S58+S19+S6</f>
        <v>0</v>
      </c>
      <c r="T59" s="74">
        <f ca="1" t="shared" si="23"/>
        <v>0</v>
      </c>
      <c r="U59" s="74">
        <f ca="1" t="shared" si="23"/>
        <v>0</v>
      </c>
      <c r="V59" s="74">
        <f ca="1" t="shared" si="23"/>
        <v>0</v>
      </c>
      <c r="W59" s="74">
        <f ca="1" t="shared" si="23"/>
        <v>0</v>
      </c>
      <c r="X59" s="74">
        <f ca="1" t="shared" si="23"/>
        <v>0</v>
      </c>
      <c r="Y59" s="74">
        <f ca="1" t="shared" si="23"/>
        <v>0</v>
      </c>
      <c r="Z59" s="74">
        <f ca="1" t="shared" si="23"/>
        <v>0</v>
      </c>
      <c r="AA59" s="74">
        <f ca="1" t="shared" si="23"/>
        <v>0</v>
      </c>
      <c r="AB59" s="74">
        <f ca="1" t="shared" si="23"/>
        <v>0</v>
      </c>
      <c r="AC59" s="74">
        <f ca="1" t="shared" si="23"/>
        <v>0</v>
      </c>
      <c r="AD59" s="74">
        <f ca="1" t="shared" si="23"/>
        <v>0</v>
      </c>
      <c r="AE59" s="74">
        <f ca="1" t="shared" si="23"/>
        <v>0</v>
      </c>
      <c r="AF59" s="74">
        <f ca="1" t="shared" si="23"/>
        <v>0</v>
      </c>
      <c r="AG59" s="74">
        <f ca="1" t="shared" si="23"/>
        <v>0</v>
      </c>
      <c r="AH59" s="74">
        <f ca="1" t="shared" si="23"/>
        <v>0</v>
      </c>
      <c r="AI59" s="74">
        <f ca="1" t="shared" si="23"/>
        <v>0</v>
      </c>
      <c r="AJ59" s="74">
        <f ca="1" t="shared" si="23"/>
        <v>0</v>
      </c>
      <c r="AK59" s="74">
        <f ca="1" t="shared" si="23"/>
        <v>0</v>
      </c>
      <c r="AL59" s="74">
        <f ca="1" t="shared" si="23"/>
        <v>0</v>
      </c>
      <c r="AM59" s="74">
        <f ca="1" t="shared" si="23"/>
        <v>0</v>
      </c>
      <c r="AN59" s="74">
        <f ca="1" t="shared" si="23"/>
        <v>0</v>
      </c>
      <c r="AO59" s="74">
        <f ca="1" t="shared" si="23"/>
        <v>0</v>
      </c>
      <c r="AP59" s="74">
        <f ca="1" t="shared" si="23"/>
        <v>0</v>
      </c>
      <c r="AQ59" s="74">
        <f ca="1" t="shared" si="23"/>
        <v>0</v>
      </c>
      <c r="AR59" s="74">
        <f ca="1" t="shared" si="23"/>
        <v>0</v>
      </c>
      <c r="AS59" s="74">
        <f ca="1" t="shared" si="23"/>
        <v>0</v>
      </c>
      <c r="AT59" s="74">
        <f ca="1" t="shared" si="23"/>
        <v>0</v>
      </c>
      <c r="AU59" s="74">
        <f ca="1" t="shared" si="23"/>
        <v>0</v>
      </c>
      <c r="AV59" s="74">
        <f ca="1" t="shared" si="23"/>
        <v>0</v>
      </c>
      <c r="AW59" s="74">
        <f ca="1" t="shared" si="23"/>
        <v>0</v>
      </c>
      <c r="AX59" s="74">
        <f ca="1" t="shared" si="23"/>
        <v>0</v>
      </c>
      <c r="AY59" s="74">
        <f ca="1" t="shared" si="23"/>
        <v>0</v>
      </c>
      <c r="AZ59" s="74">
        <f ca="1" t="shared" si="23"/>
        <v>0</v>
      </c>
      <c r="BA59" s="75">
        <f ca="1" t="shared" si="23"/>
        <v>0</v>
      </c>
      <c r="BB59" s="74">
        <f ca="1" t="shared" si="23"/>
        <v>0</v>
      </c>
      <c r="BC59" s="74">
        <f ca="1" t="shared" si="23"/>
        <v>0</v>
      </c>
      <c r="BD59" s="74">
        <f ca="1" t="shared" si="23"/>
        <v>0</v>
      </c>
      <c r="BE59" s="120">
        <f ca="1">BE19+BE6</f>
        <v>0</v>
      </c>
      <c r="BF59" s="74"/>
      <c r="BG59" s="74"/>
      <c r="BH59" s="74"/>
      <c r="BI59" s="121"/>
      <c r="BJ59" s="121"/>
      <c r="BK59" s="121"/>
      <c r="BL59" s="1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3"/>
      <c r="CB59" s="123"/>
      <c r="CC59" s="124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</row>
    <row r="61" spans="61:76"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</row>
  </sheetData>
  <mergeCells count="3">
    <mergeCell ref="A3:A4"/>
    <mergeCell ref="B3:B4"/>
    <mergeCell ref="C3:C4"/>
  </mergeCells>
  <pageMargins left="0.65" right="0" top="0.5" bottom="0.25" header="0.5" footer="0.5"/>
  <pageSetup paperSize="8" orientation="landscape" horizontalDpi="360" verticalDpi="36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1">
    <tabColor rgb="FFFF0000"/>
  </sheetPr>
  <dimension ref="A1:IL61"/>
  <sheetViews>
    <sheetView workbookViewId="0">
      <selection activeCell="A1" sqref="A1"/>
    </sheetView>
  </sheetViews>
  <sheetFormatPr defaultColWidth="9" defaultRowHeight="15"/>
  <cols>
    <col min="1" max="1" width="6.375" style="7" customWidth="1"/>
    <col min="2" max="2" width="29.125" style="7" customWidth="1"/>
    <col min="3" max="3" width="6" style="7" customWidth="1"/>
    <col min="4" max="4" width="9.75" style="8" customWidth="1"/>
    <col min="5" max="5" width="9.375" style="9" customWidth="1"/>
    <col min="6" max="6" width="7" style="8" customWidth="1"/>
    <col min="7" max="7" width="7.75" style="8" customWidth="1"/>
    <col min="8" max="8" width="7" style="8" customWidth="1"/>
    <col min="9" max="9" width="6.875" style="8" customWidth="1"/>
    <col min="10" max="10" width="7.625" style="8" customWidth="1"/>
    <col min="11" max="11" width="9.125" style="8" customWidth="1"/>
    <col min="12" max="12" width="8.25" style="8" customWidth="1"/>
    <col min="13" max="13" width="6" style="8" customWidth="1"/>
    <col min="14" max="14" width="6.25" style="8" customWidth="1"/>
    <col min="15" max="15" width="5.875" style="8" customWidth="1"/>
    <col min="16" max="16" width="5.75" style="8" customWidth="1"/>
    <col min="17" max="17" width="6.25" style="8" customWidth="1"/>
    <col min="18" max="18" width="8.75" style="10" customWidth="1"/>
    <col min="19" max="19" width="7.125" style="8" customWidth="1"/>
    <col min="20" max="20" width="7.75" style="8" customWidth="1"/>
    <col min="21" max="23" width="6.125" style="8" customWidth="1"/>
    <col min="24" max="24" width="7.125" style="8" customWidth="1"/>
    <col min="25" max="25" width="7.75" style="8" customWidth="1"/>
    <col min="26" max="26" width="6.875" style="8" customWidth="1"/>
    <col min="27" max="27" width="7.375" style="8" customWidth="1"/>
    <col min="28" max="28" width="9" style="8"/>
    <col min="29" max="29" width="7.25" style="8" customWidth="1"/>
    <col min="30" max="30" width="7" style="8" customWidth="1"/>
    <col min="31" max="31" width="6.125" style="8" customWidth="1"/>
    <col min="32" max="33" width="6.625" style="8" customWidth="1"/>
    <col min="34" max="34" width="6.125" style="8" customWidth="1"/>
    <col min="35" max="35" width="8.5" style="8" customWidth="1"/>
    <col min="36" max="36" width="8.875" style="8" customWidth="1"/>
    <col min="37" max="37" width="8.75" style="8" customWidth="1"/>
    <col min="38" max="39" width="6.625" style="8" customWidth="1"/>
    <col min="40" max="41" width="6.875" style="8" customWidth="1"/>
    <col min="42" max="42" width="6.75" style="8" customWidth="1"/>
    <col min="43" max="43" width="6.375" style="8" customWidth="1"/>
    <col min="44" max="44" width="6.125" style="8" customWidth="1"/>
    <col min="45" max="46" width="5.75" style="8" customWidth="1"/>
    <col min="47" max="47" width="6.5" style="8" customWidth="1"/>
    <col min="48" max="49" width="5.625" style="8" customWidth="1"/>
    <col min="50" max="51" width="6.125" style="8" customWidth="1"/>
    <col min="52" max="52" width="7.625" style="8" customWidth="1"/>
    <col min="53" max="53" width="9.375" style="11" customWidth="1"/>
    <col min="54" max="54" width="6.625" style="12" customWidth="1"/>
    <col min="55" max="55" width="6.25" style="12" customWidth="1"/>
    <col min="56" max="56" width="7.125" style="8" customWidth="1"/>
    <col min="57" max="57" width="6.25" style="9" customWidth="1"/>
    <col min="58" max="58" width="7.25" style="11" customWidth="1"/>
    <col min="59" max="59" width="8.25" style="11" customWidth="1"/>
    <col min="60" max="60" width="10.125" style="11" customWidth="1"/>
    <col min="61" max="61" width="5.125" style="7" customWidth="1"/>
    <col min="62" max="62" width="8.375" style="7" hidden="1" customWidth="1"/>
    <col min="63" max="63" width="9" style="7" hidden="1" customWidth="1"/>
    <col min="64" max="64" width="4.875" style="7" customWidth="1"/>
    <col min="65" max="65" width="6.25" style="7" customWidth="1"/>
    <col min="66" max="66" width="5" style="7" customWidth="1"/>
    <col min="67" max="67" width="4.25" style="7" customWidth="1"/>
    <col min="68" max="68" width="5.375" style="7" customWidth="1"/>
    <col min="69" max="69" width="5.125" style="7" customWidth="1"/>
    <col min="70" max="70" width="4.625" style="7" customWidth="1"/>
    <col min="71" max="71" width="5.625" style="7" customWidth="1"/>
    <col min="72" max="72" width="5.875" style="7" customWidth="1"/>
    <col min="73" max="73" width="5" style="7" customWidth="1"/>
    <col min="74" max="74" width="3.875" style="7" customWidth="1"/>
    <col min="75" max="75" width="4.625" style="7" customWidth="1"/>
    <col min="76" max="76" width="5.5" style="7" customWidth="1"/>
    <col min="77" max="77" width="7.625" style="13" customWidth="1"/>
    <col min="78" max="79" width="8.375" style="13" customWidth="1"/>
    <col min="80" max="80" width="7.5" style="7" customWidth="1"/>
    <col min="81" max="16384" width="9" style="7"/>
  </cols>
  <sheetData>
    <row r="1" ht="21" customHeight="1" spans="1:82">
      <c r="A1" s="14" t="s">
        <v>8330</v>
      </c>
      <c r="B1" s="15"/>
      <c r="C1" s="16" t="e">
        <f>+"CHU CHUYỂN ĐẤT ĐAI TRONG KẾ HOẠCH SỬ DỤNG ĐẤT NĂM 2015 CỦA "&amp;#REF!</f>
        <v>#REF!</v>
      </c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83"/>
      <c r="BC1" s="83"/>
      <c r="BD1" s="18"/>
      <c r="BE1" s="18"/>
      <c r="BF1" s="18"/>
      <c r="BG1" s="18"/>
      <c r="BH1" s="18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7"/>
      <c r="BZ1" s="7"/>
      <c r="CA1" s="7"/>
      <c r="CB1" s="8"/>
      <c r="CC1" s="8"/>
      <c r="CD1" s="8"/>
    </row>
    <row r="2" s="1" customFormat="1" ht="7.5" customHeight="1" spans="1:82">
      <c r="A2" s="1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9"/>
      <c r="BA2" s="20"/>
      <c r="BB2" s="84"/>
      <c r="BC2" s="84"/>
      <c r="BD2" s="20"/>
      <c r="BE2" s="20"/>
      <c r="BF2" s="20"/>
      <c r="BG2" s="20"/>
      <c r="BH2" s="95" t="s">
        <v>8331</v>
      </c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CB2" s="9"/>
      <c r="CC2" s="9"/>
      <c r="CD2" s="9"/>
    </row>
    <row r="3" s="2" customFormat="1" ht="15.75" customHeight="1" spans="1:79">
      <c r="A3" s="21" t="s">
        <v>3</v>
      </c>
      <c r="B3" s="21" t="s">
        <v>8332</v>
      </c>
      <c r="C3" s="21" t="s">
        <v>8333</v>
      </c>
      <c r="D3" s="22"/>
      <c r="E3" s="23" t="s">
        <v>8334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7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85"/>
      <c r="BC3" s="85"/>
      <c r="BD3" s="24"/>
      <c r="BE3" s="97"/>
      <c r="BF3" s="22"/>
      <c r="BG3" s="22"/>
      <c r="BH3" s="22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</row>
    <row r="4" s="2" customFormat="1" ht="31.5" customHeight="1" spans="1:79">
      <c r="A4" s="25"/>
      <c r="B4" s="25"/>
      <c r="C4" s="25"/>
      <c r="D4" s="26" t="s">
        <v>8335</v>
      </c>
      <c r="E4" s="27" t="s">
        <v>8303</v>
      </c>
      <c r="F4" s="28" t="s">
        <v>8298</v>
      </c>
      <c r="G4" s="29" t="s">
        <v>8299</v>
      </c>
      <c r="H4" s="29" t="s">
        <v>221</v>
      </c>
      <c r="I4" s="29" t="s">
        <v>8300</v>
      </c>
      <c r="J4" s="28" t="s">
        <v>2492</v>
      </c>
      <c r="K4" s="28" t="s">
        <v>30</v>
      </c>
      <c r="L4" s="28" t="s">
        <v>8307</v>
      </c>
      <c r="M4" s="28" t="s">
        <v>8306</v>
      </c>
      <c r="N4" s="28" t="s">
        <v>8305</v>
      </c>
      <c r="O4" s="76" t="s">
        <v>318</v>
      </c>
      <c r="P4" s="28" t="s">
        <v>8297</v>
      </c>
      <c r="Q4" s="28" t="s">
        <v>553</v>
      </c>
      <c r="R4" s="37" t="s">
        <v>8304</v>
      </c>
      <c r="S4" s="40" t="s">
        <v>31</v>
      </c>
      <c r="T4" s="40" t="s">
        <v>8283</v>
      </c>
      <c r="U4" s="40" t="s">
        <v>47</v>
      </c>
      <c r="V4" s="40" t="s">
        <v>8308</v>
      </c>
      <c r="W4" s="40" t="s">
        <v>56</v>
      </c>
      <c r="X4" s="40" t="s">
        <v>265</v>
      </c>
      <c r="Y4" s="40" t="s">
        <v>204</v>
      </c>
      <c r="Z4" s="40" t="s">
        <v>174</v>
      </c>
      <c r="AA4" s="40" t="s">
        <v>8288</v>
      </c>
      <c r="AB4" s="46" t="s">
        <v>94</v>
      </c>
      <c r="AC4" s="46" t="s">
        <v>216</v>
      </c>
      <c r="AD4" s="46" t="s">
        <v>71</v>
      </c>
      <c r="AE4" s="46" t="s">
        <v>8285</v>
      </c>
      <c r="AF4" s="46" t="s">
        <v>212</v>
      </c>
      <c r="AG4" s="46" t="s">
        <v>8296</v>
      </c>
      <c r="AH4" s="46" t="s">
        <v>165</v>
      </c>
      <c r="AI4" s="46" t="s">
        <v>8294</v>
      </c>
      <c r="AJ4" s="46" t="s">
        <v>8302</v>
      </c>
      <c r="AK4" s="46" t="s">
        <v>8295</v>
      </c>
      <c r="AL4" s="46" t="s">
        <v>178</v>
      </c>
      <c r="AM4" s="46" t="s">
        <v>8312</v>
      </c>
      <c r="AN4" s="40" t="s">
        <v>8287</v>
      </c>
      <c r="AO4" s="40" t="s">
        <v>8286</v>
      </c>
      <c r="AP4" s="40" t="s">
        <v>8291</v>
      </c>
      <c r="AQ4" s="40" t="s">
        <v>188</v>
      </c>
      <c r="AR4" s="40" t="s">
        <v>201</v>
      </c>
      <c r="AS4" s="40" t="s">
        <v>336</v>
      </c>
      <c r="AT4" s="40" t="s">
        <v>8293</v>
      </c>
      <c r="AU4" s="40" t="s">
        <v>8290</v>
      </c>
      <c r="AV4" s="40" t="s">
        <v>324</v>
      </c>
      <c r="AW4" s="40" t="s">
        <v>182</v>
      </c>
      <c r="AX4" s="40" t="s">
        <v>236</v>
      </c>
      <c r="AY4" s="40" t="s">
        <v>8292</v>
      </c>
      <c r="AZ4" s="40" t="s">
        <v>8289</v>
      </c>
      <c r="BA4" s="40" t="s">
        <v>8310</v>
      </c>
      <c r="BB4" s="40" t="s">
        <v>8309</v>
      </c>
      <c r="BC4" s="40" t="s">
        <v>8301</v>
      </c>
      <c r="BD4" s="40" t="s">
        <v>59</v>
      </c>
      <c r="BE4" s="27" t="s">
        <v>8284</v>
      </c>
      <c r="BF4" s="99" t="s">
        <v>8336</v>
      </c>
      <c r="BG4" s="100" t="s">
        <v>8337</v>
      </c>
      <c r="BH4" s="26" t="s">
        <v>8335</v>
      </c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</row>
    <row r="5" s="2" customFormat="1" ht="15.75" customHeight="1" spans="1:79">
      <c r="A5" s="30"/>
      <c r="B5" s="30" t="s">
        <v>8338</v>
      </c>
      <c r="C5" s="31"/>
      <c r="D5" s="32" t="e">
        <f>+#REF!</f>
        <v>#REF!</v>
      </c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86"/>
      <c r="BC5" s="86"/>
      <c r="BD5" s="34"/>
      <c r="BE5" s="33"/>
      <c r="BF5" s="34"/>
      <c r="BG5" s="34"/>
      <c r="BH5" s="34" t="e">
        <f ca="1">BH6+BH19+BH58</f>
        <v>#REF!</v>
      </c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</row>
    <row r="6" s="3" customFormat="1" ht="15.75" customHeight="1" spans="1:79">
      <c r="A6" s="35">
        <v>1</v>
      </c>
      <c r="B6" s="36" t="s">
        <v>8339</v>
      </c>
      <c r="C6" s="37" t="s">
        <v>8303</v>
      </c>
      <c r="D6" s="33" t="e">
        <f>+#REF!</f>
        <v>#REF!</v>
      </c>
      <c r="E6" s="38" t="e">
        <f ca="1">$D6-$BF6</f>
        <v>#REF!</v>
      </c>
      <c r="F6" s="33">
        <f ca="1">SUM(F11:F18)</f>
        <v>0</v>
      </c>
      <c r="G6" s="33">
        <f ca="1">SUM(G7,G11:G18)</f>
        <v>0</v>
      </c>
      <c r="H6" s="33">
        <f ca="1">SUM(H7,H11:H18)</f>
        <v>0</v>
      </c>
      <c r="I6" s="33">
        <f ca="1">SUM(I7,I11:I18)</f>
        <v>0</v>
      </c>
      <c r="J6" s="33">
        <f ca="1">SUM(J7,J12:J18)</f>
        <v>0</v>
      </c>
      <c r="K6" s="33">
        <f ca="1">SUM(K7,K11,K13:K18)</f>
        <v>0</v>
      </c>
      <c r="L6" s="33">
        <f ca="1">SUM(L7,L11:L12,L14:L18)</f>
        <v>0</v>
      </c>
      <c r="M6" s="33">
        <f ca="1">SUM(M7,M11:M13,M15:M18)</f>
        <v>0</v>
      </c>
      <c r="N6" s="33">
        <f ca="1">SUM(N7,N11:N14,N16:N18)</f>
        <v>0</v>
      </c>
      <c r="O6" s="33">
        <f ca="1">SUM(O7,O11:O15,O17:O18)</f>
        <v>0</v>
      </c>
      <c r="P6" s="33">
        <f ca="1">SUM(P7,P11:P16,P18:P18)</f>
        <v>0</v>
      </c>
      <c r="Q6" s="33">
        <f ca="1">SUM(Q7,Q11:Q17)</f>
        <v>0</v>
      </c>
      <c r="R6" s="33">
        <f ca="1">SUM(R7,R11:R18)</f>
        <v>0</v>
      </c>
      <c r="S6" s="33">
        <f ca="1">SUM(S7,S11:S18)</f>
        <v>0</v>
      </c>
      <c r="T6" s="33">
        <f ca="1" t="shared" ref="T6:BE6" si="0">SUM(T7,T11:T18)</f>
        <v>0</v>
      </c>
      <c r="U6" s="33">
        <f ca="1" t="shared" si="0"/>
        <v>0</v>
      </c>
      <c r="V6" s="33">
        <f ca="1" t="shared" si="0"/>
        <v>0</v>
      </c>
      <c r="W6" s="33">
        <f ca="1" t="shared" si="0"/>
        <v>0</v>
      </c>
      <c r="X6" s="33">
        <f ca="1" t="shared" si="0"/>
        <v>0</v>
      </c>
      <c r="Y6" s="33">
        <f ca="1" t="shared" si="0"/>
        <v>0</v>
      </c>
      <c r="Z6" s="33">
        <f ca="1" t="shared" si="0"/>
        <v>0</v>
      </c>
      <c r="AA6" s="33">
        <f ca="1" t="shared" si="0"/>
        <v>0</v>
      </c>
      <c r="AB6" s="33">
        <f ca="1" t="shared" si="0"/>
        <v>0</v>
      </c>
      <c r="AC6" s="33">
        <f ca="1" t="shared" si="0"/>
        <v>0</v>
      </c>
      <c r="AD6" s="33">
        <f ca="1" t="shared" si="0"/>
        <v>0</v>
      </c>
      <c r="AE6" s="33">
        <f ca="1" t="shared" si="0"/>
        <v>0</v>
      </c>
      <c r="AF6" s="33">
        <f ca="1" t="shared" si="0"/>
        <v>0</v>
      </c>
      <c r="AG6" s="33">
        <f ca="1" t="shared" si="0"/>
        <v>0</v>
      </c>
      <c r="AH6" s="33">
        <f ca="1" t="shared" si="0"/>
        <v>0</v>
      </c>
      <c r="AI6" s="33">
        <f ca="1" t="shared" si="0"/>
        <v>0</v>
      </c>
      <c r="AJ6" s="33">
        <f ca="1" t="shared" si="0"/>
        <v>0</v>
      </c>
      <c r="AK6" s="33">
        <f ca="1" t="shared" si="0"/>
        <v>0</v>
      </c>
      <c r="AL6" s="33">
        <f ca="1" t="shared" si="0"/>
        <v>0</v>
      </c>
      <c r="AM6" s="33">
        <f ca="1" t="shared" si="0"/>
        <v>0</v>
      </c>
      <c r="AN6" s="33">
        <f ca="1" t="shared" si="0"/>
        <v>0</v>
      </c>
      <c r="AO6" s="33">
        <f ca="1" t="shared" si="0"/>
        <v>0</v>
      </c>
      <c r="AP6" s="33">
        <f ca="1" t="shared" si="0"/>
        <v>0</v>
      </c>
      <c r="AQ6" s="33">
        <f ca="1" t="shared" si="0"/>
        <v>0</v>
      </c>
      <c r="AR6" s="33">
        <f ca="1" t="shared" si="0"/>
        <v>0</v>
      </c>
      <c r="AS6" s="33">
        <f ca="1" t="shared" si="0"/>
        <v>0</v>
      </c>
      <c r="AT6" s="33">
        <f ca="1" t="shared" si="0"/>
        <v>0</v>
      </c>
      <c r="AU6" s="33">
        <f ca="1" t="shared" si="0"/>
        <v>0</v>
      </c>
      <c r="AV6" s="33">
        <f ca="1" t="shared" si="0"/>
        <v>0</v>
      </c>
      <c r="AW6" s="33">
        <f ca="1" t="shared" si="0"/>
        <v>0</v>
      </c>
      <c r="AX6" s="33">
        <f ca="1" t="shared" si="0"/>
        <v>0</v>
      </c>
      <c r="AY6" s="33">
        <f ca="1" t="shared" si="0"/>
        <v>0</v>
      </c>
      <c r="AZ6" s="33">
        <f ca="1" t="shared" si="0"/>
        <v>0</v>
      </c>
      <c r="BA6" s="33">
        <f ca="1" t="shared" si="0"/>
        <v>0</v>
      </c>
      <c r="BB6" s="33">
        <f ca="1" t="shared" si="0"/>
        <v>0</v>
      </c>
      <c r="BC6" s="33">
        <f ca="1" t="shared" si="0"/>
        <v>0</v>
      </c>
      <c r="BD6" s="33">
        <f ca="1" t="shared" si="0"/>
        <v>0</v>
      </c>
      <c r="BE6" s="33">
        <f ca="1" t="shared" si="0"/>
        <v>0</v>
      </c>
      <c r="BF6" s="74">
        <f ca="1">BE6+R6</f>
        <v>0</v>
      </c>
      <c r="BG6" s="101">
        <f ca="1">E$59-$BF6</f>
        <v>0</v>
      </c>
      <c r="BH6" s="33" t="e">
        <f ca="1">SUM(BH7,BH11:BH18)</f>
        <v>#REF!</v>
      </c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</row>
    <row r="7" s="2" customFormat="1" ht="15.75" customHeight="1" spans="1:79">
      <c r="A7" s="39" t="s">
        <v>27</v>
      </c>
      <c r="B7" s="39" t="s">
        <v>8340</v>
      </c>
      <c r="C7" s="40" t="s">
        <v>8298</v>
      </c>
      <c r="D7" s="41" t="e">
        <f>+#REF!</f>
        <v>#REF!</v>
      </c>
      <c r="E7" s="42">
        <f ca="1">SUM(J7:Q7)</f>
        <v>0</v>
      </c>
      <c r="F7" s="43" t="e">
        <f ca="1">$D7-$BF7</f>
        <v>#REF!</v>
      </c>
      <c r="G7" s="44">
        <f ca="1">SUM(G9:G10)</f>
        <v>0</v>
      </c>
      <c r="H7" s="44">
        <f ca="1">SUM(H8,H10)</f>
        <v>0</v>
      </c>
      <c r="I7" s="44">
        <f ca="1">SUM(I8:I9)</f>
        <v>0</v>
      </c>
      <c r="J7" s="44">
        <f ca="1">SUM(J8:J10)</f>
        <v>0</v>
      </c>
      <c r="K7" s="44">
        <f ca="1" t="shared" ref="K7:Q7" si="1">SUM(K8:K10)</f>
        <v>0</v>
      </c>
      <c r="L7" s="44">
        <f ca="1" t="shared" si="1"/>
        <v>0</v>
      </c>
      <c r="M7" s="44">
        <f ca="1" t="shared" si="1"/>
        <v>0</v>
      </c>
      <c r="N7" s="44">
        <f ca="1" t="shared" si="1"/>
        <v>0</v>
      </c>
      <c r="O7" s="44">
        <f ca="1" t="shared" si="1"/>
        <v>0</v>
      </c>
      <c r="P7" s="44">
        <f ca="1" t="shared" si="1"/>
        <v>0</v>
      </c>
      <c r="Q7" s="44">
        <f ca="1" t="shared" si="1"/>
        <v>0</v>
      </c>
      <c r="R7" s="42">
        <f ca="1" t="shared" ref="R7:R18" si="2">SUM(S7:AA7,AN7:BD7)</f>
        <v>0</v>
      </c>
      <c r="S7" s="52">
        <f ca="1" t="shared" ref="S7:AY7" si="3">SUM(S8:S10)</f>
        <v>0</v>
      </c>
      <c r="T7" s="52">
        <f ca="1" t="shared" si="3"/>
        <v>0</v>
      </c>
      <c r="U7" s="52">
        <f ca="1" t="shared" si="3"/>
        <v>0</v>
      </c>
      <c r="V7" s="52">
        <f ca="1" t="shared" si="3"/>
        <v>0</v>
      </c>
      <c r="W7" s="52">
        <f ca="1" t="shared" si="3"/>
        <v>0</v>
      </c>
      <c r="X7" s="52">
        <f ca="1" t="shared" si="3"/>
        <v>0</v>
      </c>
      <c r="Y7" s="52">
        <f ca="1" t="shared" si="3"/>
        <v>0</v>
      </c>
      <c r="Z7" s="52">
        <f ca="1" t="shared" si="3"/>
        <v>0</v>
      </c>
      <c r="AA7" s="52">
        <f ca="1" t="shared" ref="AA7:AA18" si="4">+SUM(AB7:AM7)</f>
        <v>0</v>
      </c>
      <c r="AB7" s="52">
        <f ca="1" t="shared" ref="AB7:AM7" si="5">SUM(AB8:AB10)</f>
        <v>0</v>
      </c>
      <c r="AC7" s="52">
        <f ca="1" t="shared" si="5"/>
        <v>0</v>
      </c>
      <c r="AD7" s="52">
        <f ca="1" t="shared" si="5"/>
        <v>0</v>
      </c>
      <c r="AE7" s="52">
        <f ca="1" t="shared" si="5"/>
        <v>0</v>
      </c>
      <c r="AF7" s="52">
        <f ca="1" t="shared" si="5"/>
        <v>0</v>
      </c>
      <c r="AG7" s="52">
        <f ca="1" t="shared" si="5"/>
        <v>0</v>
      </c>
      <c r="AH7" s="52">
        <f ca="1" t="shared" si="5"/>
        <v>0</v>
      </c>
      <c r="AI7" s="52">
        <f ca="1" t="shared" si="5"/>
        <v>0</v>
      </c>
      <c r="AJ7" s="52">
        <f ca="1" t="shared" si="5"/>
        <v>0</v>
      </c>
      <c r="AK7" s="52">
        <f ca="1" t="shared" si="5"/>
        <v>0</v>
      </c>
      <c r="AL7" s="52">
        <f ca="1" t="shared" si="5"/>
        <v>0</v>
      </c>
      <c r="AM7" s="52">
        <f ca="1" t="shared" si="5"/>
        <v>0</v>
      </c>
      <c r="AN7" s="52">
        <f ca="1" t="shared" si="3"/>
        <v>0</v>
      </c>
      <c r="AO7" s="52">
        <f ca="1" t="shared" si="3"/>
        <v>0</v>
      </c>
      <c r="AP7" s="52">
        <f ca="1" t="shared" si="3"/>
        <v>0</v>
      </c>
      <c r="AQ7" s="52">
        <f ca="1" t="shared" si="3"/>
        <v>0</v>
      </c>
      <c r="AR7" s="52">
        <f ca="1" t="shared" si="3"/>
        <v>0</v>
      </c>
      <c r="AS7" s="52">
        <f ca="1" t="shared" si="3"/>
        <v>0</v>
      </c>
      <c r="AT7" s="52">
        <f ca="1" t="shared" si="3"/>
        <v>0</v>
      </c>
      <c r="AU7" s="52">
        <f ca="1" t="shared" si="3"/>
        <v>0</v>
      </c>
      <c r="AV7" s="52">
        <f ca="1" t="shared" si="3"/>
        <v>0</v>
      </c>
      <c r="AW7" s="52">
        <f ca="1" t="shared" si="3"/>
        <v>0</v>
      </c>
      <c r="AX7" s="52">
        <f ca="1" t="shared" si="3"/>
        <v>0</v>
      </c>
      <c r="AY7" s="52">
        <f ca="1" t="shared" si="3"/>
        <v>0</v>
      </c>
      <c r="AZ7" s="52">
        <f ca="1" t="shared" ref="AZ7:BE7" si="6">SUM(AZ8:AZ10)</f>
        <v>0</v>
      </c>
      <c r="BA7" s="87">
        <f ca="1" t="shared" si="6"/>
        <v>0</v>
      </c>
      <c r="BB7" s="52">
        <f ca="1" t="shared" si="6"/>
        <v>0</v>
      </c>
      <c r="BC7" s="52">
        <f ca="1" t="shared" si="6"/>
        <v>0</v>
      </c>
      <c r="BD7" s="52">
        <f ca="1" t="shared" si="6"/>
        <v>0</v>
      </c>
      <c r="BE7" s="52">
        <f ca="1" t="shared" si="6"/>
        <v>0</v>
      </c>
      <c r="BF7" s="74">
        <f ca="1" t="shared" ref="BF7:BF18" si="7">BE7+R7+E7</f>
        <v>0</v>
      </c>
      <c r="BG7" s="101">
        <f ca="1">F$59-$BF7</f>
        <v>0</v>
      </c>
      <c r="BH7" s="41" t="e">
        <f ca="1" t="shared" ref="BH7:BH18" si="8">BG7+D7</f>
        <v>#REF!</v>
      </c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</row>
    <row r="8" s="4" customFormat="1" ht="15.75" customHeight="1" spans="1:79">
      <c r="A8" s="45"/>
      <c r="B8" s="316" t="s">
        <v>8341</v>
      </c>
      <c r="C8" s="46" t="s">
        <v>8299</v>
      </c>
      <c r="D8" s="47" t="e">
        <f>+#REF!</f>
        <v>#REF!</v>
      </c>
      <c r="E8" s="48">
        <f ca="1">SUM(F8,J8:Q8)</f>
        <v>0</v>
      </c>
      <c r="F8" s="44">
        <f ca="1">SUM(H8:I8)</f>
        <v>0</v>
      </c>
      <c r="G8" s="49" t="e">
        <f ca="1">$D8-$BF8</f>
        <v>#REF!</v>
      </c>
      <c r="H8" s="50">
        <f ca="1">+GETPIVOTDATA("XBB4",'binhba (2016)'!$A$3,"MA_HT","LUC","MA_QH","LUK")</f>
        <v>0</v>
      </c>
      <c r="I8" s="50">
        <f ca="1">+GETPIVOTDATA("XBB4",'binhba (2016)'!$A$3,"MA_HT","LUC","MA_QH","LUN")</f>
        <v>0</v>
      </c>
      <c r="J8" s="50">
        <f ca="1">+GETPIVOTDATA("XBB4",'binhba (2016)'!$A$3,"MA_HT","LUC","MA_QH","HNK")</f>
        <v>0</v>
      </c>
      <c r="K8" s="50">
        <f ca="1">+GETPIVOTDATA("XBB4",'binhba (2016)'!$A$3,"MA_HT","LUC","MA_QH","CLN")</f>
        <v>0</v>
      </c>
      <c r="L8" s="50">
        <f ca="1">+GETPIVOTDATA("XBB4",'binhba (2016)'!$A$3,"MA_HT","LUC","MA_QH","RSX")</f>
        <v>0</v>
      </c>
      <c r="M8" s="50">
        <f ca="1">+GETPIVOTDATA("XBB4",'binhba (2016)'!$A$3,"MA_HT","LUC","MA_QH","RPH")</f>
        <v>0</v>
      </c>
      <c r="N8" s="50">
        <f ca="1">+GETPIVOTDATA("XBB4",'binhba (2016)'!$A$3,"MA_HT","LUC","MA_QH","RDD")</f>
        <v>0</v>
      </c>
      <c r="O8" s="50">
        <f ca="1">+GETPIVOTDATA("XBB4",'binhba (2016)'!$A$3,"MA_HT","LUC","MA_QH","NTS")</f>
        <v>0</v>
      </c>
      <c r="P8" s="50">
        <f ca="1">+GETPIVOTDATA("XBB4",'binhba (2016)'!$A$3,"MA_HT","LUC","MA_QH","LMU")</f>
        <v>0</v>
      </c>
      <c r="Q8" s="50">
        <f ca="1">+GETPIVOTDATA("XBB4",'binhba (2016)'!$A$3,"MA_HT","LUC","MA_QH","NKH")</f>
        <v>0</v>
      </c>
      <c r="R8" s="48">
        <f ca="1" t="shared" si="2"/>
        <v>0</v>
      </c>
      <c r="S8" s="50">
        <f ca="1">+GETPIVOTDATA("XBB4",'binhba (2016)'!$A$3,"MA_HT","LUC","MA_QH","CQP")</f>
        <v>0</v>
      </c>
      <c r="T8" s="50">
        <f ca="1">+GETPIVOTDATA("XBB4",'binhba (2016)'!$A$3,"MA_HT","LUC","MA_QH","CAN")</f>
        <v>0</v>
      </c>
      <c r="U8" s="50">
        <f ca="1">+GETPIVOTDATA("XBB4",'binhba (2016)'!$A$3,"MA_HT","LUC","MA_QH","SKK")</f>
        <v>0</v>
      </c>
      <c r="V8" s="50">
        <f ca="1">+GETPIVOTDATA("XBB4",'binhba (2016)'!$A$3,"MA_HT","LUC","MA_QH","SKT")</f>
        <v>0</v>
      </c>
      <c r="W8" s="50">
        <f ca="1">+GETPIVOTDATA("XBB4",'binhba (2016)'!$A$3,"MA_HT","LUC","MA_QH","SKN")</f>
        <v>0</v>
      </c>
      <c r="X8" s="50">
        <f ca="1">+GETPIVOTDATA("XBB4",'binhba (2016)'!$A$3,"MA_HT","LUC","MA_QH","TMD")</f>
        <v>0</v>
      </c>
      <c r="Y8" s="50">
        <f ca="1">+GETPIVOTDATA("XBB4",'binhba (2016)'!$A$3,"MA_HT","LUC","MA_QH","SKC")</f>
        <v>0</v>
      </c>
      <c r="Z8" s="50">
        <f ca="1">+GETPIVOTDATA("XBB4",'binhba (2016)'!$A$3,"MA_HT","LUC","MA_QH","SKS")</f>
        <v>0</v>
      </c>
      <c r="AA8" s="52">
        <f ca="1" t="shared" si="4"/>
        <v>0</v>
      </c>
      <c r="AB8" s="50">
        <f ca="1">+GETPIVOTDATA("XBB4",'binhba (2016)'!$A$3,"MA_HT","LUC","MA_QH","DGT")</f>
        <v>0</v>
      </c>
      <c r="AC8" s="50">
        <f ca="1">+GETPIVOTDATA("XBB4",'binhba (2016)'!$A$3,"MA_HT","LUC","MA_QH","DTL")</f>
        <v>0</v>
      </c>
      <c r="AD8" s="50">
        <f ca="1">+GETPIVOTDATA("XBB4",'binhba (2016)'!$A$3,"MA_HT","LUC","MA_QH","DNL")</f>
        <v>0</v>
      </c>
      <c r="AE8" s="50">
        <f ca="1">+GETPIVOTDATA("XBB4",'binhba (2016)'!$A$3,"MA_HT","LUC","MA_QH","DBV")</f>
        <v>0</v>
      </c>
      <c r="AF8" s="50">
        <f ca="1">+GETPIVOTDATA("XBB4",'binhba (2016)'!$A$3,"MA_HT","LUC","MA_QH","DVH")</f>
        <v>0</v>
      </c>
      <c r="AG8" s="50">
        <f ca="1">+GETPIVOTDATA("XBB4",'binhba (2016)'!$A$3,"MA_HT","LUC","MA_QH","DYT")</f>
        <v>0</v>
      </c>
      <c r="AH8" s="50">
        <f ca="1">+GETPIVOTDATA("XBB4",'binhba (2016)'!$A$3,"MA_HT","LUC","MA_QH","DGD")</f>
        <v>0</v>
      </c>
      <c r="AI8" s="50">
        <f ca="1">+GETPIVOTDATA("XBB4",'binhba (2016)'!$A$3,"MA_HT","LUC","MA_QH","DTT")</f>
        <v>0</v>
      </c>
      <c r="AJ8" s="50">
        <f ca="1">+GETPIVOTDATA("XBB4",'binhba (2016)'!$A$3,"MA_HT","LUC","MA_QH","NCK")</f>
        <v>0</v>
      </c>
      <c r="AK8" s="50">
        <f ca="1">+GETPIVOTDATA("XBB4",'binhba (2016)'!$A$3,"MA_HT","LUC","MA_QH","DXH")</f>
        <v>0</v>
      </c>
      <c r="AL8" s="50">
        <f ca="1">+GETPIVOTDATA("XBB4",'binhba (2016)'!$A$3,"MA_HT","LUC","MA_QH","DCH")</f>
        <v>0</v>
      </c>
      <c r="AM8" s="50">
        <f ca="1">+GETPIVOTDATA("XBB4",'binhba (2016)'!$A$3,"MA_HT","LUC","MA_QH","DKG")</f>
        <v>0</v>
      </c>
      <c r="AN8" s="50">
        <f ca="1">+GETPIVOTDATA("XBB4",'binhba (2016)'!$A$3,"MA_HT","LUC","MA_QH","DDT")</f>
        <v>0</v>
      </c>
      <c r="AO8" s="50">
        <f ca="1">+GETPIVOTDATA("XBB4",'binhba (2016)'!$A$3,"MA_HT","LUC","MA_QH","DDL")</f>
        <v>0</v>
      </c>
      <c r="AP8" s="50">
        <f ca="1">+GETPIVOTDATA("XBB4",'binhba (2016)'!$A$3,"MA_HT","LUC","MA_QH","DRA")</f>
        <v>0</v>
      </c>
      <c r="AQ8" s="50">
        <f ca="1">+GETPIVOTDATA("XBB4",'binhba (2016)'!$A$3,"MA_HT","LUC","MA_QH","ONT")</f>
        <v>0</v>
      </c>
      <c r="AR8" s="50">
        <f ca="1">+GETPIVOTDATA("XBB4",'binhba (2016)'!$A$3,"MA_HT","LUC","MA_QH","ODT")</f>
        <v>0</v>
      </c>
      <c r="AS8" s="50">
        <f ca="1">+GETPIVOTDATA("XBB4",'binhba (2016)'!$A$3,"MA_HT","LUC","MA_QH","TSC")</f>
        <v>0</v>
      </c>
      <c r="AT8" s="50">
        <f ca="1">+GETPIVOTDATA("XBB4",'binhba (2016)'!$A$3,"MA_HT","LUC","MA_QH","DTS")</f>
        <v>0</v>
      </c>
      <c r="AU8" s="50">
        <f ca="1">+GETPIVOTDATA("XBB4",'binhba (2016)'!$A$3,"MA_HT","LUC","MA_QH","DNG")</f>
        <v>0</v>
      </c>
      <c r="AV8" s="50">
        <f ca="1">+GETPIVOTDATA("XBB4",'binhba (2016)'!$A$3,"MA_HT","LUC","MA_QH","TON")</f>
        <v>0</v>
      </c>
      <c r="AW8" s="50">
        <f ca="1">+GETPIVOTDATA("XBB4",'binhba (2016)'!$A$3,"MA_HT","LUC","MA_QH","NTD")</f>
        <v>0</v>
      </c>
      <c r="AX8" s="50">
        <f ca="1">+GETPIVOTDATA("XBB4",'binhba (2016)'!$A$3,"MA_HT","LUC","MA_QH","SKX")</f>
        <v>0</v>
      </c>
      <c r="AY8" s="50">
        <f ca="1">+GETPIVOTDATA("XBB4",'binhba (2016)'!$A$3,"MA_HT","LUC","MA_QH","DSH")</f>
        <v>0</v>
      </c>
      <c r="AZ8" s="50">
        <f ca="1">+GETPIVOTDATA("XBB4",'binhba (2016)'!$A$3,"MA_HT","LUC","MA_QH","DKV")</f>
        <v>0</v>
      </c>
      <c r="BA8" s="88">
        <f ca="1">+GETPIVOTDATA("XBB4",'binhba (2016)'!$A$3,"MA_HT","LUC","MA_QH","TIN")</f>
        <v>0</v>
      </c>
      <c r="BB8" s="50">
        <f ca="1">+GETPIVOTDATA("XBB4",'binhba (2016)'!$A$3,"MA_HT","LUC","MA_QH","SON")</f>
        <v>0</v>
      </c>
      <c r="BC8" s="50">
        <f ca="1">+GETPIVOTDATA("XBB4",'binhba (2016)'!$A$3,"MA_HT","LUC","MA_QH","MNC")</f>
        <v>0</v>
      </c>
      <c r="BD8" s="50">
        <f ca="1">+GETPIVOTDATA("XBB4",'binhba (2016)'!$A$3,"MA_HT","LUC","MA_QH","PNK")</f>
        <v>0</v>
      </c>
      <c r="BE8" s="80">
        <f ca="1">+GETPIVOTDATA("XBB4",'binhba (2016)'!$A$3,"MA_HT","LUC","MA_QH","CSD")</f>
        <v>0</v>
      </c>
      <c r="BF8" s="103">
        <f ca="1" t="shared" si="7"/>
        <v>0</v>
      </c>
      <c r="BG8" s="104">
        <f ca="1">G$59-$BF8</f>
        <v>0</v>
      </c>
      <c r="BH8" s="47" t="e">
        <f ca="1" t="shared" si="8"/>
        <v>#REF!</v>
      </c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</row>
    <row r="9" s="4" customFormat="1" ht="15.75" customHeight="1" spans="1:79">
      <c r="A9" s="45"/>
      <c r="B9" s="316" t="s">
        <v>8342</v>
      </c>
      <c r="C9" s="46" t="s">
        <v>221</v>
      </c>
      <c r="D9" s="47" t="e">
        <f>+#REF!</f>
        <v>#REF!</v>
      </c>
      <c r="E9" s="48">
        <f ca="1">SUM(F9,J9:Q9)</f>
        <v>0</v>
      </c>
      <c r="F9" s="44">
        <f ca="1">SUM(G9,I9)</f>
        <v>0</v>
      </c>
      <c r="G9" s="51">
        <f ca="1">+GETPIVOTDATA("XBB4",'binhba (2016)'!$A$3,"MA_HT","LUK","MA_QH","LUC")</f>
        <v>0</v>
      </c>
      <c r="H9" s="49" t="e">
        <f ca="1">$D9-$BF9</f>
        <v>#REF!</v>
      </c>
      <c r="I9" s="50">
        <f ca="1">+GETPIVOTDATA("XBB4",'binhba (2016)'!$A$3,"MA_HT","LUK","MA_QH","LUN")</f>
        <v>0</v>
      </c>
      <c r="J9" s="50">
        <f ca="1">+GETPIVOTDATA("XBB4",'binhba (2016)'!$A$3,"MA_HT","LUK","MA_QH","HNK")</f>
        <v>0</v>
      </c>
      <c r="K9" s="50">
        <f ca="1">+GETPIVOTDATA("XBB4",'binhba (2016)'!$A$3,"MA_HT","LUK","MA_QH","CLN")</f>
        <v>0</v>
      </c>
      <c r="L9" s="50">
        <f ca="1">+GETPIVOTDATA("XBB4",'binhba (2016)'!$A$3,"MA_HT","LUK","MA_QH","RSX")</f>
        <v>0</v>
      </c>
      <c r="M9" s="50">
        <f ca="1">+GETPIVOTDATA("XBB4",'binhba (2016)'!$A$3,"MA_HT","LUK","MA_QH","RPH")</f>
        <v>0</v>
      </c>
      <c r="N9" s="50">
        <f ca="1">+GETPIVOTDATA("XBB4",'binhba (2016)'!$A$3,"MA_HT","LUK","MA_QH","RDD")</f>
        <v>0</v>
      </c>
      <c r="O9" s="50">
        <f ca="1">+GETPIVOTDATA("XBB4",'binhba (2016)'!$A$3,"MA_HT","LUK","MA_QH","NTS")</f>
        <v>0</v>
      </c>
      <c r="P9" s="50">
        <f ca="1">+GETPIVOTDATA("XBB4",'binhba (2016)'!$A$3,"MA_HT","LUK","MA_QH","LMU")</f>
        <v>0</v>
      </c>
      <c r="Q9" s="50">
        <f ca="1">+GETPIVOTDATA("XBB4",'binhba (2016)'!$A$3,"MA_HT","LUK","MA_QH","NKH")</f>
        <v>0</v>
      </c>
      <c r="R9" s="48">
        <f ca="1" t="shared" si="2"/>
        <v>0</v>
      </c>
      <c r="S9" s="50">
        <f ca="1">+GETPIVOTDATA("XBB4",'binhba (2016)'!$A$3,"MA_HT","LUK","MA_QH","CQP")</f>
        <v>0</v>
      </c>
      <c r="T9" s="50">
        <f ca="1">+GETPIVOTDATA("XBB4",'binhba (2016)'!$A$3,"MA_HT","LUK","MA_QH","CAN")</f>
        <v>0</v>
      </c>
      <c r="U9" s="50">
        <f ca="1">+GETPIVOTDATA("XBB4",'binhba (2016)'!$A$3,"MA_HT","LUK","MA_QH","SKK")</f>
        <v>0</v>
      </c>
      <c r="V9" s="50">
        <f ca="1">+GETPIVOTDATA("XBB4",'binhba (2016)'!$A$3,"MA_HT","LUK","MA_QH","SKT")</f>
        <v>0</v>
      </c>
      <c r="W9" s="50">
        <f ca="1">+GETPIVOTDATA("XBB4",'binhba (2016)'!$A$3,"MA_HT","LUK","MA_QH","SKN")</f>
        <v>0</v>
      </c>
      <c r="X9" s="50">
        <f ca="1">+GETPIVOTDATA("XBB4",'binhba (2016)'!$A$3,"MA_HT","LUK","MA_QH","TMD")</f>
        <v>0</v>
      </c>
      <c r="Y9" s="50">
        <f ca="1">+GETPIVOTDATA("XBB4",'binhba (2016)'!$A$3,"MA_HT","LUK","MA_QH","SKC")</f>
        <v>0</v>
      </c>
      <c r="Z9" s="50">
        <f ca="1">+GETPIVOTDATA("XBB4",'binhba (2016)'!$A$3,"MA_HT","LUK","MA_QH","SKS")</f>
        <v>0</v>
      </c>
      <c r="AA9" s="52">
        <f ca="1" t="shared" si="4"/>
        <v>0</v>
      </c>
      <c r="AB9" s="50">
        <f ca="1">+GETPIVOTDATA("XBB4",'binhba (2016)'!$A$3,"MA_HT","LUK","MA_QH","DGT")</f>
        <v>0</v>
      </c>
      <c r="AC9" s="50">
        <f ca="1">+GETPIVOTDATA("XBB4",'binhba (2016)'!$A$3,"MA_HT","LUK","MA_QH","DTL")</f>
        <v>0</v>
      </c>
      <c r="AD9" s="50">
        <f ca="1">+GETPIVOTDATA("XBB4",'binhba (2016)'!$A$3,"MA_HT","LUK","MA_QH","DNL")</f>
        <v>0</v>
      </c>
      <c r="AE9" s="50">
        <f ca="1">+GETPIVOTDATA("XBB4",'binhba (2016)'!$A$3,"MA_HT","LUK","MA_QH","DBV")</f>
        <v>0</v>
      </c>
      <c r="AF9" s="50">
        <f ca="1">+GETPIVOTDATA("XBB4",'binhba (2016)'!$A$3,"MA_HT","LUK","MA_QH","DVH")</f>
        <v>0</v>
      </c>
      <c r="AG9" s="50">
        <f ca="1">+GETPIVOTDATA("XBB4",'binhba (2016)'!$A$3,"MA_HT","LUK","MA_QH","DYT")</f>
        <v>0</v>
      </c>
      <c r="AH9" s="50">
        <f ca="1">+GETPIVOTDATA("XBB4",'binhba (2016)'!$A$3,"MA_HT","LUK","MA_QH","DGD")</f>
        <v>0</v>
      </c>
      <c r="AI9" s="50">
        <f ca="1">+GETPIVOTDATA("XBB4",'binhba (2016)'!$A$3,"MA_HT","LUK","MA_QH","DTT")</f>
        <v>0</v>
      </c>
      <c r="AJ9" s="50">
        <f ca="1">+GETPIVOTDATA("XBB4",'binhba (2016)'!$A$3,"MA_HT","LUK","MA_QH","NCK")</f>
        <v>0</v>
      </c>
      <c r="AK9" s="50">
        <f ca="1">+GETPIVOTDATA("XBB4",'binhba (2016)'!$A$3,"MA_HT","LUK","MA_QH","DXH")</f>
        <v>0</v>
      </c>
      <c r="AL9" s="50">
        <f ca="1">+GETPIVOTDATA("XBB4",'binhba (2016)'!$A$3,"MA_HT","LUK","MA_QH","DCH")</f>
        <v>0</v>
      </c>
      <c r="AM9" s="50">
        <f ca="1">+GETPIVOTDATA("XBB4",'binhba (2016)'!$A$3,"MA_HT","LUK","MA_QH","DKG")</f>
        <v>0</v>
      </c>
      <c r="AN9" s="50">
        <f ca="1">+GETPIVOTDATA("XBB4",'binhba (2016)'!$A$3,"MA_HT","LUK","MA_QH","DDT")</f>
        <v>0</v>
      </c>
      <c r="AO9" s="50">
        <f ca="1">+GETPIVOTDATA("XBB4",'binhba (2016)'!$A$3,"MA_HT","LUK","MA_QH","DDL")</f>
        <v>0</v>
      </c>
      <c r="AP9" s="50">
        <f ca="1">+GETPIVOTDATA("XBB4",'binhba (2016)'!$A$3,"MA_HT","LUK","MA_QH","DRA")</f>
        <v>0</v>
      </c>
      <c r="AQ9" s="50">
        <f ca="1">+GETPIVOTDATA("XBB4",'binhba (2016)'!$A$3,"MA_HT","LUK","MA_QH","ONT")</f>
        <v>0</v>
      </c>
      <c r="AR9" s="50">
        <f ca="1">+GETPIVOTDATA("XBB4",'binhba (2016)'!$A$3,"MA_HT","LUK","MA_QH","ODT")</f>
        <v>0</v>
      </c>
      <c r="AS9" s="50">
        <f ca="1">+GETPIVOTDATA("XBB4",'binhba (2016)'!$A$3,"MA_HT","LUK","MA_QH","TSC")</f>
        <v>0</v>
      </c>
      <c r="AT9" s="50">
        <f ca="1">+GETPIVOTDATA("XBB4",'binhba (2016)'!$A$3,"MA_HT","LUK","MA_QH","DTS")</f>
        <v>0</v>
      </c>
      <c r="AU9" s="50">
        <f ca="1">+GETPIVOTDATA("XBB4",'binhba (2016)'!$A$3,"MA_HT","LUK","MA_QH","DNG")</f>
        <v>0</v>
      </c>
      <c r="AV9" s="50">
        <f ca="1">+GETPIVOTDATA("XBB4",'binhba (2016)'!$A$3,"MA_HT","LUK","MA_QH","TON")</f>
        <v>0</v>
      </c>
      <c r="AW9" s="50">
        <f ca="1">+GETPIVOTDATA("XBB4",'binhba (2016)'!$A$3,"MA_HT","LUK","MA_QH","NTD")</f>
        <v>0</v>
      </c>
      <c r="AX9" s="50">
        <f ca="1">+GETPIVOTDATA("XBB4",'binhba (2016)'!$A$3,"MA_HT","LUK","MA_QH","SKX")</f>
        <v>0</v>
      </c>
      <c r="AY9" s="50">
        <f ca="1">+GETPIVOTDATA("XBB4",'binhba (2016)'!$A$3,"MA_HT","LUK","MA_QH","DSH")</f>
        <v>0</v>
      </c>
      <c r="AZ9" s="50">
        <f ca="1">+GETPIVOTDATA("XBB4",'binhba (2016)'!$A$3,"MA_HT","LUK","MA_QH","DKV")</f>
        <v>0</v>
      </c>
      <c r="BA9" s="88">
        <f ca="1">+GETPIVOTDATA("XBB4",'binhba (2016)'!$A$3,"MA_HT","LUK","MA_QH","TIN")</f>
        <v>0</v>
      </c>
      <c r="BB9" s="50">
        <f ca="1">+GETPIVOTDATA("XBB4",'binhba (2016)'!$A$3,"MA_HT","LUK","MA_QH","SON")</f>
        <v>0</v>
      </c>
      <c r="BC9" s="50">
        <f ca="1">+GETPIVOTDATA("XBB4",'binhba (2016)'!$A$3,"MA_HT","LUK","MA_QH","MNC")</f>
        <v>0</v>
      </c>
      <c r="BD9" s="50">
        <f ca="1">+GETPIVOTDATA("XBB4",'binhba (2016)'!$A$3,"MA_HT","LUK","MA_QH","PNK")</f>
        <v>0</v>
      </c>
      <c r="BE9" s="80">
        <f ca="1">+GETPIVOTDATA("XBB4",'binhba (2016)'!$A$3,"MA_HT","LUK","MA_QH","CSD")</f>
        <v>0</v>
      </c>
      <c r="BF9" s="103">
        <f ca="1" t="shared" si="7"/>
        <v>0</v>
      </c>
      <c r="BG9" s="104">
        <f ca="1">H$59-$BF9</f>
        <v>0</v>
      </c>
      <c r="BH9" s="47" t="e">
        <f ca="1" t="shared" si="8"/>
        <v>#REF!</v>
      </c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</row>
    <row r="10" s="4" customFormat="1" ht="15.75" customHeight="1" spans="1:79">
      <c r="A10" s="45"/>
      <c r="B10" s="316" t="s">
        <v>8343</v>
      </c>
      <c r="C10" s="46" t="s">
        <v>8300</v>
      </c>
      <c r="D10" s="47" t="e">
        <f>+#REF!</f>
        <v>#REF!</v>
      </c>
      <c r="E10" s="48">
        <f ca="1">SUM(J10:Q10,F10)</f>
        <v>0</v>
      </c>
      <c r="F10" s="44">
        <f ca="1">SUM(G10:H10)</f>
        <v>0</v>
      </c>
      <c r="G10" s="50">
        <f ca="1">+GETPIVOTDATA("XBB4",'binhba (2016)'!$A$3,"MA_HT","LUN","MA_QH","LUC")</f>
        <v>0</v>
      </c>
      <c r="H10" s="50">
        <f ca="1">+GETPIVOTDATA("XBB4",'binhba (2016)'!$A$3,"MA_HT","LUN","MA_QH","LUK")</f>
        <v>0</v>
      </c>
      <c r="I10" s="49" t="e">
        <f ca="1">$D10-$BF10</f>
        <v>#REF!</v>
      </c>
      <c r="J10" s="50">
        <f ca="1">+GETPIVOTDATA("XBB4",'binhba (2016)'!$A$3,"MA_HT","LUN","MA_QH","HNK")</f>
        <v>0</v>
      </c>
      <c r="K10" s="50">
        <f ca="1">+GETPIVOTDATA("XBB4",'binhba (2016)'!$A$3,"MA_HT","LUN","MA_QH","CLN")</f>
        <v>0</v>
      </c>
      <c r="L10" s="50">
        <f ca="1">+GETPIVOTDATA("XBB4",'binhba (2016)'!$A$3,"MA_HT","LUN","MA_QH","RSX")</f>
        <v>0</v>
      </c>
      <c r="M10" s="50">
        <f ca="1">+GETPIVOTDATA("XBB4",'binhba (2016)'!$A$3,"MA_HT","LUN","MA_QH","RPH")</f>
        <v>0</v>
      </c>
      <c r="N10" s="50">
        <f ca="1">+GETPIVOTDATA("XBB4",'binhba (2016)'!$A$3,"MA_HT","LUN","MA_QH","RDD")</f>
        <v>0</v>
      </c>
      <c r="O10" s="50">
        <f ca="1">+GETPIVOTDATA("XBB4",'binhba (2016)'!$A$3,"MA_HT","LUN","MA_QH","NTS")</f>
        <v>0</v>
      </c>
      <c r="P10" s="50">
        <f ca="1">+GETPIVOTDATA("XBB4",'binhba (2016)'!$A$3,"MA_HT","LUN","MA_QH","LMU")</f>
        <v>0</v>
      </c>
      <c r="Q10" s="50">
        <f ca="1">+GETPIVOTDATA("XBB4",'binhba (2016)'!$A$3,"MA_HT","LUN","MA_QH","NKH")</f>
        <v>0</v>
      </c>
      <c r="R10" s="48">
        <f ca="1" t="shared" si="2"/>
        <v>0</v>
      </c>
      <c r="S10" s="50">
        <f ca="1">+GETPIVOTDATA("XBB4",'binhba (2016)'!$A$3,"MA_HT","LUN","MA_QH","CQP")</f>
        <v>0</v>
      </c>
      <c r="T10" s="50">
        <f ca="1">+GETPIVOTDATA("XBB4",'binhba (2016)'!$A$3,"MA_HT","LUN","MA_QH","CAN")</f>
        <v>0</v>
      </c>
      <c r="U10" s="50">
        <f ca="1">+GETPIVOTDATA("XBB4",'binhba (2016)'!$A$3,"MA_HT","LUN","MA_QH","SKK")</f>
        <v>0</v>
      </c>
      <c r="V10" s="50">
        <f ca="1">+GETPIVOTDATA("XBB4",'binhba (2016)'!$A$3,"MA_HT","LUN","MA_QH","SKT")</f>
        <v>0</v>
      </c>
      <c r="W10" s="50">
        <f ca="1">+GETPIVOTDATA("XBB4",'binhba (2016)'!$A$3,"MA_HT","LUN","MA_QH","SKN")</f>
        <v>0</v>
      </c>
      <c r="X10" s="50">
        <f ca="1">+GETPIVOTDATA("XBB4",'binhba (2016)'!$A$3,"MA_HT","LUN","MA_QH","TMD")</f>
        <v>0</v>
      </c>
      <c r="Y10" s="50">
        <f ca="1">+GETPIVOTDATA("XBB4",'binhba (2016)'!$A$3,"MA_HT","LUN","MA_QH","SKC")</f>
        <v>0</v>
      </c>
      <c r="Z10" s="50">
        <f ca="1">+GETPIVOTDATA("XBB4",'binhba (2016)'!$A$3,"MA_HT","LUN","MA_QH","SKS")</f>
        <v>0</v>
      </c>
      <c r="AA10" s="52">
        <f ca="1" t="shared" si="4"/>
        <v>0</v>
      </c>
      <c r="AB10" s="50">
        <f ca="1">+GETPIVOTDATA("XBB4",'binhba (2016)'!$A$3,"MA_HT","LUN","MA_QH","DGT")</f>
        <v>0</v>
      </c>
      <c r="AC10" s="50">
        <f ca="1">+GETPIVOTDATA("XBB4",'binhba (2016)'!$A$3,"MA_HT","LUN","MA_QH","DTL")</f>
        <v>0</v>
      </c>
      <c r="AD10" s="50">
        <f ca="1">+GETPIVOTDATA("XBB4",'binhba (2016)'!$A$3,"MA_HT","LUN","MA_QH","DNL")</f>
        <v>0</v>
      </c>
      <c r="AE10" s="50">
        <f ca="1">+GETPIVOTDATA("XBB4",'binhba (2016)'!$A$3,"MA_HT","LUN","MA_QH","DBV")</f>
        <v>0</v>
      </c>
      <c r="AF10" s="50">
        <f ca="1">+GETPIVOTDATA("XBB4",'binhba (2016)'!$A$3,"MA_HT","LUN","MA_QH","DVH")</f>
        <v>0</v>
      </c>
      <c r="AG10" s="50">
        <f ca="1">+GETPIVOTDATA("XBB4",'binhba (2016)'!$A$3,"MA_HT","LUN","MA_QH","DYT")</f>
        <v>0</v>
      </c>
      <c r="AH10" s="50">
        <f ca="1">+GETPIVOTDATA("XBB4",'binhba (2016)'!$A$3,"MA_HT","LUN","MA_QH","DGD")</f>
        <v>0</v>
      </c>
      <c r="AI10" s="50">
        <f ca="1">+GETPIVOTDATA("XBB4",'binhba (2016)'!$A$3,"MA_HT","LUN","MA_QH","DTT")</f>
        <v>0</v>
      </c>
      <c r="AJ10" s="50">
        <f ca="1">+GETPIVOTDATA("XBB4",'binhba (2016)'!$A$3,"MA_HT","LUN","MA_QH","NCK")</f>
        <v>0</v>
      </c>
      <c r="AK10" s="50">
        <f ca="1">+GETPIVOTDATA("XBB4",'binhba (2016)'!$A$3,"MA_HT","LUN","MA_QH","DXH")</f>
        <v>0</v>
      </c>
      <c r="AL10" s="50">
        <f ca="1">+GETPIVOTDATA("XBB4",'binhba (2016)'!$A$3,"MA_HT","LUN","MA_QH","DCH")</f>
        <v>0</v>
      </c>
      <c r="AM10" s="50">
        <f ca="1">+GETPIVOTDATA("XBB4",'binhba (2016)'!$A$3,"MA_HT","LUN","MA_QH","DKG")</f>
        <v>0</v>
      </c>
      <c r="AN10" s="50">
        <f ca="1">+GETPIVOTDATA("XBB4",'binhba (2016)'!$A$3,"MA_HT","LUN","MA_QH","DDT")</f>
        <v>0</v>
      </c>
      <c r="AO10" s="50">
        <f ca="1">+GETPIVOTDATA("XBB4",'binhba (2016)'!$A$3,"MA_HT","LUN","MA_QH","DDL")</f>
        <v>0</v>
      </c>
      <c r="AP10" s="50">
        <f ca="1">+GETPIVOTDATA("XBB4",'binhba (2016)'!$A$3,"MA_HT","LUN","MA_QH","DRA")</f>
        <v>0</v>
      </c>
      <c r="AQ10" s="50">
        <f ca="1">+GETPIVOTDATA("XBB4",'binhba (2016)'!$A$3,"MA_HT","LUN","MA_QH","ONT")</f>
        <v>0</v>
      </c>
      <c r="AR10" s="50">
        <f ca="1">+GETPIVOTDATA("XBB4",'binhba (2016)'!$A$3,"MA_HT","LUN","MA_QH","ODT")</f>
        <v>0</v>
      </c>
      <c r="AS10" s="50">
        <f ca="1">+GETPIVOTDATA("XBB4",'binhba (2016)'!$A$3,"MA_HT","LUN","MA_QH","TSC")</f>
        <v>0</v>
      </c>
      <c r="AT10" s="50">
        <f ca="1">+GETPIVOTDATA("XBB4",'binhba (2016)'!$A$3,"MA_HT","LUN","MA_QH","DTS")</f>
        <v>0</v>
      </c>
      <c r="AU10" s="50">
        <f ca="1">+GETPIVOTDATA("XBB4",'binhba (2016)'!$A$3,"MA_HT","LUN","MA_QH","DNG")</f>
        <v>0</v>
      </c>
      <c r="AV10" s="50">
        <f ca="1">+GETPIVOTDATA("XBB4",'binhba (2016)'!$A$3,"MA_HT","LUN","MA_QH","TON")</f>
        <v>0</v>
      </c>
      <c r="AW10" s="50">
        <f ca="1">+GETPIVOTDATA("XBB4",'binhba (2016)'!$A$3,"MA_HT","LUN","MA_QH","NTD")</f>
        <v>0</v>
      </c>
      <c r="AX10" s="50">
        <f ca="1">+GETPIVOTDATA("XBB4",'binhba (2016)'!$A$3,"MA_HT","LUN","MA_QH","SKX")</f>
        <v>0</v>
      </c>
      <c r="AY10" s="50">
        <f ca="1">+GETPIVOTDATA("XBB4",'binhba (2016)'!$A$3,"MA_HT","LUN","MA_QH","DSH")</f>
        <v>0</v>
      </c>
      <c r="AZ10" s="50">
        <f ca="1">+GETPIVOTDATA("XBB4",'binhba (2016)'!$A$3,"MA_HT","LUN","MA_QH","DKV")</f>
        <v>0</v>
      </c>
      <c r="BA10" s="88">
        <f ca="1">+GETPIVOTDATA("XBB4",'binhba (2016)'!$A$3,"MA_HT","LUN","MA_QH","TIN")</f>
        <v>0</v>
      </c>
      <c r="BB10" s="50">
        <f ca="1">+GETPIVOTDATA("XBB4",'binhba (2016)'!$A$3,"MA_HT","LUN","MA_QH","SON")</f>
        <v>0</v>
      </c>
      <c r="BC10" s="50">
        <f ca="1">+GETPIVOTDATA("XBB4",'binhba (2016)'!$A$3,"MA_HT","LUN","MA_QH","MNC")</f>
        <v>0</v>
      </c>
      <c r="BD10" s="50">
        <f ca="1">+GETPIVOTDATA("XBB4",'binhba (2016)'!$A$3,"MA_HT","LUN","MA_QH","PNK")</f>
        <v>0</v>
      </c>
      <c r="BE10" s="80">
        <f ca="1">+GETPIVOTDATA("XBB4",'binhba (2016)'!$A$3,"MA_HT","LUN","MA_QH","CSD")</f>
        <v>0</v>
      </c>
      <c r="BF10" s="103">
        <f ca="1" t="shared" si="7"/>
        <v>0</v>
      </c>
      <c r="BG10" s="104">
        <f ca="1">I$59-$BF10</f>
        <v>0</v>
      </c>
      <c r="BH10" s="47" t="e">
        <f ca="1" t="shared" si="8"/>
        <v>#REF!</v>
      </c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</row>
    <row r="11" s="2" customFormat="1" ht="15.75" customHeight="1" spans="1:79">
      <c r="A11" s="39" t="s">
        <v>40</v>
      </c>
      <c r="B11" s="39" t="s">
        <v>8344</v>
      </c>
      <c r="C11" s="40" t="s">
        <v>2492</v>
      </c>
      <c r="D11" s="47" t="e">
        <f>+#REF!</f>
        <v>#REF!</v>
      </c>
      <c r="E11" s="42">
        <f ca="1">SUM(K11:Q11,F11)</f>
        <v>0</v>
      </c>
      <c r="F11" s="52">
        <f ca="1">SUM(G11:I11)</f>
        <v>0</v>
      </c>
      <c r="G11" s="22">
        <f ca="1">+GETPIVOTDATA("XBB4",'binhba (2016)'!$A$3,"MA_HT","HNK","MA_QH","LUC")</f>
        <v>0</v>
      </c>
      <c r="H11" s="22">
        <f ca="1">+GETPIVOTDATA("XBB4",'binhba (2016)'!$A$3,"MA_HT","HNK","MA_QH","LUK")</f>
        <v>0</v>
      </c>
      <c r="I11" s="22">
        <f ca="1">+GETPIVOTDATA("XBB4",'binhba (2016)'!$A$3,"MA_HT","HNK","MA_QH","LUN")</f>
        <v>0</v>
      </c>
      <c r="J11" s="43" t="e">
        <f ca="1">$D11-$BF11</f>
        <v>#REF!</v>
      </c>
      <c r="K11" s="22">
        <f ca="1">+GETPIVOTDATA("XBB4",'binhba (2016)'!$A$3,"MA_HT","HNK","MA_QH","CLN")</f>
        <v>0</v>
      </c>
      <c r="L11" s="22">
        <f ca="1">+GETPIVOTDATA("XBB4",'binhba (2016)'!$A$3,"MA_HT","HNK","MA_QH","RSX")</f>
        <v>0</v>
      </c>
      <c r="M11" s="22">
        <f ca="1">+GETPIVOTDATA("XBB4",'binhba (2016)'!$A$3,"MA_HT","HNK","MA_QH","RPH")</f>
        <v>0</v>
      </c>
      <c r="N11" s="22">
        <f ca="1">+GETPIVOTDATA("XBB4",'binhba (2016)'!$A$3,"MA_HT","HNK","MA_QH","RDD")</f>
        <v>0</v>
      </c>
      <c r="O11" s="22">
        <f ca="1">+GETPIVOTDATA("XBB4",'binhba (2016)'!$A$3,"MA_HT","HNK","MA_QH","NTS")</f>
        <v>0</v>
      </c>
      <c r="P11" s="22">
        <f ca="1">+GETPIVOTDATA("XBB4",'binhba (2016)'!$A$3,"MA_HT","HNK","MA_QH","LMU")</f>
        <v>0</v>
      </c>
      <c r="Q11" s="22">
        <f ca="1">+GETPIVOTDATA("XBB4",'binhba (2016)'!$A$3,"MA_HT","HNK","MA_QH","NKH")</f>
        <v>0</v>
      </c>
      <c r="R11" s="42">
        <f ca="1" t="shared" si="2"/>
        <v>0</v>
      </c>
      <c r="S11" s="22">
        <f ca="1">+GETPIVOTDATA("XBB4",'binhba (2016)'!$A$3,"MA_HT","HNK","MA_QH","CQP")</f>
        <v>0</v>
      </c>
      <c r="T11" s="22">
        <f ca="1">+GETPIVOTDATA("XBB4",'binhba (2016)'!$A$3,"MA_HT","HNK","MA_QH","CAN")</f>
        <v>0</v>
      </c>
      <c r="U11" s="22">
        <f ca="1">+GETPIVOTDATA("XBB4",'binhba (2016)'!$A$3,"MA_HT","HNK","MA_QH","SKK")</f>
        <v>0</v>
      </c>
      <c r="V11" s="22">
        <f ca="1">+GETPIVOTDATA("XBB4",'binhba (2016)'!$A$3,"MA_HT","HNK","MA_QH","SKT")</f>
        <v>0</v>
      </c>
      <c r="W11" s="22">
        <f ca="1">+GETPIVOTDATA("XBB4",'binhba (2016)'!$A$3,"MA_HT","HNK","MA_QH","SKN")</f>
        <v>0</v>
      </c>
      <c r="X11" s="22">
        <f ca="1">+GETPIVOTDATA("XBB4",'binhba (2016)'!$A$3,"MA_HT","HNK","MA_QH","TMD")</f>
        <v>0</v>
      </c>
      <c r="Y11" s="22">
        <f ca="1">+GETPIVOTDATA("XBB4",'binhba (2016)'!$A$3,"MA_HT","HNK","MA_QH","SKC")</f>
        <v>0</v>
      </c>
      <c r="Z11" s="22">
        <f ca="1">+GETPIVOTDATA("XBB4",'binhba (2016)'!$A$3,"MA_HT","HNK","MA_QH","SKS")</f>
        <v>0</v>
      </c>
      <c r="AA11" s="52">
        <f ca="1" t="shared" si="4"/>
        <v>0</v>
      </c>
      <c r="AB11" s="22">
        <f ca="1">+GETPIVOTDATA("XBB4",'binhba (2016)'!$A$3,"MA_HT","HNK","MA_QH","DGT")</f>
        <v>0</v>
      </c>
      <c r="AC11" s="22">
        <f ca="1">+GETPIVOTDATA("XBB4",'binhba (2016)'!$A$3,"MA_HT","HNK","MA_QH","DTL")</f>
        <v>0</v>
      </c>
      <c r="AD11" s="22">
        <f ca="1">+GETPIVOTDATA("XBB4",'binhba (2016)'!$A$3,"MA_HT","HNK","MA_QH","DNL")</f>
        <v>0</v>
      </c>
      <c r="AE11" s="22">
        <f ca="1">+GETPIVOTDATA("XBB4",'binhba (2016)'!$A$3,"MA_HT","HNK","MA_QH","DBV")</f>
        <v>0</v>
      </c>
      <c r="AF11" s="22">
        <f ca="1">+GETPIVOTDATA("XBB4",'binhba (2016)'!$A$3,"MA_HT","HNK","MA_QH","DVH")</f>
        <v>0</v>
      </c>
      <c r="AG11" s="22">
        <f ca="1">+GETPIVOTDATA("XBB4",'binhba (2016)'!$A$3,"MA_HT","HNK","MA_QH","DYT")</f>
        <v>0</v>
      </c>
      <c r="AH11" s="22">
        <f ca="1">+GETPIVOTDATA("XBB4",'binhba (2016)'!$A$3,"MA_HT","HNK","MA_QH","DGD")</f>
        <v>0</v>
      </c>
      <c r="AI11" s="22">
        <f ca="1">+GETPIVOTDATA("XBB4",'binhba (2016)'!$A$3,"MA_HT","HNK","MA_QH","DTT")</f>
        <v>0</v>
      </c>
      <c r="AJ11" s="22">
        <f ca="1">+GETPIVOTDATA("XBB4",'binhba (2016)'!$A$3,"MA_HT","HNK","MA_QH","NCK")</f>
        <v>0</v>
      </c>
      <c r="AK11" s="22">
        <f ca="1">+GETPIVOTDATA("XBB4",'binhba (2016)'!$A$3,"MA_HT","HNK","MA_QH","DXH")</f>
        <v>0</v>
      </c>
      <c r="AL11" s="22">
        <f ca="1">+GETPIVOTDATA("XBB4",'binhba (2016)'!$A$3,"MA_HT","HNK","MA_QH","DCH")</f>
        <v>0</v>
      </c>
      <c r="AM11" s="22">
        <f ca="1">+GETPIVOTDATA("XBB4",'binhba (2016)'!$A$3,"MA_HT","HNK","MA_QH","DKG")</f>
        <v>0</v>
      </c>
      <c r="AN11" s="22">
        <f ca="1">+GETPIVOTDATA("XBB4",'binhba (2016)'!$A$3,"MA_HT","HNK","MA_QH","DDT")</f>
        <v>0</v>
      </c>
      <c r="AO11" s="22">
        <f ca="1">+GETPIVOTDATA("XBB4",'binhba (2016)'!$A$3,"MA_HT","HNK","MA_QH","DDL")</f>
        <v>0</v>
      </c>
      <c r="AP11" s="22">
        <f ca="1">+GETPIVOTDATA("XBB4",'binhba (2016)'!$A$3,"MA_HT","HNK","MA_QH","DRA")</f>
        <v>0</v>
      </c>
      <c r="AQ11" s="22">
        <f ca="1">+GETPIVOTDATA("XBB4",'binhba (2016)'!$A$3,"MA_HT","HNK","MA_QH","ONT")</f>
        <v>0</v>
      </c>
      <c r="AR11" s="22">
        <f ca="1">+GETPIVOTDATA("XBB4",'binhba (2016)'!$A$3,"MA_HT","HNK","MA_QH","ODT")</f>
        <v>0</v>
      </c>
      <c r="AS11" s="22">
        <f ca="1">+GETPIVOTDATA("XBB4",'binhba (2016)'!$A$3,"MA_HT","HNK","MA_QH","TSC")</f>
        <v>0</v>
      </c>
      <c r="AT11" s="22">
        <f ca="1">+GETPIVOTDATA("XBB4",'binhba (2016)'!$A$3,"MA_HT","HNK","MA_QH","DTS")</f>
        <v>0</v>
      </c>
      <c r="AU11" s="22">
        <f ca="1">+GETPIVOTDATA("XBB4",'binhba (2016)'!$A$3,"MA_HT","HNK","MA_QH","DNG")</f>
        <v>0</v>
      </c>
      <c r="AV11" s="22">
        <f ca="1">+GETPIVOTDATA("XBB4",'binhba (2016)'!$A$3,"MA_HT","HNK","MA_QH","TON")</f>
        <v>0</v>
      </c>
      <c r="AW11" s="22">
        <f ca="1">+GETPIVOTDATA("XBB4",'binhba (2016)'!$A$3,"MA_HT","HNK","MA_QH","NTD")</f>
        <v>0</v>
      </c>
      <c r="AX11" s="22">
        <f ca="1">+GETPIVOTDATA("XBB4",'binhba (2016)'!$A$3,"MA_HT","HNK","MA_QH","SKX")</f>
        <v>0</v>
      </c>
      <c r="AY11" s="22">
        <f ca="1">+GETPIVOTDATA("XBB4",'binhba (2016)'!$A$3,"MA_HT","HNK","MA_QH","DSH")</f>
        <v>0</v>
      </c>
      <c r="AZ11" s="22">
        <f ca="1">+GETPIVOTDATA("XBB4",'binhba (2016)'!$A$3,"MA_HT","HNK","MA_QH","DKV")</f>
        <v>0</v>
      </c>
      <c r="BA11" s="89">
        <f ca="1">+GETPIVOTDATA("XBB4",'binhba (2016)'!$A$3,"MA_HT","HNK","MA_QH","TIN")</f>
        <v>0</v>
      </c>
      <c r="BB11" s="50">
        <f ca="1">+GETPIVOTDATA("XBB4",'binhba (2016)'!$A$3,"MA_HT","HNK","MA_QH","SON")</f>
        <v>0</v>
      </c>
      <c r="BC11" s="50">
        <f ca="1">+GETPIVOTDATA("XBB4",'binhba (2016)'!$A$3,"MA_HT","HNK","MA_QH","MNC")</f>
        <v>0</v>
      </c>
      <c r="BD11" s="22">
        <f ca="1">+GETPIVOTDATA("XBB4",'binhba (2016)'!$A$3,"MA_HT","HNK","MA_QH","PNK")</f>
        <v>0</v>
      </c>
      <c r="BE11" s="71">
        <f ca="1">+GETPIVOTDATA("XBB4",'binhba (2016)'!$A$3,"MA_HT","HNK","MA_QH","CSD")</f>
        <v>0</v>
      </c>
      <c r="BF11" s="74">
        <f ca="1" t="shared" si="7"/>
        <v>0</v>
      </c>
      <c r="BG11" s="101">
        <f ca="1">J$59-$BF11</f>
        <v>0</v>
      </c>
      <c r="BH11" s="41" t="e">
        <f ca="1" t="shared" si="8"/>
        <v>#REF!</v>
      </c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</row>
    <row r="12" s="2" customFormat="1" ht="15.75" customHeight="1" spans="1:79">
      <c r="A12" s="39" t="s">
        <v>8345</v>
      </c>
      <c r="B12" s="39" t="s">
        <v>8346</v>
      </c>
      <c r="C12" s="40" t="s">
        <v>30</v>
      </c>
      <c r="D12" s="47" t="e">
        <f>+#REF!</f>
        <v>#REF!</v>
      </c>
      <c r="E12" s="42">
        <f ca="1">SUM(L12:Q12,F12,J12)</f>
        <v>0</v>
      </c>
      <c r="F12" s="52">
        <f ca="1" t="shared" ref="F12:F58" si="9">SUM(G12:I12)</f>
        <v>0</v>
      </c>
      <c r="G12" s="22">
        <f ca="1">+GETPIVOTDATA("XBB4",'binhba (2016)'!$A$3,"MA_HT","CLN","MA_QH","LUC")</f>
        <v>0</v>
      </c>
      <c r="H12" s="22">
        <f ca="1">+GETPIVOTDATA("XBB4",'binhba (2016)'!$A$3,"MA_HT","CLN","MA_QH","LUK")</f>
        <v>0</v>
      </c>
      <c r="I12" s="22">
        <f ca="1">+GETPIVOTDATA("XBB4",'binhba (2016)'!$A$3,"MA_HT","CLN","MA_QH","LUN")</f>
        <v>0</v>
      </c>
      <c r="J12" s="22">
        <f ca="1">+GETPIVOTDATA("XBB4",'binhba (2016)'!$A$3,"MA_HT","CLN","MA_QH","HNK")</f>
        <v>0</v>
      </c>
      <c r="K12" s="43" t="e">
        <f ca="1">$D12-$BF12</f>
        <v>#REF!</v>
      </c>
      <c r="L12" s="22">
        <f ca="1">+GETPIVOTDATA("XBB4",'binhba (2016)'!$A$3,"MA_HT","CLN","MA_QH","RSX")</f>
        <v>0</v>
      </c>
      <c r="M12" s="22">
        <f ca="1">+GETPIVOTDATA("XBB4",'binhba (2016)'!$A$3,"MA_HT","CLN","MA_QH","RPH")</f>
        <v>0</v>
      </c>
      <c r="N12" s="22">
        <f ca="1">+GETPIVOTDATA("XBB4",'binhba (2016)'!$A$3,"MA_HT","CLN","MA_QH","RDD")</f>
        <v>0</v>
      </c>
      <c r="O12" s="22">
        <f ca="1">+GETPIVOTDATA("XBB4",'binhba (2016)'!$A$3,"MA_HT","CLN","MA_QH","NTS")</f>
        <v>0</v>
      </c>
      <c r="P12" s="22">
        <f ca="1">+GETPIVOTDATA("XBB4",'binhba (2016)'!$A$3,"MA_HT","CLN","MA_QH","LMU")</f>
        <v>0</v>
      </c>
      <c r="Q12" s="22">
        <f ca="1">+GETPIVOTDATA("XBB4",'binhba (2016)'!$A$3,"MA_HT","CLN","MA_QH","NKH")</f>
        <v>0</v>
      </c>
      <c r="R12" s="42">
        <f ca="1" t="shared" si="2"/>
        <v>0</v>
      </c>
      <c r="S12" s="22">
        <f ca="1">+GETPIVOTDATA("XBB4",'binhba (2016)'!$A$3,"MA_HT","CLN","MA_QH","CQP")</f>
        <v>0</v>
      </c>
      <c r="T12" s="22">
        <f ca="1">+GETPIVOTDATA("XBB4",'binhba (2016)'!$A$3,"MA_HT","CLN","MA_QH","CAN")</f>
        <v>0</v>
      </c>
      <c r="U12" s="22">
        <f ca="1">+GETPIVOTDATA("XBB4",'binhba (2016)'!$A$3,"MA_HT","CLN","MA_QH","SKK")</f>
        <v>0</v>
      </c>
      <c r="V12" s="22">
        <f ca="1">+GETPIVOTDATA("XBB4",'binhba (2016)'!$A$3,"MA_HT","CLN","MA_QH","SKT")</f>
        <v>0</v>
      </c>
      <c r="W12" s="22">
        <f ca="1">+GETPIVOTDATA("XBB4",'binhba (2016)'!$A$3,"MA_HT","CLN","MA_QH","SKN")</f>
        <v>0</v>
      </c>
      <c r="X12" s="22">
        <f ca="1">+GETPIVOTDATA("XBB4",'binhba (2016)'!$A$3,"MA_HT","CLN","MA_QH","TMD")</f>
        <v>0</v>
      </c>
      <c r="Y12" s="22">
        <f ca="1">+GETPIVOTDATA("XBB4",'binhba (2016)'!$A$3,"MA_HT","CLN","MA_QH","SKC")</f>
        <v>0</v>
      </c>
      <c r="Z12" s="22">
        <f ca="1">+GETPIVOTDATA("XBB4",'binhba (2016)'!$A$3,"MA_HT","CLN","MA_QH","SKS")</f>
        <v>0</v>
      </c>
      <c r="AA12" s="52">
        <f ca="1" t="shared" si="4"/>
        <v>0</v>
      </c>
      <c r="AB12" s="22">
        <f ca="1">+GETPIVOTDATA("XBB4",'binhba (2016)'!$A$3,"MA_HT","CLN","MA_QH","DGT")</f>
        <v>0</v>
      </c>
      <c r="AC12" s="22">
        <f ca="1">+GETPIVOTDATA("XBB4",'binhba (2016)'!$A$3,"MA_HT","CLN","MA_QH","DTL")</f>
        <v>0</v>
      </c>
      <c r="AD12" s="22">
        <f ca="1">+GETPIVOTDATA("XBB4",'binhba (2016)'!$A$3,"MA_HT","CLN","MA_QH","DNL")</f>
        <v>0</v>
      </c>
      <c r="AE12" s="22">
        <f ca="1">+GETPIVOTDATA("XBB4",'binhba (2016)'!$A$3,"MA_HT","CLN","MA_QH","DBV")</f>
        <v>0</v>
      </c>
      <c r="AF12" s="22">
        <f ca="1">+GETPIVOTDATA("XBB4",'binhba (2016)'!$A$3,"MA_HT","CLN","MA_QH","DVH")</f>
        <v>0</v>
      </c>
      <c r="AG12" s="22">
        <f ca="1">+GETPIVOTDATA("XBB4",'binhba (2016)'!$A$3,"MA_HT","CLN","MA_QH","DYT")</f>
        <v>0</v>
      </c>
      <c r="AH12" s="22">
        <f ca="1">+GETPIVOTDATA("XBB4",'binhba (2016)'!$A$3,"MA_HT","CLN","MA_QH","DGD")</f>
        <v>0</v>
      </c>
      <c r="AI12" s="22">
        <f ca="1">+GETPIVOTDATA("XBB4",'binhba (2016)'!$A$3,"MA_HT","CLN","MA_QH","DTT")</f>
        <v>0</v>
      </c>
      <c r="AJ12" s="22">
        <f ca="1">+GETPIVOTDATA("XBB4",'binhba (2016)'!$A$3,"MA_HT","CLN","MA_QH","NCK")</f>
        <v>0</v>
      </c>
      <c r="AK12" s="22">
        <f ca="1">+GETPIVOTDATA("XBB4",'binhba (2016)'!$A$3,"MA_HT","CLN","MA_QH","DXH")</f>
        <v>0</v>
      </c>
      <c r="AL12" s="22">
        <f ca="1">+GETPIVOTDATA("XBB4",'binhba (2016)'!$A$3,"MA_HT","CLN","MA_QH","DCH")</f>
        <v>0</v>
      </c>
      <c r="AM12" s="22">
        <f ca="1">+GETPIVOTDATA("XBB4",'binhba (2016)'!$A$3,"MA_HT","CLN","MA_QH","DKG")</f>
        <v>0</v>
      </c>
      <c r="AN12" s="22">
        <f ca="1">+GETPIVOTDATA("XBB4",'binhba (2016)'!$A$3,"MA_HT","CLN","MA_QH","DDT")</f>
        <v>0</v>
      </c>
      <c r="AO12" s="22">
        <f ca="1">+GETPIVOTDATA("XBB4",'binhba (2016)'!$A$3,"MA_HT","CLN","MA_QH","DDL")</f>
        <v>0</v>
      </c>
      <c r="AP12" s="22">
        <f ca="1">+GETPIVOTDATA("XBB4",'binhba (2016)'!$A$3,"MA_HT","CLN","MA_QH","DRA")</f>
        <v>0</v>
      </c>
      <c r="AQ12" s="22">
        <f ca="1">+GETPIVOTDATA("XBB4",'binhba (2016)'!$A$3,"MA_HT","CLN","MA_QH","ONT")</f>
        <v>0</v>
      </c>
      <c r="AR12" s="22">
        <f ca="1">+GETPIVOTDATA("XBB4",'binhba (2016)'!$A$3,"MA_HT","CLN","MA_QH","ODT")</f>
        <v>0</v>
      </c>
      <c r="AS12" s="22">
        <f ca="1">+GETPIVOTDATA("XBB4",'binhba (2016)'!$A$3,"MA_HT","CLN","MA_QH","TSC")</f>
        <v>0</v>
      </c>
      <c r="AT12" s="22">
        <f ca="1">+GETPIVOTDATA("XBB4",'binhba (2016)'!$A$3,"MA_HT","CLN","MA_QH","DTS")</f>
        <v>0</v>
      </c>
      <c r="AU12" s="22">
        <f ca="1">+GETPIVOTDATA("XBB4",'binhba (2016)'!$A$3,"MA_HT","CLN","MA_QH","DNG")</f>
        <v>0</v>
      </c>
      <c r="AV12" s="22">
        <f ca="1">+GETPIVOTDATA("XBB4",'binhba (2016)'!$A$3,"MA_HT","CLN","MA_QH","TON")</f>
        <v>0</v>
      </c>
      <c r="AW12" s="22">
        <f ca="1">+GETPIVOTDATA("XBB4",'binhba (2016)'!$A$3,"MA_HT","CLN","MA_QH","NTD")</f>
        <v>0</v>
      </c>
      <c r="AX12" s="22">
        <f ca="1">+GETPIVOTDATA("XBB4",'binhba (2016)'!$A$3,"MA_HT","CLN","MA_QH","SKX")</f>
        <v>0</v>
      </c>
      <c r="AY12" s="22">
        <f ca="1">+GETPIVOTDATA("XBB4",'binhba (2016)'!$A$3,"MA_HT","CLN","MA_QH","DSH")</f>
        <v>0</v>
      </c>
      <c r="AZ12" s="22">
        <f ca="1">+GETPIVOTDATA("XBB4",'binhba (2016)'!$A$3,"MA_HT","CLN","MA_QH","DKV")</f>
        <v>0</v>
      </c>
      <c r="BA12" s="89">
        <f ca="1">+GETPIVOTDATA("XBB4",'binhba (2016)'!$A$3,"MA_HT","CLN","MA_QH","TIN")</f>
        <v>0</v>
      </c>
      <c r="BB12" s="50">
        <f ca="1">+GETPIVOTDATA("XBB4",'binhba (2016)'!$A$3,"MA_HT","CLN","MA_QH","SON")</f>
        <v>0</v>
      </c>
      <c r="BC12" s="50">
        <f ca="1">+GETPIVOTDATA("XBB4",'binhba (2016)'!$A$3,"MA_HT","CLN","MA_QH","MNC")</f>
        <v>0</v>
      </c>
      <c r="BD12" s="22">
        <f ca="1">+GETPIVOTDATA("XBB4",'binhba (2016)'!$A$3,"MA_HT","CLN","MA_QH","PNK")</f>
        <v>0</v>
      </c>
      <c r="BE12" s="71">
        <f ca="1">+GETPIVOTDATA("XBB4",'binhba (2016)'!$A$3,"MA_HT","CLN","MA_QH","CSD")</f>
        <v>0</v>
      </c>
      <c r="BF12" s="74">
        <f ca="1" t="shared" si="7"/>
        <v>0</v>
      </c>
      <c r="BG12" s="101">
        <f ca="1">K$59-$BF12</f>
        <v>0</v>
      </c>
      <c r="BH12" s="41" t="e">
        <f ca="1" t="shared" si="8"/>
        <v>#REF!</v>
      </c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</row>
    <row r="13" s="2" customFormat="1" ht="15.75" customHeight="1" spans="1:79">
      <c r="A13" s="39" t="s">
        <v>8347</v>
      </c>
      <c r="B13" s="39" t="s">
        <v>8348</v>
      </c>
      <c r="C13" s="40" t="s">
        <v>8307</v>
      </c>
      <c r="D13" s="47" t="e">
        <f>+#REF!</f>
        <v>#REF!</v>
      </c>
      <c r="E13" s="42">
        <f ca="1">SUM(F13,J13:K13,M13:Q13)</f>
        <v>0</v>
      </c>
      <c r="F13" s="52">
        <f ca="1" t="shared" si="9"/>
        <v>0</v>
      </c>
      <c r="G13" s="22">
        <f ca="1">+GETPIVOTDATA("XBB4",'binhba (2016)'!$A$3,"MA_HT","RSX","MA_QH","LUC")</f>
        <v>0</v>
      </c>
      <c r="H13" s="22">
        <f ca="1">+GETPIVOTDATA("XBB4",'binhba (2016)'!$A$3,"MA_HT","RSX","MA_QH","LUK")</f>
        <v>0</v>
      </c>
      <c r="I13" s="22">
        <f ca="1">+GETPIVOTDATA("XBB4",'binhba (2016)'!$A$3,"MA_HT","RSX","MA_QH","LUN")</f>
        <v>0</v>
      </c>
      <c r="J13" s="22">
        <f ca="1">+GETPIVOTDATA("XBB4",'binhba (2016)'!$A$3,"MA_HT","RSX","MA_QH","HNK")</f>
        <v>0</v>
      </c>
      <c r="K13" s="22">
        <f ca="1">+GETPIVOTDATA("XBB4",'binhba (2016)'!$A$3,"MA_HT","RSX","MA_QH","CLN")</f>
        <v>0</v>
      </c>
      <c r="L13" s="43" t="e">
        <f ca="1">$D13-$BF13</f>
        <v>#REF!</v>
      </c>
      <c r="M13" s="22">
        <f ca="1">+GETPIVOTDATA("XBB4",'binhba (2016)'!$A$3,"MA_HT","RSX","MA_QH","RPH")</f>
        <v>0</v>
      </c>
      <c r="N13" s="22">
        <f ca="1">+GETPIVOTDATA("XBB4",'binhba (2016)'!$A$3,"MA_HT","RSX","MA_QH","RDD")</f>
        <v>0</v>
      </c>
      <c r="O13" s="22">
        <f ca="1">+GETPIVOTDATA("XBB4",'binhba (2016)'!$A$3,"MA_HT","RSX","MA_QH","NTS")</f>
        <v>0</v>
      </c>
      <c r="P13" s="22">
        <f ca="1">+GETPIVOTDATA("XBB4",'binhba (2016)'!$A$3,"MA_HT","RSX","MA_QH","LMU")</f>
        <v>0</v>
      </c>
      <c r="Q13" s="22">
        <f ca="1">+GETPIVOTDATA("XBB4",'binhba (2016)'!$A$3,"MA_HT","RSX","MA_QH","NKH")</f>
        <v>0</v>
      </c>
      <c r="R13" s="42">
        <f ca="1" t="shared" si="2"/>
        <v>0</v>
      </c>
      <c r="S13" s="22">
        <f ca="1">+GETPIVOTDATA("XBB4",'binhba (2016)'!$A$3,"MA_HT","RSX","MA_QH","CQP")</f>
        <v>0</v>
      </c>
      <c r="T13" s="22">
        <f ca="1">+GETPIVOTDATA("XBB4",'binhba (2016)'!$A$3,"MA_HT","RSX","MA_QH","CAN")</f>
        <v>0</v>
      </c>
      <c r="U13" s="22">
        <f ca="1">+GETPIVOTDATA("XBB4",'binhba (2016)'!$A$3,"MA_HT","RSX","MA_QH","SKK")</f>
        <v>0</v>
      </c>
      <c r="V13" s="22">
        <f ca="1">+GETPIVOTDATA("XBB4",'binhba (2016)'!$A$3,"MA_HT","RSX","MA_QH","SKT")</f>
        <v>0</v>
      </c>
      <c r="W13" s="22">
        <f ca="1">+GETPIVOTDATA("XBB4",'binhba (2016)'!$A$3,"MA_HT","RSX","MA_QH","SKN")</f>
        <v>0</v>
      </c>
      <c r="X13" s="22">
        <f ca="1">+GETPIVOTDATA("XBB4",'binhba (2016)'!$A$3,"MA_HT","RSX","MA_QH","TMD")</f>
        <v>0</v>
      </c>
      <c r="Y13" s="22">
        <f ca="1">+GETPIVOTDATA("XBB4",'binhba (2016)'!$A$3,"MA_HT","RSX","MA_QH","SKC")</f>
        <v>0</v>
      </c>
      <c r="Z13" s="22">
        <f ca="1">+GETPIVOTDATA("XBB4",'binhba (2016)'!$A$3,"MA_HT","RSX","MA_QH","SKS")</f>
        <v>0</v>
      </c>
      <c r="AA13" s="52">
        <f ca="1" t="shared" si="4"/>
        <v>0</v>
      </c>
      <c r="AB13" s="22">
        <f ca="1">+GETPIVOTDATA("XBB4",'binhba (2016)'!$A$3,"MA_HT","RSX","MA_QH","DGT")</f>
        <v>0</v>
      </c>
      <c r="AC13" s="22">
        <f ca="1">+GETPIVOTDATA("XBB4",'binhba (2016)'!$A$3,"MA_HT","RSX","MA_QH","DTL")</f>
        <v>0</v>
      </c>
      <c r="AD13" s="22">
        <f ca="1">+GETPIVOTDATA("XBB4",'binhba (2016)'!$A$3,"MA_HT","RSX","MA_QH","DNL")</f>
        <v>0</v>
      </c>
      <c r="AE13" s="22">
        <f ca="1">+GETPIVOTDATA("XBB4",'binhba (2016)'!$A$3,"MA_HT","RSX","MA_QH","DBV")</f>
        <v>0</v>
      </c>
      <c r="AF13" s="22">
        <f ca="1">+GETPIVOTDATA("XBB4",'binhba (2016)'!$A$3,"MA_HT","RSX","MA_QH","DVH")</f>
        <v>0</v>
      </c>
      <c r="AG13" s="22">
        <f ca="1">+GETPIVOTDATA("XBB4",'binhba (2016)'!$A$3,"MA_HT","RSX","MA_QH","DYT")</f>
        <v>0</v>
      </c>
      <c r="AH13" s="22">
        <f ca="1">+GETPIVOTDATA("XBB4",'binhba (2016)'!$A$3,"MA_HT","RSX","MA_QH","DGD")</f>
        <v>0</v>
      </c>
      <c r="AI13" s="22">
        <f ca="1">+GETPIVOTDATA("XBB4",'binhba (2016)'!$A$3,"MA_HT","RSX","MA_QH","DTT")</f>
        <v>0</v>
      </c>
      <c r="AJ13" s="22">
        <f ca="1">+GETPIVOTDATA("XBB4",'binhba (2016)'!$A$3,"MA_HT","RSX","MA_QH","NCK")</f>
        <v>0</v>
      </c>
      <c r="AK13" s="22">
        <f ca="1">+GETPIVOTDATA("XBB4",'binhba (2016)'!$A$3,"MA_HT","RSX","MA_QH","DXH")</f>
        <v>0</v>
      </c>
      <c r="AL13" s="22">
        <f ca="1">+GETPIVOTDATA("XBB4",'binhba (2016)'!$A$3,"MA_HT","RSX","MA_QH","DCH")</f>
        <v>0</v>
      </c>
      <c r="AM13" s="22">
        <f ca="1">+GETPIVOTDATA("XBB4",'binhba (2016)'!$A$3,"MA_HT","RSX","MA_QH","DKG")</f>
        <v>0</v>
      </c>
      <c r="AN13" s="22">
        <f ca="1">+GETPIVOTDATA("XBB4",'binhba (2016)'!$A$3,"MA_HT","RSX","MA_QH","DDT")</f>
        <v>0</v>
      </c>
      <c r="AO13" s="22">
        <f ca="1">+GETPIVOTDATA("XBB4",'binhba (2016)'!$A$3,"MA_HT","RSX","MA_QH","DDL")</f>
        <v>0</v>
      </c>
      <c r="AP13" s="22">
        <f ca="1">+GETPIVOTDATA("XBB4",'binhba (2016)'!$A$3,"MA_HT","RSX","MA_QH","DRA")</f>
        <v>0</v>
      </c>
      <c r="AQ13" s="22">
        <f ca="1">+GETPIVOTDATA("XBB4",'binhba (2016)'!$A$3,"MA_HT","RSX","MA_QH","ONT")</f>
        <v>0</v>
      </c>
      <c r="AR13" s="22">
        <f ca="1">+GETPIVOTDATA("XBB4",'binhba (2016)'!$A$3,"MA_HT","RSX","MA_QH","ODT")</f>
        <v>0</v>
      </c>
      <c r="AS13" s="22">
        <f ca="1">+GETPIVOTDATA("XBB4",'binhba (2016)'!$A$3,"MA_HT","RSX","MA_QH","TSC")</f>
        <v>0</v>
      </c>
      <c r="AT13" s="22">
        <f ca="1">+GETPIVOTDATA("XBB4",'binhba (2016)'!$A$3,"MA_HT","RSX","MA_QH","DTS")</f>
        <v>0</v>
      </c>
      <c r="AU13" s="22">
        <f ca="1">+GETPIVOTDATA("XBB4",'binhba (2016)'!$A$3,"MA_HT","RSX","MA_QH","DNG")</f>
        <v>0</v>
      </c>
      <c r="AV13" s="22">
        <f ca="1">+GETPIVOTDATA("XBB4",'binhba (2016)'!$A$3,"MA_HT","RSX","MA_QH","TON")</f>
        <v>0</v>
      </c>
      <c r="AW13" s="22">
        <f ca="1">+GETPIVOTDATA("XBB4",'binhba (2016)'!$A$3,"MA_HT","RSX","MA_QH","NTD")</f>
        <v>0</v>
      </c>
      <c r="AX13" s="22">
        <f ca="1">+GETPIVOTDATA("XBB4",'binhba (2016)'!$A$3,"MA_HT","RSX","MA_QH","SKX")</f>
        <v>0</v>
      </c>
      <c r="AY13" s="22">
        <f ca="1">+GETPIVOTDATA("XBB4",'binhba (2016)'!$A$3,"MA_HT","RSX","MA_QH","DSH")</f>
        <v>0</v>
      </c>
      <c r="AZ13" s="22">
        <f ca="1">+GETPIVOTDATA("XBB4",'binhba (2016)'!$A$3,"MA_HT","RSX","MA_QH","DKV")</f>
        <v>0</v>
      </c>
      <c r="BA13" s="89">
        <f ca="1">+GETPIVOTDATA("XBB4",'binhba (2016)'!$A$3,"MA_HT","RSX","MA_QH","TIN")</f>
        <v>0</v>
      </c>
      <c r="BB13" s="50">
        <f ca="1">+GETPIVOTDATA("XBB4",'binhba (2016)'!$A$3,"MA_HT","RSX","MA_QH","SON")</f>
        <v>0</v>
      </c>
      <c r="BC13" s="50">
        <f ca="1">+GETPIVOTDATA("XBB4",'binhba (2016)'!$A$3,"MA_HT","RSX","MA_QH","MNC")</f>
        <v>0</v>
      </c>
      <c r="BD13" s="22">
        <f ca="1">+GETPIVOTDATA("XBB4",'binhba (2016)'!$A$3,"MA_HT","RSX","MA_QH","PNK")</f>
        <v>0</v>
      </c>
      <c r="BE13" s="71">
        <f ca="1">+GETPIVOTDATA("XBB4",'binhba (2016)'!$A$3,"MA_HT","RSX","MA_QH","CSD")</f>
        <v>0</v>
      </c>
      <c r="BF13" s="74">
        <f ca="1" t="shared" si="7"/>
        <v>0</v>
      </c>
      <c r="BG13" s="101">
        <f ca="1">L$59-$BF13</f>
        <v>0</v>
      </c>
      <c r="BH13" s="41" t="e">
        <f ca="1" t="shared" si="8"/>
        <v>#REF!</v>
      </c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</row>
    <row r="14" s="2" customFormat="1" ht="15.75" customHeight="1" spans="1:79">
      <c r="A14" s="39" t="s">
        <v>8349</v>
      </c>
      <c r="B14" s="39" t="s">
        <v>8350</v>
      </c>
      <c r="C14" s="40" t="s">
        <v>8306</v>
      </c>
      <c r="D14" s="47" t="e">
        <f>+#REF!</f>
        <v>#REF!</v>
      </c>
      <c r="E14" s="42">
        <f ca="1">SUM(F14,J14:L14,N14:Q14)</f>
        <v>0</v>
      </c>
      <c r="F14" s="52">
        <f ca="1" t="shared" si="9"/>
        <v>0</v>
      </c>
      <c r="G14" s="22">
        <f ca="1">+GETPIVOTDATA("XBB4",'binhba (2016)'!$A$3,"MA_HT","RPH","MA_QH","LUC")</f>
        <v>0</v>
      </c>
      <c r="H14" s="22">
        <f ca="1">+GETPIVOTDATA("XBB4",'binhba (2016)'!$A$3,"MA_HT","RPH","MA_QH","LUK")</f>
        <v>0</v>
      </c>
      <c r="I14" s="22">
        <f ca="1">+GETPIVOTDATA("XBB4",'binhba (2016)'!$A$3,"MA_HT","RPH","MA_QH","LUN")</f>
        <v>0</v>
      </c>
      <c r="J14" s="22">
        <f ca="1">+GETPIVOTDATA("XBB4",'binhba (2016)'!$A$3,"MA_HT","RPH","MA_QH","HNK")</f>
        <v>0</v>
      </c>
      <c r="K14" s="22">
        <f ca="1">+GETPIVOTDATA("XBB4",'binhba (2016)'!$A$3,"MA_HT","RPH","MA_QH","CLN")</f>
        <v>0</v>
      </c>
      <c r="L14" s="22">
        <f ca="1">+GETPIVOTDATA("XBB4",'binhba (2016)'!$A$3,"MA_HT","RPH","MA_QH","RSX")</f>
        <v>0</v>
      </c>
      <c r="M14" s="43" t="e">
        <f ca="1">$D14-$BF14</f>
        <v>#REF!</v>
      </c>
      <c r="N14" s="22">
        <f ca="1">+GETPIVOTDATA("XBB4",'binhba (2016)'!$A$3,"MA_HT","RPH","MA_QH","RDD")</f>
        <v>0</v>
      </c>
      <c r="O14" s="22">
        <f ca="1">+GETPIVOTDATA("XBB4",'binhba (2016)'!$A$3,"MA_HT","RPH","MA_QH","NTS")</f>
        <v>0</v>
      </c>
      <c r="P14" s="22">
        <f ca="1">+GETPIVOTDATA("XBB4",'binhba (2016)'!$A$3,"MA_HT","RPH","MA_QH","LMU")</f>
        <v>0</v>
      </c>
      <c r="Q14" s="22">
        <f ca="1">+GETPIVOTDATA("XBB4",'binhba (2016)'!$A$3,"MA_HT","RPH","MA_QH","NKH")</f>
        <v>0</v>
      </c>
      <c r="R14" s="42">
        <f ca="1" t="shared" si="2"/>
        <v>0</v>
      </c>
      <c r="S14" s="22">
        <f ca="1">+GETPIVOTDATA("XBB4",'binhba (2016)'!$A$3,"MA_HT","RPH","MA_QH","CQP")</f>
        <v>0</v>
      </c>
      <c r="T14" s="22">
        <f ca="1">+GETPIVOTDATA("XBB4",'binhba (2016)'!$A$3,"MA_HT","RPH","MA_QH","CAN")</f>
        <v>0</v>
      </c>
      <c r="U14" s="22">
        <f ca="1">+GETPIVOTDATA("XBB4",'binhba (2016)'!$A$3,"MA_HT","RPH","MA_QH","SKK")</f>
        <v>0</v>
      </c>
      <c r="V14" s="22">
        <f ca="1">+GETPIVOTDATA("XBB4",'binhba (2016)'!$A$3,"MA_HT","RPH","MA_QH","SKT")</f>
        <v>0</v>
      </c>
      <c r="W14" s="22">
        <f ca="1">+GETPIVOTDATA("XBB4",'binhba (2016)'!$A$3,"MA_HT","RPH","MA_QH","SKN")</f>
        <v>0</v>
      </c>
      <c r="X14" s="22">
        <f ca="1">+GETPIVOTDATA("XBB4",'binhba (2016)'!$A$3,"MA_HT","RPH","MA_QH","TMD")</f>
        <v>0</v>
      </c>
      <c r="Y14" s="22">
        <f ca="1">+GETPIVOTDATA("XBB4",'binhba (2016)'!$A$3,"MA_HT","RPH","MA_QH","SKC")</f>
        <v>0</v>
      </c>
      <c r="Z14" s="22">
        <f ca="1">+GETPIVOTDATA("XBB4",'binhba (2016)'!$A$3,"MA_HT","RPH","MA_QH","SKS")</f>
        <v>0</v>
      </c>
      <c r="AA14" s="52">
        <f ca="1" t="shared" si="4"/>
        <v>0</v>
      </c>
      <c r="AB14" s="22">
        <f ca="1">+GETPIVOTDATA("XBB4",'binhba (2016)'!$A$3,"MA_HT","RPH","MA_QH","DGT")</f>
        <v>0</v>
      </c>
      <c r="AC14" s="22">
        <f ca="1">+GETPIVOTDATA("XBB4",'binhba (2016)'!$A$3,"MA_HT","RPH","MA_QH","DTL")</f>
        <v>0</v>
      </c>
      <c r="AD14" s="22">
        <f ca="1">+GETPIVOTDATA("XBB4",'binhba (2016)'!$A$3,"MA_HT","RPH","MA_QH","DNL")</f>
        <v>0</v>
      </c>
      <c r="AE14" s="22">
        <f ca="1">+GETPIVOTDATA("XBB4",'binhba (2016)'!$A$3,"MA_HT","RPH","MA_QH","DBV")</f>
        <v>0</v>
      </c>
      <c r="AF14" s="22">
        <f ca="1">+GETPIVOTDATA("XBB4",'binhba (2016)'!$A$3,"MA_HT","RPH","MA_QH","DVH")</f>
        <v>0</v>
      </c>
      <c r="AG14" s="22">
        <f ca="1">+GETPIVOTDATA("XBB4",'binhba (2016)'!$A$3,"MA_HT","RPH","MA_QH","DYT")</f>
        <v>0</v>
      </c>
      <c r="AH14" s="22">
        <f ca="1">+GETPIVOTDATA("XBB4",'binhba (2016)'!$A$3,"MA_HT","RPH","MA_QH","DGD")</f>
        <v>0</v>
      </c>
      <c r="AI14" s="22">
        <f ca="1">+GETPIVOTDATA("XBB4",'binhba (2016)'!$A$3,"MA_HT","RPH","MA_QH","DTT")</f>
        <v>0</v>
      </c>
      <c r="AJ14" s="22">
        <f ca="1">+GETPIVOTDATA("XBB4",'binhba (2016)'!$A$3,"MA_HT","RPH","MA_QH","NCK")</f>
        <v>0</v>
      </c>
      <c r="AK14" s="22">
        <f ca="1">+GETPIVOTDATA("XBB4",'binhba (2016)'!$A$3,"MA_HT","RPH","MA_QH","DXH")</f>
        <v>0</v>
      </c>
      <c r="AL14" s="22">
        <f ca="1">+GETPIVOTDATA("XBB4",'binhba (2016)'!$A$3,"MA_HT","RPH","MA_QH","DCH")</f>
        <v>0</v>
      </c>
      <c r="AM14" s="22">
        <f ca="1">+GETPIVOTDATA("XBB4",'binhba (2016)'!$A$3,"MA_HT","RPH","MA_QH","DKG")</f>
        <v>0</v>
      </c>
      <c r="AN14" s="22">
        <f ca="1">+GETPIVOTDATA("XBB4",'binhba (2016)'!$A$3,"MA_HT","RPH","MA_QH","DDT")</f>
        <v>0</v>
      </c>
      <c r="AO14" s="22">
        <f ca="1">+GETPIVOTDATA("XBB4",'binhba (2016)'!$A$3,"MA_HT","RPH","MA_QH","DDL")</f>
        <v>0</v>
      </c>
      <c r="AP14" s="22">
        <f ca="1">+GETPIVOTDATA("XBB4",'binhba (2016)'!$A$3,"MA_HT","RPH","MA_QH","DRA")</f>
        <v>0</v>
      </c>
      <c r="AQ14" s="22">
        <f ca="1">+GETPIVOTDATA("XBB4",'binhba (2016)'!$A$3,"MA_HT","RPH","MA_QH","ONT")</f>
        <v>0</v>
      </c>
      <c r="AR14" s="22">
        <f ca="1">+GETPIVOTDATA("XBB4",'binhba (2016)'!$A$3,"MA_HT","RPH","MA_QH","ODT")</f>
        <v>0</v>
      </c>
      <c r="AS14" s="22">
        <f ca="1">+GETPIVOTDATA("XBB4",'binhba (2016)'!$A$3,"MA_HT","RPH","MA_QH","TSC")</f>
        <v>0</v>
      </c>
      <c r="AT14" s="22">
        <f ca="1">+GETPIVOTDATA("XBB4",'binhba (2016)'!$A$3,"MA_HT","RPH","MA_QH","DTS")</f>
        <v>0</v>
      </c>
      <c r="AU14" s="22">
        <f ca="1">+GETPIVOTDATA("XBB4",'binhba (2016)'!$A$3,"MA_HT","RPH","MA_QH","DNG")</f>
        <v>0</v>
      </c>
      <c r="AV14" s="22">
        <f ca="1">+GETPIVOTDATA("XBB4",'binhba (2016)'!$A$3,"MA_HT","RPH","MA_QH","TON")</f>
        <v>0</v>
      </c>
      <c r="AW14" s="22">
        <f ca="1">+GETPIVOTDATA("XBB4",'binhba (2016)'!$A$3,"MA_HT","RPH","MA_QH","NTD")</f>
        <v>0</v>
      </c>
      <c r="AX14" s="22">
        <f ca="1">+GETPIVOTDATA("XBB4",'binhba (2016)'!$A$3,"MA_HT","RPH","MA_QH","SKX")</f>
        <v>0</v>
      </c>
      <c r="AY14" s="22">
        <f ca="1">+GETPIVOTDATA("XBB4",'binhba (2016)'!$A$3,"MA_HT","RPH","MA_QH","DSH")</f>
        <v>0</v>
      </c>
      <c r="AZ14" s="22">
        <f ca="1">+GETPIVOTDATA("XBB4",'binhba (2016)'!$A$3,"MA_HT","RPH","MA_QH","DKV")</f>
        <v>0</v>
      </c>
      <c r="BA14" s="89">
        <f ca="1">+GETPIVOTDATA("XBB4",'binhba (2016)'!$A$3,"MA_HT","RPH","MA_QH","TIN")</f>
        <v>0</v>
      </c>
      <c r="BB14" s="50">
        <f ca="1">+GETPIVOTDATA("XBB4",'binhba (2016)'!$A$3,"MA_HT","RPH","MA_QH","SON")</f>
        <v>0</v>
      </c>
      <c r="BC14" s="50">
        <f ca="1">+GETPIVOTDATA("XBB4",'binhba (2016)'!$A$3,"MA_HT","RPH","MA_QH","MNC")</f>
        <v>0</v>
      </c>
      <c r="BD14" s="22">
        <f ca="1">+GETPIVOTDATA("XBB4",'binhba (2016)'!$A$3,"MA_HT","RPH","MA_QH","PNK")</f>
        <v>0</v>
      </c>
      <c r="BE14" s="71">
        <f ca="1">+GETPIVOTDATA("XBB4",'binhba (2016)'!$A$3,"MA_HT","RPH","MA_QH","CSD")</f>
        <v>0</v>
      </c>
      <c r="BF14" s="74">
        <f ca="1" t="shared" si="7"/>
        <v>0</v>
      </c>
      <c r="BG14" s="101">
        <f ca="1">M$59-$BF14</f>
        <v>0</v>
      </c>
      <c r="BH14" s="41" t="e">
        <f ca="1" t="shared" si="8"/>
        <v>#REF!</v>
      </c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</row>
    <row r="15" s="2" customFormat="1" ht="15.75" customHeight="1" spans="1:79">
      <c r="A15" s="39" t="s">
        <v>8351</v>
      </c>
      <c r="B15" s="39" t="s">
        <v>8352</v>
      </c>
      <c r="C15" s="40" t="s">
        <v>8305</v>
      </c>
      <c r="D15" s="47" t="e">
        <f>+#REF!</f>
        <v>#REF!</v>
      </c>
      <c r="E15" s="42">
        <f ca="1">SUM(F15,J15:M15,O15:Q15)</f>
        <v>0</v>
      </c>
      <c r="F15" s="52">
        <f ca="1" t="shared" si="9"/>
        <v>0</v>
      </c>
      <c r="G15" s="22">
        <f ca="1">+GETPIVOTDATA("XBB4",'binhba (2016)'!$A$3,"MA_HT","RDD","MA_QH","LUC")</f>
        <v>0</v>
      </c>
      <c r="H15" s="22">
        <f ca="1">+GETPIVOTDATA("XBB4",'binhba (2016)'!$A$3,"MA_HT","RDD","MA_QH","LUK")</f>
        <v>0</v>
      </c>
      <c r="I15" s="22">
        <f ca="1">+GETPIVOTDATA("XBB4",'binhba (2016)'!$A$3,"MA_HT","RDD","MA_QH","LUN")</f>
        <v>0</v>
      </c>
      <c r="J15" s="22">
        <f ca="1">+GETPIVOTDATA("XBB4",'binhba (2016)'!$A$3,"MA_HT","RDD","MA_QH","HNK")</f>
        <v>0</v>
      </c>
      <c r="K15" s="22">
        <f ca="1">+GETPIVOTDATA("XBB4",'binhba (2016)'!$A$3,"MA_HT","RDD","MA_QH","CLN")</f>
        <v>0</v>
      </c>
      <c r="L15" s="22">
        <f ca="1">+GETPIVOTDATA("XBB4",'binhba (2016)'!$A$3,"MA_HT","RDD","MA_QH","RSX")</f>
        <v>0</v>
      </c>
      <c r="M15" s="22">
        <f ca="1">+GETPIVOTDATA("XBB4",'binhba (2016)'!$A$3,"MA_HT","RDD","MA_QH","RPH")</f>
        <v>0</v>
      </c>
      <c r="N15" s="43" t="e">
        <f ca="1">$D15-$BF15</f>
        <v>#REF!</v>
      </c>
      <c r="O15" s="22">
        <f ca="1">+GETPIVOTDATA("XBB4",'binhba (2016)'!$A$3,"MA_HT","RDD","MA_QH","NTS")</f>
        <v>0</v>
      </c>
      <c r="P15" s="22">
        <f ca="1">+GETPIVOTDATA("XBB4",'binhba (2016)'!$A$3,"MA_HT","RDD","MA_QH","LMU")</f>
        <v>0</v>
      </c>
      <c r="Q15" s="22">
        <f ca="1">+GETPIVOTDATA("XBB4",'binhba (2016)'!$A$3,"MA_HT","RDD","MA_QH","NKH")</f>
        <v>0</v>
      </c>
      <c r="R15" s="42">
        <f ca="1" t="shared" si="2"/>
        <v>0</v>
      </c>
      <c r="S15" s="22">
        <f ca="1">+GETPIVOTDATA("XBB4",'binhba (2016)'!$A$3,"MA_HT","RDD","MA_QH","CQP")</f>
        <v>0</v>
      </c>
      <c r="T15" s="22">
        <f ca="1">+GETPIVOTDATA("XBB4",'binhba (2016)'!$A$3,"MA_HT","RDD","MA_QH","CAN")</f>
        <v>0</v>
      </c>
      <c r="U15" s="22">
        <f ca="1">+GETPIVOTDATA("XBB4",'binhba (2016)'!$A$3,"MA_HT","RDD","MA_QH","SKK")</f>
        <v>0</v>
      </c>
      <c r="V15" s="22">
        <f ca="1">+GETPIVOTDATA("XBB4",'binhba (2016)'!$A$3,"MA_HT","RDD","MA_QH","SKT")</f>
        <v>0</v>
      </c>
      <c r="W15" s="22">
        <f ca="1">+GETPIVOTDATA("XBB4",'binhba (2016)'!$A$3,"MA_HT","RDD","MA_QH","SKN")</f>
        <v>0</v>
      </c>
      <c r="X15" s="22">
        <f ca="1">+GETPIVOTDATA("XBB4",'binhba (2016)'!$A$3,"MA_HT","RDD","MA_QH","TMD")</f>
        <v>0</v>
      </c>
      <c r="Y15" s="22">
        <f ca="1">+GETPIVOTDATA("XBB4",'binhba (2016)'!$A$3,"MA_HT","RDD","MA_QH","SKC")</f>
        <v>0</v>
      </c>
      <c r="Z15" s="22">
        <f ca="1">+GETPIVOTDATA("XBB4",'binhba (2016)'!$A$3,"MA_HT","RDD","MA_QH","SKS")</f>
        <v>0</v>
      </c>
      <c r="AA15" s="52">
        <f ca="1" t="shared" si="4"/>
        <v>0</v>
      </c>
      <c r="AB15" s="22">
        <f ca="1">+GETPIVOTDATA("XBB4",'binhba (2016)'!$A$3,"MA_HT","RDD","MA_QH","DGT")</f>
        <v>0</v>
      </c>
      <c r="AC15" s="22">
        <f ca="1">+GETPIVOTDATA("XBB4",'binhba (2016)'!$A$3,"MA_HT","RDD","MA_QH","DTL")</f>
        <v>0</v>
      </c>
      <c r="AD15" s="22">
        <f ca="1">+GETPIVOTDATA("XBB4",'binhba (2016)'!$A$3,"MA_HT","RDD","MA_QH","DNL")</f>
        <v>0</v>
      </c>
      <c r="AE15" s="22">
        <f ca="1">+GETPIVOTDATA("XBB4",'binhba (2016)'!$A$3,"MA_HT","RDD","MA_QH","DBV")</f>
        <v>0</v>
      </c>
      <c r="AF15" s="22">
        <f ca="1">+GETPIVOTDATA("XBB4",'binhba (2016)'!$A$3,"MA_HT","RDD","MA_QH","DVH")</f>
        <v>0</v>
      </c>
      <c r="AG15" s="22">
        <f ca="1">+GETPIVOTDATA("XBB4",'binhba (2016)'!$A$3,"MA_HT","RDD","MA_QH","DYT")</f>
        <v>0</v>
      </c>
      <c r="AH15" s="22">
        <f ca="1">+GETPIVOTDATA("XBB4",'binhba (2016)'!$A$3,"MA_HT","RDD","MA_QH","DGD")</f>
        <v>0</v>
      </c>
      <c r="AI15" s="22">
        <f ca="1">+GETPIVOTDATA("XBB4",'binhba (2016)'!$A$3,"MA_HT","RDD","MA_QH","DTT")</f>
        <v>0</v>
      </c>
      <c r="AJ15" s="22">
        <f ca="1">+GETPIVOTDATA("XBB4",'binhba (2016)'!$A$3,"MA_HT","RDD","MA_QH","NCK")</f>
        <v>0</v>
      </c>
      <c r="AK15" s="22">
        <f ca="1">+GETPIVOTDATA("XBB4",'binhba (2016)'!$A$3,"MA_HT","RDD","MA_QH","DXH")</f>
        <v>0</v>
      </c>
      <c r="AL15" s="22">
        <f ca="1">+GETPIVOTDATA("XBB4",'binhba (2016)'!$A$3,"MA_HT","RDD","MA_QH","DCH")</f>
        <v>0</v>
      </c>
      <c r="AM15" s="22">
        <f ca="1">+GETPIVOTDATA("XBB4",'binhba (2016)'!$A$3,"MA_HT","RDD","MA_QH","DKG")</f>
        <v>0</v>
      </c>
      <c r="AN15" s="22">
        <f ca="1">+GETPIVOTDATA("XBB4",'binhba (2016)'!$A$3,"MA_HT","RDD","MA_QH","DDT")</f>
        <v>0</v>
      </c>
      <c r="AO15" s="22">
        <f ca="1">+GETPIVOTDATA("XBB4",'binhba (2016)'!$A$3,"MA_HT","RDD","MA_QH","DDL")</f>
        <v>0</v>
      </c>
      <c r="AP15" s="22">
        <f ca="1">+GETPIVOTDATA("XBB4",'binhba (2016)'!$A$3,"MA_HT","RDD","MA_QH","DRA")</f>
        <v>0</v>
      </c>
      <c r="AQ15" s="22">
        <f ca="1">+GETPIVOTDATA("XBB4",'binhba (2016)'!$A$3,"MA_HT","RDD","MA_QH","ONT")</f>
        <v>0</v>
      </c>
      <c r="AR15" s="22">
        <f ca="1">+GETPIVOTDATA("XBB4",'binhba (2016)'!$A$3,"MA_HT","RDD","MA_QH","ODT")</f>
        <v>0</v>
      </c>
      <c r="AS15" s="22">
        <f ca="1">+GETPIVOTDATA("XBB4",'binhba (2016)'!$A$3,"MA_HT","RDD","MA_QH","TSC")</f>
        <v>0</v>
      </c>
      <c r="AT15" s="22">
        <f ca="1">+GETPIVOTDATA("XBB4",'binhba (2016)'!$A$3,"MA_HT","RDD","MA_QH","DTS")</f>
        <v>0</v>
      </c>
      <c r="AU15" s="22">
        <f ca="1">+GETPIVOTDATA("XBB4",'binhba (2016)'!$A$3,"MA_HT","RDD","MA_QH","DNG")</f>
        <v>0</v>
      </c>
      <c r="AV15" s="22">
        <f ca="1">+GETPIVOTDATA("XBB4",'binhba (2016)'!$A$3,"MA_HT","RDD","MA_QH","TON")</f>
        <v>0</v>
      </c>
      <c r="AW15" s="22">
        <f ca="1">+GETPIVOTDATA("XBB4",'binhba (2016)'!$A$3,"MA_HT","RDD","MA_QH","NTD")</f>
        <v>0</v>
      </c>
      <c r="AX15" s="22">
        <f ca="1">+GETPIVOTDATA("XBB4",'binhba (2016)'!$A$3,"MA_HT","RDD","MA_QH","SKX")</f>
        <v>0</v>
      </c>
      <c r="AY15" s="22">
        <f ca="1">+GETPIVOTDATA("XBB4",'binhba (2016)'!$A$3,"MA_HT","RDD","MA_QH","DSH")</f>
        <v>0</v>
      </c>
      <c r="AZ15" s="22">
        <f ca="1">+GETPIVOTDATA("XBB4",'binhba (2016)'!$A$3,"MA_HT","RDD","MA_QH","DKV")</f>
        <v>0</v>
      </c>
      <c r="BA15" s="89">
        <f ca="1">+GETPIVOTDATA("XBB4",'binhba (2016)'!$A$3,"MA_HT","RDD","MA_QH","TIN")</f>
        <v>0</v>
      </c>
      <c r="BB15" s="50">
        <f ca="1">+GETPIVOTDATA("XBB4",'binhba (2016)'!$A$3,"MA_HT","RDD","MA_QH","SON")</f>
        <v>0</v>
      </c>
      <c r="BC15" s="50">
        <f ca="1">+GETPIVOTDATA("XBB4",'binhba (2016)'!$A$3,"MA_HT","RDD","MA_QH","MNC")</f>
        <v>0</v>
      </c>
      <c r="BD15" s="22">
        <f ca="1">+GETPIVOTDATA("XBB4",'binhba (2016)'!$A$3,"MA_HT","RDD","MA_QH","PNK")</f>
        <v>0</v>
      </c>
      <c r="BE15" s="71">
        <f ca="1">+GETPIVOTDATA("XBB4",'binhba (2016)'!$A$3,"MA_HT","RDD","MA_QH","CSD")</f>
        <v>0</v>
      </c>
      <c r="BF15" s="74">
        <f ca="1" t="shared" si="7"/>
        <v>0</v>
      </c>
      <c r="BG15" s="101">
        <f ca="1">N$59-$BF15</f>
        <v>0</v>
      </c>
      <c r="BH15" s="41" t="e">
        <f ca="1" t="shared" si="8"/>
        <v>#REF!</v>
      </c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</row>
    <row r="16" s="2" customFormat="1" ht="15.75" customHeight="1" spans="1:79">
      <c r="A16" s="39" t="s">
        <v>8353</v>
      </c>
      <c r="B16" s="39" t="s">
        <v>8354</v>
      </c>
      <c r="C16" s="40" t="s">
        <v>318</v>
      </c>
      <c r="D16" s="47" t="e">
        <f>+#REF!</f>
        <v>#REF!</v>
      </c>
      <c r="E16" s="42">
        <f ca="1">SUM(F16,J16:N16,P16:Q16)</f>
        <v>0</v>
      </c>
      <c r="F16" s="52">
        <f ca="1" t="shared" si="9"/>
        <v>0</v>
      </c>
      <c r="G16" s="22">
        <f ca="1">+GETPIVOTDATA("XBB4",'binhba (2016)'!$A$3,"MA_HT","NTS","MA_QH","LUC")</f>
        <v>0</v>
      </c>
      <c r="H16" s="22">
        <f ca="1">+GETPIVOTDATA("XBB4",'binhba (2016)'!$A$3,"MA_HT","NTS","MA_QH","LUK")</f>
        <v>0</v>
      </c>
      <c r="I16" s="22">
        <f ca="1">+GETPIVOTDATA("XBB4",'binhba (2016)'!$A$3,"MA_HT","NTS","MA_QH","LUN")</f>
        <v>0</v>
      </c>
      <c r="J16" s="22">
        <f ca="1">+GETPIVOTDATA("XBB4",'binhba (2016)'!$A$3,"MA_HT","NTS","MA_QH","HNK")</f>
        <v>0</v>
      </c>
      <c r="K16" s="22">
        <f ca="1">+GETPIVOTDATA("XBB4",'binhba (2016)'!$A$3,"MA_HT","NTS","MA_QH","CLN")</f>
        <v>0</v>
      </c>
      <c r="L16" s="22">
        <f ca="1">+GETPIVOTDATA("XBB4",'binhba (2016)'!$A$3,"MA_HT","NTS","MA_QH","RSX")</f>
        <v>0</v>
      </c>
      <c r="M16" s="22">
        <f ca="1">+GETPIVOTDATA("XBB4",'binhba (2016)'!$A$3,"MA_HT","NTS","MA_QH","RPH")</f>
        <v>0</v>
      </c>
      <c r="N16" s="22">
        <f ca="1">+GETPIVOTDATA("XBB4",'binhba (2016)'!$A$3,"MA_HT","NTS","MA_QH","RDD")</f>
        <v>0</v>
      </c>
      <c r="O16" s="43" t="e">
        <f ca="1">$D16-$BF16</f>
        <v>#REF!</v>
      </c>
      <c r="P16" s="22">
        <f ca="1">+GETPIVOTDATA("XBB4",'binhba (2016)'!$A$3,"MA_HT","NTS","MA_QH","LMU")</f>
        <v>0</v>
      </c>
      <c r="Q16" s="22">
        <f ca="1">+GETPIVOTDATA("XBB4",'binhba (2016)'!$A$3,"MA_HT","NTS","MA_QH","NKH")</f>
        <v>0</v>
      </c>
      <c r="R16" s="42">
        <f ca="1" t="shared" si="2"/>
        <v>0</v>
      </c>
      <c r="S16" s="22">
        <f ca="1">+GETPIVOTDATA("XBB4",'binhba (2016)'!$A$3,"MA_HT","NTS","MA_QH","CQP")</f>
        <v>0</v>
      </c>
      <c r="T16" s="22">
        <f ca="1">+GETPIVOTDATA("XBB4",'binhba (2016)'!$A$3,"MA_HT","NTS","MA_QH","CAN")</f>
        <v>0</v>
      </c>
      <c r="U16" s="22">
        <f ca="1">+GETPIVOTDATA("XBB4",'binhba (2016)'!$A$3,"MA_HT","NTS","MA_QH","SKK")</f>
        <v>0</v>
      </c>
      <c r="V16" s="22">
        <f ca="1">+GETPIVOTDATA("XBB4",'binhba (2016)'!$A$3,"MA_HT","NTS","MA_QH","SKT")</f>
        <v>0</v>
      </c>
      <c r="W16" s="22">
        <f ca="1">+GETPIVOTDATA("XBB4",'binhba (2016)'!$A$3,"MA_HT","NTS","MA_QH","SKN")</f>
        <v>0</v>
      </c>
      <c r="X16" s="22">
        <f ca="1">+GETPIVOTDATA("XBB4",'binhba (2016)'!$A$3,"MA_HT","NTS","MA_QH","TMD")</f>
        <v>0</v>
      </c>
      <c r="Y16" s="22">
        <f ca="1">+GETPIVOTDATA("XBB4",'binhba (2016)'!$A$3,"MA_HT","NTS","MA_QH","SKC")</f>
        <v>0</v>
      </c>
      <c r="Z16" s="22">
        <f ca="1">+GETPIVOTDATA("XBB4",'binhba (2016)'!$A$3,"MA_HT","NTS","MA_QH","SKS")</f>
        <v>0</v>
      </c>
      <c r="AA16" s="52">
        <f ca="1" t="shared" si="4"/>
        <v>0</v>
      </c>
      <c r="AB16" s="22">
        <f ca="1">+GETPIVOTDATA("XBB4",'binhba (2016)'!$A$3,"MA_HT","NTS","MA_QH","DGT")</f>
        <v>0</v>
      </c>
      <c r="AC16" s="22">
        <f ca="1">+GETPIVOTDATA("XBB4",'binhba (2016)'!$A$3,"MA_HT","NTS","MA_QH","DTL")</f>
        <v>0</v>
      </c>
      <c r="AD16" s="22">
        <f ca="1">+GETPIVOTDATA("XBB4",'binhba (2016)'!$A$3,"MA_HT","NTS","MA_QH","DNL")</f>
        <v>0</v>
      </c>
      <c r="AE16" s="22">
        <f ca="1">+GETPIVOTDATA("XBB4",'binhba (2016)'!$A$3,"MA_HT","NTS","MA_QH","DBV")</f>
        <v>0</v>
      </c>
      <c r="AF16" s="22">
        <f ca="1">+GETPIVOTDATA("XBB4",'binhba (2016)'!$A$3,"MA_HT","NTS","MA_QH","DVH")</f>
        <v>0</v>
      </c>
      <c r="AG16" s="22">
        <f ca="1">+GETPIVOTDATA("XBB4",'binhba (2016)'!$A$3,"MA_HT","NTS","MA_QH","DYT")</f>
        <v>0</v>
      </c>
      <c r="AH16" s="22">
        <f ca="1">+GETPIVOTDATA("XBB4",'binhba (2016)'!$A$3,"MA_HT","NTS","MA_QH","DGD")</f>
        <v>0</v>
      </c>
      <c r="AI16" s="22">
        <f ca="1">+GETPIVOTDATA("XBB4",'binhba (2016)'!$A$3,"MA_HT","NTS","MA_QH","DTT")</f>
        <v>0</v>
      </c>
      <c r="AJ16" s="22">
        <f ca="1">+GETPIVOTDATA("XBB4",'binhba (2016)'!$A$3,"MA_HT","NTS","MA_QH","NCK")</f>
        <v>0</v>
      </c>
      <c r="AK16" s="22">
        <f ca="1">+GETPIVOTDATA("XBB4",'binhba (2016)'!$A$3,"MA_HT","NTS","MA_QH","DXH")</f>
        <v>0</v>
      </c>
      <c r="AL16" s="22">
        <f ca="1">+GETPIVOTDATA("XBB4",'binhba (2016)'!$A$3,"MA_HT","NTS","MA_QH","DCH")</f>
        <v>0</v>
      </c>
      <c r="AM16" s="22">
        <f ca="1">+GETPIVOTDATA("XBB4",'binhba (2016)'!$A$3,"MA_HT","NTS","MA_QH","DKG")</f>
        <v>0</v>
      </c>
      <c r="AN16" s="22">
        <f ca="1">+GETPIVOTDATA("XBB4",'binhba (2016)'!$A$3,"MA_HT","NTS","MA_QH","DDT")</f>
        <v>0</v>
      </c>
      <c r="AO16" s="22">
        <f ca="1">+GETPIVOTDATA("XBB4",'binhba (2016)'!$A$3,"MA_HT","NTS","MA_QH","DDL")</f>
        <v>0</v>
      </c>
      <c r="AP16" s="22">
        <f ca="1">+GETPIVOTDATA("XBB4",'binhba (2016)'!$A$3,"MA_HT","NTS","MA_QH","DRA")</f>
        <v>0</v>
      </c>
      <c r="AQ16" s="22">
        <f ca="1">+GETPIVOTDATA("XBB4",'binhba (2016)'!$A$3,"MA_HT","NTS","MA_QH","ONT")</f>
        <v>0</v>
      </c>
      <c r="AR16" s="22">
        <f ca="1">+GETPIVOTDATA("XBB4",'binhba (2016)'!$A$3,"MA_HT","NTS","MA_QH","ODT")</f>
        <v>0</v>
      </c>
      <c r="AS16" s="22">
        <f ca="1">+GETPIVOTDATA("XBB4",'binhba (2016)'!$A$3,"MA_HT","NTS","MA_QH","TSC")</f>
        <v>0</v>
      </c>
      <c r="AT16" s="22">
        <f ca="1">+GETPIVOTDATA("XBB4",'binhba (2016)'!$A$3,"MA_HT","NTS","MA_QH","DTS")</f>
        <v>0</v>
      </c>
      <c r="AU16" s="22">
        <f ca="1">+GETPIVOTDATA("XBB4",'binhba (2016)'!$A$3,"MA_HT","NTS","MA_QH","DNG")</f>
        <v>0</v>
      </c>
      <c r="AV16" s="22">
        <f ca="1">+GETPIVOTDATA("XBB4",'binhba (2016)'!$A$3,"MA_HT","NTS","MA_QH","TON")</f>
        <v>0</v>
      </c>
      <c r="AW16" s="22">
        <f ca="1">+GETPIVOTDATA("XBB4",'binhba (2016)'!$A$3,"MA_HT","NTS","MA_QH","NTD")</f>
        <v>0</v>
      </c>
      <c r="AX16" s="22">
        <f ca="1">+GETPIVOTDATA("XBB4",'binhba (2016)'!$A$3,"MA_HT","NTS","MA_QH","SKX")</f>
        <v>0</v>
      </c>
      <c r="AY16" s="22">
        <f ca="1">+GETPIVOTDATA("XBB4",'binhba (2016)'!$A$3,"MA_HT","NTS","MA_QH","DSH")</f>
        <v>0</v>
      </c>
      <c r="AZ16" s="22">
        <f ca="1">+GETPIVOTDATA("XBB4",'binhba (2016)'!$A$3,"MA_HT","NTS","MA_QH","DKV")</f>
        <v>0</v>
      </c>
      <c r="BA16" s="89">
        <f ca="1">+GETPIVOTDATA("XBB4",'binhba (2016)'!$A$3,"MA_HT","NTS","MA_QH","TIN")</f>
        <v>0</v>
      </c>
      <c r="BB16" s="50">
        <f ca="1">+GETPIVOTDATA("XBB4",'binhba (2016)'!$A$3,"MA_HT","NTS","MA_QH","SON")</f>
        <v>0</v>
      </c>
      <c r="BC16" s="50">
        <f ca="1">+GETPIVOTDATA("XBB4",'binhba (2016)'!$A$3,"MA_HT","NTS","MA_QH","MNC")</f>
        <v>0</v>
      </c>
      <c r="BD16" s="22">
        <f ca="1">+GETPIVOTDATA("XBB4",'binhba (2016)'!$A$3,"MA_HT","NTS","MA_QH","PNK")</f>
        <v>0</v>
      </c>
      <c r="BE16" s="71">
        <f ca="1">+GETPIVOTDATA("XBB4",'binhba (2016)'!$A$3,"MA_HT","NTS","MA_QH","CSD")</f>
        <v>0</v>
      </c>
      <c r="BF16" s="74">
        <f ca="1" t="shared" si="7"/>
        <v>0</v>
      </c>
      <c r="BG16" s="101">
        <f ca="1">O$59-$BF16</f>
        <v>0</v>
      </c>
      <c r="BH16" s="41" t="e">
        <f ca="1" t="shared" si="8"/>
        <v>#REF!</v>
      </c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</row>
    <row r="17" s="2" customFormat="1" ht="15.75" customHeight="1" spans="1:79">
      <c r="A17" s="39" t="s">
        <v>8355</v>
      </c>
      <c r="B17" s="39" t="s">
        <v>8356</v>
      </c>
      <c r="C17" s="40" t="s">
        <v>8297</v>
      </c>
      <c r="D17" s="47" t="e">
        <f>+#REF!</f>
        <v>#REF!</v>
      </c>
      <c r="E17" s="42">
        <f ca="1">SUM(F17,J17:O17,Q17:Q17)</f>
        <v>0</v>
      </c>
      <c r="F17" s="52">
        <f ca="1" t="shared" si="9"/>
        <v>0</v>
      </c>
      <c r="G17" s="22">
        <f ca="1">+GETPIVOTDATA("XBB4",'binhba (2016)'!$A$3,"MA_HT","LMU","MA_QH","LUC")</f>
        <v>0</v>
      </c>
      <c r="H17" s="22">
        <f ca="1">+GETPIVOTDATA("XBB4",'binhba (2016)'!$A$3,"MA_HT","LMU","MA_QH","LUK")</f>
        <v>0</v>
      </c>
      <c r="I17" s="22">
        <f ca="1">+GETPIVOTDATA("XBB4",'binhba (2016)'!$A$3,"MA_HT","LMU","MA_QH","LUN")</f>
        <v>0</v>
      </c>
      <c r="J17" s="22">
        <f ca="1">+GETPIVOTDATA("XBB4",'binhba (2016)'!$A$3,"MA_HT","LMU","MA_QH","HNK")</f>
        <v>0</v>
      </c>
      <c r="K17" s="22">
        <f ca="1">+GETPIVOTDATA("XBB4",'binhba (2016)'!$A$3,"MA_HT","LMU","MA_QH","CLN")</f>
        <v>0</v>
      </c>
      <c r="L17" s="22">
        <f ca="1">+GETPIVOTDATA("XBB4",'binhba (2016)'!$A$3,"MA_HT","LMU","MA_QH","RSX")</f>
        <v>0</v>
      </c>
      <c r="M17" s="22">
        <f ca="1">+GETPIVOTDATA("XBB4",'binhba (2016)'!$A$3,"MA_HT","LMU","MA_QH","RPH")</f>
        <v>0</v>
      </c>
      <c r="N17" s="22">
        <f ca="1">+GETPIVOTDATA("XBB4",'binhba (2016)'!$A$3,"MA_HT","LMU","MA_QH","RDD")</f>
        <v>0</v>
      </c>
      <c r="O17" s="22">
        <f ca="1">+GETPIVOTDATA("XBB4",'binhba (2016)'!$A$3,"MA_HT","LMU","MA_QH","NTS")</f>
        <v>0</v>
      </c>
      <c r="P17" s="43" t="e">
        <f ca="1">$D17-$BF17</f>
        <v>#REF!</v>
      </c>
      <c r="Q17" s="22">
        <f ca="1">+GETPIVOTDATA("XBB4",'binhba (2016)'!$A$3,"MA_HT","LMU","MA_QH","NKH")</f>
        <v>0</v>
      </c>
      <c r="R17" s="42">
        <f ca="1" t="shared" si="2"/>
        <v>0</v>
      </c>
      <c r="S17" s="22">
        <f ca="1">+GETPIVOTDATA("XBB4",'binhba (2016)'!$A$3,"MA_HT","LMU","MA_QH","CQP")</f>
        <v>0</v>
      </c>
      <c r="T17" s="22">
        <f ca="1">+GETPIVOTDATA("XBB4",'binhba (2016)'!$A$3,"MA_HT","LMU","MA_QH","CAN")</f>
        <v>0</v>
      </c>
      <c r="U17" s="22">
        <f ca="1">+GETPIVOTDATA("XBB4",'binhba (2016)'!$A$3,"MA_HT","LMU","MA_QH","SKK")</f>
        <v>0</v>
      </c>
      <c r="V17" s="22">
        <f ca="1">+GETPIVOTDATA("XBB4",'binhba (2016)'!$A$3,"MA_HT","LMU","MA_QH","SKT")</f>
        <v>0</v>
      </c>
      <c r="W17" s="22">
        <f ca="1">+GETPIVOTDATA("XBB4",'binhba (2016)'!$A$3,"MA_HT","LMU","MA_QH","SKN")</f>
        <v>0</v>
      </c>
      <c r="X17" s="22">
        <f ca="1">+GETPIVOTDATA("XBB4",'binhba (2016)'!$A$3,"MA_HT","LMU","MA_QH","TMD")</f>
        <v>0</v>
      </c>
      <c r="Y17" s="22">
        <f ca="1">+GETPIVOTDATA("XBB4",'binhba (2016)'!$A$3,"MA_HT","LMU","MA_QH","SKC")</f>
        <v>0</v>
      </c>
      <c r="Z17" s="22">
        <f ca="1">+GETPIVOTDATA("XBB4",'binhba (2016)'!$A$3,"MA_HT","LMU","MA_QH","SKS")</f>
        <v>0</v>
      </c>
      <c r="AA17" s="52">
        <f ca="1" t="shared" si="4"/>
        <v>0</v>
      </c>
      <c r="AB17" s="22">
        <f ca="1">+GETPIVOTDATA("XBB4",'binhba (2016)'!$A$3,"MA_HT","LMU","MA_QH","DGT")</f>
        <v>0</v>
      </c>
      <c r="AC17" s="22">
        <f ca="1">+GETPIVOTDATA("XBB4",'binhba (2016)'!$A$3,"MA_HT","LMU","MA_QH","DTL")</f>
        <v>0</v>
      </c>
      <c r="AD17" s="22">
        <f ca="1">+GETPIVOTDATA("XBB4",'binhba (2016)'!$A$3,"MA_HT","LMU","MA_QH","DNL")</f>
        <v>0</v>
      </c>
      <c r="AE17" s="22">
        <f ca="1">+GETPIVOTDATA("XBB4",'binhba (2016)'!$A$3,"MA_HT","LMU","MA_QH","DBV")</f>
        <v>0</v>
      </c>
      <c r="AF17" s="22">
        <f ca="1">+GETPIVOTDATA("XBB4",'binhba (2016)'!$A$3,"MA_HT","LMU","MA_QH","DVH")</f>
        <v>0</v>
      </c>
      <c r="AG17" s="22">
        <f ca="1">+GETPIVOTDATA("XBB4",'binhba (2016)'!$A$3,"MA_HT","LMU","MA_QH","DYT")</f>
        <v>0</v>
      </c>
      <c r="AH17" s="22">
        <f ca="1">+GETPIVOTDATA("XBB4",'binhba (2016)'!$A$3,"MA_HT","LMU","MA_QH","DGD")</f>
        <v>0</v>
      </c>
      <c r="AI17" s="22">
        <f ca="1">+GETPIVOTDATA("XBB4",'binhba (2016)'!$A$3,"MA_HT","LMU","MA_QH","DTT")</f>
        <v>0</v>
      </c>
      <c r="AJ17" s="22">
        <f ca="1">+GETPIVOTDATA("XBB4",'binhba (2016)'!$A$3,"MA_HT","LMU","MA_QH","NCK")</f>
        <v>0</v>
      </c>
      <c r="AK17" s="22">
        <f ca="1">+GETPIVOTDATA("XBB4",'binhba (2016)'!$A$3,"MA_HT","LMU","MA_QH","DXH")</f>
        <v>0</v>
      </c>
      <c r="AL17" s="22">
        <f ca="1">+GETPIVOTDATA("XBB4",'binhba (2016)'!$A$3,"MA_HT","LMU","MA_QH","DCH")</f>
        <v>0</v>
      </c>
      <c r="AM17" s="22">
        <f ca="1">+GETPIVOTDATA("XBB4",'binhba (2016)'!$A$3,"MA_HT","LMU","MA_QH","DKG")</f>
        <v>0</v>
      </c>
      <c r="AN17" s="22">
        <f ca="1">+GETPIVOTDATA("XBB4",'binhba (2016)'!$A$3,"MA_HT","LMU","MA_QH","DDT")</f>
        <v>0</v>
      </c>
      <c r="AO17" s="22">
        <f ca="1">+GETPIVOTDATA("XBB4",'binhba (2016)'!$A$3,"MA_HT","LMU","MA_QH","DDL")</f>
        <v>0</v>
      </c>
      <c r="AP17" s="22">
        <f ca="1">+GETPIVOTDATA("XBB4",'binhba (2016)'!$A$3,"MA_HT","LMU","MA_QH","DRA")</f>
        <v>0</v>
      </c>
      <c r="AQ17" s="22">
        <f ca="1">+GETPIVOTDATA("XBB4",'binhba (2016)'!$A$3,"MA_HT","LMU","MA_QH","ONT")</f>
        <v>0</v>
      </c>
      <c r="AR17" s="22">
        <f ca="1">+GETPIVOTDATA("XBB4",'binhba (2016)'!$A$3,"MA_HT","LMU","MA_QH","ODT")</f>
        <v>0</v>
      </c>
      <c r="AS17" s="22">
        <f ca="1">+GETPIVOTDATA("XBB4",'binhba (2016)'!$A$3,"MA_HT","LMU","MA_QH","TSC")</f>
        <v>0</v>
      </c>
      <c r="AT17" s="22">
        <f ca="1">+GETPIVOTDATA("XBB4",'binhba (2016)'!$A$3,"MA_HT","LMU","MA_QH","DTS")</f>
        <v>0</v>
      </c>
      <c r="AU17" s="22">
        <f ca="1">+GETPIVOTDATA("XBB4",'binhba (2016)'!$A$3,"MA_HT","LMU","MA_QH","DNG")</f>
        <v>0</v>
      </c>
      <c r="AV17" s="22">
        <f ca="1">+GETPIVOTDATA("XBB4",'binhba (2016)'!$A$3,"MA_HT","LMU","MA_QH","TON")</f>
        <v>0</v>
      </c>
      <c r="AW17" s="22">
        <f ca="1">+GETPIVOTDATA("XBB4",'binhba (2016)'!$A$3,"MA_HT","LMU","MA_QH","NTD")</f>
        <v>0</v>
      </c>
      <c r="AX17" s="22">
        <f ca="1">+GETPIVOTDATA("XBB4",'binhba (2016)'!$A$3,"MA_HT","LMU","MA_QH","SKX")</f>
        <v>0</v>
      </c>
      <c r="AY17" s="22">
        <f ca="1">+GETPIVOTDATA("XBB4",'binhba (2016)'!$A$3,"MA_HT","LMU","MA_QH","DSH")</f>
        <v>0</v>
      </c>
      <c r="AZ17" s="22">
        <f ca="1">+GETPIVOTDATA("XBB4",'binhba (2016)'!$A$3,"MA_HT","LMU","MA_QH","DKV")</f>
        <v>0</v>
      </c>
      <c r="BA17" s="89">
        <f ca="1">+GETPIVOTDATA("XBB4",'binhba (2016)'!$A$3,"MA_HT","LMU","MA_QH","TIN")</f>
        <v>0</v>
      </c>
      <c r="BB17" s="50">
        <f ca="1">+GETPIVOTDATA("XBB4",'binhba (2016)'!$A$3,"MA_HT","LMU","MA_QH","SON")</f>
        <v>0</v>
      </c>
      <c r="BC17" s="50">
        <f ca="1">+GETPIVOTDATA("XBB4",'binhba (2016)'!$A$3,"MA_HT","LMU","MA_QH","MNC")</f>
        <v>0</v>
      </c>
      <c r="BD17" s="22">
        <f ca="1">+GETPIVOTDATA("XBB4",'binhba (2016)'!$A$3,"MA_HT","LMU","MA_QH","PNK")</f>
        <v>0</v>
      </c>
      <c r="BE17" s="71">
        <f ca="1">+GETPIVOTDATA("XBB4",'binhba (2016)'!$A$3,"MA_HT","LMU","MA_QH","CSD")</f>
        <v>0</v>
      </c>
      <c r="BF17" s="74">
        <f ca="1" t="shared" si="7"/>
        <v>0</v>
      </c>
      <c r="BG17" s="101">
        <f ca="1">P$59-$BF17</f>
        <v>0</v>
      </c>
      <c r="BH17" s="41" t="e">
        <f ca="1" t="shared" si="8"/>
        <v>#REF!</v>
      </c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</row>
    <row r="18" s="2" customFormat="1" ht="15.75" customHeight="1" spans="1:79">
      <c r="A18" s="39" t="s">
        <v>8357</v>
      </c>
      <c r="B18" s="39" t="s">
        <v>8358</v>
      </c>
      <c r="C18" s="40" t="s">
        <v>553</v>
      </c>
      <c r="D18" s="47" t="e">
        <f>+#REF!</f>
        <v>#REF!</v>
      </c>
      <c r="E18" s="42">
        <f ca="1">SUM(F18,J18:P18)</f>
        <v>0</v>
      </c>
      <c r="F18" s="52">
        <f ca="1" t="shared" si="9"/>
        <v>0</v>
      </c>
      <c r="G18" s="22">
        <f ca="1">+GETPIVOTDATA("XBB4",'binhba (2016)'!$A$3,"MA_HT","NKH","MA_QH","LUC")</f>
        <v>0</v>
      </c>
      <c r="H18" s="22">
        <f ca="1">+GETPIVOTDATA("XBB4",'binhba (2016)'!$A$3,"MA_HT","NKH","MA_QH","LUK")</f>
        <v>0</v>
      </c>
      <c r="I18" s="22">
        <f ca="1">+GETPIVOTDATA("XBB4",'binhba (2016)'!$A$3,"MA_HT","NKH","MA_QH","LUN")</f>
        <v>0</v>
      </c>
      <c r="J18" s="22">
        <f ca="1">+GETPIVOTDATA("XBB4",'binhba (2016)'!$A$3,"MA_HT","NKH","MA_QH","HNK")</f>
        <v>0</v>
      </c>
      <c r="K18" s="22">
        <f ca="1">+GETPIVOTDATA("XBB4",'binhba (2016)'!$A$3,"MA_HT","NKH","MA_QH","CLN")</f>
        <v>0</v>
      </c>
      <c r="L18" s="22">
        <f ca="1">+GETPIVOTDATA("XBB4",'binhba (2016)'!$A$3,"MA_HT","NKH","MA_QH","RSX")</f>
        <v>0</v>
      </c>
      <c r="M18" s="22">
        <f ca="1">+GETPIVOTDATA("XBB4",'binhba (2016)'!$A$3,"MA_HT","NKH","MA_QH","RPH")</f>
        <v>0</v>
      </c>
      <c r="N18" s="22">
        <f ca="1">+GETPIVOTDATA("XBB4",'binhba (2016)'!$A$3,"MA_HT","NKH","MA_QH","RDD")</f>
        <v>0</v>
      </c>
      <c r="O18" s="22">
        <f ca="1">+GETPIVOTDATA("XBB4",'binhba (2016)'!$A$3,"MA_HT","NKH","MA_QH","NTS")</f>
        <v>0</v>
      </c>
      <c r="P18" s="22">
        <f ca="1">+GETPIVOTDATA("XBB4",'binhba (2016)'!$A$3,"MA_HT","NKH","MA_QH","LMU")</f>
        <v>0</v>
      </c>
      <c r="Q18" s="43" t="e">
        <f ca="1">$D18-$BF18</f>
        <v>#REF!</v>
      </c>
      <c r="R18" s="42">
        <f ca="1" t="shared" si="2"/>
        <v>0</v>
      </c>
      <c r="S18" s="22">
        <f ca="1">+GETPIVOTDATA("XBB4",'binhba (2016)'!$A$3,"MA_HT","NKH","MA_QH","CQP")</f>
        <v>0</v>
      </c>
      <c r="T18" s="22">
        <f ca="1">+GETPIVOTDATA("XBB4",'binhba (2016)'!$A$3,"MA_HT","NKH","MA_QH","CAN")</f>
        <v>0</v>
      </c>
      <c r="U18" s="22">
        <f ca="1">+GETPIVOTDATA("XBB4",'binhba (2016)'!$A$3,"MA_HT","NKH","MA_QH","SKK")</f>
        <v>0</v>
      </c>
      <c r="V18" s="22">
        <f ca="1">+GETPIVOTDATA("XBB4",'binhba (2016)'!$A$3,"MA_HT","NKH","MA_QH","SKT")</f>
        <v>0</v>
      </c>
      <c r="W18" s="22">
        <f ca="1">+GETPIVOTDATA("XBB4",'binhba (2016)'!$A$3,"MA_HT","NKH","MA_QH","SKN")</f>
        <v>0</v>
      </c>
      <c r="X18" s="22">
        <f ca="1">+GETPIVOTDATA("XBB4",'binhba (2016)'!$A$3,"MA_HT","NKH","MA_QH","TMD")</f>
        <v>0</v>
      </c>
      <c r="Y18" s="22">
        <f ca="1">+GETPIVOTDATA("XBB4",'binhba (2016)'!$A$3,"MA_HT","NKH","MA_QH","SKC")</f>
        <v>0</v>
      </c>
      <c r="Z18" s="22">
        <f ca="1">+GETPIVOTDATA("XBB4",'binhba (2016)'!$A$3,"MA_HT","NKH","MA_QH","SKS")</f>
        <v>0</v>
      </c>
      <c r="AA18" s="52">
        <f ca="1" t="shared" si="4"/>
        <v>0</v>
      </c>
      <c r="AB18" s="22">
        <f ca="1">+GETPIVOTDATA("XBB4",'binhba (2016)'!$A$3,"MA_HT","NKH","MA_QH","DGT")</f>
        <v>0</v>
      </c>
      <c r="AC18" s="22">
        <f ca="1">+GETPIVOTDATA("XBB4",'binhba (2016)'!$A$3,"MA_HT","NKH","MA_QH","DTL")</f>
        <v>0</v>
      </c>
      <c r="AD18" s="22">
        <f ca="1">+GETPIVOTDATA("XBB4",'binhba (2016)'!$A$3,"MA_HT","NKH","MA_QH","DNL")</f>
        <v>0</v>
      </c>
      <c r="AE18" s="22">
        <f ca="1">+GETPIVOTDATA("XBB4",'binhba (2016)'!$A$3,"MA_HT","NKH","MA_QH","DBV")</f>
        <v>0</v>
      </c>
      <c r="AF18" s="22">
        <f ca="1">+GETPIVOTDATA("XBB4",'binhba (2016)'!$A$3,"MA_HT","NKH","MA_QH","DVH")</f>
        <v>0</v>
      </c>
      <c r="AG18" s="22">
        <f ca="1">+GETPIVOTDATA("XBB4",'binhba (2016)'!$A$3,"MA_HT","NKH","MA_QH","DYT")</f>
        <v>0</v>
      </c>
      <c r="AH18" s="22">
        <f ca="1">+GETPIVOTDATA("XBB4",'binhba (2016)'!$A$3,"MA_HT","NKH","MA_QH","DGD")</f>
        <v>0</v>
      </c>
      <c r="AI18" s="22">
        <f ca="1">+GETPIVOTDATA("XBB4",'binhba (2016)'!$A$3,"MA_HT","NKH","MA_QH","DTT")</f>
        <v>0</v>
      </c>
      <c r="AJ18" s="22">
        <f ca="1">+GETPIVOTDATA("XBB4",'binhba (2016)'!$A$3,"MA_HT","NKH","MA_QH","NCK")</f>
        <v>0</v>
      </c>
      <c r="AK18" s="22">
        <f ca="1">+GETPIVOTDATA("XBB4",'binhba (2016)'!$A$3,"MA_HT","NKH","MA_QH","DXH")</f>
        <v>0</v>
      </c>
      <c r="AL18" s="22">
        <f ca="1">+GETPIVOTDATA("XBB4",'binhba (2016)'!$A$3,"MA_HT","NKH","MA_QH","DCH")</f>
        <v>0</v>
      </c>
      <c r="AM18" s="22">
        <f ca="1">+GETPIVOTDATA("XBB4",'binhba (2016)'!$A$3,"MA_HT","NKH","MA_QH","DKG")</f>
        <v>0</v>
      </c>
      <c r="AN18" s="22">
        <f ca="1">+GETPIVOTDATA("XBB4",'binhba (2016)'!$A$3,"MA_HT","NKH","MA_QH","DDT")</f>
        <v>0</v>
      </c>
      <c r="AO18" s="22">
        <f ca="1">+GETPIVOTDATA("XBB4",'binhba (2016)'!$A$3,"MA_HT","NKH","MA_QH","DDL")</f>
        <v>0</v>
      </c>
      <c r="AP18" s="22">
        <f ca="1">+GETPIVOTDATA("XBB4",'binhba (2016)'!$A$3,"MA_HT","NKH","MA_QH","DRA")</f>
        <v>0</v>
      </c>
      <c r="AQ18" s="22">
        <f ca="1">+GETPIVOTDATA("XBB4",'binhba (2016)'!$A$3,"MA_HT","NKH","MA_QH","ONT")</f>
        <v>0</v>
      </c>
      <c r="AR18" s="22">
        <f ca="1">+GETPIVOTDATA("XBB4",'binhba (2016)'!$A$3,"MA_HT","NKH","MA_QH","ODT")</f>
        <v>0</v>
      </c>
      <c r="AS18" s="22">
        <f ca="1">+GETPIVOTDATA("XBB4",'binhba (2016)'!$A$3,"MA_HT","NKH","MA_QH","TSC")</f>
        <v>0</v>
      </c>
      <c r="AT18" s="22">
        <f ca="1">+GETPIVOTDATA("XBB4",'binhba (2016)'!$A$3,"MA_HT","NKH","MA_QH","DTS")</f>
        <v>0</v>
      </c>
      <c r="AU18" s="22">
        <f ca="1">+GETPIVOTDATA("XBB4",'binhba (2016)'!$A$3,"MA_HT","NKH","MA_QH","DNG")</f>
        <v>0</v>
      </c>
      <c r="AV18" s="22">
        <f ca="1">+GETPIVOTDATA("XBB4",'binhba (2016)'!$A$3,"MA_HT","NKH","MA_QH","TON")</f>
        <v>0</v>
      </c>
      <c r="AW18" s="22">
        <f ca="1">+GETPIVOTDATA("XBB4",'binhba (2016)'!$A$3,"MA_HT","NKH","MA_QH","NTD")</f>
        <v>0</v>
      </c>
      <c r="AX18" s="22">
        <f ca="1">+GETPIVOTDATA("XBB4",'binhba (2016)'!$A$3,"MA_HT","NKH","MA_QH","SKX")</f>
        <v>0</v>
      </c>
      <c r="AY18" s="22">
        <f ca="1">+GETPIVOTDATA("XBB4",'binhba (2016)'!$A$3,"MA_HT","NKH","MA_QH","DSH")</f>
        <v>0</v>
      </c>
      <c r="AZ18" s="22">
        <f ca="1">+GETPIVOTDATA("XBB4",'binhba (2016)'!$A$3,"MA_HT","NKH","MA_QH","DKV")</f>
        <v>0</v>
      </c>
      <c r="BA18" s="89">
        <f ca="1">+GETPIVOTDATA("XBB4",'binhba (2016)'!$A$3,"MA_HT","NKH","MA_QH","TIN")</f>
        <v>0</v>
      </c>
      <c r="BB18" s="50">
        <f ca="1">+GETPIVOTDATA("XBB4",'binhba (2016)'!$A$3,"MA_HT","NKH","MA_QH","SON")</f>
        <v>0</v>
      </c>
      <c r="BC18" s="50">
        <f ca="1">+GETPIVOTDATA("XBB4",'binhba (2016)'!$A$3,"MA_HT","NKH","MA_QH","MNC")</f>
        <v>0</v>
      </c>
      <c r="BD18" s="22">
        <f ca="1">+GETPIVOTDATA("XBB4",'binhba (2016)'!$A$3,"MA_HT","NKH","MA_QH","PNK")</f>
        <v>0</v>
      </c>
      <c r="BE18" s="71">
        <f ca="1">+GETPIVOTDATA("XBB4",'binhba (2016)'!$A$3,"MA_HT","NKH","MA_QH","CSD")</f>
        <v>0</v>
      </c>
      <c r="BF18" s="74">
        <f ca="1" t="shared" si="7"/>
        <v>0</v>
      </c>
      <c r="BG18" s="101">
        <f ca="1">Q$59-$BF18</f>
        <v>0</v>
      </c>
      <c r="BH18" s="41" t="e">
        <f ca="1" t="shared" si="8"/>
        <v>#REF!</v>
      </c>
      <c r="BI18" s="98"/>
      <c r="BJ18" s="98"/>
      <c r="BK18" s="98"/>
      <c r="BL18" s="98"/>
      <c r="BM18" s="107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</row>
    <row r="19" s="3" customFormat="1" ht="15.75" customHeight="1" spans="1:75">
      <c r="A19" s="35">
        <v>2</v>
      </c>
      <c r="B19" s="36" t="s">
        <v>8359</v>
      </c>
      <c r="C19" s="37" t="s">
        <v>8304</v>
      </c>
      <c r="D19" s="33" t="e">
        <f>+#REF!</f>
        <v>#REF!</v>
      </c>
      <c r="E19" s="33">
        <f ca="1">SUM(E20:E28,E41:E57)</f>
        <v>0</v>
      </c>
      <c r="F19" s="33">
        <f ca="1">SUM(F20:F28,F41:F57)</f>
        <v>0</v>
      </c>
      <c r="G19" s="33">
        <f ca="1">SUM(G20:G28,G41:G57)</f>
        <v>0</v>
      </c>
      <c r="H19" s="33">
        <f ca="1">SUM(H20:H28,H41:H57)</f>
        <v>0</v>
      </c>
      <c r="I19" s="33">
        <f ca="1">SUM(I20:I28,I41:I57)</f>
        <v>0</v>
      </c>
      <c r="J19" s="33">
        <f ca="1" t="shared" ref="J19:Q19" si="10">SUM(J20:J28,J41:J57)</f>
        <v>0</v>
      </c>
      <c r="K19" s="33">
        <f ca="1" t="shared" si="10"/>
        <v>0</v>
      </c>
      <c r="L19" s="33">
        <f ca="1" t="shared" si="10"/>
        <v>0</v>
      </c>
      <c r="M19" s="33">
        <f ca="1" t="shared" si="10"/>
        <v>0</v>
      </c>
      <c r="N19" s="33">
        <f ca="1" t="shared" si="10"/>
        <v>0</v>
      </c>
      <c r="O19" s="33">
        <f ca="1" t="shared" si="10"/>
        <v>0</v>
      </c>
      <c r="P19" s="33">
        <f ca="1" t="shared" si="10"/>
        <v>0</v>
      </c>
      <c r="Q19" s="33">
        <f ca="1" t="shared" si="10"/>
        <v>0</v>
      </c>
      <c r="R19" s="38" t="e">
        <f ca="1">$D19-$BF19</f>
        <v>#REF!</v>
      </c>
      <c r="S19" s="33">
        <f ca="1">SUM(S21:S28,S41:S57)</f>
        <v>0</v>
      </c>
      <c r="T19" s="33">
        <f ca="1">SUM(T20,T22:T28,T41:T57)</f>
        <v>0</v>
      </c>
      <c r="U19" s="33">
        <f ca="1">SUM(U20:U21,U23:U28,U41:U57)</f>
        <v>0</v>
      </c>
      <c r="V19" s="33">
        <f ca="1">SUM(V20:V22,V24:V28,V41:V57)</f>
        <v>0</v>
      </c>
      <c r="W19" s="33">
        <f ca="1">SUM(W20:W23,W25:W28,W41:W57)</f>
        <v>0</v>
      </c>
      <c r="X19" s="33">
        <f ca="1">SUM(X20:X24,X26:X28,X41:X57)</f>
        <v>0</v>
      </c>
      <c r="Y19" s="33">
        <f ca="1">SUM(Y20:Y25,Y27:Y28,Y41:Y57)</f>
        <v>0</v>
      </c>
      <c r="Z19" s="33">
        <f ca="1">SUM(Z20:Z26,Z28,Z41:Z57)</f>
        <v>0</v>
      </c>
      <c r="AA19" s="33">
        <f ca="1">SUM(AA20:AA27,AA41:AA57)</f>
        <v>0</v>
      </c>
      <c r="AB19" s="33">
        <f ca="1" t="shared" ref="AB19:AM19" si="11">SUM(AB20:AB28,AB41:AB57)</f>
        <v>0</v>
      </c>
      <c r="AC19" s="33">
        <f ca="1" t="shared" si="11"/>
        <v>0</v>
      </c>
      <c r="AD19" s="33">
        <f ca="1" t="shared" si="11"/>
        <v>0</v>
      </c>
      <c r="AE19" s="33">
        <f ca="1" t="shared" si="11"/>
        <v>0</v>
      </c>
      <c r="AF19" s="33">
        <f ca="1" t="shared" si="11"/>
        <v>0</v>
      </c>
      <c r="AG19" s="33">
        <f ca="1" t="shared" si="11"/>
        <v>0</v>
      </c>
      <c r="AH19" s="33">
        <f ca="1" t="shared" si="11"/>
        <v>0</v>
      </c>
      <c r="AI19" s="33">
        <f ca="1" t="shared" si="11"/>
        <v>0</v>
      </c>
      <c r="AJ19" s="33">
        <f ca="1" t="shared" si="11"/>
        <v>0</v>
      </c>
      <c r="AK19" s="33">
        <f ca="1" t="shared" si="11"/>
        <v>0</v>
      </c>
      <c r="AL19" s="33">
        <f ca="1" t="shared" si="11"/>
        <v>0</v>
      </c>
      <c r="AM19" s="33">
        <f ca="1" t="shared" si="11"/>
        <v>0</v>
      </c>
      <c r="AN19" s="33">
        <f ca="1">SUM(AN20:AN28,AN42:AN57)</f>
        <v>0</v>
      </c>
      <c r="AO19" s="33">
        <f ca="1">SUM(AO20:AO28,AO41,AO43:AO57)</f>
        <v>0</v>
      </c>
      <c r="AP19" s="33">
        <f ca="1">SUM(AP20:AP28,AP41:AP42,AP44:AP57)</f>
        <v>0</v>
      </c>
      <c r="AQ19" s="33">
        <f ca="1">SUM(AQ20:AQ28,AQ41:AQ43,AQ45:AQ57)</f>
        <v>0</v>
      </c>
      <c r="AR19" s="33">
        <f ca="1">SUM(AR20:AR28,AR41:AR44,AR46:AR57)</f>
        <v>0</v>
      </c>
      <c r="AS19" s="33">
        <f ca="1">SUM(AS20:AS28,AS41:AS45,AS47:AS57)</f>
        <v>0</v>
      </c>
      <c r="AT19" s="33">
        <f ca="1">SUM(AT20:AT28,AT41:AT46,AT48:AT57)</f>
        <v>0</v>
      </c>
      <c r="AU19" s="33">
        <f ca="1">SUM(AU20:AU28,AU41:AU47,AU49:AU57)</f>
        <v>0</v>
      </c>
      <c r="AV19" s="33">
        <f ca="1">SUM(AV20:AV28,AV41:AV48,AV50:AV57)</f>
        <v>0</v>
      </c>
      <c r="AW19" s="33">
        <f ca="1">SUM(AW20:AW28,AW41:AW49,AW51:AW57)</f>
        <v>0</v>
      </c>
      <c r="AX19" s="33">
        <f ca="1">SUM(AX20:AX28,AX41:AX50,AX52:AX57)</f>
        <v>0</v>
      </c>
      <c r="AY19" s="33">
        <f ca="1">SUM(AY20:AY28,AY41:AY51,AY53:AY57)</f>
        <v>0</v>
      </c>
      <c r="AZ19" s="33">
        <f ca="1">SUM(AZ20:AZ28,AZ41:AZ52,AZ54:AZ57)</f>
        <v>0</v>
      </c>
      <c r="BA19" s="33">
        <f ca="1">SUM(BA20:BA28,BA41:BA53,BA55:BA57)</f>
        <v>0</v>
      </c>
      <c r="BB19" s="33">
        <f ca="1">SUM(BB20:BB28,BB41:BB54,BB56:BB57)</f>
        <v>0</v>
      </c>
      <c r="BC19" s="33">
        <f ca="1">SUM(BC20:BC28,BC41:BC55,BC57)</f>
        <v>0</v>
      </c>
      <c r="BD19" s="33">
        <f ca="1">SUM(BD20:BD28,BD41:BD56,BD58)</f>
        <v>0</v>
      </c>
      <c r="BE19" s="33">
        <f ca="1">SUM(BE20:BE28,BE41:BE57)</f>
        <v>0</v>
      </c>
      <c r="BF19" s="74">
        <f ca="1">SUM(BE19,E19)</f>
        <v>0</v>
      </c>
      <c r="BG19" s="101">
        <f ca="1">R$59-$BF19</f>
        <v>0</v>
      </c>
      <c r="BH19" s="33" t="e">
        <f ca="1">SUM(BH20:BH28,BH41:BH57)</f>
        <v>#REF!</v>
      </c>
      <c r="BI19" s="102"/>
      <c r="BJ19" s="36" t="e">
        <f>SUM(BJ22:BJ54,BJ57:BJ57)</f>
        <v>#REF!</v>
      </c>
      <c r="BK19" s="106" t="e">
        <f ca="1">BH19-BJ19</f>
        <v>#REF!</v>
      </c>
      <c r="BL19" s="106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</row>
    <row r="20" s="2" customFormat="1" ht="15.75" customHeight="1" spans="1:79">
      <c r="A20" s="39" t="s">
        <v>69</v>
      </c>
      <c r="B20" s="39" t="s">
        <v>8360</v>
      </c>
      <c r="C20" s="40" t="s">
        <v>31</v>
      </c>
      <c r="D20" s="41" t="e">
        <f>+#REF!</f>
        <v>#REF!</v>
      </c>
      <c r="E20" s="42">
        <f ca="1">SUM(F20,J20:Q20)</f>
        <v>0</v>
      </c>
      <c r="F20" s="52">
        <f ca="1" t="shared" si="9"/>
        <v>0</v>
      </c>
      <c r="G20" s="22">
        <f ca="1">+GETPIVOTDATA("XBB4",'binhba (2016)'!$A$3,"MA_HT","CQP","MA_QH","LUC")</f>
        <v>0</v>
      </c>
      <c r="H20" s="22">
        <f ca="1">+GETPIVOTDATA("XBB4",'binhba (2016)'!$A$3,"MA_HT","CQP","MA_QH","LUK")</f>
        <v>0</v>
      </c>
      <c r="I20" s="22">
        <f ca="1">+GETPIVOTDATA("XBB4",'binhba (2016)'!$A$3,"MA_HT","CQP","MA_QH","LUN")</f>
        <v>0</v>
      </c>
      <c r="J20" s="22">
        <f ca="1">+GETPIVOTDATA("XBB4",'binhba (2016)'!$A$3,"MA_HT","CQP","MA_QH","HNK")</f>
        <v>0</v>
      </c>
      <c r="K20" s="22">
        <f ca="1">+GETPIVOTDATA("XBB4",'binhba (2016)'!$A$3,"MA_HT","CQP","MA_QH","CLN")</f>
        <v>0</v>
      </c>
      <c r="L20" s="22">
        <f ca="1">+GETPIVOTDATA("XBB4",'binhba (2016)'!$A$3,"MA_HT","CQP","MA_QH","RSX")</f>
        <v>0</v>
      </c>
      <c r="M20" s="22">
        <f ca="1">+GETPIVOTDATA("XBB4",'binhba (2016)'!$A$3,"MA_HT","CQP","MA_QH","RPH")</f>
        <v>0</v>
      </c>
      <c r="N20" s="22">
        <f ca="1">+GETPIVOTDATA("XBB4",'binhba (2016)'!$A$3,"MA_HT","CQP","MA_QH","RDD")</f>
        <v>0</v>
      </c>
      <c r="O20" s="22">
        <f ca="1">+GETPIVOTDATA("XBB4",'binhba (2016)'!$A$3,"MA_HT","CQP","MA_QH","NTS")</f>
        <v>0</v>
      </c>
      <c r="P20" s="22">
        <f ca="1">+GETPIVOTDATA("XBB4",'binhba (2016)'!$A$3,"MA_HT","CQP","MA_QH","LMU")</f>
        <v>0</v>
      </c>
      <c r="Q20" s="22">
        <f ca="1">+GETPIVOTDATA("XBB4",'binhba (2016)'!$A$3,"MA_HT","CQP","MA_QH","NKH")</f>
        <v>0</v>
      </c>
      <c r="R20" s="42">
        <f ca="1">SUM(T20:AA20,AN20:BD20)</f>
        <v>0</v>
      </c>
      <c r="S20" s="43" t="e">
        <f ca="1">$D20-$BF20</f>
        <v>#REF!</v>
      </c>
      <c r="T20" s="22">
        <f ca="1">+GETPIVOTDATA("XBB4",'binhba (2016)'!$A$3,"MA_HT","CQP","MA_QH","CAN")</f>
        <v>0</v>
      </c>
      <c r="U20" s="22">
        <f ca="1">+GETPIVOTDATA("XBB4",'binhba (2016)'!$A$3,"MA_HT","CQP","MA_QH","SKK")</f>
        <v>0</v>
      </c>
      <c r="V20" s="22">
        <f ca="1">+GETPIVOTDATA("XBB4",'binhba (2016)'!$A$3,"MA_HT","CQP","MA_QH","SKT")</f>
        <v>0</v>
      </c>
      <c r="W20" s="22">
        <f ca="1">+GETPIVOTDATA("XBB4",'binhba (2016)'!$A$3,"MA_HT","CQP","MA_QH","SKN")</f>
        <v>0</v>
      </c>
      <c r="X20" s="22">
        <f ca="1">+GETPIVOTDATA("XBB4",'binhba (2016)'!$A$3,"MA_HT","CQP","MA_QH","TMD")</f>
        <v>0</v>
      </c>
      <c r="Y20" s="22">
        <f ca="1">+GETPIVOTDATA("XBB4",'binhba (2016)'!$A$3,"MA_HT","CQP","MA_QH","SKC")</f>
        <v>0</v>
      </c>
      <c r="Z20" s="22">
        <f ca="1">+GETPIVOTDATA("XBB4",'binhba (2016)'!$A$3,"MA_HT","CQP","MA_QH","SKS")</f>
        <v>0</v>
      </c>
      <c r="AA20" s="52">
        <f ca="1" t="shared" ref="AA20:AA27" si="12">+SUM(AB20:AM20)</f>
        <v>0</v>
      </c>
      <c r="AB20" s="22">
        <f ca="1">+GETPIVOTDATA("XBB4",'binhba (2016)'!$A$3,"MA_HT","CQP","MA_QH","DGT")</f>
        <v>0</v>
      </c>
      <c r="AC20" s="22">
        <f ca="1">+GETPIVOTDATA("XBB4",'binhba (2016)'!$A$3,"MA_HT","CQP","MA_QH","DTL")</f>
        <v>0</v>
      </c>
      <c r="AD20" s="22">
        <f ca="1">+GETPIVOTDATA("XBB4",'binhba (2016)'!$A$3,"MA_HT","CQP","MA_QH","DNL")</f>
        <v>0</v>
      </c>
      <c r="AE20" s="22">
        <f ca="1">+GETPIVOTDATA("XBB4",'binhba (2016)'!$A$3,"MA_HT","CQP","MA_QH","DBV")</f>
        <v>0</v>
      </c>
      <c r="AF20" s="22">
        <f ca="1">+GETPIVOTDATA("XBB4",'binhba (2016)'!$A$3,"MA_HT","CQP","MA_QH","DVH")</f>
        <v>0</v>
      </c>
      <c r="AG20" s="22">
        <f ca="1">+GETPIVOTDATA("XBB4",'binhba (2016)'!$A$3,"MA_HT","CQP","MA_QH","DYT")</f>
        <v>0</v>
      </c>
      <c r="AH20" s="22">
        <f ca="1">+GETPIVOTDATA("XBB4",'binhba (2016)'!$A$3,"MA_HT","CQP","MA_QH","DGD")</f>
        <v>0</v>
      </c>
      <c r="AI20" s="22">
        <f ca="1">+GETPIVOTDATA("XBB4",'binhba (2016)'!$A$3,"MA_HT","CQP","MA_QH","DTT")</f>
        <v>0</v>
      </c>
      <c r="AJ20" s="22">
        <f ca="1">+GETPIVOTDATA("XBB4",'binhba (2016)'!$A$3,"MA_HT","CQP","MA_QH","NCK")</f>
        <v>0</v>
      </c>
      <c r="AK20" s="22">
        <f ca="1">+GETPIVOTDATA("XBB4",'binhba (2016)'!$A$3,"MA_HT","CQP","MA_QH","DXH")</f>
        <v>0</v>
      </c>
      <c r="AL20" s="22">
        <f ca="1">+GETPIVOTDATA("XBB4",'binhba (2016)'!$A$3,"MA_HT","CQP","MA_QH","DCH")</f>
        <v>0</v>
      </c>
      <c r="AM20" s="22">
        <f ca="1">+GETPIVOTDATA("XBB4",'binhba (2016)'!$A$3,"MA_HT","CQP","MA_QH","DKG")</f>
        <v>0</v>
      </c>
      <c r="AN20" s="22">
        <f ca="1">+GETPIVOTDATA("XBB4",'binhba (2016)'!$A$3,"MA_HT","CQP","MA_QH","DDT")</f>
        <v>0</v>
      </c>
      <c r="AO20" s="22">
        <f ca="1">+GETPIVOTDATA("XBB4",'binhba (2016)'!$A$3,"MA_HT","CQP","MA_QH","DDL")</f>
        <v>0</v>
      </c>
      <c r="AP20" s="22">
        <f ca="1">+GETPIVOTDATA("XBB4",'binhba (2016)'!$A$3,"MA_HT","CQP","MA_QH","DRA")</f>
        <v>0</v>
      </c>
      <c r="AQ20" s="22">
        <f ca="1">+GETPIVOTDATA("XBB4",'binhba (2016)'!$A$3,"MA_HT","CQP","MA_QH","ONT")</f>
        <v>0</v>
      </c>
      <c r="AR20" s="22">
        <f ca="1">+GETPIVOTDATA("XBB4",'binhba (2016)'!$A$3,"MA_HT","CQP","MA_QH","ODT")</f>
        <v>0</v>
      </c>
      <c r="AS20" s="22">
        <f ca="1">+GETPIVOTDATA("XBB4",'binhba (2016)'!$A$3,"MA_HT","CQP","MA_QH","TSC")</f>
        <v>0</v>
      </c>
      <c r="AT20" s="22">
        <f ca="1">+GETPIVOTDATA("XBB4",'binhba (2016)'!$A$3,"MA_HT","CQP","MA_QH","DTS")</f>
        <v>0</v>
      </c>
      <c r="AU20" s="22">
        <f ca="1">+GETPIVOTDATA("XBB4",'binhba (2016)'!$A$3,"MA_HT","CQP","MA_QH","DNG")</f>
        <v>0</v>
      </c>
      <c r="AV20" s="22">
        <f ca="1">+GETPIVOTDATA("XBB4",'binhba (2016)'!$A$3,"MA_HT","CQP","MA_QH","TON")</f>
        <v>0</v>
      </c>
      <c r="AW20" s="22">
        <f ca="1">+GETPIVOTDATA("XBB4",'binhba (2016)'!$A$3,"MA_HT","CQP","MA_QH","NTD")</f>
        <v>0</v>
      </c>
      <c r="AX20" s="22">
        <f ca="1">+GETPIVOTDATA("XBB4",'binhba (2016)'!$A$3,"MA_HT","CQP","MA_QH","SKX")</f>
        <v>0</v>
      </c>
      <c r="AY20" s="22">
        <f ca="1">+GETPIVOTDATA("XBB4",'binhba (2016)'!$A$3,"MA_HT","CQP","MA_QH","DSH")</f>
        <v>0</v>
      </c>
      <c r="AZ20" s="22">
        <f ca="1">+GETPIVOTDATA("XBB4",'binhba (2016)'!$A$3,"MA_HT","CQP","MA_QH","DKV")</f>
        <v>0</v>
      </c>
      <c r="BA20" s="89">
        <f ca="1">+GETPIVOTDATA("XBB4",'binhba (2016)'!$A$3,"MA_HT","CQP","MA_QH","TIN")</f>
        <v>0</v>
      </c>
      <c r="BB20" s="50">
        <f ca="1">+GETPIVOTDATA("XBB4",'binhba (2016)'!$A$3,"MA_HT","CQP","MA_QH","SON")</f>
        <v>0</v>
      </c>
      <c r="BC20" s="50">
        <f ca="1">+GETPIVOTDATA("XBB4",'binhba (2016)'!$A$3,"MA_HT","CQP","MA_QH","MNC")</f>
        <v>0</v>
      </c>
      <c r="BD20" s="22">
        <f ca="1">+GETPIVOTDATA("XBB4",'binhba (2016)'!$A$3,"MA_HT","CQP","MA_QH","PNK")</f>
        <v>0</v>
      </c>
      <c r="BE20" s="71">
        <f ca="1">+GETPIVOTDATA("XBB4",'binhba (2016)'!$A$3,"MA_HT","CQP","MA_QH","CSD")</f>
        <v>0</v>
      </c>
      <c r="BF20" s="74">
        <f ca="1" t="shared" ref="BF20:BF57" si="13">BE20+R20+E20</f>
        <v>0</v>
      </c>
      <c r="BG20" s="101">
        <f ca="1">S$59-$BF20</f>
        <v>0</v>
      </c>
      <c r="BH20" s="41" t="e">
        <f ca="1" t="shared" ref="BH20:BH58" si="14">BG20+D20</f>
        <v>#REF!</v>
      </c>
      <c r="BI20" s="98"/>
      <c r="BJ20" s="98" t="e">
        <f>#REF!</f>
        <v>#REF!</v>
      </c>
      <c r="BK20" s="107" t="e">
        <f ca="1">BH20-BJ20</f>
        <v>#REF!</v>
      </c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</row>
    <row r="21" s="2" customFormat="1" ht="15.75" customHeight="1" spans="1:79">
      <c r="A21" s="39" t="s">
        <v>232</v>
      </c>
      <c r="B21" s="39" t="s">
        <v>8361</v>
      </c>
      <c r="C21" s="40" t="s">
        <v>8283</v>
      </c>
      <c r="D21" s="41" t="e">
        <f>+#REF!</f>
        <v>#REF!</v>
      </c>
      <c r="E21" s="42">
        <f ca="1" t="shared" ref="E21:E58" si="15">SUM(F21,J21:Q21)</f>
        <v>0</v>
      </c>
      <c r="F21" s="52">
        <f ca="1" t="shared" si="9"/>
        <v>0</v>
      </c>
      <c r="G21" s="22">
        <f ca="1">+GETPIVOTDATA("XBB4",'binhba (2016)'!$A$3,"MA_HT","CAN","MA_QH","LUC")</f>
        <v>0</v>
      </c>
      <c r="H21" s="22">
        <f ca="1">+GETPIVOTDATA("XBB4",'binhba (2016)'!$A$3,"MA_HT","CAN","MA_QH","LUK")</f>
        <v>0</v>
      </c>
      <c r="I21" s="22">
        <f ca="1">+GETPIVOTDATA("XBB4",'binhba (2016)'!$A$3,"MA_HT","CAN","MA_QH","LUN")</f>
        <v>0</v>
      </c>
      <c r="J21" s="22">
        <f ca="1">+GETPIVOTDATA("XBB4",'binhba (2016)'!$A$3,"MA_HT","CAN","MA_QH","HNK")</f>
        <v>0</v>
      </c>
      <c r="K21" s="22">
        <f ca="1">+GETPIVOTDATA("XBB4",'binhba (2016)'!$A$3,"MA_HT","CAN","MA_QH","CLN")</f>
        <v>0</v>
      </c>
      <c r="L21" s="22">
        <f ca="1">+GETPIVOTDATA("XBB4",'binhba (2016)'!$A$3,"MA_HT","CAN","MA_QH","RSX")</f>
        <v>0</v>
      </c>
      <c r="M21" s="22">
        <f ca="1">+GETPIVOTDATA("XBB4",'binhba (2016)'!$A$3,"MA_HT","CAN","MA_QH","RPH")</f>
        <v>0</v>
      </c>
      <c r="N21" s="22">
        <f ca="1">+GETPIVOTDATA("XBB4",'binhba (2016)'!$A$3,"MA_HT","CAN","MA_QH","RDD")</f>
        <v>0</v>
      </c>
      <c r="O21" s="22">
        <f ca="1">+GETPIVOTDATA("XBB4",'binhba (2016)'!$A$3,"MA_HT","CAN","MA_QH","NTS")</f>
        <v>0</v>
      </c>
      <c r="P21" s="22">
        <f ca="1">+GETPIVOTDATA("XBB4",'binhba (2016)'!$A$3,"MA_HT","CAN","MA_QH","LMU")</f>
        <v>0</v>
      </c>
      <c r="Q21" s="22">
        <f ca="1">+GETPIVOTDATA("XBB4",'binhba (2016)'!$A$3,"MA_HT","CAN","MA_QH","NKH")</f>
        <v>0</v>
      </c>
      <c r="R21" s="42">
        <f ca="1">SUM(S21,U21:AA21,AN21:BD21)</f>
        <v>0</v>
      </c>
      <c r="S21" s="22">
        <f ca="1">+GETPIVOTDATA("XBB4",'binhba (2016)'!$A$3,"MA_HT","CAN","MA_QH","CQP")</f>
        <v>0</v>
      </c>
      <c r="T21" s="43" t="e">
        <f ca="1">$D21-$BF21</f>
        <v>#REF!</v>
      </c>
      <c r="U21" s="22">
        <f ca="1">+GETPIVOTDATA("XBB4",'binhba (2016)'!$A$3,"MA_HT","CAN","MA_QH","SKK")</f>
        <v>0</v>
      </c>
      <c r="V21" s="22">
        <f ca="1">+GETPIVOTDATA("XBB4",'binhba (2016)'!$A$3,"MA_HT","CAN","MA_QH","SKT")</f>
        <v>0</v>
      </c>
      <c r="W21" s="22">
        <f ca="1">+GETPIVOTDATA("XBB4",'binhba (2016)'!$A$3,"MA_HT","CAN","MA_QH","SKN")</f>
        <v>0</v>
      </c>
      <c r="X21" s="22">
        <f ca="1">+GETPIVOTDATA("XBB4",'binhba (2016)'!$A$3,"MA_HT","CAN","MA_QH","TMD")</f>
        <v>0</v>
      </c>
      <c r="Y21" s="22">
        <f ca="1">+GETPIVOTDATA("XBB4",'binhba (2016)'!$A$3,"MA_HT","CAN","MA_QH","SKC")</f>
        <v>0</v>
      </c>
      <c r="Z21" s="22">
        <f ca="1">+GETPIVOTDATA("XBB4",'binhba (2016)'!$A$3,"MA_HT","CAN","MA_QH","SKS")</f>
        <v>0</v>
      </c>
      <c r="AA21" s="52">
        <f ca="1" t="shared" si="12"/>
        <v>0</v>
      </c>
      <c r="AB21" s="22">
        <f ca="1">+GETPIVOTDATA("XBB4",'binhba (2016)'!$A$3,"MA_HT","CAN","MA_QH","DGT")</f>
        <v>0</v>
      </c>
      <c r="AC21" s="22">
        <f ca="1">+GETPIVOTDATA("XBB4",'binhba (2016)'!$A$3,"MA_HT","CAN","MA_QH","DTL")</f>
        <v>0</v>
      </c>
      <c r="AD21" s="22">
        <f ca="1">+GETPIVOTDATA("XBB4",'binhba (2016)'!$A$3,"MA_HT","CAN","MA_QH","DNL")</f>
        <v>0</v>
      </c>
      <c r="AE21" s="22">
        <f ca="1">+GETPIVOTDATA("XBB4",'binhba (2016)'!$A$3,"MA_HT","CAN","MA_QH","DBV")</f>
        <v>0</v>
      </c>
      <c r="AF21" s="22">
        <f ca="1">+GETPIVOTDATA("XBB4",'binhba (2016)'!$A$3,"MA_HT","CAN","MA_QH","DVH")</f>
        <v>0</v>
      </c>
      <c r="AG21" s="22">
        <f ca="1">+GETPIVOTDATA("XBB4",'binhba (2016)'!$A$3,"MA_HT","CAN","MA_QH","DYT")</f>
        <v>0</v>
      </c>
      <c r="AH21" s="22">
        <f ca="1">+GETPIVOTDATA("XBB4",'binhba (2016)'!$A$3,"MA_HT","CAN","MA_QH","DGD")</f>
        <v>0</v>
      </c>
      <c r="AI21" s="22">
        <f ca="1">+GETPIVOTDATA("XBB4",'binhba (2016)'!$A$3,"MA_HT","CAN","MA_QH","DTT")</f>
        <v>0</v>
      </c>
      <c r="AJ21" s="22">
        <f ca="1">+GETPIVOTDATA("XBB4",'binhba (2016)'!$A$3,"MA_HT","CAN","MA_QH","NCK")</f>
        <v>0</v>
      </c>
      <c r="AK21" s="22">
        <f ca="1">+GETPIVOTDATA("XBB4",'binhba (2016)'!$A$3,"MA_HT","CAN","MA_QH","DXH")</f>
        <v>0</v>
      </c>
      <c r="AL21" s="22">
        <f ca="1">+GETPIVOTDATA("XBB4",'binhba (2016)'!$A$3,"MA_HT","CAN","MA_QH","DCH")</f>
        <v>0</v>
      </c>
      <c r="AM21" s="22">
        <f ca="1">+GETPIVOTDATA("XBB4",'binhba (2016)'!$A$3,"MA_HT","CAN","MA_QH","DKG")</f>
        <v>0</v>
      </c>
      <c r="AN21" s="22">
        <f ca="1">+GETPIVOTDATA("XBB4",'binhba (2016)'!$A$3,"MA_HT","CAN","MA_QH","DDT")</f>
        <v>0</v>
      </c>
      <c r="AO21" s="22">
        <f ca="1">+GETPIVOTDATA("XBB4",'binhba (2016)'!$A$3,"MA_HT","CAN","MA_QH","DDL")</f>
        <v>0</v>
      </c>
      <c r="AP21" s="22">
        <f ca="1">+GETPIVOTDATA("XBB4",'binhba (2016)'!$A$3,"MA_HT","CAN","MA_QH","DRA")</f>
        <v>0</v>
      </c>
      <c r="AQ21" s="22">
        <f ca="1">+GETPIVOTDATA("XBB4",'binhba (2016)'!$A$3,"MA_HT","CAN","MA_QH","ONT")</f>
        <v>0</v>
      </c>
      <c r="AR21" s="22">
        <f ca="1">+GETPIVOTDATA("XBB4",'binhba (2016)'!$A$3,"MA_HT","CAN","MA_QH","ODT")</f>
        <v>0</v>
      </c>
      <c r="AS21" s="22">
        <f ca="1">+GETPIVOTDATA("XBB4",'binhba (2016)'!$A$3,"MA_HT","CAN","MA_QH","TSC")</f>
        <v>0</v>
      </c>
      <c r="AT21" s="22">
        <f ca="1">+GETPIVOTDATA("XBB4",'binhba (2016)'!$A$3,"MA_HT","CAN","MA_QH","DTS")</f>
        <v>0</v>
      </c>
      <c r="AU21" s="22">
        <f ca="1">+GETPIVOTDATA("XBB4",'binhba (2016)'!$A$3,"MA_HT","CAN","MA_QH","DNG")</f>
        <v>0</v>
      </c>
      <c r="AV21" s="22">
        <f ca="1">+GETPIVOTDATA("XBB4",'binhba (2016)'!$A$3,"MA_HT","CAN","MA_QH","TON")</f>
        <v>0</v>
      </c>
      <c r="AW21" s="22">
        <f ca="1">+GETPIVOTDATA("XBB4",'binhba (2016)'!$A$3,"MA_HT","CAN","MA_QH","NTD")</f>
        <v>0</v>
      </c>
      <c r="AX21" s="22">
        <f ca="1">+GETPIVOTDATA("XBB4",'binhba (2016)'!$A$3,"MA_HT","CAN","MA_QH","SKX")</f>
        <v>0</v>
      </c>
      <c r="AY21" s="22">
        <f ca="1">+GETPIVOTDATA("XBB4",'binhba (2016)'!$A$3,"MA_HT","CAN","MA_QH","DSH")</f>
        <v>0</v>
      </c>
      <c r="AZ21" s="22">
        <f ca="1">+GETPIVOTDATA("XBB4",'binhba (2016)'!$A$3,"MA_HT","CAN","MA_QH","DKV")</f>
        <v>0</v>
      </c>
      <c r="BA21" s="89">
        <f ca="1">+GETPIVOTDATA("XBB4",'binhba (2016)'!$A$3,"MA_HT","CAN","MA_QH","TIN")</f>
        <v>0</v>
      </c>
      <c r="BB21" s="50">
        <f ca="1">+GETPIVOTDATA("XBB4",'binhba (2016)'!$A$3,"MA_HT","CAN","MA_QH","SON")</f>
        <v>0</v>
      </c>
      <c r="BC21" s="50">
        <f ca="1">+GETPIVOTDATA("XBB4",'binhba (2016)'!$A$3,"MA_HT","CAN","MA_QH","MNC")</f>
        <v>0</v>
      </c>
      <c r="BD21" s="22">
        <f ca="1">+GETPIVOTDATA("XBB4",'binhba (2016)'!$A$3,"MA_HT","CAN","MA_QH","PNK")</f>
        <v>0</v>
      </c>
      <c r="BE21" s="71">
        <f ca="1">+GETPIVOTDATA("XBB4",'binhba (2016)'!$A$3,"MA_HT","CAN","MA_QH","CSD")</f>
        <v>0</v>
      </c>
      <c r="BF21" s="74">
        <f ca="1" t="shared" si="13"/>
        <v>0</v>
      </c>
      <c r="BG21" s="101">
        <f ca="1">T$59-$BF21</f>
        <v>0</v>
      </c>
      <c r="BH21" s="41" t="e">
        <f ca="1" t="shared" si="14"/>
        <v>#REF!</v>
      </c>
      <c r="BI21" s="98"/>
      <c r="BJ21" s="98" t="e">
        <f>#REF!</f>
        <v>#REF!</v>
      </c>
      <c r="BK21" s="107" t="e">
        <f ca="1">BH21-BJ21</f>
        <v>#REF!</v>
      </c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</row>
    <row r="22" s="2" customFormat="1" ht="15.75" customHeight="1" spans="1:79">
      <c r="A22" s="39" t="s">
        <v>8362</v>
      </c>
      <c r="B22" s="53" t="s">
        <v>8363</v>
      </c>
      <c r="C22" s="40" t="s">
        <v>47</v>
      </c>
      <c r="D22" s="41" t="e">
        <f>+#REF!</f>
        <v>#REF!</v>
      </c>
      <c r="E22" s="42">
        <f ca="1" t="shared" si="15"/>
        <v>0</v>
      </c>
      <c r="F22" s="52">
        <f ca="1" t="shared" si="9"/>
        <v>0</v>
      </c>
      <c r="G22" s="22">
        <f ca="1">+GETPIVOTDATA("XBB4",'binhba (2016)'!$A$3,"MA_HT","SKK","MA_QH","LUC")</f>
        <v>0</v>
      </c>
      <c r="H22" s="22">
        <f ca="1">+GETPIVOTDATA("XBB4",'binhba (2016)'!$A$3,"MA_HT","SKK","MA_QH","LUK")</f>
        <v>0</v>
      </c>
      <c r="I22" s="22">
        <f ca="1">+GETPIVOTDATA("XBB4",'binhba (2016)'!$A$3,"MA_HT","SKK","MA_QH","LUN")</f>
        <v>0</v>
      </c>
      <c r="J22" s="22">
        <f ca="1">+GETPIVOTDATA("XBB4",'binhba (2016)'!$A$3,"MA_HT","SKK","MA_QH","HNK")</f>
        <v>0</v>
      </c>
      <c r="K22" s="22">
        <f ca="1">+GETPIVOTDATA("XBB4",'binhba (2016)'!$A$3,"MA_HT","SKK","MA_QH","CLN")</f>
        <v>0</v>
      </c>
      <c r="L22" s="22">
        <f ca="1">+GETPIVOTDATA("XBB4",'binhba (2016)'!$A$3,"MA_HT","SKK","MA_QH","RSX")</f>
        <v>0</v>
      </c>
      <c r="M22" s="22">
        <f ca="1">+GETPIVOTDATA("XBB4",'binhba (2016)'!$A$3,"MA_HT","SKK","MA_QH","RPH")</f>
        <v>0</v>
      </c>
      <c r="N22" s="22">
        <f ca="1">+GETPIVOTDATA("XBB4",'binhba (2016)'!$A$3,"MA_HT","SKK","MA_QH","RDD")</f>
        <v>0</v>
      </c>
      <c r="O22" s="22">
        <f ca="1">+GETPIVOTDATA("XBB4",'binhba (2016)'!$A$3,"MA_HT","SKK","MA_QH","NTS")</f>
        <v>0</v>
      </c>
      <c r="P22" s="22">
        <f ca="1">+GETPIVOTDATA("XBB4",'binhba (2016)'!$A$3,"MA_HT","SKK","MA_QH","LMU")</f>
        <v>0</v>
      </c>
      <c r="Q22" s="22">
        <f ca="1">+GETPIVOTDATA("XBB4",'binhba (2016)'!$A$3,"MA_HT","SKK","MA_QH","NKH")</f>
        <v>0</v>
      </c>
      <c r="R22" s="42">
        <f ca="1">SUM(S22:T22,V22:AA22,AN22:BD22)</f>
        <v>0</v>
      </c>
      <c r="S22" s="22">
        <f ca="1">+GETPIVOTDATA("XBB4",'binhba (2016)'!$A$3,"MA_HT","SKK","MA_QH","CQP")</f>
        <v>0</v>
      </c>
      <c r="T22" s="22">
        <f ca="1">+GETPIVOTDATA("XBB4",'binhba (2016)'!$A$3,"MA_HT","SKK","MA_QH","CAN")</f>
        <v>0</v>
      </c>
      <c r="U22" s="43" t="e">
        <f ca="1">$D22-$BF22</f>
        <v>#REF!</v>
      </c>
      <c r="V22" s="22">
        <f ca="1">+GETPIVOTDATA("XBB4",'binhba (2016)'!$A$3,"MA_HT","SKK","MA_QH","SKT")</f>
        <v>0</v>
      </c>
      <c r="W22" s="22">
        <f ca="1">+GETPIVOTDATA("XBB4",'binhba (2016)'!$A$3,"MA_HT","SKK","MA_QH","SKN")</f>
        <v>0</v>
      </c>
      <c r="X22" s="22">
        <f ca="1">+GETPIVOTDATA("XBB4",'binhba (2016)'!$A$3,"MA_HT","SKK","MA_QH","TMD")</f>
        <v>0</v>
      </c>
      <c r="Y22" s="22">
        <f ca="1">+GETPIVOTDATA("XBB4",'binhba (2016)'!$A$3,"MA_HT","SKK","MA_QH","SKC")</f>
        <v>0</v>
      </c>
      <c r="Z22" s="22">
        <f ca="1">+GETPIVOTDATA("XBB4",'binhba (2016)'!$A$3,"MA_HT","SKK","MA_QH","SKS")</f>
        <v>0</v>
      </c>
      <c r="AA22" s="52">
        <f ca="1" t="shared" si="12"/>
        <v>0</v>
      </c>
      <c r="AB22" s="22">
        <f ca="1">+GETPIVOTDATA("XBB4",'binhba (2016)'!$A$3,"MA_HT","SKK","MA_QH","DGT")</f>
        <v>0</v>
      </c>
      <c r="AC22" s="22">
        <f ca="1">+GETPIVOTDATA("XBB4",'binhba (2016)'!$A$3,"MA_HT","SKK","MA_QH","DTL")</f>
        <v>0</v>
      </c>
      <c r="AD22" s="22">
        <f ca="1">+GETPIVOTDATA("XBB4",'binhba (2016)'!$A$3,"MA_HT","SKK","MA_QH","DNL")</f>
        <v>0</v>
      </c>
      <c r="AE22" s="22">
        <f ca="1">+GETPIVOTDATA("XBB4",'binhba (2016)'!$A$3,"MA_HT","SKK","MA_QH","DBV")</f>
        <v>0</v>
      </c>
      <c r="AF22" s="22">
        <f ca="1">+GETPIVOTDATA("XBB4",'binhba (2016)'!$A$3,"MA_HT","SKK","MA_QH","DVH")</f>
        <v>0</v>
      </c>
      <c r="AG22" s="22">
        <f ca="1">+GETPIVOTDATA("XBB4",'binhba (2016)'!$A$3,"MA_HT","SKK","MA_QH","DYT")</f>
        <v>0</v>
      </c>
      <c r="AH22" s="22">
        <f ca="1">+GETPIVOTDATA("XBB4",'binhba (2016)'!$A$3,"MA_HT","SKK","MA_QH","DGD")</f>
        <v>0</v>
      </c>
      <c r="AI22" s="22">
        <f ca="1">+GETPIVOTDATA("XBB4",'binhba (2016)'!$A$3,"MA_HT","SKK","MA_QH","DTT")</f>
        <v>0</v>
      </c>
      <c r="AJ22" s="22">
        <f ca="1">+GETPIVOTDATA("XBB4",'binhba (2016)'!$A$3,"MA_HT","SKK","MA_QH","NCK")</f>
        <v>0</v>
      </c>
      <c r="AK22" s="22">
        <f ca="1">+GETPIVOTDATA("XBB4",'binhba (2016)'!$A$3,"MA_HT","SKK","MA_QH","DXH")</f>
        <v>0</v>
      </c>
      <c r="AL22" s="22">
        <f ca="1">+GETPIVOTDATA("XBB4",'binhba (2016)'!$A$3,"MA_HT","SKK","MA_QH","DCH")</f>
        <v>0</v>
      </c>
      <c r="AM22" s="22">
        <f ca="1">+GETPIVOTDATA("XBB4",'binhba (2016)'!$A$3,"MA_HT","SKK","MA_QH","DKG")</f>
        <v>0</v>
      </c>
      <c r="AN22" s="22">
        <f ca="1">+GETPIVOTDATA("XBB4",'binhba (2016)'!$A$3,"MA_HT","SKK","MA_QH","DDT")</f>
        <v>0</v>
      </c>
      <c r="AO22" s="22">
        <f ca="1">+GETPIVOTDATA("XBB4",'binhba (2016)'!$A$3,"MA_HT","SKK","MA_QH","DDL")</f>
        <v>0</v>
      </c>
      <c r="AP22" s="22">
        <f ca="1">+GETPIVOTDATA("XBB4",'binhba (2016)'!$A$3,"MA_HT","SKK","MA_QH","DRA")</f>
        <v>0</v>
      </c>
      <c r="AQ22" s="22">
        <f ca="1">+GETPIVOTDATA("XBB4",'binhba (2016)'!$A$3,"MA_HT","SKK","MA_QH","ONT")</f>
        <v>0</v>
      </c>
      <c r="AR22" s="22">
        <f ca="1">+GETPIVOTDATA("XBB4",'binhba (2016)'!$A$3,"MA_HT","SKK","MA_QH","ODT")</f>
        <v>0</v>
      </c>
      <c r="AS22" s="22">
        <f ca="1">+GETPIVOTDATA("XBB4",'binhba (2016)'!$A$3,"MA_HT","SKK","MA_QH","TSC")</f>
        <v>0</v>
      </c>
      <c r="AT22" s="22">
        <f ca="1">+GETPIVOTDATA("XBB4",'binhba (2016)'!$A$3,"MA_HT","SKK","MA_QH","DTS")</f>
        <v>0</v>
      </c>
      <c r="AU22" s="22">
        <f ca="1">+GETPIVOTDATA("XBB4",'binhba (2016)'!$A$3,"MA_HT","SKK","MA_QH","DNG")</f>
        <v>0</v>
      </c>
      <c r="AV22" s="22">
        <f ca="1">+GETPIVOTDATA("XBB4",'binhba (2016)'!$A$3,"MA_HT","SKK","MA_QH","TON")</f>
        <v>0</v>
      </c>
      <c r="AW22" s="22">
        <f ca="1">+GETPIVOTDATA("XBB4",'binhba (2016)'!$A$3,"MA_HT","SKK","MA_QH","NTD")</f>
        <v>0</v>
      </c>
      <c r="AX22" s="22">
        <f ca="1">+GETPIVOTDATA("XBB4",'binhba (2016)'!$A$3,"MA_HT","SKK","MA_QH","SKX")</f>
        <v>0</v>
      </c>
      <c r="AY22" s="22">
        <f ca="1">+GETPIVOTDATA("XBB4",'binhba (2016)'!$A$3,"MA_HT","SKK","MA_QH","DSH")</f>
        <v>0</v>
      </c>
      <c r="AZ22" s="22">
        <f ca="1">+GETPIVOTDATA("XBB4",'binhba (2016)'!$A$3,"MA_HT","SKK","MA_QH","DKV")</f>
        <v>0</v>
      </c>
      <c r="BA22" s="89">
        <f ca="1">+GETPIVOTDATA("XBB4",'binhba (2016)'!$A$3,"MA_HT","SKK","MA_QH","TIN")</f>
        <v>0</v>
      </c>
      <c r="BB22" s="50">
        <f ca="1">+GETPIVOTDATA("XBB4",'binhba (2016)'!$A$3,"MA_HT","SKK","MA_QH","SON")</f>
        <v>0</v>
      </c>
      <c r="BC22" s="50">
        <f ca="1">+GETPIVOTDATA("XBB4",'binhba (2016)'!$A$3,"MA_HT","SKK","MA_QH","MNC")</f>
        <v>0</v>
      </c>
      <c r="BD22" s="22">
        <f ca="1">+GETPIVOTDATA("XBB4",'binhba (2016)'!$A$3,"MA_HT","SKK","MA_QH","PNK")</f>
        <v>0</v>
      </c>
      <c r="BE22" s="71">
        <f ca="1">+GETPIVOTDATA("XBB4",'binhba (2016)'!$A$3,"MA_HT","SKK","MA_QH","CSD")</f>
        <v>0</v>
      </c>
      <c r="BF22" s="74">
        <f ca="1" t="shared" si="13"/>
        <v>0</v>
      </c>
      <c r="BG22" s="101">
        <f ca="1">U$59-$BF22</f>
        <v>0</v>
      </c>
      <c r="BH22" s="41" t="e">
        <f ca="1" t="shared" si="14"/>
        <v>#REF!</v>
      </c>
      <c r="BI22" s="98"/>
      <c r="BJ22" s="107" t="e">
        <f>#REF!</f>
        <v>#REF!</v>
      </c>
      <c r="BK22" s="107" t="e">
        <f ca="1">BH22-BJ22</f>
        <v>#REF!</v>
      </c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</row>
    <row r="23" s="2" customFormat="1" ht="15.75" customHeight="1" spans="1:79">
      <c r="A23" s="39" t="s">
        <v>8364</v>
      </c>
      <c r="B23" s="53" t="s">
        <v>8365</v>
      </c>
      <c r="C23" s="40" t="s">
        <v>8308</v>
      </c>
      <c r="D23" s="41" t="e">
        <f>+#REF!</f>
        <v>#REF!</v>
      </c>
      <c r="E23" s="42">
        <f ca="1" t="shared" si="15"/>
        <v>0</v>
      </c>
      <c r="F23" s="52">
        <f ca="1" t="shared" si="9"/>
        <v>0</v>
      </c>
      <c r="G23" s="22">
        <f ca="1">+GETPIVOTDATA("XBB4",'binhba (2016)'!$A$3,"MA_HT","SKT","MA_QH","LUC")</f>
        <v>0</v>
      </c>
      <c r="H23" s="22">
        <f ca="1">+GETPIVOTDATA("XBB4",'binhba (2016)'!$A$3,"MA_HT","SKT","MA_QH","LUK")</f>
        <v>0</v>
      </c>
      <c r="I23" s="22">
        <f ca="1">+GETPIVOTDATA("XBB4",'binhba (2016)'!$A$3,"MA_HT","SKT","MA_QH","LUN")</f>
        <v>0</v>
      </c>
      <c r="J23" s="22">
        <f ca="1">+GETPIVOTDATA("XBB4",'binhba (2016)'!$A$3,"MA_HT","SKT","MA_QH","HNK")</f>
        <v>0</v>
      </c>
      <c r="K23" s="22">
        <f ca="1">+GETPIVOTDATA("XBB4",'binhba (2016)'!$A$3,"MA_HT","SKT","MA_QH","CLN")</f>
        <v>0</v>
      </c>
      <c r="L23" s="22">
        <f ca="1">+GETPIVOTDATA("XBB4",'binhba (2016)'!$A$3,"MA_HT","SKT","MA_QH","RSX")</f>
        <v>0</v>
      </c>
      <c r="M23" s="22">
        <f ca="1">+GETPIVOTDATA("XBB4",'binhba (2016)'!$A$3,"MA_HT","SKT","MA_QH","RPH")</f>
        <v>0</v>
      </c>
      <c r="N23" s="22">
        <f ca="1">+GETPIVOTDATA("XBB4",'binhba (2016)'!$A$3,"MA_HT","SKT","MA_QH","RDD")</f>
        <v>0</v>
      </c>
      <c r="O23" s="22">
        <f ca="1">+GETPIVOTDATA("XBB4",'binhba (2016)'!$A$3,"MA_HT","SKT","MA_QH","NTS")</f>
        <v>0</v>
      </c>
      <c r="P23" s="22">
        <f ca="1">+GETPIVOTDATA("XBB4",'binhba (2016)'!$A$3,"MA_HT","SKT","MA_QH","LMU")</f>
        <v>0</v>
      </c>
      <c r="Q23" s="22">
        <f ca="1">+GETPIVOTDATA("XBB4",'binhba (2016)'!$A$3,"MA_HT","SKT","MA_QH","NKH")</f>
        <v>0</v>
      </c>
      <c r="R23" s="42">
        <f ca="1">SUM(S23:U23,W23:AA23,AN23:BD23)</f>
        <v>0</v>
      </c>
      <c r="S23" s="22">
        <f ca="1">+GETPIVOTDATA("XBB4",'binhba (2016)'!$A$3,"MA_HT","SKT","MA_QH","CQP")</f>
        <v>0</v>
      </c>
      <c r="T23" s="22">
        <f ca="1">+GETPIVOTDATA("XBB4",'binhba (2016)'!$A$3,"MA_HT","SKT","MA_QH","CAN")</f>
        <v>0</v>
      </c>
      <c r="U23" s="22">
        <f ca="1">+GETPIVOTDATA("XBB4",'binhba (2016)'!$A$3,"MA_HT","SKT","MA_QH","SKK")</f>
        <v>0</v>
      </c>
      <c r="V23" s="43" t="e">
        <f ca="1">$D23-$BF23</f>
        <v>#REF!</v>
      </c>
      <c r="W23" s="22">
        <f ca="1">+GETPIVOTDATA("XBB4",'binhba (2016)'!$A$3,"MA_HT","SKT","MA_QH","SKN")</f>
        <v>0</v>
      </c>
      <c r="X23" s="22">
        <f ca="1">+GETPIVOTDATA("XBB4",'binhba (2016)'!$A$3,"MA_HT","SKT","MA_QH","TMD")</f>
        <v>0</v>
      </c>
      <c r="Y23" s="22">
        <f ca="1">+GETPIVOTDATA("XBB4",'binhba (2016)'!$A$3,"MA_HT","SKT","MA_QH","SKC")</f>
        <v>0</v>
      </c>
      <c r="Z23" s="22">
        <f ca="1">+GETPIVOTDATA("XBB4",'binhba (2016)'!$A$3,"MA_HT","SKT","MA_QH","SKS")</f>
        <v>0</v>
      </c>
      <c r="AA23" s="52">
        <f ca="1" t="shared" si="12"/>
        <v>0</v>
      </c>
      <c r="AB23" s="22">
        <f ca="1">+GETPIVOTDATA("XBB4",'binhba (2016)'!$A$3,"MA_HT","SKT","MA_QH","DGT")</f>
        <v>0</v>
      </c>
      <c r="AC23" s="22">
        <f ca="1">+GETPIVOTDATA("XBB4",'binhba (2016)'!$A$3,"MA_HT","SKT","MA_QH","DTL")</f>
        <v>0</v>
      </c>
      <c r="AD23" s="22">
        <f ca="1">+GETPIVOTDATA("XBB4",'binhba (2016)'!$A$3,"MA_HT","SKT","MA_QH","DNL")</f>
        <v>0</v>
      </c>
      <c r="AE23" s="22">
        <f ca="1">+GETPIVOTDATA("XBB4",'binhba (2016)'!$A$3,"MA_HT","SKT","MA_QH","DBV")</f>
        <v>0</v>
      </c>
      <c r="AF23" s="22">
        <f ca="1">+GETPIVOTDATA("XBB4",'binhba (2016)'!$A$3,"MA_HT","SKT","MA_QH","DVH")</f>
        <v>0</v>
      </c>
      <c r="AG23" s="22">
        <f ca="1">+GETPIVOTDATA("XBB4",'binhba (2016)'!$A$3,"MA_HT","SKT","MA_QH","DYT")</f>
        <v>0</v>
      </c>
      <c r="AH23" s="22">
        <f ca="1">+GETPIVOTDATA("XBB4",'binhba (2016)'!$A$3,"MA_HT","SKT","MA_QH","DGD")</f>
        <v>0</v>
      </c>
      <c r="AI23" s="22">
        <f ca="1">+GETPIVOTDATA("XBB4",'binhba (2016)'!$A$3,"MA_HT","SKT","MA_QH","DTT")</f>
        <v>0</v>
      </c>
      <c r="AJ23" s="22">
        <f ca="1">+GETPIVOTDATA("XBB4",'binhba (2016)'!$A$3,"MA_HT","SKT","MA_QH","NCK")</f>
        <v>0</v>
      </c>
      <c r="AK23" s="22">
        <f ca="1">+GETPIVOTDATA("XBB4",'binhba (2016)'!$A$3,"MA_HT","SKT","MA_QH","DXH")</f>
        <v>0</v>
      </c>
      <c r="AL23" s="22">
        <f ca="1">+GETPIVOTDATA("XBB4",'binhba (2016)'!$A$3,"MA_HT","SKT","MA_QH","DCH")</f>
        <v>0</v>
      </c>
      <c r="AM23" s="22">
        <f ca="1">+GETPIVOTDATA("XBB4",'binhba (2016)'!$A$3,"MA_HT","SKT","MA_QH","DKG")</f>
        <v>0</v>
      </c>
      <c r="AN23" s="22">
        <f ca="1">+GETPIVOTDATA("XBB4",'binhba (2016)'!$A$3,"MA_HT","SKT","MA_QH","DDT")</f>
        <v>0</v>
      </c>
      <c r="AO23" s="22">
        <f ca="1">+GETPIVOTDATA("XBB4",'binhba (2016)'!$A$3,"MA_HT","SKT","MA_QH","DDL")</f>
        <v>0</v>
      </c>
      <c r="AP23" s="22">
        <f ca="1">+GETPIVOTDATA("XBB4",'binhba (2016)'!$A$3,"MA_HT","SKT","MA_QH","DRA")</f>
        <v>0</v>
      </c>
      <c r="AQ23" s="22">
        <f ca="1">+GETPIVOTDATA("XBB4",'binhba (2016)'!$A$3,"MA_HT","SKT","MA_QH","ONT")</f>
        <v>0</v>
      </c>
      <c r="AR23" s="22">
        <f ca="1">+GETPIVOTDATA("XBB4",'binhba (2016)'!$A$3,"MA_HT","SKT","MA_QH","ODT")</f>
        <v>0</v>
      </c>
      <c r="AS23" s="22">
        <f ca="1">+GETPIVOTDATA("XBB4",'binhba (2016)'!$A$3,"MA_HT","SKT","MA_QH","TSC")</f>
        <v>0</v>
      </c>
      <c r="AT23" s="22">
        <f ca="1">+GETPIVOTDATA("XBB4",'binhba (2016)'!$A$3,"MA_HT","SKT","MA_QH","DTS")</f>
        <v>0</v>
      </c>
      <c r="AU23" s="22">
        <f ca="1">+GETPIVOTDATA("XBB4",'binhba (2016)'!$A$3,"MA_HT","SKT","MA_QH","DNG")</f>
        <v>0</v>
      </c>
      <c r="AV23" s="22">
        <f ca="1">+GETPIVOTDATA("XBB4",'binhba (2016)'!$A$3,"MA_HT","SKT","MA_QH","TON")</f>
        <v>0</v>
      </c>
      <c r="AW23" s="22">
        <f ca="1">+GETPIVOTDATA("XBB4",'binhba (2016)'!$A$3,"MA_HT","SKT","MA_QH","NTD")</f>
        <v>0</v>
      </c>
      <c r="AX23" s="22">
        <f ca="1">+GETPIVOTDATA("XBB4",'binhba (2016)'!$A$3,"MA_HT","SKT","MA_QH","SKX")</f>
        <v>0</v>
      </c>
      <c r="AY23" s="22">
        <f ca="1">+GETPIVOTDATA("XBB4",'binhba (2016)'!$A$3,"MA_HT","SKT","MA_QH","DSH")</f>
        <v>0</v>
      </c>
      <c r="AZ23" s="22">
        <f ca="1">+GETPIVOTDATA("XBB4",'binhba (2016)'!$A$3,"MA_HT","SKT","MA_QH","DKV")</f>
        <v>0</v>
      </c>
      <c r="BA23" s="89">
        <f ca="1">+GETPIVOTDATA("XBB4",'binhba (2016)'!$A$3,"MA_HT","SKT","MA_QH","TIN")</f>
        <v>0</v>
      </c>
      <c r="BB23" s="50">
        <f ca="1">+GETPIVOTDATA("XBB4",'binhba (2016)'!$A$3,"MA_HT","SKT","MA_QH","SON")</f>
        <v>0</v>
      </c>
      <c r="BC23" s="50">
        <f ca="1">+GETPIVOTDATA("XBB4",'binhba (2016)'!$A$3,"MA_HT","SKT","MA_QH","MNC")</f>
        <v>0</v>
      </c>
      <c r="BD23" s="22">
        <f ca="1">+GETPIVOTDATA("XBB4",'binhba (2016)'!$A$3,"MA_HT","SKT","MA_QH","PNK")</f>
        <v>0</v>
      </c>
      <c r="BE23" s="71">
        <f ca="1">+GETPIVOTDATA("XBB4",'binhba (2016)'!$A$3,"MA_HT","SKT","MA_QH","CSD")</f>
        <v>0</v>
      </c>
      <c r="BF23" s="74">
        <f ca="1" t="shared" si="13"/>
        <v>0</v>
      </c>
      <c r="BG23" s="101">
        <f ca="1">V$59-$BF23</f>
        <v>0</v>
      </c>
      <c r="BH23" s="41" t="e">
        <f ca="1" t="shared" si="14"/>
        <v>#REF!</v>
      </c>
      <c r="BI23" s="98"/>
      <c r="BJ23" s="107"/>
      <c r="BK23" s="107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</row>
    <row r="24" s="2" customFormat="1" ht="15.75" customHeight="1" spans="1:79">
      <c r="A24" s="39" t="s">
        <v>8366</v>
      </c>
      <c r="B24" s="53" t="s">
        <v>8367</v>
      </c>
      <c r="C24" s="40" t="s">
        <v>56</v>
      </c>
      <c r="D24" s="41" t="e">
        <f>+#REF!</f>
        <v>#REF!</v>
      </c>
      <c r="E24" s="42">
        <f ca="1" t="shared" si="15"/>
        <v>0</v>
      </c>
      <c r="F24" s="52">
        <f ca="1" t="shared" si="9"/>
        <v>0</v>
      </c>
      <c r="G24" s="22">
        <f ca="1">+GETPIVOTDATA("XBB4",'binhba (2016)'!$A$3,"MA_HT","SKN","MA_QH","LUC")</f>
        <v>0</v>
      </c>
      <c r="H24" s="22">
        <f ca="1">+GETPIVOTDATA("XBB4",'binhba (2016)'!$A$3,"MA_HT","SKN","MA_QH","LUK")</f>
        <v>0</v>
      </c>
      <c r="I24" s="22">
        <f ca="1">+GETPIVOTDATA("XBB4",'binhba (2016)'!$A$3,"MA_HT","SKN","MA_QH","LUN")</f>
        <v>0</v>
      </c>
      <c r="J24" s="22">
        <f ca="1">+GETPIVOTDATA("XBB4",'binhba (2016)'!$A$3,"MA_HT","SKN","MA_QH","HNK")</f>
        <v>0</v>
      </c>
      <c r="K24" s="22">
        <f ca="1">+GETPIVOTDATA("XBB4",'binhba (2016)'!$A$3,"MA_HT","SKN","MA_QH","CLN")</f>
        <v>0</v>
      </c>
      <c r="L24" s="22">
        <f ca="1">+GETPIVOTDATA("XBB4",'binhba (2016)'!$A$3,"MA_HT","SKN","MA_QH","RSX")</f>
        <v>0</v>
      </c>
      <c r="M24" s="22">
        <f ca="1">+GETPIVOTDATA("XBB4",'binhba (2016)'!$A$3,"MA_HT","SKN","MA_QH","RPH")</f>
        <v>0</v>
      </c>
      <c r="N24" s="22">
        <f ca="1">+GETPIVOTDATA("XBB4",'binhba (2016)'!$A$3,"MA_HT","SKN","MA_QH","RDD")</f>
        <v>0</v>
      </c>
      <c r="O24" s="22">
        <f ca="1">+GETPIVOTDATA("XBB4",'binhba (2016)'!$A$3,"MA_HT","SKN","MA_QH","NTS")</f>
        <v>0</v>
      </c>
      <c r="P24" s="22">
        <f ca="1">+GETPIVOTDATA("XBB4",'binhba (2016)'!$A$3,"MA_HT","SKN","MA_QH","LMU")</f>
        <v>0</v>
      </c>
      <c r="Q24" s="22">
        <f ca="1">+GETPIVOTDATA("XBB4",'binhba (2016)'!$A$3,"MA_HT","SKN","MA_QH","NKH")</f>
        <v>0</v>
      </c>
      <c r="R24" s="42">
        <f ca="1">SUM(S24:V24,X24:AA24,AN24:BD24)</f>
        <v>0</v>
      </c>
      <c r="S24" s="22">
        <f ca="1">+GETPIVOTDATA("XBB4",'binhba (2016)'!$A$3,"MA_HT","SKN","MA_QH","CQP")</f>
        <v>0</v>
      </c>
      <c r="T24" s="22">
        <f ca="1">+GETPIVOTDATA("XBB4",'binhba (2016)'!$A$3,"MA_HT","SKN","MA_QH","CAN")</f>
        <v>0</v>
      </c>
      <c r="U24" s="22">
        <f ca="1">+GETPIVOTDATA("XBB4",'binhba (2016)'!$A$3,"MA_HT","SKN","MA_QH","SKK")</f>
        <v>0</v>
      </c>
      <c r="V24" s="22">
        <f ca="1">+GETPIVOTDATA("XBB4",'binhba (2016)'!$A$3,"MA_HT","SKN","MA_QH","SKT")</f>
        <v>0</v>
      </c>
      <c r="W24" s="43" t="e">
        <f ca="1">$D24-$BF24</f>
        <v>#REF!</v>
      </c>
      <c r="X24" s="22">
        <f ca="1">+GETPIVOTDATA("XBB4",'binhba (2016)'!$A$3,"MA_HT","SKN","MA_QH","TMD")</f>
        <v>0</v>
      </c>
      <c r="Y24" s="22">
        <f ca="1">+GETPIVOTDATA("XBB4",'binhba (2016)'!$A$3,"MA_HT","SKN","MA_QH","SKC")</f>
        <v>0</v>
      </c>
      <c r="Z24" s="22">
        <f ca="1">+GETPIVOTDATA("XBB4",'binhba (2016)'!$A$3,"MA_HT","SKN","MA_QH","SKS")</f>
        <v>0</v>
      </c>
      <c r="AA24" s="52">
        <f ca="1" t="shared" si="12"/>
        <v>0</v>
      </c>
      <c r="AB24" s="22">
        <f ca="1">+GETPIVOTDATA("XBB4",'binhba (2016)'!$A$3,"MA_HT","SKN","MA_QH","DGT")</f>
        <v>0</v>
      </c>
      <c r="AC24" s="22">
        <f ca="1">+GETPIVOTDATA("XBB4",'binhba (2016)'!$A$3,"MA_HT","SKN","MA_QH","DTL")</f>
        <v>0</v>
      </c>
      <c r="AD24" s="22">
        <f ca="1">+GETPIVOTDATA("XBB4",'binhba (2016)'!$A$3,"MA_HT","SKN","MA_QH","DNL")</f>
        <v>0</v>
      </c>
      <c r="AE24" s="22">
        <f ca="1">+GETPIVOTDATA("XBB4",'binhba (2016)'!$A$3,"MA_HT","SKN","MA_QH","DBV")</f>
        <v>0</v>
      </c>
      <c r="AF24" s="22">
        <f ca="1">+GETPIVOTDATA("XBB4",'binhba (2016)'!$A$3,"MA_HT","SKN","MA_QH","DVH")</f>
        <v>0</v>
      </c>
      <c r="AG24" s="22">
        <f ca="1">+GETPIVOTDATA("XBB4",'binhba (2016)'!$A$3,"MA_HT","SKN","MA_QH","DYT")</f>
        <v>0</v>
      </c>
      <c r="AH24" s="22">
        <f ca="1">+GETPIVOTDATA("XBB4",'binhba (2016)'!$A$3,"MA_HT","SKN","MA_QH","DGD")</f>
        <v>0</v>
      </c>
      <c r="AI24" s="22">
        <f ca="1">+GETPIVOTDATA("XBB4",'binhba (2016)'!$A$3,"MA_HT","SKN","MA_QH","DTT")</f>
        <v>0</v>
      </c>
      <c r="AJ24" s="22">
        <f ca="1">+GETPIVOTDATA("XBB4",'binhba (2016)'!$A$3,"MA_HT","SKN","MA_QH","NCK")</f>
        <v>0</v>
      </c>
      <c r="AK24" s="22">
        <f ca="1">+GETPIVOTDATA("XBB4",'binhba (2016)'!$A$3,"MA_HT","SKN","MA_QH","DXH")</f>
        <v>0</v>
      </c>
      <c r="AL24" s="22">
        <f ca="1">+GETPIVOTDATA("XBB4",'binhba (2016)'!$A$3,"MA_HT","SKN","MA_QH","DCH")</f>
        <v>0</v>
      </c>
      <c r="AM24" s="22">
        <f ca="1">+GETPIVOTDATA("XBB4",'binhba (2016)'!$A$3,"MA_HT","SKN","MA_QH","DKG")</f>
        <v>0</v>
      </c>
      <c r="AN24" s="22">
        <f ca="1">+GETPIVOTDATA("XBB4",'binhba (2016)'!$A$3,"MA_HT","SKN","MA_QH","DDT")</f>
        <v>0</v>
      </c>
      <c r="AO24" s="22">
        <f ca="1">+GETPIVOTDATA("XBB4",'binhba (2016)'!$A$3,"MA_HT","SKN","MA_QH","DDL")</f>
        <v>0</v>
      </c>
      <c r="AP24" s="22">
        <f ca="1">+GETPIVOTDATA("XBB4",'binhba (2016)'!$A$3,"MA_HT","SKN","MA_QH","DRA")</f>
        <v>0</v>
      </c>
      <c r="AQ24" s="22">
        <f ca="1">+GETPIVOTDATA("XBB4",'binhba (2016)'!$A$3,"MA_HT","SKN","MA_QH","ONT")</f>
        <v>0</v>
      </c>
      <c r="AR24" s="22">
        <f ca="1">+GETPIVOTDATA("XBB4",'binhba (2016)'!$A$3,"MA_HT","SKN","MA_QH","ODT")</f>
        <v>0</v>
      </c>
      <c r="AS24" s="22">
        <f ca="1">+GETPIVOTDATA("XBB4",'binhba (2016)'!$A$3,"MA_HT","SKN","MA_QH","TSC")</f>
        <v>0</v>
      </c>
      <c r="AT24" s="22">
        <f ca="1">+GETPIVOTDATA("XBB4",'binhba (2016)'!$A$3,"MA_HT","SKN","MA_QH","DTS")</f>
        <v>0</v>
      </c>
      <c r="AU24" s="22">
        <f ca="1">+GETPIVOTDATA("XBB4",'binhba (2016)'!$A$3,"MA_HT","SKN","MA_QH","DNG")</f>
        <v>0</v>
      </c>
      <c r="AV24" s="22">
        <f ca="1">+GETPIVOTDATA("XBB4",'binhba (2016)'!$A$3,"MA_HT","SKN","MA_QH","TON")</f>
        <v>0</v>
      </c>
      <c r="AW24" s="22">
        <f ca="1">+GETPIVOTDATA("XBB4",'binhba (2016)'!$A$3,"MA_HT","SKN","MA_QH","NTD")</f>
        <v>0</v>
      </c>
      <c r="AX24" s="22">
        <f ca="1">+GETPIVOTDATA("XBB4",'binhba (2016)'!$A$3,"MA_HT","SKN","MA_QH","SKX")</f>
        <v>0</v>
      </c>
      <c r="AY24" s="22">
        <f ca="1">+GETPIVOTDATA("XBB4",'binhba (2016)'!$A$3,"MA_HT","SKN","MA_QH","DSH")</f>
        <v>0</v>
      </c>
      <c r="AZ24" s="22">
        <f ca="1">+GETPIVOTDATA("XBB4",'binhba (2016)'!$A$3,"MA_HT","SKN","MA_QH","DKV")</f>
        <v>0</v>
      </c>
      <c r="BA24" s="89">
        <f ca="1">+GETPIVOTDATA("XBB4",'binhba (2016)'!$A$3,"MA_HT","SKN","MA_QH","TIN")</f>
        <v>0</v>
      </c>
      <c r="BB24" s="50">
        <f ca="1">+GETPIVOTDATA("XBB4",'binhba (2016)'!$A$3,"MA_HT","SKN","MA_QH","SON")</f>
        <v>0</v>
      </c>
      <c r="BC24" s="50">
        <f ca="1">+GETPIVOTDATA("XBB4",'binhba (2016)'!$A$3,"MA_HT","SKN","MA_QH","MNC")</f>
        <v>0</v>
      </c>
      <c r="BD24" s="22">
        <f ca="1">+GETPIVOTDATA("XBB4",'binhba (2016)'!$A$3,"MA_HT","SKN","MA_QH","PNK")</f>
        <v>0</v>
      </c>
      <c r="BE24" s="71">
        <f ca="1">+GETPIVOTDATA("XBB4",'binhba (2016)'!$A$3,"MA_HT","SKN","MA_QH","CSD")</f>
        <v>0</v>
      </c>
      <c r="BF24" s="74">
        <f ca="1" t="shared" si="13"/>
        <v>0</v>
      </c>
      <c r="BG24" s="101">
        <f ca="1">W$59-$BF24</f>
        <v>0</v>
      </c>
      <c r="BH24" s="41" t="e">
        <f ca="1" t="shared" si="14"/>
        <v>#REF!</v>
      </c>
      <c r="BI24" s="98"/>
      <c r="BJ24" s="107"/>
      <c r="BK24" s="107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</row>
    <row r="25" s="2" customFormat="1" ht="15.75" customHeight="1" spans="1:79">
      <c r="A25" s="39" t="s">
        <v>8368</v>
      </c>
      <c r="B25" s="39" t="s">
        <v>8369</v>
      </c>
      <c r="C25" s="40" t="s">
        <v>265</v>
      </c>
      <c r="D25" s="41" t="e">
        <f>+#REF!</f>
        <v>#REF!</v>
      </c>
      <c r="E25" s="42">
        <f ca="1" t="shared" si="15"/>
        <v>0</v>
      </c>
      <c r="F25" s="52">
        <f ca="1" t="shared" si="9"/>
        <v>0</v>
      </c>
      <c r="G25" s="22">
        <f ca="1">+GETPIVOTDATA("XBB4",'binhba (2016)'!$A$3,"MA_HT","TMD","MA_QH","LUC")</f>
        <v>0</v>
      </c>
      <c r="H25" s="22">
        <f ca="1">+GETPIVOTDATA("XBB4",'binhba (2016)'!$A$3,"MA_HT","TMD","MA_QH","LUK")</f>
        <v>0</v>
      </c>
      <c r="I25" s="22">
        <f ca="1">+GETPIVOTDATA("XBB4",'binhba (2016)'!$A$3,"MA_HT","TMD","MA_QH","LUN")</f>
        <v>0</v>
      </c>
      <c r="J25" s="22">
        <f ca="1">+GETPIVOTDATA("XBB4",'binhba (2016)'!$A$3,"MA_HT","TMD","MA_QH","HNK")</f>
        <v>0</v>
      </c>
      <c r="K25" s="22">
        <f ca="1">+GETPIVOTDATA("XBB4",'binhba (2016)'!$A$3,"MA_HT","TMD","MA_QH","CLN")</f>
        <v>0</v>
      </c>
      <c r="L25" s="22">
        <f ca="1">+GETPIVOTDATA("XBB4",'binhba (2016)'!$A$3,"MA_HT","TMD","MA_QH","RSX")</f>
        <v>0</v>
      </c>
      <c r="M25" s="22">
        <f ca="1">+GETPIVOTDATA("XBB4",'binhba (2016)'!$A$3,"MA_HT","TMD","MA_QH","RPH")</f>
        <v>0</v>
      </c>
      <c r="N25" s="22">
        <f ca="1">+GETPIVOTDATA("XBB4",'binhba (2016)'!$A$3,"MA_HT","TMD","MA_QH","RDD")</f>
        <v>0</v>
      </c>
      <c r="O25" s="22">
        <f ca="1">+GETPIVOTDATA("XBB4",'binhba (2016)'!$A$3,"MA_HT","TMD","MA_QH","NTS")</f>
        <v>0</v>
      </c>
      <c r="P25" s="22">
        <f ca="1">+GETPIVOTDATA("XBB4",'binhba (2016)'!$A$3,"MA_HT","TMD","MA_QH","LMU")</f>
        <v>0</v>
      </c>
      <c r="Q25" s="22">
        <f ca="1">+GETPIVOTDATA("XBB4",'binhba (2016)'!$A$3,"MA_HT","TMD","MA_QH","NKH")</f>
        <v>0</v>
      </c>
      <c r="R25" s="42">
        <f ca="1">SUM(S25:W25,Y25:AA25,AN25:BD25)</f>
        <v>0</v>
      </c>
      <c r="S25" s="22">
        <f ca="1">+GETPIVOTDATA("XBB4",'binhba (2016)'!$A$3,"MA_HT","TMD","MA_QH","CQP")</f>
        <v>0</v>
      </c>
      <c r="T25" s="22">
        <f ca="1">+GETPIVOTDATA("XBB4",'binhba (2016)'!$A$3,"MA_HT","TMD","MA_QH","CAN")</f>
        <v>0</v>
      </c>
      <c r="U25" s="22">
        <f ca="1">+GETPIVOTDATA("XBB4",'binhba (2016)'!$A$3,"MA_HT","TMD","MA_QH","SKK")</f>
        <v>0</v>
      </c>
      <c r="V25" s="22">
        <f ca="1">+GETPIVOTDATA("XBB4",'binhba (2016)'!$A$3,"MA_HT","TMD","MA_QH","SKT")</f>
        <v>0</v>
      </c>
      <c r="W25" s="22">
        <f ca="1">+GETPIVOTDATA("XBB4",'binhba (2016)'!$A$3,"MA_HT","TMD","MA_QH","SKN")</f>
        <v>0</v>
      </c>
      <c r="X25" s="43" t="e">
        <f ca="1">$D25-$BF25</f>
        <v>#REF!</v>
      </c>
      <c r="Y25" s="22">
        <f ca="1">+GETPIVOTDATA("XBB4",'binhba (2016)'!$A$3,"MA_HT","TMD","MA_QH","SKC")</f>
        <v>0</v>
      </c>
      <c r="Z25" s="22">
        <f ca="1">+GETPIVOTDATA("XBB4",'binhba (2016)'!$A$3,"MA_HT","TMD","MA_QH","SKS")</f>
        <v>0</v>
      </c>
      <c r="AA25" s="52">
        <f ca="1" t="shared" si="12"/>
        <v>0</v>
      </c>
      <c r="AB25" s="22">
        <f ca="1">+GETPIVOTDATA("XBB4",'binhba (2016)'!$A$3,"MA_HT","TMD","MA_QH","DGT")</f>
        <v>0</v>
      </c>
      <c r="AC25" s="22">
        <f ca="1">+GETPIVOTDATA("XBB4",'binhba (2016)'!$A$3,"MA_HT","TMD","MA_QH","DTL")</f>
        <v>0</v>
      </c>
      <c r="AD25" s="22">
        <f ca="1">+GETPIVOTDATA("XBB4",'binhba (2016)'!$A$3,"MA_HT","TMD","MA_QH","DNL")</f>
        <v>0</v>
      </c>
      <c r="AE25" s="22">
        <f ca="1">+GETPIVOTDATA("XBB4",'binhba (2016)'!$A$3,"MA_HT","TMD","MA_QH","DBV")</f>
        <v>0</v>
      </c>
      <c r="AF25" s="22">
        <f ca="1">+GETPIVOTDATA("XBB4",'binhba (2016)'!$A$3,"MA_HT","TMD","MA_QH","DVH")</f>
        <v>0</v>
      </c>
      <c r="AG25" s="22">
        <f ca="1">+GETPIVOTDATA("XBB4",'binhba (2016)'!$A$3,"MA_HT","TMD","MA_QH","DYT")</f>
        <v>0</v>
      </c>
      <c r="AH25" s="22">
        <f ca="1">+GETPIVOTDATA("XBB4",'binhba (2016)'!$A$3,"MA_HT","TMD","MA_QH","DGD")</f>
        <v>0</v>
      </c>
      <c r="AI25" s="22">
        <f ca="1">+GETPIVOTDATA("XBB4",'binhba (2016)'!$A$3,"MA_HT","TMD","MA_QH","DTT")</f>
        <v>0</v>
      </c>
      <c r="AJ25" s="22">
        <f ca="1">+GETPIVOTDATA("XBB4",'binhba (2016)'!$A$3,"MA_HT","TMD","MA_QH","NCK")</f>
        <v>0</v>
      </c>
      <c r="AK25" s="22">
        <f ca="1">+GETPIVOTDATA("XBB4",'binhba (2016)'!$A$3,"MA_HT","TMD","MA_QH","DXH")</f>
        <v>0</v>
      </c>
      <c r="AL25" s="22">
        <f ca="1">+GETPIVOTDATA("XBB4",'binhba (2016)'!$A$3,"MA_HT","TMD","MA_QH","DCH")</f>
        <v>0</v>
      </c>
      <c r="AM25" s="22">
        <f ca="1">+GETPIVOTDATA("XBB4",'binhba (2016)'!$A$3,"MA_HT","TMD","MA_QH","DKG")</f>
        <v>0</v>
      </c>
      <c r="AN25" s="22">
        <f ca="1">+GETPIVOTDATA("XBB4",'binhba (2016)'!$A$3,"MA_HT","TMD","MA_QH","DDT")</f>
        <v>0</v>
      </c>
      <c r="AO25" s="22">
        <f ca="1">+GETPIVOTDATA("XBB4",'binhba (2016)'!$A$3,"MA_HT","TMD","MA_QH","DDL")</f>
        <v>0</v>
      </c>
      <c r="AP25" s="22">
        <f ca="1">+GETPIVOTDATA("XBB4",'binhba (2016)'!$A$3,"MA_HT","TMD","MA_QH","DRA")</f>
        <v>0</v>
      </c>
      <c r="AQ25" s="22">
        <f ca="1">+GETPIVOTDATA("XBB4",'binhba (2016)'!$A$3,"MA_HT","TMD","MA_QH","ONT")</f>
        <v>0</v>
      </c>
      <c r="AR25" s="22">
        <f ca="1">+GETPIVOTDATA("XBB4",'binhba (2016)'!$A$3,"MA_HT","TMD","MA_QH","ODT")</f>
        <v>0</v>
      </c>
      <c r="AS25" s="22">
        <f ca="1">+GETPIVOTDATA("XBB4",'binhba (2016)'!$A$3,"MA_HT","TMD","MA_QH","TSC")</f>
        <v>0</v>
      </c>
      <c r="AT25" s="22">
        <f ca="1">+GETPIVOTDATA("XBB4",'binhba (2016)'!$A$3,"MA_HT","TMD","MA_QH","DTS")</f>
        <v>0</v>
      </c>
      <c r="AU25" s="22">
        <f ca="1">+GETPIVOTDATA("XBB4",'binhba (2016)'!$A$3,"MA_HT","TMD","MA_QH","DNG")</f>
        <v>0</v>
      </c>
      <c r="AV25" s="22">
        <f ca="1">+GETPIVOTDATA("XBB4",'binhba (2016)'!$A$3,"MA_HT","TMD","MA_QH","TON")</f>
        <v>0</v>
      </c>
      <c r="AW25" s="22">
        <f ca="1">+GETPIVOTDATA("XBB4",'binhba (2016)'!$A$3,"MA_HT","TMD","MA_QH","NTD")</f>
        <v>0</v>
      </c>
      <c r="AX25" s="22">
        <f ca="1">+GETPIVOTDATA("XBB4",'binhba (2016)'!$A$3,"MA_HT","TMD","MA_QH","SKX")</f>
        <v>0</v>
      </c>
      <c r="AY25" s="22">
        <f ca="1">+GETPIVOTDATA("XBB4",'binhba (2016)'!$A$3,"MA_HT","TMD","MA_QH","DSH")</f>
        <v>0</v>
      </c>
      <c r="AZ25" s="22">
        <f ca="1">+GETPIVOTDATA("XBB4",'binhba (2016)'!$A$3,"MA_HT","TMD","MA_QH","DKV")</f>
        <v>0</v>
      </c>
      <c r="BA25" s="89">
        <f ca="1">+GETPIVOTDATA("XBB4",'binhba (2016)'!$A$3,"MA_HT","TMD","MA_QH","TIN")</f>
        <v>0</v>
      </c>
      <c r="BB25" s="50">
        <f ca="1">+GETPIVOTDATA("XBB4",'binhba (2016)'!$A$3,"MA_HT","TMD","MA_QH","SON")</f>
        <v>0</v>
      </c>
      <c r="BC25" s="50">
        <f ca="1">+GETPIVOTDATA("XBB4",'binhba (2016)'!$A$3,"MA_HT","TMD","MA_QH","MNC")</f>
        <v>0</v>
      </c>
      <c r="BD25" s="22">
        <f ca="1">+GETPIVOTDATA("XBB4",'binhba (2016)'!$A$3,"MA_HT","TMD","MA_QH","PNK")</f>
        <v>0</v>
      </c>
      <c r="BE25" s="71">
        <f ca="1">+GETPIVOTDATA("XBB4",'binhba (2016)'!$A$3,"MA_HT","TMD","MA_QH","CSD")</f>
        <v>0</v>
      </c>
      <c r="BF25" s="74">
        <f ca="1" t="shared" si="13"/>
        <v>0</v>
      </c>
      <c r="BG25" s="101">
        <f ca="1">X$59-$BF25</f>
        <v>0</v>
      </c>
      <c r="BH25" s="41" t="e">
        <f ca="1" t="shared" si="14"/>
        <v>#REF!</v>
      </c>
      <c r="BI25" s="98"/>
      <c r="BJ25" s="107" t="e">
        <f>#REF!</f>
        <v>#REF!</v>
      </c>
      <c r="BK25" s="107" t="e">
        <f ca="1">BH25-BJ25</f>
        <v>#REF!</v>
      </c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</row>
    <row r="26" s="2" customFormat="1" ht="15.75" customHeight="1" spans="1:79">
      <c r="A26" s="39" t="s">
        <v>8370</v>
      </c>
      <c r="B26" s="39" t="s">
        <v>8371</v>
      </c>
      <c r="C26" s="40" t="s">
        <v>204</v>
      </c>
      <c r="D26" s="41" t="e">
        <f>+#REF!</f>
        <v>#REF!</v>
      </c>
      <c r="E26" s="42">
        <f ca="1" t="shared" si="15"/>
        <v>0</v>
      </c>
      <c r="F26" s="52">
        <f ca="1" t="shared" si="9"/>
        <v>0</v>
      </c>
      <c r="G26" s="22">
        <f ca="1">+GETPIVOTDATA("XBB4",'binhba (2016)'!$A$3,"MA_HT","SKC","MA_QH","LUC")</f>
        <v>0</v>
      </c>
      <c r="H26" s="22">
        <f ca="1">+GETPIVOTDATA("XBB4",'binhba (2016)'!$A$3,"MA_HT","SKC","MA_QH","LUK")</f>
        <v>0</v>
      </c>
      <c r="I26" s="22">
        <f ca="1">+GETPIVOTDATA("XBB4",'binhba (2016)'!$A$3,"MA_HT","SKC","MA_QH","LUN")</f>
        <v>0</v>
      </c>
      <c r="J26" s="22">
        <f ca="1">+GETPIVOTDATA("XBB4",'binhba (2016)'!$A$3,"MA_HT","SKC","MA_QH","HNK")</f>
        <v>0</v>
      </c>
      <c r="K26" s="22">
        <f ca="1">+GETPIVOTDATA("XBB4",'binhba (2016)'!$A$3,"MA_HT","SKC","MA_QH","CLN")</f>
        <v>0</v>
      </c>
      <c r="L26" s="22">
        <f ca="1">+GETPIVOTDATA("XBB4",'binhba (2016)'!$A$3,"MA_HT","SKC","MA_QH","RSX")</f>
        <v>0</v>
      </c>
      <c r="M26" s="22">
        <f ca="1">+GETPIVOTDATA("XBB4",'binhba (2016)'!$A$3,"MA_HT","SKC","MA_QH","RPH")</f>
        <v>0</v>
      </c>
      <c r="N26" s="22">
        <f ca="1">+GETPIVOTDATA("XBB4",'binhba (2016)'!$A$3,"MA_HT","SKC","MA_QH","RDD")</f>
        <v>0</v>
      </c>
      <c r="O26" s="22">
        <f ca="1">+GETPIVOTDATA("XBB4",'binhba (2016)'!$A$3,"MA_HT","SKC","MA_QH","NTS")</f>
        <v>0</v>
      </c>
      <c r="P26" s="22">
        <f ca="1">+GETPIVOTDATA("XBB4",'binhba (2016)'!$A$3,"MA_HT","SKC","MA_QH","LMU")</f>
        <v>0</v>
      </c>
      <c r="Q26" s="22">
        <f ca="1">+GETPIVOTDATA("XBB4",'binhba (2016)'!$A$3,"MA_HT","SKC","MA_QH","NKH")</f>
        <v>0</v>
      </c>
      <c r="R26" s="42">
        <f ca="1">SUM(S26:X26,Z26,AN26:BD26)</f>
        <v>0</v>
      </c>
      <c r="S26" s="22">
        <f ca="1">+GETPIVOTDATA("XBB4",'binhba (2016)'!$A$3,"MA_HT","SKC","MA_QH","CQP")</f>
        <v>0</v>
      </c>
      <c r="T26" s="22">
        <f ca="1">+GETPIVOTDATA("XBB4",'binhba (2016)'!$A$3,"MA_HT","SKC","MA_QH","CAN")</f>
        <v>0</v>
      </c>
      <c r="U26" s="22">
        <f ca="1">+GETPIVOTDATA("XBB4",'binhba (2016)'!$A$3,"MA_HT","SKC","MA_QH","SKK")</f>
        <v>0</v>
      </c>
      <c r="V26" s="22">
        <f ca="1">+GETPIVOTDATA("XBB4",'binhba (2016)'!$A$3,"MA_HT","SKC","MA_QH","SKT")</f>
        <v>0</v>
      </c>
      <c r="W26" s="22">
        <f ca="1">+GETPIVOTDATA("XBB4",'binhba (2016)'!$A$3,"MA_HT","SKC","MA_QH","SKN")</f>
        <v>0</v>
      </c>
      <c r="X26" s="22">
        <f ca="1">+GETPIVOTDATA("XBB4",'binhba (2016)'!$A$3,"MA_HT","SKC","MA_QH","TMD")</f>
        <v>0</v>
      </c>
      <c r="Y26" s="43" t="e">
        <f ca="1">$D26-$BF26</f>
        <v>#REF!</v>
      </c>
      <c r="Z26" s="22">
        <f ca="1">+GETPIVOTDATA("XBB4",'binhba (2016)'!$A$3,"MA_HT","SKC","MA_QH","SKS")</f>
        <v>0</v>
      </c>
      <c r="AA26" s="52">
        <f ca="1" t="shared" si="12"/>
        <v>0</v>
      </c>
      <c r="AB26" s="22">
        <f ca="1">+GETPIVOTDATA("XBB4",'binhba (2016)'!$A$3,"MA_HT","SKC","MA_QH","DGT")</f>
        <v>0</v>
      </c>
      <c r="AC26" s="22">
        <f ca="1">+GETPIVOTDATA("XBB4",'binhba (2016)'!$A$3,"MA_HT","SKC","MA_QH","DTL")</f>
        <v>0</v>
      </c>
      <c r="AD26" s="22">
        <f ca="1">+GETPIVOTDATA("XBB4",'binhba (2016)'!$A$3,"MA_HT","SKC","MA_QH","DNL")</f>
        <v>0</v>
      </c>
      <c r="AE26" s="22">
        <f ca="1">+GETPIVOTDATA("XBB4",'binhba (2016)'!$A$3,"MA_HT","SKC","MA_QH","DBV")</f>
        <v>0</v>
      </c>
      <c r="AF26" s="22">
        <f ca="1">+GETPIVOTDATA("XBB4",'binhba (2016)'!$A$3,"MA_HT","SKC","MA_QH","DVH")</f>
        <v>0</v>
      </c>
      <c r="AG26" s="22">
        <f ca="1">+GETPIVOTDATA("XBB4",'binhba (2016)'!$A$3,"MA_HT","SKC","MA_QH","DYT")</f>
        <v>0</v>
      </c>
      <c r="AH26" s="22">
        <f ca="1">+GETPIVOTDATA("XBB4",'binhba (2016)'!$A$3,"MA_HT","SKC","MA_QH","DGD")</f>
        <v>0</v>
      </c>
      <c r="AI26" s="22">
        <f ca="1">+GETPIVOTDATA("XBB4",'binhba (2016)'!$A$3,"MA_HT","SKC","MA_QH","DTT")</f>
        <v>0</v>
      </c>
      <c r="AJ26" s="22">
        <f ca="1">+GETPIVOTDATA("XBB4",'binhba (2016)'!$A$3,"MA_HT","SKC","MA_QH","NCK")</f>
        <v>0</v>
      </c>
      <c r="AK26" s="22">
        <f ca="1">+GETPIVOTDATA("XBB4",'binhba (2016)'!$A$3,"MA_HT","SKC","MA_QH","DXH")</f>
        <v>0</v>
      </c>
      <c r="AL26" s="22">
        <f ca="1">+GETPIVOTDATA("XBB4",'binhba (2016)'!$A$3,"MA_HT","SKC","MA_QH","DCH")</f>
        <v>0</v>
      </c>
      <c r="AM26" s="22">
        <f ca="1">+GETPIVOTDATA("XBB4",'binhba (2016)'!$A$3,"MA_HT","SKC","MA_QH","DKG")</f>
        <v>0</v>
      </c>
      <c r="AN26" s="22">
        <f ca="1">+GETPIVOTDATA("XBB4",'binhba (2016)'!$A$3,"MA_HT","SKC","MA_QH","DDT")</f>
        <v>0</v>
      </c>
      <c r="AO26" s="22">
        <f ca="1">+GETPIVOTDATA("XBB4",'binhba (2016)'!$A$3,"MA_HT","SKC","MA_QH","DDL")</f>
        <v>0</v>
      </c>
      <c r="AP26" s="22">
        <f ca="1">+GETPIVOTDATA("XBB4",'binhba (2016)'!$A$3,"MA_HT","SKC","MA_QH","DRA")</f>
        <v>0</v>
      </c>
      <c r="AQ26" s="22">
        <f ca="1">+GETPIVOTDATA("XBB4",'binhba (2016)'!$A$3,"MA_HT","SKC","MA_QH","ONT")</f>
        <v>0</v>
      </c>
      <c r="AR26" s="22">
        <f ca="1">+GETPIVOTDATA("XBB4",'binhba (2016)'!$A$3,"MA_HT","SKC","MA_QH","ODT")</f>
        <v>0</v>
      </c>
      <c r="AS26" s="22">
        <f ca="1">+GETPIVOTDATA("XBB4",'binhba (2016)'!$A$3,"MA_HT","SKC","MA_QH","TSC")</f>
        <v>0</v>
      </c>
      <c r="AT26" s="22">
        <f ca="1">+GETPIVOTDATA("XBB4",'binhba (2016)'!$A$3,"MA_HT","SKC","MA_QH","DTS")</f>
        <v>0</v>
      </c>
      <c r="AU26" s="22">
        <f ca="1">+GETPIVOTDATA("XBB4",'binhba (2016)'!$A$3,"MA_HT","SKC","MA_QH","DNG")</f>
        <v>0</v>
      </c>
      <c r="AV26" s="22">
        <f ca="1">+GETPIVOTDATA("XBB4",'binhba (2016)'!$A$3,"MA_HT","SKC","MA_QH","TON")</f>
        <v>0</v>
      </c>
      <c r="AW26" s="22">
        <f ca="1">+GETPIVOTDATA("XBB4",'binhba (2016)'!$A$3,"MA_HT","SKC","MA_QH","NTD")</f>
        <v>0</v>
      </c>
      <c r="AX26" s="22">
        <f ca="1">+GETPIVOTDATA("XBB4",'binhba (2016)'!$A$3,"MA_HT","SKC","MA_QH","SKX")</f>
        <v>0</v>
      </c>
      <c r="AY26" s="22">
        <f ca="1">+GETPIVOTDATA("XBB4",'binhba (2016)'!$A$3,"MA_HT","SKC","MA_QH","DSH")</f>
        <v>0</v>
      </c>
      <c r="AZ26" s="22">
        <f ca="1">+GETPIVOTDATA("XBB4",'binhba (2016)'!$A$3,"MA_HT","SKC","MA_QH","DKV")</f>
        <v>0</v>
      </c>
      <c r="BA26" s="89">
        <f ca="1">+GETPIVOTDATA("XBB4",'binhba (2016)'!$A$3,"MA_HT","SKC","MA_QH","TIN")</f>
        <v>0</v>
      </c>
      <c r="BB26" s="50">
        <f ca="1">+GETPIVOTDATA("XBB4",'binhba (2016)'!$A$3,"MA_HT","SKC","MA_QH","SON")</f>
        <v>0</v>
      </c>
      <c r="BC26" s="50">
        <f ca="1">+GETPIVOTDATA("XBB4",'binhba (2016)'!$A$3,"MA_HT","SKC","MA_QH","MNC")</f>
        <v>0</v>
      </c>
      <c r="BD26" s="22">
        <f ca="1">+GETPIVOTDATA("XBB4",'binhba (2016)'!$A$3,"MA_HT","SKC","MA_QH","PNK")</f>
        <v>0</v>
      </c>
      <c r="BE26" s="71">
        <f ca="1">+GETPIVOTDATA("XBB4",'binhba (2016)'!$A$3,"MA_HT","SKC","MA_QH","CSD")</f>
        <v>0</v>
      </c>
      <c r="BF26" s="74">
        <f ca="1" t="shared" si="13"/>
        <v>0</v>
      </c>
      <c r="BG26" s="101">
        <f ca="1">Y$59-$BF26</f>
        <v>0</v>
      </c>
      <c r="BH26" s="41" t="e">
        <f ca="1" t="shared" si="14"/>
        <v>#REF!</v>
      </c>
      <c r="BI26" s="98"/>
      <c r="BJ26" s="107" t="e">
        <f>#REF!</f>
        <v>#REF!</v>
      </c>
      <c r="BK26" s="107" t="e">
        <f ca="1">BH26-BJ26</f>
        <v>#REF!</v>
      </c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</row>
    <row r="27" s="2" customFormat="1" ht="15.75" customHeight="1" spans="1:79">
      <c r="A27" s="39" t="s">
        <v>8372</v>
      </c>
      <c r="B27" s="53" t="s">
        <v>8373</v>
      </c>
      <c r="C27" s="40" t="s">
        <v>174</v>
      </c>
      <c r="D27" s="41" t="e">
        <f>+#REF!</f>
        <v>#REF!</v>
      </c>
      <c r="E27" s="42">
        <f ca="1" t="shared" si="15"/>
        <v>0</v>
      </c>
      <c r="F27" s="52">
        <f ca="1" t="shared" si="9"/>
        <v>0</v>
      </c>
      <c r="G27" s="22">
        <f ca="1">+GETPIVOTDATA("XBB4",'binhba (2016)'!$A$3,"MA_HT","SKS","MA_QH","LUC")</f>
        <v>0</v>
      </c>
      <c r="H27" s="22">
        <f ca="1">+GETPIVOTDATA("XBB4",'binhba (2016)'!$A$3,"MA_HT","SKS","MA_QH","LUK")</f>
        <v>0</v>
      </c>
      <c r="I27" s="22">
        <f ca="1">+GETPIVOTDATA("XBB4",'binhba (2016)'!$A$3,"MA_HT","SKS","MA_QH","LUN")</f>
        <v>0</v>
      </c>
      <c r="J27" s="22">
        <f ca="1">+GETPIVOTDATA("XBB4",'binhba (2016)'!$A$3,"MA_HT","SKS","MA_QH","HNK")</f>
        <v>0</v>
      </c>
      <c r="K27" s="22">
        <f ca="1">+GETPIVOTDATA("XBB4",'binhba (2016)'!$A$3,"MA_HT","SKS","MA_QH","CLN")</f>
        <v>0</v>
      </c>
      <c r="L27" s="22">
        <f ca="1">+GETPIVOTDATA("XBB4",'binhba (2016)'!$A$3,"MA_HT","SKS","MA_QH","RSX")</f>
        <v>0</v>
      </c>
      <c r="M27" s="22">
        <f ca="1">+GETPIVOTDATA("XBB4",'binhba (2016)'!$A$3,"MA_HT","SKS","MA_QH","RPH")</f>
        <v>0</v>
      </c>
      <c r="N27" s="22">
        <f ca="1">+GETPIVOTDATA("XBB4",'binhba (2016)'!$A$3,"MA_HT","SKS","MA_QH","RDD")</f>
        <v>0</v>
      </c>
      <c r="O27" s="22">
        <f ca="1">+GETPIVOTDATA("XBB4",'binhba (2016)'!$A$3,"MA_HT","SKS","MA_QH","NTS")</f>
        <v>0</v>
      </c>
      <c r="P27" s="22">
        <f ca="1">+GETPIVOTDATA("XBB4",'binhba (2016)'!$A$3,"MA_HT","SKS","MA_QH","LMU")</f>
        <v>0</v>
      </c>
      <c r="Q27" s="22">
        <f ca="1">+GETPIVOTDATA("XBB4",'binhba (2016)'!$A$3,"MA_HT","SKS","MA_QH","NKH")</f>
        <v>0</v>
      </c>
      <c r="R27" s="42">
        <f ca="1">SUM(S27:Y27,AA27,AN27:BD27)</f>
        <v>0</v>
      </c>
      <c r="S27" s="22">
        <f ca="1">+GETPIVOTDATA("XBB4",'binhba (2016)'!$A$3,"MA_HT","SKS","MA_QH","CQP")</f>
        <v>0</v>
      </c>
      <c r="T27" s="22">
        <f ca="1">+GETPIVOTDATA("XBB4",'binhba (2016)'!$A$3,"MA_HT","SKS","MA_QH","CAN")</f>
        <v>0</v>
      </c>
      <c r="U27" s="22">
        <f ca="1">+GETPIVOTDATA("XBB4",'binhba (2016)'!$A$3,"MA_HT","SKS","MA_QH","SKK")</f>
        <v>0</v>
      </c>
      <c r="V27" s="22">
        <f ca="1">+GETPIVOTDATA("XBB4",'binhba (2016)'!$A$3,"MA_HT","SKS","MA_QH","SKT")</f>
        <v>0</v>
      </c>
      <c r="W27" s="22">
        <f ca="1">+GETPIVOTDATA("XBB4",'binhba (2016)'!$A$3,"MA_HT","SKS","MA_QH","SKN")</f>
        <v>0</v>
      </c>
      <c r="X27" s="22">
        <f ca="1">+GETPIVOTDATA("XBB4",'binhba (2016)'!$A$3,"MA_HT","SKS","MA_QH","TMD")</f>
        <v>0</v>
      </c>
      <c r="Y27" s="22">
        <f ca="1">+GETPIVOTDATA("XBB4",'binhba (2016)'!$A$3,"MA_HT","SKS","MA_QH","SKC")</f>
        <v>0</v>
      </c>
      <c r="Z27" s="43" t="e">
        <f ca="1">$D27-$BF27</f>
        <v>#REF!</v>
      </c>
      <c r="AA27" s="52">
        <f ca="1" t="shared" si="12"/>
        <v>0</v>
      </c>
      <c r="AB27" s="22">
        <f ca="1">+GETPIVOTDATA("XBB4",'binhba (2016)'!$A$3,"MA_HT","SKS","MA_QH","DGT")</f>
        <v>0</v>
      </c>
      <c r="AC27" s="22">
        <f ca="1">+GETPIVOTDATA("XBB4",'binhba (2016)'!$A$3,"MA_HT","SKS","MA_QH","DTL")</f>
        <v>0</v>
      </c>
      <c r="AD27" s="22">
        <f ca="1">+GETPIVOTDATA("XBB4",'binhba (2016)'!$A$3,"MA_HT","SKS","MA_QH","DNL")</f>
        <v>0</v>
      </c>
      <c r="AE27" s="22">
        <f ca="1">+GETPIVOTDATA("XBB4",'binhba (2016)'!$A$3,"MA_HT","SKS","MA_QH","DBV")</f>
        <v>0</v>
      </c>
      <c r="AF27" s="22">
        <f ca="1">+GETPIVOTDATA("XBB4",'binhba (2016)'!$A$3,"MA_HT","SKS","MA_QH","DVH")</f>
        <v>0</v>
      </c>
      <c r="AG27" s="22">
        <f ca="1">+GETPIVOTDATA("XBB4",'binhba (2016)'!$A$3,"MA_HT","SKS","MA_QH","DYT")</f>
        <v>0</v>
      </c>
      <c r="AH27" s="22">
        <f ca="1">+GETPIVOTDATA("XBB4",'binhba (2016)'!$A$3,"MA_HT","SKS","MA_QH","DGD")</f>
        <v>0</v>
      </c>
      <c r="AI27" s="22">
        <f ca="1">+GETPIVOTDATA("XBB4",'binhba (2016)'!$A$3,"MA_HT","SKS","MA_QH","DTT")</f>
        <v>0</v>
      </c>
      <c r="AJ27" s="22">
        <f ca="1">+GETPIVOTDATA("XBB4",'binhba (2016)'!$A$3,"MA_HT","SKS","MA_QH","NCK")</f>
        <v>0</v>
      </c>
      <c r="AK27" s="22">
        <f ca="1">+GETPIVOTDATA("XBB4",'binhba (2016)'!$A$3,"MA_HT","SKS","MA_QH","DXH")</f>
        <v>0</v>
      </c>
      <c r="AL27" s="22">
        <f ca="1">+GETPIVOTDATA("XBB4",'binhba (2016)'!$A$3,"MA_HT","SKS","MA_QH","DCH")</f>
        <v>0</v>
      </c>
      <c r="AM27" s="22">
        <f ca="1">+GETPIVOTDATA("XBB4",'binhba (2016)'!$A$3,"MA_HT","SKS","MA_QH","DKG")</f>
        <v>0</v>
      </c>
      <c r="AN27" s="22">
        <f ca="1">+GETPIVOTDATA("XBB4",'binhba (2016)'!$A$3,"MA_HT","SKS","MA_QH","DDT")</f>
        <v>0</v>
      </c>
      <c r="AO27" s="22">
        <f ca="1">+GETPIVOTDATA("XBB4",'binhba (2016)'!$A$3,"MA_HT","SKS","MA_QH","DDL")</f>
        <v>0</v>
      </c>
      <c r="AP27" s="22">
        <f ca="1">+GETPIVOTDATA("XBB4",'binhba (2016)'!$A$3,"MA_HT","SKS","MA_QH","DRA")</f>
        <v>0</v>
      </c>
      <c r="AQ27" s="22">
        <f ca="1">+GETPIVOTDATA("XBB4",'binhba (2016)'!$A$3,"MA_HT","SKS","MA_QH","ONT")</f>
        <v>0</v>
      </c>
      <c r="AR27" s="22">
        <f ca="1">+GETPIVOTDATA("XBB4",'binhba (2016)'!$A$3,"MA_HT","SKS","MA_QH","ODT")</f>
        <v>0</v>
      </c>
      <c r="AS27" s="22">
        <f ca="1">+GETPIVOTDATA("XBB4",'binhba (2016)'!$A$3,"MA_HT","SKS","MA_QH","TSC")</f>
        <v>0</v>
      </c>
      <c r="AT27" s="22">
        <f ca="1">+GETPIVOTDATA("XBB4",'binhba (2016)'!$A$3,"MA_HT","SKS","MA_QH","DTS")</f>
        <v>0</v>
      </c>
      <c r="AU27" s="22">
        <f ca="1">+GETPIVOTDATA("XBB4",'binhba (2016)'!$A$3,"MA_HT","SKS","MA_QH","DNG")</f>
        <v>0</v>
      </c>
      <c r="AV27" s="22">
        <f ca="1">+GETPIVOTDATA("XBB4",'binhba (2016)'!$A$3,"MA_HT","SKS","MA_QH","TON")</f>
        <v>0</v>
      </c>
      <c r="AW27" s="22">
        <f ca="1">+GETPIVOTDATA("XBB4",'binhba (2016)'!$A$3,"MA_HT","SKS","MA_QH","NTD")</f>
        <v>0</v>
      </c>
      <c r="AX27" s="22">
        <f ca="1">+GETPIVOTDATA("XBB4",'binhba (2016)'!$A$3,"MA_HT","SKS","MA_QH","SKX")</f>
        <v>0</v>
      </c>
      <c r="AY27" s="22">
        <f ca="1">+GETPIVOTDATA("XBB4",'binhba (2016)'!$A$3,"MA_HT","SKS","MA_QH","DSH")</f>
        <v>0</v>
      </c>
      <c r="AZ27" s="22">
        <f ca="1">+GETPIVOTDATA("XBB4",'binhba (2016)'!$A$3,"MA_HT","SKS","MA_QH","DKV")</f>
        <v>0</v>
      </c>
      <c r="BA27" s="89">
        <f ca="1">+GETPIVOTDATA("XBB4",'binhba (2016)'!$A$3,"MA_HT","SKS","MA_QH","TIN")</f>
        <v>0</v>
      </c>
      <c r="BB27" s="50">
        <f ca="1">+GETPIVOTDATA("XBB4",'binhba (2016)'!$A$3,"MA_HT","SKS","MA_QH","SON")</f>
        <v>0</v>
      </c>
      <c r="BC27" s="50">
        <f ca="1">+GETPIVOTDATA("XBB4",'binhba (2016)'!$A$3,"MA_HT","SKS","MA_QH","MNC")</f>
        <v>0</v>
      </c>
      <c r="BD27" s="22">
        <f ca="1">+GETPIVOTDATA("XBB4",'binhba (2016)'!$A$3,"MA_HT","SKS","MA_QH","PNK")</f>
        <v>0</v>
      </c>
      <c r="BE27" s="71">
        <f ca="1">+GETPIVOTDATA("XBB4",'binhba (2016)'!$A$3,"MA_HT","SKS","MA_QH","CSD")</f>
        <v>0</v>
      </c>
      <c r="BF27" s="74">
        <f ca="1" t="shared" si="13"/>
        <v>0</v>
      </c>
      <c r="BG27" s="101">
        <f ca="1">Z$59-$BF27</f>
        <v>0</v>
      </c>
      <c r="BH27" s="41" t="e">
        <f ca="1" t="shared" si="14"/>
        <v>#REF!</v>
      </c>
      <c r="BI27" s="98"/>
      <c r="BJ27" s="107" t="e">
        <f>#REF!</f>
        <v>#REF!</v>
      </c>
      <c r="BK27" s="107" t="e">
        <f ca="1">BH27-BJ27</f>
        <v>#REF!</v>
      </c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</row>
    <row r="28" s="2" customFormat="1" ht="15.75" customHeight="1" spans="1:79">
      <c r="A28" s="39" t="s">
        <v>8374</v>
      </c>
      <c r="B28" s="53" t="s">
        <v>8375</v>
      </c>
      <c r="C28" s="40" t="s">
        <v>8288</v>
      </c>
      <c r="D28" s="41" t="e">
        <f>+#REF!</f>
        <v>#REF!</v>
      </c>
      <c r="E28" s="42">
        <f ca="1" t="shared" si="15"/>
        <v>0</v>
      </c>
      <c r="F28" s="52">
        <f ca="1" t="shared" si="9"/>
        <v>0</v>
      </c>
      <c r="G28" s="44">
        <f ca="1">SUM(G29:G39)</f>
        <v>0</v>
      </c>
      <c r="H28" s="44">
        <f ca="1" t="shared" ref="H28:Q28" si="16">SUM(H29:H39)</f>
        <v>0</v>
      </c>
      <c r="I28" s="44">
        <f ca="1" t="shared" si="16"/>
        <v>0</v>
      </c>
      <c r="J28" s="44">
        <f ca="1" t="shared" si="16"/>
        <v>0</v>
      </c>
      <c r="K28" s="44">
        <f ca="1" t="shared" si="16"/>
        <v>0</v>
      </c>
      <c r="L28" s="44">
        <f ca="1" t="shared" si="16"/>
        <v>0</v>
      </c>
      <c r="M28" s="44">
        <f ca="1" t="shared" si="16"/>
        <v>0</v>
      </c>
      <c r="N28" s="44">
        <f ca="1" t="shared" si="16"/>
        <v>0</v>
      </c>
      <c r="O28" s="44">
        <f ca="1" t="shared" si="16"/>
        <v>0</v>
      </c>
      <c r="P28" s="44">
        <f ca="1" t="shared" si="16"/>
        <v>0</v>
      </c>
      <c r="Q28" s="44">
        <f ca="1" t="shared" si="16"/>
        <v>0</v>
      </c>
      <c r="R28" s="44">
        <f ca="1">SUM(S28:Z28,AN28:BD28)</f>
        <v>0</v>
      </c>
      <c r="S28" s="44">
        <f ca="1">SUM(S29:S39)</f>
        <v>0</v>
      </c>
      <c r="T28" s="44">
        <f ca="1" t="shared" ref="T28:Z28" si="17">SUM(T29:T39)</f>
        <v>0</v>
      </c>
      <c r="U28" s="44">
        <f ca="1" t="shared" si="17"/>
        <v>0</v>
      </c>
      <c r="V28" s="44">
        <f ca="1" t="shared" si="17"/>
        <v>0</v>
      </c>
      <c r="W28" s="44">
        <f ca="1" t="shared" si="17"/>
        <v>0</v>
      </c>
      <c r="X28" s="44">
        <f ca="1" t="shared" si="17"/>
        <v>0</v>
      </c>
      <c r="Y28" s="44">
        <f ca="1" t="shared" si="17"/>
        <v>0</v>
      </c>
      <c r="Z28" s="44">
        <f ca="1" t="shared" si="17"/>
        <v>0</v>
      </c>
      <c r="AA28" s="43" t="e">
        <f ca="1">$D28-$BF28</f>
        <v>#REF!</v>
      </c>
      <c r="AB28" s="44">
        <f ca="1">SUM(AB30:AB39)</f>
        <v>0</v>
      </c>
      <c r="AC28" s="44">
        <f ca="1">SUM(AC29,AC31:AC39)</f>
        <v>0</v>
      </c>
      <c r="AD28" s="44">
        <f ca="1">SUM(AD29:AD30,AD32:AD39)</f>
        <v>0</v>
      </c>
      <c r="AE28" s="44">
        <f ca="1">SUM(AE29:AE31,AE33:AE39)</f>
        <v>0</v>
      </c>
      <c r="AF28" s="44">
        <f ca="1">SUM(AF29:AF32,AF34:AF39)</f>
        <v>0</v>
      </c>
      <c r="AG28" s="44">
        <f ca="1">SUM(AG29:AG33,AG35:AG39)</f>
        <v>0</v>
      </c>
      <c r="AH28" s="44">
        <f ca="1">SUM(AH29:AH34,AH36:AH39)</f>
        <v>0</v>
      </c>
      <c r="AI28" s="44">
        <f ca="1">SUM(AI29:AI35,AI37:AI39)</f>
        <v>0</v>
      </c>
      <c r="AJ28" s="44">
        <f ca="1">SUM(AJ29:AJ36,AJ38:AJ39)</f>
        <v>0</v>
      </c>
      <c r="AK28" s="44">
        <f ca="1">SUM(AK29:AK37,AK39)</f>
        <v>0</v>
      </c>
      <c r="AL28" s="44">
        <f ca="1">SUM(AL29:AL38)</f>
        <v>0</v>
      </c>
      <c r="AM28" s="44">
        <f ca="1">SUM(AM29:AM38)</f>
        <v>0</v>
      </c>
      <c r="AN28" s="44">
        <f ca="1" t="shared" ref="AN28:BE28" si="18">SUM(AN29:AN39)</f>
        <v>0</v>
      </c>
      <c r="AO28" s="44">
        <f ca="1" t="shared" si="18"/>
        <v>0</v>
      </c>
      <c r="AP28" s="44">
        <f ca="1" t="shared" si="18"/>
        <v>0</v>
      </c>
      <c r="AQ28" s="44">
        <f ca="1" t="shared" si="18"/>
        <v>0</v>
      </c>
      <c r="AR28" s="44">
        <f ca="1" t="shared" si="18"/>
        <v>0</v>
      </c>
      <c r="AS28" s="44">
        <f ca="1" t="shared" si="18"/>
        <v>0</v>
      </c>
      <c r="AT28" s="44">
        <f ca="1" t="shared" si="18"/>
        <v>0</v>
      </c>
      <c r="AU28" s="44">
        <f ca="1" t="shared" si="18"/>
        <v>0</v>
      </c>
      <c r="AV28" s="44">
        <f ca="1" t="shared" si="18"/>
        <v>0</v>
      </c>
      <c r="AW28" s="44">
        <f ca="1" t="shared" si="18"/>
        <v>0</v>
      </c>
      <c r="AX28" s="44">
        <f ca="1" t="shared" si="18"/>
        <v>0</v>
      </c>
      <c r="AY28" s="44">
        <f ca="1" t="shared" si="18"/>
        <v>0</v>
      </c>
      <c r="AZ28" s="44">
        <f ca="1" t="shared" si="18"/>
        <v>0</v>
      </c>
      <c r="BA28" s="44">
        <f ca="1" t="shared" si="18"/>
        <v>0</v>
      </c>
      <c r="BB28" s="44">
        <f ca="1" t="shared" si="18"/>
        <v>0</v>
      </c>
      <c r="BC28" s="44">
        <f ca="1" t="shared" si="18"/>
        <v>0</v>
      </c>
      <c r="BD28" s="44">
        <f ca="1" t="shared" si="18"/>
        <v>0</v>
      </c>
      <c r="BE28" s="44">
        <f ca="1" t="shared" si="18"/>
        <v>0</v>
      </c>
      <c r="BF28" s="74">
        <f ca="1" t="shared" si="13"/>
        <v>0</v>
      </c>
      <c r="BG28" s="101">
        <f ca="1">AA$59-$BF28</f>
        <v>0</v>
      </c>
      <c r="BH28" s="41" t="e">
        <f ca="1" t="shared" si="14"/>
        <v>#REF!</v>
      </c>
      <c r="BI28" s="98"/>
      <c r="BJ28" s="107"/>
      <c r="BK28" s="107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</row>
    <row r="29" s="4" customFormat="1" ht="16.5" customHeight="1" spans="1:79">
      <c r="A29" s="45" t="s">
        <v>8376</v>
      </c>
      <c r="B29" s="45" t="s">
        <v>8377</v>
      </c>
      <c r="C29" s="46" t="s">
        <v>94</v>
      </c>
      <c r="D29" s="47" t="e">
        <f>+#REF!</f>
        <v>#REF!</v>
      </c>
      <c r="E29" s="42">
        <f ca="1" t="shared" si="15"/>
        <v>0</v>
      </c>
      <c r="F29" s="52">
        <f ca="1" t="shared" si="9"/>
        <v>0</v>
      </c>
      <c r="G29" s="50">
        <f ca="1">+GETPIVOTDATA("XBB4",'binhba (2016)'!$A$3,"MA_HT","DGT","MA_QH","LUC")</f>
        <v>0</v>
      </c>
      <c r="H29" s="50">
        <f ca="1">+GETPIVOTDATA("XBB4",'binhba (2016)'!$A$3,"MA_HT","DGT","MA_QH","LUK")</f>
        <v>0</v>
      </c>
      <c r="I29" s="50">
        <f ca="1">+GETPIVOTDATA("XBB4",'binhba (2016)'!$A$3,"MA_HT","DGT","MA_QH","LUN")</f>
        <v>0</v>
      </c>
      <c r="J29" s="50">
        <f ca="1">+GETPIVOTDATA("XBB4",'binhba (2016)'!$A$3,"MA_HT","DGT","MA_QH","HNK")</f>
        <v>0</v>
      </c>
      <c r="K29" s="50">
        <f ca="1">+GETPIVOTDATA("XBB4",'binhba (2016)'!$A$3,"MA_HT","DGT","MA_QH","CLN")</f>
        <v>0</v>
      </c>
      <c r="L29" s="50">
        <f ca="1">+GETPIVOTDATA("XBB4",'binhba (2016)'!$A$3,"MA_HT","DGT","MA_QH","RSX")</f>
        <v>0</v>
      </c>
      <c r="M29" s="50">
        <f ca="1">+GETPIVOTDATA("XBB4",'binhba (2016)'!$A$3,"MA_HT","DGT","MA_QH","RPH")</f>
        <v>0</v>
      </c>
      <c r="N29" s="50">
        <f ca="1">+GETPIVOTDATA("XBB4",'binhba (2016)'!$A$3,"MA_HT","DGT","MA_QH","RDD")</f>
        <v>0</v>
      </c>
      <c r="O29" s="50">
        <f ca="1">+GETPIVOTDATA("XBB4",'binhba (2016)'!$A$3,"MA_HT","DGT","MA_QH","NTS")</f>
        <v>0</v>
      </c>
      <c r="P29" s="50">
        <f ca="1">+GETPIVOTDATA("XBB4",'binhba (2016)'!$A$3,"MA_HT","DGT","MA_QH","LMU")</f>
        <v>0</v>
      </c>
      <c r="Q29" s="50">
        <f ca="1">+GETPIVOTDATA("XBB4",'binhba (2016)'!$A$3,"MA_HT","DGT","MA_QH","NKH")</f>
        <v>0</v>
      </c>
      <c r="R29" s="48">
        <f ca="1">SUM(S29:AA29,AN29:BD29)</f>
        <v>0</v>
      </c>
      <c r="S29" s="50">
        <f ca="1">+GETPIVOTDATA("XBB4",'binhba (2016)'!$A$3,"MA_HT","DGT","MA_QH","CQP")</f>
        <v>0</v>
      </c>
      <c r="T29" s="50">
        <f ca="1">+GETPIVOTDATA("XBB4",'binhba (2016)'!$A$3,"MA_HT","DGT","MA_QH","CAN")</f>
        <v>0</v>
      </c>
      <c r="U29" s="50">
        <f ca="1">+GETPIVOTDATA("XBB4",'binhba (2016)'!$A$3,"MA_HT","DGT","MA_QH","SKK")</f>
        <v>0</v>
      </c>
      <c r="V29" s="50">
        <f ca="1">+GETPIVOTDATA("XBB4",'binhba (2016)'!$A$3,"MA_HT","DGT","MA_QH","SKT")</f>
        <v>0</v>
      </c>
      <c r="W29" s="50">
        <f ca="1">+GETPIVOTDATA("XBB4",'binhba (2016)'!$A$3,"MA_HT","DGT","MA_QH","SKN")</f>
        <v>0</v>
      </c>
      <c r="X29" s="50">
        <f ca="1">+GETPIVOTDATA("XBB4",'binhba (2016)'!$A$3,"MA_HT","DGT","MA_QH","TMD")</f>
        <v>0</v>
      </c>
      <c r="Y29" s="50">
        <f ca="1">+GETPIVOTDATA("XBB4",'binhba (2016)'!$A$3,"MA_HT","DGT","MA_QH","SKC")</f>
        <v>0</v>
      </c>
      <c r="Z29" s="50">
        <f ca="1">+GETPIVOTDATA("XBB4",'binhba (2016)'!$A$3,"MA_HT","DGT","MA_QH","SKS")</f>
        <v>0</v>
      </c>
      <c r="AA29" s="52">
        <f ca="1">+SUM(AC29:AM29)</f>
        <v>0</v>
      </c>
      <c r="AB29" s="49" t="e">
        <f ca="1">$D29-$BF29</f>
        <v>#REF!</v>
      </c>
      <c r="AC29" s="50">
        <f ca="1">+GETPIVOTDATA("XBB4",'binhba (2016)'!$A$3,"MA_HT","DGT","MA_QH","DTL")</f>
        <v>0</v>
      </c>
      <c r="AD29" s="50">
        <f ca="1">+GETPIVOTDATA("XBB4",'binhba (2016)'!$A$3,"MA_HT","DGT","MA_QH","DNL")</f>
        <v>0</v>
      </c>
      <c r="AE29" s="50">
        <f ca="1">+GETPIVOTDATA("XBB4",'binhba (2016)'!$A$3,"MA_HT","DGT","MA_QH","DBV")</f>
        <v>0</v>
      </c>
      <c r="AF29" s="50">
        <f ca="1">+GETPIVOTDATA("XBB4",'binhba (2016)'!$A$3,"MA_HT","DGT","MA_QH","DVH")</f>
        <v>0</v>
      </c>
      <c r="AG29" s="50">
        <f ca="1">+GETPIVOTDATA("XBB4",'binhba (2016)'!$A$3,"MA_HT","DGT","MA_QH","DYT")</f>
        <v>0</v>
      </c>
      <c r="AH29" s="50">
        <f ca="1">+GETPIVOTDATA("XBB4",'binhba (2016)'!$A$3,"MA_HT","DGT","MA_QH","DGD")</f>
        <v>0</v>
      </c>
      <c r="AI29" s="50">
        <f ca="1">+GETPIVOTDATA("XBB4",'binhba (2016)'!$A$3,"MA_HT","DGT","MA_QH","DTT")</f>
        <v>0</v>
      </c>
      <c r="AJ29" s="50">
        <f ca="1">+GETPIVOTDATA("XBB4",'binhba (2016)'!$A$3,"MA_HT","DGT","MA_QH","NCK")</f>
        <v>0</v>
      </c>
      <c r="AK29" s="50">
        <f ca="1">+GETPIVOTDATA("XBB4",'binhba (2016)'!$A$3,"MA_HT","DGT","MA_QH","DXH")</f>
        <v>0</v>
      </c>
      <c r="AL29" s="50">
        <f ca="1">+GETPIVOTDATA("XBB4",'binhba (2016)'!$A$3,"MA_HT","DGT","MA_QH","DCH")</f>
        <v>0</v>
      </c>
      <c r="AM29" s="50">
        <f ca="1">+GETPIVOTDATA("XBB4",'binhba (2016)'!$A$3,"MA_HT","DGT","MA_QH","DKG")</f>
        <v>0</v>
      </c>
      <c r="AN29" s="50">
        <f ca="1">+GETPIVOTDATA("XBB4",'binhba (2016)'!$A$3,"MA_HT","DGT","MA_QH","DDT")</f>
        <v>0</v>
      </c>
      <c r="AO29" s="50">
        <f ca="1">+GETPIVOTDATA("XBB4",'binhba (2016)'!$A$3,"MA_HT","DGT","MA_QH","DDL")</f>
        <v>0</v>
      </c>
      <c r="AP29" s="50">
        <f ca="1">+GETPIVOTDATA("XBB4",'binhba (2016)'!$A$3,"MA_HT","DGT","MA_QH","DRA")</f>
        <v>0</v>
      </c>
      <c r="AQ29" s="50">
        <f ca="1">+GETPIVOTDATA("XBB4",'binhba (2016)'!$A$3,"MA_HT","DGT","MA_QH","ONT")</f>
        <v>0</v>
      </c>
      <c r="AR29" s="50">
        <f ca="1">+GETPIVOTDATA("XBB4",'binhba (2016)'!$A$3,"MA_HT","DGT","MA_QH","ODT")</f>
        <v>0</v>
      </c>
      <c r="AS29" s="50">
        <f ca="1">+GETPIVOTDATA("XBB4",'binhba (2016)'!$A$3,"MA_HT","DGT","MA_QH","TSC")</f>
        <v>0</v>
      </c>
      <c r="AT29" s="50">
        <f ca="1">+GETPIVOTDATA("XBB4",'binhba (2016)'!$A$3,"MA_HT","DGT","MA_QH","DTS")</f>
        <v>0</v>
      </c>
      <c r="AU29" s="50">
        <f ca="1">+GETPIVOTDATA("XBB4",'binhba (2016)'!$A$3,"MA_HT","DGT","MA_QH","DNG")</f>
        <v>0</v>
      </c>
      <c r="AV29" s="50">
        <f ca="1">+GETPIVOTDATA("XBB4",'binhba (2016)'!$A$3,"MA_HT","DGT","MA_QH","TON")</f>
        <v>0</v>
      </c>
      <c r="AW29" s="50">
        <f ca="1">+GETPIVOTDATA("XBB4",'binhba (2016)'!$A$3,"MA_HT","DGT","MA_QH","NTD")</f>
        <v>0</v>
      </c>
      <c r="AX29" s="50">
        <f ca="1">+GETPIVOTDATA("XBB4",'binhba (2016)'!$A$3,"MA_HT","DGT","MA_QH","SKX")</f>
        <v>0</v>
      </c>
      <c r="AY29" s="50">
        <f ca="1">+GETPIVOTDATA("XBB4",'binhba (2016)'!$A$3,"MA_HT","DGT","MA_QH","DSH")</f>
        <v>0</v>
      </c>
      <c r="AZ29" s="50">
        <f ca="1">+GETPIVOTDATA("XBB4",'binhba (2016)'!$A$3,"MA_HT","DGT","MA_QH","DKV")</f>
        <v>0</v>
      </c>
      <c r="BA29" s="88">
        <f ca="1">+GETPIVOTDATA("XBB4",'binhba (2016)'!$A$3,"MA_HT","DGT","MA_QH","TIN")</f>
        <v>0</v>
      </c>
      <c r="BB29" s="50">
        <f ca="1">+GETPIVOTDATA("XBB4",'binhba (2016)'!$A$3,"MA_HT","DGT","MA_QH","SON")</f>
        <v>0</v>
      </c>
      <c r="BC29" s="50">
        <f ca="1">+GETPIVOTDATA("XBB4",'binhba (2016)'!$A$3,"MA_HT","DGT","MA_QH","MNC")</f>
        <v>0</v>
      </c>
      <c r="BD29" s="50">
        <f ca="1">+GETPIVOTDATA("XBB4",'binhba (2016)'!$A$3,"MA_HT","DGT","MA_QH","PNK")</f>
        <v>0</v>
      </c>
      <c r="BE29" s="80">
        <f ca="1">+GETPIVOTDATA("XBB4",'binhba (2016)'!$A$3,"MA_HT","DGT","MA_QH","CSD")</f>
        <v>0</v>
      </c>
      <c r="BF29" s="103">
        <f ca="1" t="shared" si="13"/>
        <v>0</v>
      </c>
      <c r="BG29" s="104">
        <f ca="1">AB$59-$BF29</f>
        <v>0</v>
      </c>
      <c r="BH29" s="47" t="e">
        <f ca="1" t="shared" si="14"/>
        <v>#REF!</v>
      </c>
      <c r="BI29" s="105"/>
      <c r="BJ29" s="105" t="e">
        <f>#REF!</f>
        <v>#REF!</v>
      </c>
      <c r="BK29" s="108" t="e">
        <f ca="1" t="shared" ref="BK29:BK40" si="19">BH29-BJ29</f>
        <v>#REF!</v>
      </c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</row>
    <row r="30" s="4" customFormat="1" ht="16.5" customHeight="1" spans="1:79">
      <c r="A30" s="45" t="s">
        <v>8378</v>
      </c>
      <c r="B30" s="45" t="s">
        <v>8379</v>
      </c>
      <c r="C30" s="46" t="s">
        <v>216</v>
      </c>
      <c r="D30" s="47" t="e">
        <f>+#REF!</f>
        <v>#REF!</v>
      </c>
      <c r="E30" s="42">
        <f ca="1" t="shared" si="15"/>
        <v>0</v>
      </c>
      <c r="F30" s="52">
        <f ca="1" t="shared" si="9"/>
        <v>0</v>
      </c>
      <c r="G30" s="50">
        <f ca="1">+GETPIVOTDATA("XBB4",'binhba (2016)'!$A$3,"MA_HT","DTL","MA_QH","LUC")</f>
        <v>0</v>
      </c>
      <c r="H30" s="50">
        <f ca="1">+GETPIVOTDATA("XBB4",'binhba (2016)'!$A$3,"MA_HT","DTL","MA_QH","LUK")</f>
        <v>0</v>
      </c>
      <c r="I30" s="50">
        <f ca="1">+GETPIVOTDATA("XBB4",'binhba (2016)'!$A$3,"MA_HT","DTL","MA_QH","LUN")</f>
        <v>0</v>
      </c>
      <c r="J30" s="50">
        <f ca="1">+GETPIVOTDATA("XBB4",'binhba (2016)'!$A$3,"MA_HT","DTL","MA_QH","HNK")</f>
        <v>0</v>
      </c>
      <c r="K30" s="50">
        <f ca="1">+GETPIVOTDATA("XBB4",'binhba (2016)'!$A$3,"MA_HT","DTL","MA_QH","CLN")</f>
        <v>0</v>
      </c>
      <c r="L30" s="50">
        <f ca="1">+GETPIVOTDATA("XBB4",'binhba (2016)'!$A$3,"MA_HT","DTL","MA_QH","RSX")</f>
        <v>0</v>
      </c>
      <c r="M30" s="50">
        <f ca="1">+GETPIVOTDATA("XBB4",'binhba (2016)'!$A$3,"MA_HT","DTL","MA_QH","RPH")</f>
        <v>0</v>
      </c>
      <c r="N30" s="50">
        <f ca="1">+GETPIVOTDATA("XBB4",'binhba (2016)'!$A$3,"MA_HT","DTL","MA_QH","RDD")</f>
        <v>0</v>
      </c>
      <c r="O30" s="50">
        <f ca="1">+GETPIVOTDATA("XBB4",'binhba (2016)'!$A$3,"MA_HT","DTL","MA_QH","NTS")</f>
        <v>0</v>
      </c>
      <c r="P30" s="50">
        <f ca="1">+GETPIVOTDATA("XBB4",'binhba (2016)'!$A$3,"MA_HT","DTL","MA_QH","LMU")</f>
        <v>0</v>
      </c>
      <c r="Q30" s="50">
        <f ca="1">+GETPIVOTDATA("XBB4",'binhba (2016)'!$A$3,"MA_HT","DTL","MA_QH","NKH")</f>
        <v>0</v>
      </c>
      <c r="R30" s="48">
        <f ca="1" t="shared" ref="R30:R40" si="20">SUM(S30:AA30,AN30:BD30)</f>
        <v>0</v>
      </c>
      <c r="S30" s="50">
        <f ca="1">+GETPIVOTDATA("XBB4",'binhba (2016)'!$A$3,"MA_HT","DTL","MA_QH","CQP")</f>
        <v>0</v>
      </c>
      <c r="T30" s="50">
        <f ca="1">+GETPIVOTDATA("XBB4",'binhba (2016)'!$A$3,"MA_HT","DTL","MA_QH","CAN")</f>
        <v>0</v>
      </c>
      <c r="U30" s="50">
        <f ca="1">+GETPIVOTDATA("XBB4",'binhba (2016)'!$A$3,"MA_HT","DTL","MA_QH","SKK")</f>
        <v>0</v>
      </c>
      <c r="V30" s="50">
        <f ca="1">+GETPIVOTDATA("XBB4",'binhba (2016)'!$A$3,"MA_HT","DTL","MA_QH","SKT")</f>
        <v>0</v>
      </c>
      <c r="W30" s="50">
        <f ca="1">+GETPIVOTDATA("XBB4",'binhba (2016)'!$A$3,"MA_HT","DTL","MA_QH","SKN")</f>
        <v>0</v>
      </c>
      <c r="X30" s="50">
        <f ca="1">+GETPIVOTDATA("XBB4",'binhba (2016)'!$A$3,"MA_HT","DTL","MA_QH","TMD")</f>
        <v>0</v>
      </c>
      <c r="Y30" s="50">
        <f ca="1">+GETPIVOTDATA("XBB4",'binhba (2016)'!$A$3,"MA_HT","DTL","MA_QH","SKC")</f>
        <v>0</v>
      </c>
      <c r="Z30" s="50">
        <f ca="1">+GETPIVOTDATA("XBB4",'binhba (2016)'!$A$3,"MA_HT","DTL","MA_QH","SKS")</f>
        <v>0</v>
      </c>
      <c r="AA30" s="52">
        <f ca="1">+SUM(AB30,AD30:AM30)</f>
        <v>0</v>
      </c>
      <c r="AB30" s="50">
        <f ca="1">+GETPIVOTDATA("XBB4",'binhba (2016)'!$A$3,"MA_HT","DTL","MA_QH","DGT")</f>
        <v>0</v>
      </c>
      <c r="AC30" s="49" t="e">
        <f ca="1">$D30-$BF30</f>
        <v>#REF!</v>
      </c>
      <c r="AD30" s="50">
        <f ca="1">+GETPIVOTDATA("XBB4",'binhba (2016)'!$A$3,"MA_HT","DTL","MA_QH","DNL")</f>
        <v>0</v>
      </c>
      <c r="AE30" s="50">
        <f ca="1">+GETPIVOTDATA("XBB4",'binhba (2016)'!$A$3,"MA_HT","DTL","MA_QH","DBV")</f>
        <v>0</v>
      </c>
      <c r="AF30" s="50">
        <f ca="1">+GETPIVOTDATA("XBB4",'binhba (2016)'!$A$3,"MA_HT","DTL","MA_QH","DVH")</f>
        <v>0</v>
      </c>
      <c r="AG30" s="50">
        <f ca="1">+GETPIVOTDATA("XBB4",'binhba (2016)'!$A$3,"MA_HT","DTL","MA_QH","DYT")</f>
        <v>0</v>
      </c>
      <c r="AH30" s="50">
        <f ca="1">+GETPIVOTDATA("XBB4",'binhba (2016)'!$A$3,"MA_HT","DTL","MA_QH","DGD")</f>
        <v>0</v>
      </c>
      <c r="AI30" s="50">
        <f ca="1">+GETPIVOTDATA("XBB4",'binhba (2016)'!$A$3,"MA_HT","DTL","MA_QH","DTT")</f>
        <v>0</v>
      </c>
      <c r="AJ30" s="50">
        <f ca="1">+GETPIVOTDATA("XBB4",'binhba (2016)'!$A$3,"MA_HT","DTL","MA_QH","NCK")</f>
        <v>0</v>
      </c>
      <c r="AK30" s="50">
        <f ca="1">+GETPIVOTDATA("XBB4",'binhba (2016)'!$A$3,"MA_HT","DTL","MA_QH","DXH")</f>
        <v>0</v>
      </c>
      <c r="AL30" s="50">
        <f ca="1">+GETPIVOTDATA("XBB4",'binhba (2016)'!$A$3,"MA_HT","DTL","MA_QH","DCH")</f>
        <v>0</v>
      </c>
      <c r="AM30" s="50">
        <f ca="1">+GETPIVOTDATA("XBB4",'binhba (2016)'!$A$3,"MA_HT","DTL","MA_QH","DKG")</f>
        <v>0</v>
      </c>
      <c r="AN30" s="50">
        <f ca="1">+GETPIVOTDATA("XBB4",'binhba (2016)'!$A$3,"MA_HT","DTL","MA_QH","DDT")</f>
        <v>0</v>
      </c>
      <c r="AO30" s="50">
        <f ca="1">+GETPIVOTDATA("XBB4",'binhba (2016)'!$A$3,"MA_HT","DTL","MA_QH","DDL")</f>
        <v>0</v>
      </c>
      <c r="AP30" s="50">
        <f ca="1">+GETPIVOTDATA("XBB4",'binhba (2016)'!$A$3,"MA_HT","DTL","MA_QH","DRA")</f>
        <v>0</v>
      </c>
      <c r="AQ30" s="50">
        <f ca="1">+GETPIVOTDATA("XBB4",'binhba (2016)'!$A$3,"MA_HT","DTL","MA_QH","ONT")</f>
        <v>0</v>
      </c>
      <c r="AR30" s="50">
        <f ca="1">+GETPIVOTDATA("XBB4",'binhba (2016)'!$A$3,"MA_HT","DTL","MA_QH","ODT")</f>
        <v>0</v>
      </c>
      <c r="AS30" s="50">
        <f ca="1">+GETPIVOTDATA("XBB4",'binhba (2016)'!$A$3,"MA_HT","DTL","MA_QH","TSC")</f>
        <v>0</v>
      </c>
      <c r="AT30" s="50">
        <f ca="1">+GETPIVOTDATA("XBB4",'binhba (2016)'!$A$3,"MA_HT","DTL","MA_QH","DTS")</f>
        <v>0</v>
      </c>
      <c r="AU30" s="50">
        <f ca="1">+GETPIVOTDATA("XBB4",'binhba (2016)'!$A$3,"MA_HT","DTL","MA_QH","DNG")</f>
        <v>0</v>
      </c>
      <c r="AV30" s="50">
        <f ca="1">+GETPIVOTDATA("XBB4",'binhba (2016)'!$A$3,"MA_HT","DTL","MA_QH","TON")</f>
        <v>0</v>
      </c>
      <c r="AW30" s="50">
        <f ca="1">+GETPIVOTDATA("XBB4",'binhba (2016)'!$A$3,"MA_HT","DTL","MA_QH","NTD")</f>
        <v>0</v>
      </c>
      <c r="AX30" s="50">
        <f ca="1">+GETPIVOTDATA("XBB4",'binhba (2016)'!$A$3,"MA_HT","DTL","MA_QH","SKX")</f>
        <v>0</v>
      </c>
      <c r="AY30" s="50">
        <f ca="1">+GETPIVOTDATA("XBB4",'binhba (2016)'!$A$3,"MA_HT","DTL","MA_QH","DSH")</f>
        <v>0</v>
      </c>
      <c r="AZ30" s="50">
        <f ca="1">+GETPIVOTDATA("XBB4",'binhba (2016)'!$A$3,"MA_HT","DTL","MA_QH","DKV")</f>
        <v>0</v>
      </c>
      <c r="BA30" s="88">
        <f ca="1">+GETPIVOTDATA("XBB4",'binhba (2016)'!$A$3,"MA_HT","DTL","MA_QH","TIN")</f>
        <v>0</v>
      </c>
      <c r="BB30" s="50">
        <f ca="1">+GETPIVOTDATA("XBB4",'binhba (2016)'!$A$3,"MA_HT","DTL","MA_QH","SON")</f>
        <v>0</v>
      </c>
      <c r="BC30" s="50">
        <f ca="1">+GETPIVOTDATA("XBB4",'binhba (2016)'!$A$3,"MA_HT","DTL","MA_QH","MNC")</f>
        <v>0</v>
      </c>
      <c r="BD30" s="50">
        <f ca="1">+GETPIVOTDATA("XBB4",'binhba (2016)'!$A$3,"MA_HT","DTL","MA_QH","PNK")</f>
        <v>0</v>
      </c>
      <c r="BE30" s="80">
        <f ca="1">+GETPIVOTDATA("XBB4",'binhba (2016)'!$A$3,"MA_HT","DTL","MA_QH","CSD")</f>
        <v>0</v>
      </c>
      <c r="BF30" s="103">
        <f ca="1" t="shared" si="13"/>
        <v>0</v>
      </c>
      <c r="BG30" s="104">
        <f ca="1">AC$59-$BF30</f>
        <v>0</v>
      </c>
      <c r="BH30" s="47" t="e">
        <f ca="1" t="shared" si="14"/>
        <v>#REF!</v>
      </c>
      <c r="BI30" s="105"/>
      <c r="BJ30" s="105" t="e">
        <f>#REF!</f>
        <v>#REF!</v>
      </c>
      <c r="BK30" s="108" t="e">
        <f ca="1" t="shared" si="19"/>
        <v>#REF!</v>
      </c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</row>
    <row r="31" s="4" customFormat="1" ht="16.5" customHeight="1" spans="1:79">
      <c r="A31" s="45" t="s">
        <v>8380</v>
      </c>
      <c r="B31" s="45" t="s">
        <v>8381</v>
      </c>
      <c r="C31" s="46" t="s">
        <v>71</v>
      </c>
      <c r="D31" s="47" t="e">
        <f>+#REF!</f>
        <v>#REF!</v>
      </c>
      <c r="E31" s="42">
        <f ca="1" t="shared" si="15"/>
        <v>0</v>
      </c>
      <c r="F31" s="52">
        <f ca="1" t="shared" si="9"/>
        <v>0</v>
      </c>
      <c r="G31" s="50">
        <f ca="1">+GETPIVOTDATA("XBB4",'binhba (2016)'!$A$3,"MA_HT","DNL","MA_QH","LUC")</f>
        <v>0</v>
      </c>
      <c r="H31" s="50">
        <f ca="1">+GETPIVOTDATA("XBB4",'binhba (2016)'!$A$3,"MA_HT","DNL","MA_QH","LUK")</f>
        <v>0</v>
      </c>
      <c r="I31" s="50">
        <f ca="1">+GETPIVOTDATA("XBB4",'binhba (2016)'!$A$3,"MA_HT","DNL","MA_QH","LUN")</f>
        <v>0</v>
      </c>
      <c r="J31" s="50">
        <f ca="1">+GETPIVOTDATA("XBB4",'binhba (2016)'!$A$3,"MA_HT","DNL","MA_QH","HNK")</f>
        <v>0</v>
      </c>
      <c r="K31" s="50">
        <f ca="1">+GETPIVOTDATA("XBB4",'binhba (2016)'!$A$3,"MA_HT","DNL","MA_QH","CLN")</f>
        <v>0</v>
      </c>
      <c r="L31" s="50">
        <f ca="1">+GETPIVOTDATA("XBB4",'binhba (2016)'!$A$3,"MA_HT","DNL","MA_QH","RSX")</f>
        <v>0</v>
      </c>
      <c r="M31" s="50">
        <f ca="1">+GETPIVOTDATA("XBB4",'binhba (2016)'!$A$3,"MA_HT","DNL","MA_QH","RPH")</f>
        <v>0</v>
      </c>
      <c r="N31" s="50">
        <f ca="1">+GETPIVOTDATA("XBB4",'binhba (2016)'!$A$3,"MA_HT","DNL","MA_QH","RDD")</f>
        <v>0</v>
      </c>
      <c r="O31" s="50">
        <f ca="1">+GETPIVOTDATA("XBB4",'binhba (2016)'!$A$3,"MA_HT","DNL","MA_QH","NTS")</f>
        <v>0</v>
      </c>
      <c r="P31" s="50">
        <f ca="1">+GETPIVOTDATA("XBB4",'binhba (2016)'!$A$3,"MA_HT","DNL","MA_QH","LMU")</f>
        <v>0</v>
      </c>
      <c r="Q31" s="50">
        <f ca="1">+GETPIVOTDATA("XBB4",'binhba (2016)'!$A$3,"MA_HT","DNL","MA_QH","NKH")</f>
        <v>0</v>
      </c>
      <c r="R31" s="48">
        <f ca="1" t="shared" si="20"/>
        <v>0</v>
      </c>
      <c r="S31" s="50">
        <f ca="1">+GETPIVOTDATA("XBB4",'binhba (2016)'!$A$3,"MA_HT","DNL","MA_QH","CQP")</f>
        <v>0</v>
      </c>
      <c r="T31" s="50">
        <f ca="1">+GETPIVOTDATA("XBB4",'binhba (2016)'!$A$3,"MA_HT","DNL","MA_QH","CAN")</f>
        <v>0</v>
      </c>
      <c r="U31" s="50">
        <f ca="1">+GETPIVOTDATA("XBB4",'binhba (2016)'!$A$3,"MA_HT","DNL","MA_QH","SKK")</f>
        <v>0</v>
      </c>
      <c r="V31" s="50">
        <f ca="1">+GETPIVOTDATA("XBB4",'binhba (2016)'!$A$3,"MA_HT","DNL","MA_QH","SKT")</f>
        <v>0</v>
      </c>
      <c r="W31" s="50">
        <f ca="1">+GETPIVOTDATA("XBB4",'binhba (2016)'!$A$3,"MA_HT","DNL","MA_QH","SKN")</f>
        <v>0</v>
      </c>
      <c r="X31" s="50">
        <f ca="1">+GETPIVOTDATA("XBB4",'binhba (2016)'!$A$3,"MA_HT","DNL","MA_QH","TMD")</f>
        <v>0</v>
      </c>
      <c r="Y31" s="50">
        <f ca="1">+GETPIVOTDATA("XBB4",'binhba (2016)'!$A$3,"MA_HT","DNL","MA_QH","SKC")</f>
        <v>0</v>
      </c>
      <c r="Z31" s="50">
        <f ca="1">+GETPIVOTDATA("XBB4",'binhba (2016)'!$A$3,"MA_HT","DNL","MA_QH","SKS")</f>
        <v>0</v>
      </c>
      <c r="AA31" s="52">
        <f ca="1">+SUM(AB31:AC31,AE31:AM31)</f>
        <v>0</v>
      </c>
      <c r="AB31" s="50">
        <f ca="1">+GETPIVOTDATA("XBB4",'binhba (2016)'!$A$3,"MA_HT","DNL","MA_QH","DGT")</f>
        <v>0</v>
      </c>
      <c r="AC31" s="50">
        <f ca="1">+GETPIVOTDATA("XBB4",'binhba (2016)'!$A$3,"MA_HT","DNL","MA_QH","DTL")</f>
        <v>0</v>
      </c>
      <c r="AD31" s="49" t="e">
        <f ca="1">$D31-$BF31</f>
        <v>#REF!</v>
      </c>
      <c r="AE31" s="50">
        <f ca="1">+GETPIVOTDATA("XBB4",'binhba (2016)'!$A$3,"MA_HT","DNL","MA_QH","DBV")</f>
        <v>0</v>
      </c>
      <c r="AF31" s="50">
        <f ca="1">+GETPIVOTDATA("XBB4",'binhba (2016)'!$A$3,"MA_HT","DNL","MA_QH","DVH")</f>
        <v>0</v>
      </c>
      <c r="AG31" s="50">
        <f ca="1">+GETPIVOTDATA("XBB4",'binhba (2016)'!$A$3,"MA_HT","DNL","MA_QH","DYT")</f>
        <v>0</v>
      </c>
      <c r="AH31" s="50">
        <f ca="1">+GETPIVOTDATA("XBB4",'binhba (2016)'!$A$3,"MA_HT","DNL","MA_QH","DGD")</f>
        <v>0</v>
      </c>
      <c r="AI31" s="50">
        <f ca="1">+GETPIVOTDATA("XBB4",'binhba (2016)'!$A$3,"MA_HT","DNL","MA_QH","DTT")</f>
        <v>0</v>
      </c>
      <c r="AJ31" s="50">
        <f ca="1">+GETPIVOTDATA("XBB4",'binhba (2016)'!$A$3,"MA_HT","DNL","MA_QH","NCK")</f>
        <v>0</v>
      </c>
      <c r="AK31" s="50">
        <f ca="1">+GETPIVOTDATA("XBB4",'binhba (2016)'!$A$3,"MA_HT","DNL","MA_QH","DXH")</f>
        <v>0</v>
      </c>
      <c r="AL31" s="50">
        <f ca="1">+GETPIVOTDATA("XBB4",'binhba (2016)'!$A$3,"MA_HT","DNL","MA_QH","DCH")</f>
        <v>0</v>
      </c>
      <c r="AM31" s="50">
        <f ca="1">+GETPIVOTDATA("XBB4",'binhba (2016)'!$A$3,"MA_HT","DNL","MA_QH","DKG")</f>
        <v>0</v>
      </c>
      <c r="AN31" s="50">
        <f ca="1">+GETPIVOTDATA("XBB4",'binhba (2016)'!$A$3,"MA_HT","DNL","MA_QH","DDT")</f>
        <v>0</v>
      </c>
      <c r="AO31" s="50">
        <f ca="1">+GETPIVOTDATA("XBB4",'binhba (2016)'!$A$3,"MA_HT","DNL","MA_QH","DDL")</f>
        <v>0</v>
      </c>
      <c r="AP31" s="50">
        <f ca="1">+GETPIVOTDATA("XBB4",'binhba (2016)'!$A$3,"MA_HT","DNL","MA_QH","DRA")</f>
        <v>0</v>
      </c>
      <c r="AQ31" s="50">
        <f ca="1">+GETPIVOTDATA("XBB4",'binhba (2016)'!$A$3,"MA_HT","DNL","MA_QH","ONT")</f>
        <v>0</v>
      </c>
      <c r="AR31" s="50">
        <f ca="1">+GETPIVOTDATA("XBB4",'binhba (2016)'!$A$3,"MA_HT","DNL","MA_QH","ODT")</f>
        <v>0</v>
      </c>
      <c r="AS31" s="50">
        <f ca="1">+GETPIVOTDATA("XBB4",'binhba (2016)'!$A$3,"MA_HT","DNL","MA_QH","TSC")</f>
        <v>0</v>
      </c>
      <c r="AT31" s="50">
        <f ca="1">+GETPIVOTDATA("XBB4",'binhba (2016)'!$A$3,"MA_HT","DNL","MA_QH","DTS")</f>
        <v>0</v>
      </c>
      <c r="AU31" s="50">
        <f ca="1">+GETPIVOTDATA("XBB4",'binhba (2016)'!$A$3,"MA_HT","DNL","MA_QH","DNG")</f>
        <v>0</v>
      </c>
      <c r="AV31" s="50">
        <f ca="1">+GETPIVOTDATA("XBB4",'binhba (2016)'!$A$3,"MA_HT","DNL","MA_QH","TON")</f>
        <v>0</v>
      </c>
      <c r="AW31" s="50">
        <f ca="1">+GETPIVOTDATA("XBB4",'binhba (2016)'!$A$3,"MA_HT","DNL","MA_QH","NTD")</f>
        <v>0</v>
      </c>
      <c r="AX31" s="50">
        <f ca="1">+GETPIVOTDATA("XBB4",'binhba (2016)'!$A$3,"MA_HT","DNL","MA_QH","SKX")</f>
        <v>0</v>
      </c>
      <c r="AY31" s="50">
        <f ca="1">+GETPIVOTDATA("XBB4",'binhba (2016)'!$A$3,"MA_HT","DNL","MA_QH","DSH")</f>
        <v>0</v>
      </c>
      <c r="AZ31" s="50">
        <f ca="1">+GETPIVOTDATA("XBB4",'binhba (2016)'!$A$3,"MA_HT","DNL","MA_QH","DKV")</f>
        <v>0</v>
      </c>
      <c r="BA31" s="88">
        <f ca="1">+GETPIVOTDATA("XBB4",'binhba (2016)'!$A$3,"MA_HT","DNL","MA_QH","TIN")</f>
        <v>0</v>
      </c>
      <c r="BB31" s="50">
        <f ca="1">+GETPIVOTDATA("XBB4",'binhba (2016)'!$A$3,"MA_HT","DNL","MA_QH","SON")</f>
        <v>0</v>
      </c>
      <c r="BC31" s="50">
        <f ca="1">+GETPIVOTDATA("XBB4",'binhba (2016)'!$A$3,"MA_HT","DNL","MA_QH","MNC")</f>
        <v>0</v>
      </c>
      <c r="BD31" s="50">
        <f ca="1">+GETPIVOTDATA("XBB4",'binhba (2016)'!$A$3,"MA_HT","DNL","MA_QH","PNK")</f>
        <v>0</v>
      </c>
      <c r="BE31" s="80">
        <f ca="1">+GETPIVOTDATA("XBB4",'binhba (2016)'!$A$3,"MA_HT","DNL","MA_QH","CSD")</f>
        <v>0</v>
      </c>
      <c r="BF31" s="103">
        <f ca="1" t="shared" si="13"/>
        <v>0</v>
      </c>
      <c r="BG31" s="104">
        <f ca="1">AD$59-$BF31</f>
        <v>0</v>
      </c>
      <c r="BH31" s="47" t="e">
        <f ca="1" t="shared" si="14"/>
        <v>#REF!</v>
      </c>
      <c r="BI31" s="105"/>
      <c r="BJ31" s="105" t="e">
        <f>#REF!</f>
        <v>#REF!</v>
      </c>
      <c r="BK31" s="108" t="e">
        <f ca="1" t="shared" si="19"/>
        <v>#REF!</v>
      </c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</row>
    <row r="32" s="4" customFormat="1" ht="16.5" customHeight="1" spans="1:79">
      <c r="A32" s="45" t="s">
        <v>8382</v>
      </c>
      <c r="B32" s="45" t="s">
        <v>8383</v>
      </c>
      <c r="C32" s="46" t="s">
        <v>8285</v>
      </c>
      <c r="D32" s="47" t="e">
        <f>+#REF!</f>
        <v>#REF!</v>
      </c>
      <c r="E32" s="42">
        <f ca="1" t="shared" si="15"/>
        <v>0</v>
      </c>
      <c r="F32" s="52">
        <f ca="1" t="shared" si="9"/>
        <v>0</v>
      </c>
      <c r="G32" s="50">
        <f ca="1">+GETPIVOTDATA("XBB4",'binhba (2016)'!$A$3,"MA_HT","DBV","MA_QH","LUC")</f>
        <v>0</v>
      </c>
      <c r="H32" s="50">
        <f ca="1">+GETPIVOTDATA("XBB4",'binhba (2016)'!$A$3,"MA_HT","DBV","MA_QH","LUK")</f>
        <v>0</v>
      </c>
      <c r="I32" s="50">
        <f ca="1">+GETPIVOTDATA("XBB4",'binhba (2016)'!$A$3,"MA_HT","DBV","MA_QH","LUN")</f>
        <v>0</v>
      </c>
      <c r="J32" s="50">
        <f ca="1">+GETPIVOTDATA("XBB4",'binhba (2016)'!$A$3,"MA_HT","DBV","MA_QH","HNK")</f>
        <v>0</v>
      </c>
      <c r="K32" s="50">
        <f ca="1">+GETPIVOTDATA("XBB4",'binhba (2016)'!$A$3,"MA_HT","DBV","MA_QH","CLN")</f>
        <v>0</v>
      </c>
      <c r="L32" s="50">
        <f ca="1">+GETPIVOTDATA("XBB4",'binhba (2016)'!$A$3,"MA_HT","DBV","MA_QH","RSX")</f>
        <v>0</v>
      </c>
      <c r="M32" s="50">
        <f ca="1">+GETPIVOTDATA("XBB4",'binhba (2016)'!$A$3,"MA_HT","DBV","MA_QH","RPH")</f>
        <v>0</v>
      </c>
      <c r="N32" s="50">
        <f ca="1">+GETPIVOTDATA("XBB4",'binhba (2016)'!$A$3,"MA_HT","DBV","MA_QH","RDD")</f>
        <v>0</v>
      </c>
      <c r="O32" s="50">
        <f ca="1">+GETPIVOTDATA("XBB4",'binhba (2016)'!$A$3,"MA_HT","DBV","MA_QH","NTS")</f>
        <v>0</v>
      </c>
      <c r="P32" s="50">
        <f ca="1">+GETPIVOTDATA("XBB4",'binhba (2016)'!$A$3,"MA_HT","DBV","MA_QH","LMU")</f>
        <v>0</v>
      </c>
      <c r="Q32" s="50">
        <f ca="1">+GETPIVOTDATA("XBB4",'binhba (2016)'!$A$3,"MA_HT","DBV","MA_QH","NKH")</f>
        <v>0</v>
      </c>
      <c r="R32" s="48">
        <f ca="1" t="shared" si="20"/>
        <v>0</v>
      </c>
      <c r="S32" s="50">
        <f ca="1">+GETPIVOTDATA("XBB4",'binhba (2016)'!$A$3,"MA_HT","DBV","MA_QH","CQP")</f>
        <v>0</v>
      </c>
      <c r="T32" s="50">
        <f ca="1">+GETPIVOTDATA("XBB4",'binhba (2016)'!$A$3,"MA_HT","DBV","MA_QH","CAN")</f>
        <v>0</v>
      </c>
      <c r="U32" s="50">
        <f ca="1">+GETPIVOTDATA("XBB4",'binhba (2016)'!$A$3,"MA_HT","DBV","MA_QH","SKK")</f>
        <v>0</v>
      </c>
      <c r="V32" s="50">
        <f ca="1">+GETPIVOTDATA("XBB4",'binhba (2016)'!$A$3,"MA_HT","DBV","MA_QH","SKT")</f>
        <v>0</v>
      </c>
      <c r="W32" s="50">
        <f ca="1">+GETPIVOTDATA("XBB4",'binhba (2016)'!$A$3,"MA_HT","DBV","MA_QH","SKN")</f>
        <v>0</v>
      </c>
      <c r="X32" s="50">
        <f ca="1">+GETPIVOTDATA("XBB4",'binhba (2016)'!$A$3,"MA_HT","DBV","MA_QH","TMD")</f>
        <v>0</v>
      </c>
      <c r="Y32" s="50">
        <f ca="1">+GETPIVOTDATA("XBB4",'binhba (2016)'!$A$3,"MA_HT","DBV","MA_QH","SKC")</f>
        <v>0</v>
      </c>
      <c r="Z32" s="50">
        <f ca="1">+GETPIVOTDATA("XBB4",'binhba (2016)'!$A$3,"MA_HT","DBV","MA_QH","SKS")</f>
        <v>0</v>
      </c>
      <c r="AA32" s="52">
        <f ca="1">+SUM(AB32:AD32,AF32:AM32)</f>
        <v>0</v>
      </c>
      <c r="AB32" s="50">
        <f ca="1">+GETPIVOTDATA("XBB4",'binhba (2016)'!$A$3,"MA_HT","DBV","MA_QH","DGT")</f>
        <v>0</v>
      </c>
      <c r="AC32" s="50">
        <f ca="1">+GETPIVOTDATA("XBB4",'binhba (2016)'!$A$3,"MA_HT","DBV","MA_QH","DTL")</f>
        <v>0</v>
      </c>
      <c r="AD32" s="50">
        <f ca="1">+GETPIVOTDATA("XBB4",'binhba (2016)'!$A$3,"MA_HT","DBV","MA_QH","DNL")</f>
        <v>0</v>
      </c>
      <c r="AE32" s="49" t="e">
        <f ca="1">$D32-$BF32</f>
        <v>#REF!</v>
      </c>
      <c r="AF32" s="50">
        <f ca="1">+GETPIVOTDATA("XBB4",'binhba (2016)'!$A$3,"MA_HT","DBV","MA_QH","DVH")</f>
        <v>0</v>
      </c>
      <c r="AG32" s="50">
        <f ca="1">+GETPIVOTDATA("XBB4",'binhba (2016)'!$A$3,"MA_HT","DBV","MA_QH","DYT")</f>
        <v>0</v>
      </c>
      <c r="AH32" s="50">
        <f ca="1">+GETPIVOTDATA("XBB4",'binhba (2016)'!$A$3,"MA_HT","DBV","MA_QH","DGD")</f>
        <v>0</v>
      </c>
      <c r="AI32" s="50">
        <f ca="1">+GETPIVOTDATA("XBB4",'binhba (2016)'!$A$3,"MA_HT","DBV","MA_QH","DTT")</f>
        <v>0</v>
      </c>
      <c r="AJ32" s="50">
        <f ca="1">+GETPIVOTDATA("XBB4",'binhba (2016)'!$A$3,"MA_HT","DBV","MA_QH","NCK")</f>
        <v>0</v>
      </c>
      <c r="AK32" s="50">
        <f ca="1">+GETPIVOTDATA("XBB4",'binhba (2016)'!$A$3,"MA_HT","DBV","MA_QH","DXH")</f>
        <v>0</v>
      </c>
      <c r="AL32" s="50">
        <f ca="1">+GETPIVOTDATA("XBB4",'binhba (2016)'!$A$3,"MA_HT","DBV","MA_QH","DCH")</f>
        <v>0</v>
      </c>
      <c r="AM32" s="50">
        <f ca="1">+GETPIVOTDATA("XBB4",'binhba (2016)'!$A$3,"MA_HT","DBV","MA_QH","DKG")</f>
        <v>0</v>
      </c>
      <c r="AN32" s="50">
        <f ca="1">+GETPIVOTDATA("XBB4",'binhba (2016)'!$A$3,"MA_HT","DBV","MA_QH","DDT")</f>
        <v>0</v>
      </c>
      <c r="AO32" s="50">
        <f ca="1">+GETPIVOTDATA("XBB4",'binhba (2016)'!$A$3,"MA_HT","DBV","MA_QH","DDL")</f>
        <v>0</v>
      </c>
      <c r="AP32" s="50">
        <f ca="1">+GETPIVOTDATA("XBB4",'binhba (2016)'!$A$3,"MA_HT","DBV","MA_QH","DRA")</f>
        <v>0</v>
      </c>
      <c r="AQ32" s="50">
        <f ca="1">+GETPIVOTDATA("XBB4",'binhba (2016)'!$A$3,"MA_HT","DBV","MA_QH","ONT")</f>
        <v>0</v>
      </c>
      <c r="AR32" s="50">
        <f ca="1">+GETPIVOTDATA("XBB4",'binhba (2016)'!$A$3,"MA_HT","DBV","MA_QH","ODT")</f>
        <v>0</v>
      </c>
      <c r="AS32" s="50">
        <f ca="1">+GETPIVOTDATA("XBB4",'binhba (2016)'!$A$3,"MA_HT","DBV","MA_QH","TSC")</f>
        <v>0</v>
      </c>
      <c r="AT32" s="50">
        <f ca="1">+GETPIVOTDATA("XBB4",'binhba (2016)'!$A$3,"MA_HT","DBV","MA_QH","DTS")</f>
        <v>0</v>
      </c>
      <c r="AU32" s="50">
        <f ca="1">+GETPIVOTDATA("XBB4",'binhba (2016)'!$A$3,"MA_HT","DBV","MA_QH","DNG")</f>
        <v>0</v>
      </c>
      <c r="AV32" s="50">
        <f ca="1">+GETPIVOTDATA("XBB4",'binhba (2016)'!$A$3,"MA_HT","DBV","MA_QH","TON")</f>
        <v>0</v>
      </c>
      <c r="AW32" s="50">
        <f ca="1">+GETPIVOTDATA("XBB4",'binhba (2016)'!$A$3,"MA_HT","DBV","MA_QH","NTD")</f>
        <v>0</v>
      </c>
      <c r="AX32" s="50">
        <f ca="1">+GETPIVOTDATA("XBB4",'binhba (2016)'!$A$3,"MA_HT","DBV","MA_QH","SKX")</f>
        <v>0</v>
      </c>
      <c r="AY32" s="50">
        <f ca="1">+GETPIVOTDATA("XBB4",'binhba (2016)'!$A$3,"MA_HT","DBV","MA_QH","DSH")</f>
        <v>0</v>
      </c>
      <c r="AZ32" s="50">
        <f ca="1">+GETPIVOTDATA("XBB4",'binhba (2016)'!$A$3,"MA_HT","DBV","MA_QH","DKV")</f>
        <v>0</v>
      </c>
      <c r="BA32" s="88">
        <f ca="1">+GETPIVOTDATA("XBB4",'binhba (2016)'!$A$3,"MA_HT","DBV","MA_QH","TIN")</f>
        <v>0</v>
      </c>
      <c r="BB32" s="50">
        <f ca="1">+GETPIVOTDATA("XBB4",'binhba (2016)'!$A$3,"MA_HT","DBV","MA_QH","SON")</f>
        <v>0</v>
      </c>
      <c r="BC32" s="50">
        <f ca="1">+GETPIVOTDATA("XBB4",'binhba (2016)'!$A$3,"MA_HT","DBV","MA_QH","MNC")</f>
        <v>0</v>
      </c>
      <c r="BD32" s="50">
        <f ca="1">+GETPIVOTDATA("XBB4",'binhba (2016)'!$A$3,"MA_HT","DBV","MA_QH","PNK")</f>
        <v>0</v>
      </c>
      <c r="BE32" s="80">
        <f ca="1">+GETPIVOTDATA("XBB4",'binhba (2016)'!$A$3,"MA_HT","DBV","MA_QH","CSD")</f>
        <v>0</v>
      </c>
      <c r="BF32" s="103">
        <f ca="1" t="shared" si="13"/>
        <v>0</v>
      </c>
      <c r="BG32" s="104">
        <f ca="1">AE$59-$BF32</f>
        <v>0</v>
      </c>
      <c r="BH32" s="47" t="e">
        <f ca="1" t="shared" si="14"/>
        <v>#REF!</v>
      </c>
      <c r="BI32" s="105"/>
      <c r="BJ32" s="105" t="e">
        <f>#REF!</f>
        <v>#REF!</v>
      </c>
      <c r="BK32" s="108" t="e">
        <f ca="1" t="shared" si="19"/>
        <v>#REF!</v>
      </c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</row>
    <row r="33" s="4" customFormat="1" ht="16.5" customHeight="1" spans="1:79">
      <c r="A33" s="45" t="s">
        <v>8384</v>
      </c>
      <c r="B33" s="45" t="s">
        <v>8385</v>
      </c>
      <c r="C33" s="46" t="s">
        <v>212</v>
      </c>
      <c r="D33" s="47" t="e">
        <f>+#REF!</f>
        <v>#REF!</v>
      </c>
      <c r="E33" s="42">
        <f ca="1" t="shared" si="15"/>
        <v>0</v>
      </c>
      <c r="F33" s="52">
        <f ca="1" t="shared" si="9"/>
        <v>0</v>
      </c>
      <c r="G33" s="50">
        <f ca="1">+GETPIVOTDATA("XBB4",'binhba (2016)'!$A$3,"MA_HT","DVH","MA_QH","LUC")</f>
        <v>0</v>
      </c>
      <c r="H33" s="50">
        <f ca="1">+GETPIVOTDATA("XBB4",'binhba (2016)'!$A$3,"MA_HT","DVH","MA_QH","LUK")</f>
        <v>0</v>
      </c>
      <c r="I33" s="50">
        <f ca="1">+GETPIVOTDATA("XBB4",'binhba (2016)'!$A$3,"MA_HT","DVH","MA_QH","LUN")</f>
        <v>0</v>
      </c>
      <c r="J33" s="50">
        <f ca="1">+GETPIVOTDATA("XBB4",'binhba (2016)'!$A$3,"MA_HT","DVH","MA_QH","HNK")</f>
        <v>0</v>
      </c>
      <c r="K33" s="50">
        <f ca="1">+GETPIVOTDATA("XBB4",'binhba (2016)'!$A$3,"MA_HT","DVH","MA_QH","CLN")</f>
        <v>0</v>
      </c>
      <c r="L33" s="50">
        <f ca="1">+GETPIVOTDATA("XBB4",'binhba (2016)'!$A$3,"MA_HT","DVH","MA_QH","RSX")</f>
        <v>0</v>
      </c>
      <c r="M33" s="50">
        <f ca="1">+GETPIVOTDATA("XBB4",'binhba (2016)'!$A$3,"MA_HT","DVH","MA_QH","RPH")</f>
        <v>0</v>
      </c>
      <c r="N33" s="50">
        <f ca="1">+GETPIVOTDATA("XBB4",'binhba (2016)'!$A$3,"MA_HT","DVH","MA_QH","RDD")</f>
        <v>0</v>
      </c>
      <c r="O33" s="50">
        <f ca="1">+GETPIVOTDATA("XBB4",'binhba (2016)'!$A$3,"MA_HT","DVH","MA_QH","NTS")</f>
        <v>0</v>
      </c>
      <c r="P33" s="50">
        <f ca="1">+GETPIVOTDATA("XBB4",'binhba (2016)'!$A$3,"MA_HT","DVH","MA_QH","LMU")</f>
        <v>0</v>
      </c>
      <c r="Q33" s="50">
        <f ca="1">+GETPIVOTDATA("XBB4",'binhba (2016)'!$A$3,"MA_HT","DVH","MA_QH","NKH")</f>
        <v>0</v>
      </c>
      <c r="R33" s="48">
        <f ca="1" t="shared" si="20"/>
        <v>0</v>
      </c>
      <c r="S33" s="50">
        <f ca="1">+GETPIVOTDATA("XBB4",'binhba (2016)'!$A$3,"MA_HT","DVH","MA_QH","CQP")</f>
        <v>0</v>
      </c>
      <c r="T33" s="50">
        <f ca="1">+GETPIVOTDATA("XBB4",'binhba (2016)'!$A$3,"MA_HT","DVH","MA_QH","CAN")</f>
        <v>0</v>
      </c>
      <c r="U33" s="50">
        <f ca="1">+GETPIVOTDATA("XBB4",'binhba (2016)'!$A$3,"MA_HT","DVH","MA_QH","SKK")</f>
        <v>0</v>
      </c>
      <c r="V33" s="50">
        <f ca="1">+GETPIVOTDATA("XBB4",'binhba (2016)'!$A$3,"MA_HT","DVH","MA_QH","SKT")</f>
        <v>0</v>
      </c>
      <c r="W33" s="50">
        <f ca="1">+GETPIVOTDATA("XBB4",'binhba (2016)'!$A$3,"MA_HT","DVH","MA_QH","SKN")</f>
        <v>0</v>
      </c>
      <c r="X33" s="50">
        <f ca="1">+GETPIVOTDATA("XBB4",'binhba (2016)'!$A$3,"MA_HT","DVH","MA_QH","TMD")</f>
        <v>0</v>
      </c>
      <c r="Y33" s="50">
        <f ca="1">+GETPIVOTDATA("XBB4",'binhba (2016)'!$A$3,"MA_HT","DVH","MA_QH","SKC")</f>
        <v>0</v>
      </c>
      <c r="Z33" s="50">
        <f ca="1">+GETPIVOTDATA("XBB4",'binhba (2016)'!$A$3,"MA_HT","DVH","MA_QH","SKS")</f>
        <v>0</v>
      </c>
      <c r="AA33" s="52">
        <f ca="1">+SUM(AB33:AE33,AG33:AM33)</f>
        <v>0</v>
      </c>
      <c r="AB33" s="50">
        <f ca="1">+GETPIVOTDATA("XBB4",'binhba (2016)'!$A$3,"MA_HT","DVH","MA_QH","DGT")</f>
        <v>0</v>
      </c>
      <c r="AC33" s="50">
        <f ca="1">+GETPIVOTDATA("XBB4",'binhba (2016)'!$A$3,"MA_HT","DVH","MA_QH","DTL")</f>
        <v>0</v>
      </c>
      <c r="AD33" s="50">
        <f ca="1">+GETPIVOTDATA("XBB4",'binhba (2016)'!$A$3,"MA_HT","DVH","MA_QH","DNL")</f>
        <v>0</v>
      </c>
      <c r="AE33" s="50">
        <f ca="1">+GETPIVOTDATA("XBB4",'binhba (2016)'!$A$3,"MA_HT","DVH","MA_QH","DBV")</f>
        <v>0</v>
      </c>
      <c r="AF33" s="49" t="e">
        <f ca="1">$D33-$BF33</f>
        <v>#REF!</v>
      </c>
      <c r="AG33" s="50">
        <f ca="1">+GETPIVOTDATA("XBB4",'binhba (2016)'!$A$3,"MA_HT","DVH","MA_QH","DYT")</f>
        <v>0</v>
      </c>
      <c r="AH33" s="50">
        <f ca="1">+GETPIVOTDATA("XBB4",'binhba (2016)'!$A$3,"MA_HT","DVH","MA_QH","DGD")</f>
        <v>0</v>
      </c>
      <c r="AI33" s="50">
        <f ca="1">+GETPIVOTDATA("XBB4",'binhba (2016)'!$A$3,"MA_HT","DVH","MA_QH","DTT")</f>
        <v>0</v>
      </c>
      <c r="AJ33" s="50">
        <f ca="1">+GETPIVOTDATA("XBB4",'binhba (2016)'!$A$3,"MA_HT","DVH","MA_QH","NCK")</f>
        <v>0</v>
      </c>
      <c r="AK33" s="50">
        <f ca="1">+GETPIVOTDATA("XBB4",'binhba (2016)'!$A$3,"MA_HT","DVH","MA_QH","DXH")</f>
        <v>0</v>
      </c>
      <c r="AL33" s="50">
        <f ca="1">+GETPIVOTDATA("XBB4",'binhba (2016)'!$A$3,"MA_HT","DVH","MA_QH","DCH")</f>
        <v>0</v>
      </c>
      <c r="AM33" s="50">
        <f ca="1">+GETPIVOTDATA("XBB4",'binhba (2016)'!$A$3,"MA_HT","DVH","MA_QH","DKG")</f>
        <v>0</v>
      </c>
      <c r="AN33" s="50">
        <f ca="1">+GETPIVOTDATA("XBB4",'binhba (2016)'!$A$3,"MA_HT","DVH","MA_QH","DDT")</f>
        <v>0</v>
      </c>
      <c r="AO33" s="50">
        <f ca="1">+GETPIVOTDATA("XBB4",'binhba (2016)'!$A$3,"MA_HT","DVH","MA_QH","DDL")</f>
        <v>0</v>
      </c>
      <c r="AP33" s="50">
        <f ca="1">+GETPIVOTDATA("XBB4",'binhba (2016)'!$A$3,"MA_HT","DVH","MA_QH","DRA")</f>
        <v>0</v>
      </c>
      <c r="AQ33" s="50">
        <f ca="1">+GETPIVOTDATA("XBB4",'binhba (2016)'!$A$3,"MA_HT","DVH","MA_QH","ONT")</f>
        <v>0</v>
      </c>
      <c r="AR33" s="50">
        <f ca="1">+GETPIVOTDATA("XBB4",'binhba (2016)'!$A$3,"MA_HT","DVH","MA_QH","ODT")</f>
        <v>0</v>
      </c>
      <c r="AS33" s="50">
        <f ca="1">+GETPIVOTDATA("XBB4",'binhba (2016)'!$A$3,"MA_HT","DVH","MA_QH","TSC")</f>
        <v>0</v>
      </c>
      <c r="AT33" s="50">
        <f ca="1">+GETPIVOTDATA("XBB4",'binhba (2016)'!$A$3,"MA_HT","DVH","MA_QH","DTS")</f>
        <v>0</v>
      </c>
      <c r="AU33" s="50">
        <f ca="1">+GETPIVOTDATA("XBB4",'binhba (2016)'!$A$3,"MA_HT","DVH","MA_QH","DNG")</f>
        <v>0</v>
      </c>
      <c r="AV33" s="50">
        <f ca="1">+GETPIVOTDATA("XBB4",'binhba (2016)'!$A$3,"MA_HT","DVH","MA_QH","TON")</f>
        <v>0</v>
      </c>
      <c r="AW33" s="50">
        <f ca="1">+GETPIVOTDATA("XBB4",'binhba (2016)'!$A$3,"MA_HT","DVH","MA_QH","NTD")</f>
        <v>0</v>
      </c>
      <c r="AX33" s="50">
        <f ca="1">+GETPIVOTDATA("XBB4",'binhba (2016)'!$A$3,"MA_HT","DVH","MA_QH","SKX")</f>
        <v>0</v>
      </c>
      <c r="AY33" s="50">
        <f ca="1">+GETPIVOTDATA("XBB4",'binhba (2016)'!$A$3,"MA_HT","DVH","MA_QH","DSH")</f>
        <v>0</v>
      </c>
      <c r="AZ33" s="50">
        <f ca="1">+GETPIVOTDATA("XBB4",'binhba (2016)'!$A$3,"MA_HT","DVH","MA_QH","DKV")</f>
        <v>0</v>
      </c>
      <c r="BA33" s="88">
        <f ca="1">+GETPIVOTDATA("XBB4",'binhba (2016)'!$A$3,"MA_HT","DVH","MA_QH","TIN")</f>
        <v>0</v>
      </c>
      <c r="BB33" s="50">
        <f ca="1">+GETPIVOTDATA("XBB4",'binhba (2016)'!$A$3,"MA_HT","DVH","MA_QH","SON")</f>
        <v>0</v>
      </c>
      <c r="BC33" s="50">
        <f ca="1">+GETPIVOTDATA("XBB4",'binhba (2016)'!$A$3,"MA_HT","DVH","MA_QH","MNC")</f>
        <v>0</v>
      </c>
      <c r="BD33" s="50">
        <f ca="1">+GETPIVOTDATA("XBB4",'binhba (2016)'!$A$3,"MA_HT","DVH","MA_QH","PNK")</f>
        <v>0</v>
      </c>
      <c r="BE33" s="80">
        <f ca="1">+GETPIVOTDATA("XBB4",'binhba (2016)'!$A$3,"MA_HT","DVH","MA_QH","CSD")</f>
        <v>0</v>
      </c>
      <c r="BF33" s="103">
        <f ca="1" t="shared" si="13"/>
        <v>0</v>
      </c>
      <c r="BG33" s="104">
        <f ca="1">AF$59-$BF33</f>
        <v>0</v>
      </c>
      <c r="BH33" s="47" t="e">
        <f ca="1" t="shared" si="14"/>
        <v>#REF!</v>
      </c>
      <c r="BI33" s="105"/>
      <c r="BJ33" s="105" t="e">
        <f>#REF!</f>
        <v>#REF!</v>
      </c>
      <c r="BK33" s="108" t="e">
        <f ca="1" t="shared" si="19"/>
        <v>#REF!</v>
      </c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</row>
    <row r="34" s="4" customFormat="1" ht="16.5" customHeight="1" spans="1:79">
      <c r="A34" s="45" t="s">
        <v>8386</v>
      </c>
      <c r="B34" s="45" t="s">
        <v>8387</v>
      </c>
      <c r="C34" s="46" t="s">
        <v>8296</v>
      </c>
      <c r="D34" s="47" t="e">
        <f>+#REF!</f>
        <v>#REF!</v>
      </c>
      <c r="E34" s="42">
        <f ca="1" t="shared" si="15"/>
        <v>0</v>
      </c>
      <c r="F34" s="52">
        <f ca="1" t="shared" si="9"/>
        <v>0</v>
      </c>
      <c r="G34" s="50">
        <f ca="1">+GETPIVOTDATA("XBB4",'binhba (2016)'!$A$3,"MA_HT","DYT","MA_QH","LUC")</f>
        <v>0</v>
      </c>
      <c r="H34" s="50">
        <f ca="1">+GETPIVOTDATA("XBB4",'binhba (2016)'!$A$3,"MA_HT","DYT","MA_QH","LUK")</f>
        <v>0</v>
      </c>
      <c r="I34" s="50">
        <f ca="1">+GETPIVOTDATA("XBB4",'binhba (2016)'!$A$3,"MA_HT","DYT","MA_QH","LUN")</f>
        <v>0</v>
      </c>
      <c r="J34" s="50">
        <f ca="1">+GETPIVOTDATA("XBB4",'binhba (2016)'!$A$3,"MA_HT","DYT","MA_QH","HNK")</f>
        <v>0</v>
      </c>
      <c r="K34" s="50">
        <f ca="1">+GETPIVOTDATA("XBB4",'binhba (2016)'!$A$3,"MA_HT","DYT","MA_QH","CLN")</f>
        <v>0</v>
      </c>
      <c r="L34" s="50">
        <f ca="1">+GETPIVOTDATA("XBB4",'binhba (2016)'!$A$3,"MA_HT","DYT","MA_QH","RSX")</f>
        <v>0</v>
      </c>
      <c r="M34" s="50">
        <f ca="1">+GETPIVOTDATA("XBB4",'binhba (2016)'!$A$3,"MA_HT","DYT","MA_QH","RPH")</f>
        <v>0</v>
      </c>
      <c r="N34" s="50">
        <f ca="1">+GETPIVOTDATA("XBB4",'binhba (2016)'!$A$3,"MA_HT","DYT","MA_QH","RDD")</f>
        <v>0</v>
      </c>
      <c r="O34" s="50">
        <f ca="1">+GETPIVOTDATA("XBB4",'binhba (2016)'!$A$3,"MA_HT","DYT","MA_QH","NTS")</f>
        <v>0</v>
      </c>
      <c r="P34" s="50">
        <f ca="1">+GETPIVOTDATA("XBB4",'binhba (2016)'!$A$3,"MA_HT","DYT","MA_QH","LMU")</f>
        <v>0</v>
      </c>
      <c r="Q34" s="50">
        <f ca="1">+GETPIVOTDATA("XBB4",'binhba (2016)'!$A$3,"MA_HT","DYT","MA_QH","NKH")</f>
        <v>0</v>
      </c>
      <c r="R34" s="48">
        <f ca="1" t="shared" si="20"/>
        <v>0</v>
      </c>
      <c r="S34" s="50">
        <f ca="1">+GETPIVOTDATA("XBB4",'binhba (2016)'!$A$3,"MA_HT","DYT","MA_QH","CQP")</f>
        <v>0</v>
      </c>
      <c r="T34" s="50">
        <f ca="1">+GETPIVOTDATA("XBB4",'binhba (2016)'!$A$3,"MA_HT","DYT","MA_QH","CAN")</f>
        <v>0</v>
      </c>
      <c r="U34" s="50">
        <f ca="1">+GETPIVOTDATA("XBB4",'binhba (2016)'!$A$3,"MA_HT","DYT","MA_QH","SKK")</f>
        <v>0</v>
      </c>
      <c r="V34" s="50">
        <f ca="1">+GETPIVOTDATA("XBB4",'binhba (2016)'!$A$3,"MA_HT","DYT","MA_QH","SKT")</f>
        <v>0</v>
      </c>
      <c r="W34" s="50">
        <f ca="1">+GETPIVOTDATA("XBB4",'binhba (2016)'!$A$3,"MA_HT","DYT","MA_QH","SKN")</f>
        <v>0</v>
      </c>
      <c r="X34" s="50">
        <f ca="1">+GETPIVOTDATA("XBB4",'binhba (2016)'!$A$3,"MA_HT","DYT","MA_QH","TMD")</f>
        <v>0</v>
      </c>
      <c r="Y34" s="50">
        <f ca="1">+GETPIVOTDATA("XBB4",'binhba (2016)'!$A$3,"MA_HT","DYT","MA_QH","SKC")</f>
        <v>0</v>
      </c>
      <c r="Z34" s="50">
        <f ca="1">+GETPIVOTDATA("XBB4",'binhba (2016)'!$A$3,"MA_HT","DYT","MA_QH","SKS")</f>
        <v>0</v>
      </c>
      <c r="AA34" s="52">
        <f ca="1">+SUM(AB34:AF34,AH34:AM34)</f>
        <v>0</v>
      </c>
      <c r="AB34" s="50">
        <f ca="1">+GETPIVOTDATA("XBB4",'binhba (2016)'!$A$3,"MA_HT","DYT","MA_QH","DGT")</f>
        <v>0</v>
      </c>
      <c r="AC34" s="50">
        <f ca="1">+GETPIVOTDATA("XBB4",'binhba (2016)'!$A$3,"MA_HT","DYT","MA_QH","DTL")</f>
        <v>0</v>
      </c>
      <c r="AD34" s="50">
        <f ca="1">+GETPIVOTDATA("XBB4",'binhba (2016)'!$A$3,"MA_HT","DYT","MA_QH","DNL")</f>
        <v>0</v>
      </c>
      <c r="AE34" s="50">
        <f ca="1">+GETPIVOTDATA("XBB4",'binhba (2016)'!$A$3,"MA_HT","DYT","MA_QH","DBV")</f>
        <v>0</v>
      </c>
      <c r="AF34" s="50">
        <f ca="1">+GETPIVOTDATA("XBB4",'binhba (2016)'!$A$3,"MA_HT","DYT","MA_QH","DVH")</f>
        <v>0</v>
      </c>
      <c r="AG34" s="49" t="e">
        <f ca="1">$D34-$BF34</f>
        <v>#REF!</v>
      </c>
      <c r="AH34" s="50">
        <f ca="1">+GETPIVOTDATA("XBB4",'binhba (2016)'!$A$3,"MA_HT","DYT","MA_QH","DGD")</f>
        <v>0</v>
      </c>
      <c r="AI34" s="50">
        <f ca="1">+GETPIVOTDATA("XBB4",'binhba (2016)'!$A$3,"MA_HT","DYT","MA_QH","DTT")</f>
        <v>0</v>
      </c>
      <c r="AJ34" s="50">
        <f ca="1">+GETPIVOTDATA("XBB4",'binhba (2016)'!$A$3,"MA_HT","DYT","MA_QH","NCK")</f>
        <v>0</v>
      </c>
      <c r="AK34" s="50">
        <f ca="1">+GETPIVOTDATA("XBB4",'binhba (2016)'!$A$3,"MA_HT","DYT","MA_QH","DXH")</f>
        <v>0</v>
      </c>
      <c r="AL34" s="50">
        <f ca="1">+GETPIVOTDATA("XBB4",'binhba (2016)'!$A$3,"MA_HT","DYT","MA_QH","DCH")</f>
        <v>0</v>
      </c>
      <c r="AM34" s="50">
        <f ca="1">+GETPIVOTDATA("XBB4",'binhba (2016)'!$A$3,"MA_HT","DYT","MA_QH","DKG")</f>
        <v>0</v>
      </c>
      <c r="AN34" s="50">
        <f ca="1">+GETPIVOTDATA("XBB4",'binhba (2016)'!$A$3,"MA_HT","DYT","MA_QH","DDT")</f>
        <v>0</v>
      </c>
      <c r="AO34" s="50">
        <f ca="1">+GETPIVOTDATA("XBB4",'binhba (2016)'!$A$3,"MA_HT","DYT","MA_QH","DDL")</f>
        <v>0</v>
      </c>
      <c r="AP34" s="50">
        <f ca="1">+GETPIVOTDATA("XBB4",'binhba (2016)'!$A$3,"MA_HT","DYT","MA_QH","DRA")</f>
        <v>0</v>
      </c>
      <c r="AQ34" s="50">
        <f ca="1">+GETPIVOTDATA("XBB4",'binhba (2016)'!$A$3,"MA_HT","DYT","MA_QH","ONT")</f>
        <v>0</v>
      </c>
      <c r="AR34" s="50">
        <f ca="1">+GETPIVOTDATA("XBB4",'binhba (2016)'!$A$3,"MA_HT","DYT","MA_QH","ODT")</f>
        <v>0</v>
      </c>
      <c r="AS34" s="50">
        <f ca="1">+GETPIVOTDATA("XBB4",'binhba (2016)'!$A$3,"MA_HT","DYT","MA_QH","TSC")</f>
        <v>0</v>
      </c>
      <c r="AT34" s="50">
        <f ca="1">+GETPIVOTDATA("XBB4",'binhba (2016)'!$A$3,"MA_HT","DYT","MA_QH","DTS")</f>
        <v>0</v>
      </c>
      <c r="AU34" s="50">
        <f ca="1">+GETPIVOTDATA("XBB4",'binhba (2016)'!$A$3,"MA_HT","DYT","MA_QH","DNG")</f>
        <v>0</v>
      </c>
      <c r="AV34" s="50">
        <f ca="1">+GETPIVOTDATA("XBB4",'binhba (2016)'!$A$3,"MA_HT","DYT","MA_QH","TON")</f>
        <v>0</v>
      </c>
      <c r="AW34" s="50">
        <f ca="1">+GETPIVOTDATA("XBB4",'binhba (2016)'!$A$3,"MA_HT","DYT","MA_QH","NTD")</f>
        <v>0</v>
      </c>
      <c r="AX34" s="50">
        <f ca="1">+GETPIVOTDATA("XBB4",'binhba (2016)'!$A$3,"MA_HT","DYT","MA_QH","SKX")</f>
        <v>0</v>
      </c>
      <c r="AY34" s="50">
        <f ca="1">+GETPIVOTDATA("XBB4",'binhba (2016)'!$A$3,"MA_HT","DYT","MA_QH","DSH")</f>
        <v>0</v>
      </c>
      <c r="AZ34" s="50">
        <f ca="1">+GETPIVOTDATA("XBB4",'binhba (2016)'!$A$3,"MA_HT","DYT","MA_QH","DKV")</f>
        <v>0</v>
      </c>
      <c r="BA34" s="88">
        <f ca="1">+GETPIVOTDATA("XBB4",'binhba (2016)'!$A$3,"MA_HT","DYT","MA_QH","TIN")</f>
        <v>0</v>
      </c>
      <c r="BB34" s="50">
        <f ca="1">+GETPIVOTDATA("XBB4",'binhba (2016)'!$A$3,"MA_HT","DYT","MA_QH","SON")</f>
        <v>0</v>
      </c>
      <c r="BC34" s="50">
        <f ca="1">+GETPIVOTDATA("XBB4",'binhba (2016)'!$A$3,"MA_HT","DYT","MA_QH","MNC")</f>
        <v>0</v>
      </c>
      <c r="BD34" s="50">
        <f ca="1">+GETPIVOTDATA("XBB4",'binhba (2016)'!$A$3,"MA_HT","DYT","MA_QH","PNK")</f>
        <v>0</v>
      </c>
      <c r="BE34" s="80">
        <f ca="1">+GETPIVOTDATA("XBB4",'binhba (2016)'!$A$3,"MA_HT","DYT","MA_QH","CSD")</f>
        <v>0</v>
      </c>
      <c r="BF34" s="103">
        <f ca="1" t="shared" si="13"/>
        <v>0</v>
      </c>
      <c r="BG34" s="104">
        <f ca="1">AG$59-$BF34</f>
        <v>0</v>
      </c>
      <c r="BH34" s="47" t="e">
        <f ca="1" t="shared" si="14"/>
        <v>#REF!</v>
      </c>
      <c r="BI34" s="105"/>
      <c r="BJ34" s="105" t="e">
        <f>#REF!</f>
        <v>#REF!</v>
      </c>
      <c r="BK34" s="108" t="e">
        <f ca="1" t="shared" si="19"/>
        <v>#REF!</v>
      </c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</row>
    <row r="35" s="4" customFormat="1" ht="16.5" customHeight="1" spans="1:79">
      <c r="A35" s="45" t="s">
        <v>8388</v>
      </c>
      <c r="B35" s="45" t="s">
        <v>8389</v>
      </c>
      <c r="C35" s="46" t="s">
        <v>165</v>
      </c>
      <c r="D35" s="47" t="e">
        <f>+#REF!</f>
        <v>#REF!</v>
      </c>
      <c r="E35" s="42">
        <f ca="1" t="shared" si="15"/>
        <v>0</v>
      </c>
      <c r="F35" s="52">
        <f ca="1" t="shared" si="9"/>
        <v>0</v>
      </c>
      <c r="G35" s="50">
        <f ca="1">+GETPIVOTDATA("XBB4",'binhba (2016)'!$A$3,"MA_HT","DGD","MA_QH","LUC")</f>
        <v>0</v>
      </c>
      <c r="H35" s="50">
        <f ca="1">+GETPIVOTDATA("XBB4",'binhba (2016)'!$A$3,"MA_HT","DGD","MA_QH","LUK")</f>
        <v>0</v>
      </c>
      <c r="I35" s="50">
        <f ca="1">+GETPIVOTDATA("XBB4",'binhba (2016)'!$A$3,"MA_HT","DGD","MA_QH","LUN")</f>
        <v>0</v>
      </c>
      <c r="J35" s="50">
        <f ca="1">+GETPIVOTDATA("XBB4",'binhba (2016)'!$A$3,"MA_HT","DGD","MA_QH","HNK")</f>
        <v>0</v>
      </c>
      <c r="K35" s="50">
        <f ca="1">+GETPIVOTDATA("XBB4",'binhba (2016)'!$A$3,"MA_HT","DGD","MA_QH","CLN")</f>
        <v>0</v>
      </c>
      <c r="L35" s="50">
        <f ca="1">+GETPIVOTDATA("XBB4",'binhba (2016)'!$A$3,"MA_HT","DGD","MA_QH","RSX")</f>
        <v>0</v>
      </c>
      <c r="M35" s="50">
        <f ca="1">+GETPIVOTDATA("XBB4",'binhba (2016)'!$A$3,"MA_HT","DGD","MA_QH","RPH")</f>
        <v>0</v>
      </c>
      <c r="N35" s="50">
        <f ca="1">+GETPIVOTDATA("XBB4",'binhba (2016)'!$A$3,"MA_HT","DGD","MA_QH","RDD")</f>
        <v>0</v>
      </c>
      <c r="O35" s="50">
        <f ca="1">+GETPIVOTDATA("XBB4",'binhba (2016)'!$A$3,"MA_HT","DGD","MA_QH","NTS")</f>
        <v>0</v>
      </c>
      <c r="P35" s="50">
        <f ca="1">+GETPIVOTDATA("XBB4",'binhba (2016)'!$A$3,"MA_HT","DGD","MA_QH","LMU")</f>
        <v>0</v>
      </c>
      <c r="Q35" s="50">
        <f ca="1">+GETPIVOTDATA("XBB4",'binhba (2016)'!$A$3,"MA_HT","DGD","MA_QH","NKH")</f>
        <v>0</v>
      </c>
      <c r="R35" s="48">
        <f ca="1" t="shared" si="20"/>
        <v>0</v>
      </c>
      <c r="S35" s="50">
        <f ca="1">+GETPIVOTDATA("XBB4",'binhba (2016)'!$A$3,"MA_HT","DGD","MA_QH","CQP")</f>
        <v>0</v>
      </c>
      <c r="T35" s="50">
        <f ca="1">+GETPIVOTDATA("XBB4",'binhba (2016)'!$A$3,"MA_HT","DGD","MA_QH","CAN")</f>
        <v>0</v>
      </c>
      <c r="U35" s="50">
        <f ca="1">+GETPIVOTDATA("XBB4",'binhba (2016)'!$A$3,"MA_HT","DGD","MA_QH","SKK")</f>
        <v>0</v>
      </c>
      <c r="V35" s="50">
        <f ca="1">+GETPIVOTDATA("XBB4",'binhba (2016)'!$A$3,"MA_HT","DGD","MA_QH","SKT")</f>
        <v>0</v>
      </c>
      <c r="W35" s="50">
        <f ca="1">+GETPIVOTDATA("XBB4",'binhba (2016)'!$A$3,"MA_HT","DGD","MA_QH","SKN")</f>
        <v>0</v>
      </c>
      <c r="X35" s="50">
        <f ca="1">+GETPIVOTDATA("XBB4",'binhba (2016)'!$A$3,"MA_HT","DGD","MA_QH","TMD")</f>
        <v>0</v>
      </c>
      <c r="Y35" s="50">
        <f ca="1">+GETPIVOTDATA("XBB4",'binhba (2016)'!$A$3,"MA_HT","DGD","MA_QH","SKC")</f>
        <v>0</v>
      </c>
      <c r="Z35" s="50">
        <f ca="1">+GETPIVOTDATA("XBB4",'binhba (2016)'!$A$3,"MA_HT","DGD","MA_QH","SKS")</f>
        <v>0</v>
      </c>
      <c r="AA35" s="52">
        <f ca="1">+SUM(AB35:AG35,AI35:AM35)</f>
        <v>0</v>
      </c>
      <c r="AB35" s="50">
        <f ca="1">+GETPIVOTDATA("XBB4",'binhba (2016)'!$A$3,"MA_HT","DGD","MA_QH","DGT")</f>
        <v>0</v>
      </c>
      <c r="AC35" s="50">
        <f ca="1">+GETPIVOTDATA("XBB4",'binhba (2016)'!$A$3,"MA_HT","DGD","MA_QH","DTL")</f>
        <v>0</v>
      </c>
      <c r="AD35" s="50">
        <f ca="1">+GETPIVOTDATA("XBB4",'binhba (2016)'!$A$3,"MA_HT","DGD","MA_QH","DNL")</f>
        <v>0</v>
      </c>
      <c r="AE35" s="50">
        <f ca="1">+GETPIVOTDATA("XBB4",'binhba (2016)'!$A$3,"MA_HT","DGD","MA_QH","DBV")</f>
        <v>0</v>
      </c>
      <c r="AF35" s="50">
        <f ca="1">+GETPIVOTDATA("XBB4",'binhba (2016)'!$A$3,"MA_HT","DGD","MA_QH","DVH")</f>
        <v>0</v>
      </c>
      <c r="AG35" s="50">
        <f ca="1">+GETPIVOTDATA("XBB4",'binhba (2016)'!$A$3,"MA_HT","DGD","MA_QH","DYT")</f>
        <v>0</v>
      </c>
      <c r="AH35" s="49" t="e">
        <f ca="1">$D35-$BF35</f>
        <v>#REF!</v>
      </c>
      <c r="AI35" s="50">
        <f ca="1">+GETPIVOTDATA("XBB4",'binhba (2016)'!$A$3,"MA_HT","DGD","MA_QH","DTT")</f>
        <v>0</v>
      </c>
      <c r="AJ35" s="50">
        <f ca="1">+GETPIVOTDATA("XBB4",'binhba (2016)'!$A$3,"MA_HT","DGD","MA_QH","NCK")</f>
        <v>0</v>
      </c>
      <c r="AK35" s="50">
        <f ca="1">+GETPIVOTDATA("XBB4",'binhba (2016)'!$A$3,"MA_HT","DGD","MA_QH","DXH")</f>
        <v>0</v>
      </c>
      <c r="AL35" s="50">
        <f ca="1">+GETPIVOTDATA("XBB4",'binhba (2016)'!$A$3,"MA_HT","DGD","MA_QH","DCH")</f>
        <v>0</v>
      </c>
      <c r="AM35" s="50">
        <f ca="1">+GETPIVOTDATA("XBB4",'binhba (2016)'!$A$3,"MA_HT","DGD","MA_QH","DKG")</f>
        <v>0</v>
      </c>
      <c r="AN35" s="50">
        <f ca="1">+GETPIVOTDATA("XBB4",'binhba (2016)'!$A$3,"MA_HT","DGD","MA_QH","DDT")</f>
        <v>0</v>
      </c>
      <c r="AO35" s="50">
        <f ca="1">+GETPIVOTDATA("XBB4",'binhba (2016)'!$A$3,"MA_HT","DGD","MA_QH","DDL")</f>
        <v>0</v>
      </c>
      <c r="AP35" s="50">
        <f ca="1">+GETPIVOTDATA("XBB4",'binhba (2016)'!$A$3,"MA_HT","DGD","MA_QH","DRA")</f>
        <v>0</v>
      </c>
      <c r="AQ35" s="50">
        <f ca="1">+GETPIVOTDATA("XBB4",'binhba (2016)'!$A$3,"MA_HT","DGD","MA_QH","ONT")</f>
        <v>0</v>
      </c>
      <c r="AR35" s="50">
        <f ca="1">+GETPIVOTDATA("XBB4",'binhba (2016)'!$A$3,"MA_HT","DGD","MA_QH","ODT")</f>
        <v>0</v>
      </c>
      <c r="AS35" s="50">
        <f ca="1">+GETPIVOTDATA("XBB4",'binhba (2016)'!$A$3,"MA_HT","DGD","MA_QH","TSC")</f>
        <v>0</v>
      </c>
      <c r="AT35" s="50">
        <f ca="1">+GETPIVOTDATA("XBB4",'binhba (2016)'!$A$3,"MA_HT","DGD","MA_QH","DTS")</f>
        <v>0</v>
      </c>
      <c r="AU35" s="50">
        <f ca="1">+GETPIVOTDATA("XBB4",'binhba (2016)'!$A$3,"MA_HT","DGD","MA_QH","DNG")</f>
        <v>0</v>
      </c>
      <c r="AV35" s="50">
        <f ca="1">+GETPIVOTDATA("XBB4",'binhba (2016)'!$A$3,"MA_HT","DGD","MA_QH","TON")</f>
        <v>0</v>
      </c>
      <c r="AW35" s="50">
        <f ca="1">+GETPIVOTDATA("XBB4",'binhba (2016)'!$A$3,"MA_HT","DGD","MA_QH","NTD")</f>
        <v>0</v>
      </c>
      <c r="AX35" s="50">
        <f ca="1">+GETPIVOTDATA("XBB4",'binhba (2016)'!$A$3,"MA_HT","DGD","MA_QH","SKX")</f>
        <v>0</v>
      </c>
      <c r="AY35" s="50">
        <f ca="1">+GETPIVOTDATA("XBB4",'binhba (2016)'!$A$3,"MA_HT","DGD","MA_QH","DSH")</f>
        <v>0</v>
      </c>
      <c r="AZ35" s="50">
        <f ca="1">+GETPIVOTDATA("XBB4",'binhba (2016)'!$A$3,"MA_HT","DGD","MA_QH","DKV")</f>
        <v>0</v>
      </c>
      <c r="BA35" s="88">
        <f ca="1">+GETPIVOTDATA("XBB4",'binhba (2016)'!$A$3,"MA_HT","DGD","MA_QH","TIN")</f>
        <v>0</v>
      </c>
      <c r="BB35" s="50">
        <f ca="1">+GETPIVOTDATA("XBB4",'binhba (2016)'!$A$3,"MA_HT","DGD","MA_QH","SON")</f>
        <v>0</v>
      </c>
      <c r="BC35" s="50">
        <f ca="1">+GETPIVOTDATA("XBB4",'binhba (2016)'!$A$3,"MA_HT","DGD","MA_QH","MNC")</f>
        <v>0</v>
      </c>
      <c r="BD35" s="50">
        <f ca="1">+GETPIVOTDATA("XBB4",'binhba (2016)'!$A$3,"MA_HT","DGD","MA_QH","PNK")</f>
        <v>0</v>
      </c>
      <c r="BE35" s="80">
        <f ca="1">+GETPIVOTDATA("XBB4",'binhba (2016)'!$A$3,"MA_HT","DGD","MA_QH","CSD")</f>
        <v>0</v>
      </c>
      <c r="BF35" s="103">
        <f ca="1" t="shared" si="13"/>
        <v>0</v>
      </c>
      <c r="BG35" s="104">
        <f ca="1">AH$59-$BF35</f>
        <v>0</v>
      </c>
      <c r="BH35" s="47" t="e">
        <f ca="1" t="shared" si="14"/>
        <v>#REF!</v>
      </c>
      <c r="BI35" s="105"/>
      <c r="BJ35" s="105" t="e">
        <f>#REF!</f>
        <v>#REF!</v>
      </c>
      <c r="BK35" s="108" t="e">
        <f ca="1" t="shared" si="19"/>
        <v>#REF!</v>
      </c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</row>
    <row r="36" s="4" customFormat="1" ht="16.5" customHeight="1" spans="1:79">
      <c r="A36" s="45" t="s">
        <v>8390</v>
      </c>
      <c r="B36" s="45" t="s">
        <v>8391</v>
      </c>
      <c r="C36" s="46" t="s">
        <v>8294</v>
      </c>
      <c r="D36" s="47" t="e">
        <f>+#REF!</f>
        <v>#REF!</v>
      </c>
      <c r="E36" s="42">
        <f ca="1" t="shared" si="15"/>
        <v>0</v>
      </c>
      <c r="F36" s="52">
        <f ca="1" t="shared" si="9"/>
        <v>0</v>
      </c>
      <c r="G36" s="50">
        <f ca="1">+GETPIVOTDATA("XBB4",'binhba (2016)'!$A$3,"MA_HT","DTT","MA_QH","LUC")</f>
        <v>0</v>
      </c>
      <c r="H36" s="50">
        <f ca="1">+GETPIVOTDATA("XBB4",'binhba (2016)'!$A$3,"MA_HT","DTT","MA_QH","LUK")</f>
        <v>0</v>
      </c>
      <c r="I36" s="50">
        <f ca="1">+GETPIVOTDATA("XBB4",'binhba (2016)'!$A$3,"MA_HT","DTT","MA_QH","LUN")</f>
        <v>0</v>
      </c>
      <c r="J36" s="50">
        <f ca="1">+GETPIVOTDATA("XBB4",'binhba (2016)'!$A$3,"MA_HT","DTT","MA_QH","HNK")</f>
        <v>0</v>
      </c>
      <c r="K36" s="50">
        <f ca="1">+GETPIVOTDATA("XBB4",'binhba (2016)'!$A$3,"MA_HT","DTT","MA_QH","CLN")</f>
        <v>0</v>
      </c>
      <c r="L36" s="50">
        <f ca="1">+GETPIVOTDATA("XBB4",'binhba (2016)'!$A$3,"MA_HT","DTT","MA_QH","RSX")</f>
        <v>0</v>
      </c>
      <c r="M36" s="50">
        <f ca="1">+GETPIVOTDATA("XBB4",'binhba (2016)'!$A$3,"MA_HT","DTT","MA_QH","RPH")</f>
        <v>0</v>
      </c>
      <c r="N36" s="50">
        <f ca="1">+GETPIVOTDATA("XBB4",'binhba (2016)'!$A$3,"MA_HT","DTT","MA_QH","RDD")</f>
        <v>0</v>
      </c>
      <c r="O36" s="50">
        <f ca="1">+GETPIVOTDATA("XBB4",'binhba (2016)'!$A$3,"MA_HT","DTT","MA_QH","NTS")</f>
        <v>0</v>
      </c>
      <c r="P36" s="50">
        <f ca="1">+GETPIVOTDATA("XBB4",'binhba (2016)'!$A$3,"MA_HT","DTT","MA_QH","LMU")</f>
        <v>0</v>
      </c>
      <c r="Q36" s="50">
        <f ca="1">+GETPIVOTDATA("XBB4",'binhba (2016)'!$A$3,"MA_HT","DTT","MA_QH","NKH")</f>
        <v>0</v>
      </c>
      <c r="R36" s="48">
        <f ca="1" t="shared" si="20"/>
        <v>0</v>
      </c>
      <c r="S36" s="50">
        <f ca="1">+GETPIVOTDATA("XBB4",'binhba (2016)'!$A$3,"MA_HT","DTT","MA_QH","CQP")</f>
        <v>0</v>
      </c>
      <c r="T36" s="50">
        <f ca="1">+GETPIVOTDATA("XBB4",'binhba (2016)'!$A$3,"MA_HT","DTT","MA_QH","CAN")</f>
        <v>0</v>
      </c>
      <c r="U36" s="50">
        <f ca="1">+GETPIVOTDATA("XBB4",'binhba (2016)'!$A$3,"MA_HT","DTT","MA_QH","SKK")</f>
        <v>0</v>
      </c>
      <c r="V36" s="50">
        <f ca="1">+GETPIVOTDATA("XBB4",'binhba (2016)'!$A$3,"MA_HT","DTT","MA_QH","SKT")</f>
        <v>0</v>
      </c>
      <c r="W36" s="50">
        <f ca="1">+GETPIVOTDATA("XBB4",'binhba (2016)'!$A$3,"MA_HT","DTT","MA_QH","SKN")</f>
        <v>0</v>
      </c>
      <c r="X36" s="50">
        <f ca="1">+GETPIVOTDATA("XBB4",'binhba (2016)'!$A$3,"MA_HT","DTT","MA_QH","TMD")</f>
        <v>0</v>
      </c>
      <c r="Y36" s="50">
        <f ca="1">+GETPIVOTDATA("XBB4",'binhba (2016)'!$A$3,"MA_HT","DTT","MA_QH","SKC")</f>
        <v>0</v>
      </c>
      <c r="Z36" s="50">
        <f ca="1">+GETPIVOTDATA("XBB4",'binhba (2016)'!$A$3,"MA_HT","DTT","MA_QH","SKS")</f>
        <v>0</v>
      </c>
      <c r="AA36" s="52">
        <f ca="1">+SUM(AB36:AH36,AJ36:AM36)</f>
        <v>0</v>
      </c>
      <c r="AB36" s="50">
        <f ca="1">+GETPIVOTDATA("XBB4",'binhba (2016)'!$A$3,"MA_HT","DTT","MA_QH","DGT")</f>
        <v>0</v>
      </c>
      <c r="AC36" s="50">
        <f ca="1">+GETPIVOTDATA("XBB4",'binhba (2016)'!$A$3,"MA_HT","DTT","MA_QH","DTL")</f>
        <v>0</v>
      </c>
      <c r="AD36" s="50">
        <f ca="1">+GETPIVOTDATA("XBB4",'binhba (2016)'!$A$3,"MA_HT","DTT","MA_QH","DNL")</f>
        <v>0</v>
      </c>
      <c r="AE36" s="50">
        <f ca="1">+GETPIVOTDATA("XBB4",'binhba (2016)'!$A$3,"MA_HT","DTT","MA_QH","DBV")</f>
        <v>0</v>
      </c>
      <c r="AF36" s="50">
        <f ca="1">+GETPIVOTDATA("XBB4",'binhba (2016)'!$A$3,"MA_HT","DTT","MA_QH","DVH")</f>
        <v>0</v>
      </c>
      <c r="AG36" s="50">
        <f ca="1">+GETPIVOTDATA("XBB4",'binhba (2016)'!$A$3,"MA_HT","DTT","MA_QH","DYT")</f>
        <v>0</v>
      </c>
      <c r="AH36" s="50">
        <f ca="1">+GETPIVOTDATA("XBB4",'binhba (2016)'!$A$3,"MA_HT","DTT","MA_QH","DGD")</f>
        <v>0</v>
      </c>
      <c r="AI36" s="49" t="e">
        <f ca="1">$D36-$BF36</f>
        <v>#REF!</v>
      </c>
      <c r="AJ36" s="50">
        <f ca="1">+GETPIVOTDATA("XBB4",'binhba (2016)'!$A$3,"MA_HT","DTT","MA_QH","NCK")</f>
        <v>0</v>
      </c>
      <c r="AK36" s="50">
        <f ca="1">+GETPIVOTDATA("XBB4",'binhba (2016)'!$A$3,"MA_HT","DTT","MA_QH","DXH")</f>
        <v>0</v>
      </c>
      <c r="AL36" s="50">
        <f ca="1">+GETPIVOTDATA("XBB4",'binhba (2016)'!$A$3,"MA_HT","DTT","MA_QH","DCH")</f>
        <v>0</v>
      </c>
      <c r="AM36" s="50">
        <f ca="1">+GETPIVOTDATA("XBB4",'binhba (2016)'!$A$3,"MA_HT","DTT","MA_QH","DKG")</f>
        <v>0</v>
      </c>
      <c r="AN36" s="50">
        <f ca="1">+GETPIVOTDATA("XBB4",'binhba (2016)'!$A$3,"MA_HT","DTT","MA_QH","DDT")</f>
        <v>0</v>
      </c>
      <c r="AO36" s="50">
        <f ca="1">+GETPIVOTDATA("XBB4",'binhba (2016)'!$A$3,"MA_HT","DTT","MA_QH","DDL")</f>
        <v>0</v>
      </c>
      <c r="AP36" s="50">
        <f ca="1">+GETPIVOTDATA("XBB4",'binhba (2016)'!$A$3,"MA_HT","DTT","MA_QH","DRA")</f>
        <v>0</v>
      </c>
      <c r="AQ36" s="50">
        <f ca="1">+GETPIVOTDATA("XBB4",'binhba (2016)'!$A$3,"MA_HT","DTT","MA_QH","ONT")</f>
        <v>0</v>
      </c>
      <c r="AR36" s="50">
        <f ca="1">+GETPIVOTDATA("XBB4",'binhba (2016)'!$A$3,"MA_HT","DTT","MA_QH","ODT")</f>
        <v>0</v>
      </c>
      <c r="AS36" s="50">
        <f ca="1">+GETPIVOTDATA("XBB4",'binhba (2016)'!$A$3,"MA_HT","DTT","MA_QH","TSC")</f>
        <v>0</v>
      </c>
      <c r="AT36" s="50">
        <f ca="1">+GETPIVOTDATA("XBB4",'binhba (2016)'!$A$3,"MA_HT","DTT","MA_QH","DTS")</f>
        <v>0</v>
      </c>
      <c r="AU36" s="50">
        <f ca="1">+GETPIVOTDATA("XBB4",'binhba (2016)'!$A$3,"MA_HT","DTT","MA_QH","DNG")</f>
        <v>0</v>
      </c>
      <c r="AV36" s="50">
        <f ca="1">+GETPIVOTDATA("XBB4",'binhba (2016)'!$A$3,"MA_HT","DTT","MA_QH","TON")</f>
        <v>0</v>
      </c>
      <c r="AW36" s="50">
        <f ca="1">+GETPIVOTDATA("XBB4",'binhba (2016)'!$A$3,"MA_HT","DTT","MA_QH","NTD")</f>
        <v>0</v>
      </c>
      <c r="AX36" s="50">
        <f ca="1">+GETPIVOTDATA("XBB4",'binhba (2016)'!$A$3,"MA_HT","DTT","MA_QH","SKX")</f>
        <v>0</v>
      </c>
      <c r="AY36" s="50">
        <f ca="1">+GETPIVOTDATA("XBB4",'binhba (2016)'!$A$3,"MA_HT","DTT","MA_QH","DSH")</f>
        <v>0</v>
      </c>
      <c r="AZ36" s="50">
        <f ca="1">+GETPIVOTDATA("XBB4",'binhba (2016)'!$A$3,"MA_HT","DTT","MA_QH","DKV")</f>
        <v>0</v>
      </c>
      <c r="BA36" s="88">
        <f ca="1">+GETPIVOTDATA("XBB4",'binhba (2016)'!$A$3,"MA_HT","DTT","MA_QH","TIN")</f>
        <v>0</v>
      </c>
      <c r="BB36" s="50">
        <f ca="1">+GETPIVOTDATA("XBB4",'binhba (2016)'!$A$3,"MA_HT","DTT","MA_QH","SON")</f>
        <v>0</v>
      </c>
      <c r="BC36" s="50">
        <f ca="1">+GETPIVOTDATA("XBB4",'binhba (2016)'!$A$3,"MA_HT","DTT","MA_QH","MNC")</f>
        <v>0</v>
      </c>
      <c r="BD36" s="50">
        <f ca="1">+GETPIVOTDATA("XBB4",'binhba (2016)'!$A$3,"MA_HT","DTT","MA_QH","PNK")</f>
        <v>0</v>
      </c>
      <c r="BE36" s="80">
        <f ca="1">+GETPIVOTDATA("XBB4",'binhba (2016)'!$A$3,"MA_HT","DTT","MA_QH","CSD")</f>
        <v>0</v>
      </c>
      <c r="BF36" s="103">
        <f ca="1" t="shared" si="13"/>
        <v>0</v>
      </c>
      <c r="BG36" s="104">
        <f ca="1">AI$59-$BF36</f>
        <v>0</v>
      </c>
      <c r="BH36" s="47" t="e">
        <f ca="1" t="shared" si="14"/>
        <v>#REF!</v>
      </c>
      <c r="BI36" s="105"/>
      <c r="BJ36" s="105" t="e">
        <f>#REF!</f>
        <v>#REF!</v>
      </c>
      <c r="BK36" s="108" t="e">
        <f ca="1" t="shared" si="19"/>
        <v>#REF!</v>
      </c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</row>
    <row r="37" s="4" customFormat="1" ht="16.5" customHeight="1" spans="1:79">
      <c r="A37" s="45" t="s">
        <v>8392</v>
      </c>
      <c r="B37" s="45" t="s">
        <v>8393</v>
      </c>
      <c r="C37" s="46" t="s">
        <v>8302</v>
      </c>
      <c r="D37" s="47" t="e">
        <f>+#REF!</f>
        <v>#REF!</v>
      </c>
      <c r="E37" s="42">
        <f ca="1" t="shared" si="15"/>
        <v>0</v>
      </c>
      <c r="F37" s="52">
        <f ca="1" t="shared" si="9"/>
        <v>0</v>
      </c>
      <c r="G37" s="50">
        <f ca="1">+GETPIVOTDATA("XBB4",'binhba (2016)'!$A$3,"MA_HT","NCK","MA_QH","LUC")</f>
        <v>0</v>
      </c>
      <c r="H37" s="50">
        <f ca="1">+GETPIVOTDATA("XBB4",'binhba (2016)'!$A$3,"MA_HT","NCK","MA_QH","LUK")</f>
        <v>0</v>
      </c>
      <c r="I37" s="50">
        <f ca="1">+GETPIVOTDATA("XBB4",'binhba (2016)'!$A$3,"MA_HT","NCK","MA_QH","LUN")</f>
        <v>0</v>
      </c>
      <c r="J37" s="50">
        <f ca="1">+GETPIVOTDATA("XBB4",'binhba (2016)'!$A$3,"MA_HT","NCK","MA_QH","HNK")</f>
        <v>0</v>
      </c>
      <c r="K37" s="50">
        <f ca="1">+GETPIVOTDATA("XBB4",'binhba (2016)'!$A$3,"MA_HT","NCK","MA_QH","CLN")</f>
        <v>0</v>
      </c>
      <c r="L37" s="50">
        <f ca="1">+GETPIVOTDATA("XBB4",'binhba (2016)'!$A$3,"MA_HT","NCK","MA_QH","RSX")</f>
        <v>0</v>
      </c>
      <c r="M37" s="50">
        <f ca="1">+GETPIVOTDATA("XBB4",'binhba (2016)'!$A$3,"MA_HT","NCK","MA_QH","RPH")</f>
        <v>0</v>
      </c>
      <c r="N37" s="50">
        <f ca="1">+GETPIVOTDATA("XBB4",'binhba (2016)'!$A$3,"MA_HT","NCK","MA_QH","RDD")</f>
        <v>0</v>
      </c>
      <c r="O37" s="50">
        <f ca="1">+GETPIVOTDATA("XBB4",'binhba (2016)'!$A$3,"MA_HT","NCK","MA_QH","NTS")</f>
        <v>0</v>
      </c>
      <c r="P37" s="50">
        <f ca="1">+GETPIVOTDATA("XBB4",'binhba (2016)'!$A$3,"MA_HT","NCK","MA_QH","LMU")</f>
        <v>0</v>
      </c>
      <c r="Q37" s="50">
        <f ca="1">+GETPIVOTDATA("XBB4",'binhba (2016)'!$A$3,"MA_HT","NCK","MA_QH","NKH")</f>
        <v>0</v>
      </c>
      <c r="R37" s="48">
        <f ca="1" t="shared" si="20"/>
        <v>0</v>
      </c>
      <c r="S37" s="50">
        <f ca="1">+GETPIVOTDATA("XBB4",'binhba (2016)'!$A$3,"MA_HT","NCK","MA_QH","CQP")</f>
        <v>0</v>
      </c>
      <c r="T37" s="50">
        <f ca="1">+GETPIVOTDATA("XBB4",'binhba (2016)'!$A$3,"MA_HT","NCK","MA_QH","CAN")</f>
        <v>0</v>
      </c>
      <c r="U37" s="50">
        <f ca="1">+GETPIVOTDATA("XBB4",'binhba (2016)'!$A$3,"MA_HT","NCK","MA_QH","SKK")</f>
        <v>0</v>
      </c>
      <c r="V37" s="50">
        <f ca="1">+GETPIVOTDATA("XBB4",'binhba (2016)'!$A$3,"MA_HT","NCK","MA_QH","SKT")</f>
        <v>0</v>
      </c>
      <c r="W37" s="50">
        <f ca="1">+GETPIVOTDATA("XBB4",'binhba (2016)'!$A$3,"MA_HT","NCK","MA_QH","SKN")</f>
        <v>0</v>
      </c>
      <c r="X37" s="50">
        <f ca="1">+GETPIVOTDATA("XBB4",'binhba (2016)'!$A$3,"MA_HT","NCK","MA_QH","TMD")</f>
        <v>0</v>
      </c>
      <c r="Y37" s="50">
        <f ca="1">+GETPIVOTDATA("XBB4",'binhba (2016)'!$A$3,"MA_HT","NCK","MA_QH","SKC")</f>
        <v>0</v>
      </c>
      <c r="Z37" s="50">
        <f ca="1">+GETPIVOTDATA("XBB4",'binhba (2016)'!$A$3,"MA_HT","NCK","MA_QH","SKS")</f>
        <v>0</v>
      </c>
      <c r="AA37" s="52">
        <f ca="1">+SUM(AB37:AI37,AK37:AM37)</f>
        <v>0</v>
      </c>
      <c r="AB37" s="50">
        <f ca="1">+GETPIVOTDATA("XBB4",'binhba (2016)'!$A$3,"MA_HT","NCK","MA_QH","DGT")</f>
        <v>0</v>
      </c>
      <c r="AC37" s="50">
        <f ca="1">+GETPIVOTDATA("XBB4",'binhba (2016)'!$A$3,"MA_HT","NCK","MA_QH","DTL")</f>
        <v>0</v>
      </c>
      <c r="AD37" s="50">
        <f ca="1">+GETPIVOTDATA("XBB4",'binhba (2016)'!$A$3,"MA_HT","NCK","MA_QH","DNL")</f>
        <v>0</v>
      </c>
      <c r="AE37" s="50">
        <f ca="1">+GETPIVOTDATA("XBB4",'binhba (2016)'!$A$3,"MA_HT","NCK","MA_QH","DBV")</f>
        <v>0</v>
      </c>
      <c r="AF37" s="50">
        <f ca="1">+GETPIVOTDATA("XBB4",'binhba (2016)'!$A$3,"MA_HT","NCK","MA_QH","DVH")</f>
        <v>0</v>
      </c>
      <c r="AG37" s="50">
        <f ca="1">+GETPIVOTDATA("XBB4",'binhba (2016)'!$A$3,"MA_HT","NCK","MA_QH","DYT")</f>
        <v>0</v>
      </c>
      <c r="AH37" s="50">
        <f ca="1">+GETPIVOTDATA("XBB4",'binhba (2016)'!$A$3,"MA_HT","NCK","MA_QH","DGD")</f>
        <v>0</v>
      </c>
      <c r="AI37" s="50">
        <f ca="1">+GETPIVOTDATA("XBB4",'binhba (2016)'!$A$3,"MA_HT","NCK","MA_QH","DTT")</f>
        <v>0</v>
      </c>
      <c r="AJ37" s="49" t="e">
        <f ca="1">$D37-$BF37</f>
        <v>#REF!</v>
      </c>
      <c r="AK37" s="50">
        <f ca="1">+GETPIVOTDATA("XBB4",'binhba (2016)'!$A$3,"MA_HT","NCK","MA_QH","DXH")</f>
        <v>0</v>
      </c>
      <c r="AL37" s="50">
        <f ca="1">+GETPIVOTDATA("XBB4",'binhba (2016)'!$A$3,"MA_HT","NCK","MA_QH","DCH")</f>
        <v>0</v>
      </c>
      <c r="AM37" s="50">
        <f ca="1">+GETPIVOTDATA("XBB4",'binhba (2016)'!$A$3,"MA_HT","NCK","MA_QH","DKG")</f>
        <v>0</v>
      </c>
      <c r="AN37" s="50">
        <f ca="1">+GETPIVOTDATA("XBB4",'binhba (2016)'!$A$3,"MA_HT","NCK","MA_QH","DDT")</f>
        <v>0</v>
      </c>
      <c r="AO37" s="50">
        <f ca="1">+GETPIVOTDATA("XBB4",'binhba (2016)'!$A$3,"MA_HT","NCK","MA_QH","DDL")</f>
        <v>0</v>
      </c>
      <c r="AP37" s="50">
        <f ca="1">+GETPIVOTDATA("XBB4",'binhba (2016)'!$A$3,"MA_HT","NCK","MA_QH","DRA")</f>
        <v>0</v>
      </c>
      <c r="AQ37" s="50">
        <f ca="1">+GETPIVOTDATA("XBB4",'binhba (2016)'!$A$3,"MA_HT","NCK","MA_QH","ONT")</f>
        <v>0</v>
      </c>
      <c r="AR37" s="50">
        <f ca="1">+GETPIVOTDATA("XBB4",'binhba (2016)'!$A$3,"MA_HT","NCK","MA_QH","ODT")</f>
        <v>0</v>
      </c>
      <c r="AS37" s="50">
        <f ca="1">+GETPIVOTDATA("XBB4",'binhba (2016)'!$A$3,"MA_HT","NCK","MA_QH","TSC")</f>
        <v>0</v>
      </c>
      <c r="AT37" s="50">
        <f ca="1">+GETPIVOTDATA("XBB4",'binhba (2016)'!$A$3,"MA_HT","NCK","MA_QH","DTS")</f>
        <v>0</v>
      </c>
      <c r="AU37" s="50">
        <f ca="1">+GETPIVOTDATA("XBB4",'binhba (2016)'!$A$3,"MA_HT","NCK","MA_QH","DNG")</f>
        <v>0</v>
      </c>
      <c r="AV37" s="50">
        <f ca="1">+GETPIVOTDATA("XBB4",'binhba (2016)'!$A$3,"MA_HT","NCK","MA_QH","TON")</f>
        <v>0</v>
      </c>
      <c r="AW37" s="50">
        <f ca="1">+GETPIVOTDATA("XBB4",'binhba (2016)'!$A$3,"MA_HT","NCK","MA_QH","NTD")</f>
        <v>0</v>
      </c>
      <c r="AX37" s="50">
        <f ca="1">+GETPIVOTDATA("XBB4",'binhba (2016)'!$A$3,"MA_HT","NCK","MA_QH","SKX")</f>
        <v>0</v>
      </c>
      <c r="AY37" s="50">
        <f ca="1">+GETPIVOTDATA("XBB4",'binhba (2016)'!$A$3,"MA_HT","NCK","MA_QH","DSH")</f>
        <v>0</v>
      </c>
      <c r="AZ37" s="50">
        <f ca="1">+GETPIVOTDATA("XBB4",'binhba (2016)'!$A$3,"MA_HT","NCK","MA_QH","DKV")</f>
        <v>0</v>
      </c>
      <c r="BA37" s="88">
        <f ca="1">+GETPIVOTDATA("XBB4",'binhba (2016)'!$A$3,"MA_HT","NCK","MA_QH","TIN")</f>
        <v>0</v>
      </c>
      <c r="BB37" s="50">
        <f ca="1">+GETPIVOTDATA("XBB4",'binhba (2016)'!$A$3,"MA_HT","NCK","MA_QH","SON")</f>
        <v>0</v>
      </c>
      <c r="BC37" s="50">
        <f ca="1">+GETPIVOTDATA("XBB4",'binhba (2016)'!$A$3,"MA_HT","NCK","MA_QH","MNC")</f>
        <v>0</v>
      </c>
      <c r="BD37" s="50">
        <f ca="1">+GETPIVOTDATA("XBB4",'binhba (2016)'!$A$3,"MA_HT","NCK","MA_QH","PNK")</f>
        <v>0</v>
      </c>
      <c r="BE37" s="80">
        <f ca="1">+GETPIVOTDATA("XBB4",'binhba (2016)'!$A$3,"MA_HT","NCK","MA_QH","CSD")</f>
        <v>0</v>
      </c>
      <c r="BF37" s="103">
        <f ca="1" t="shared" si="13"/>
        <v>0</v>
      </c>
      <c r="BG37" s="104">
        <f ca="1">AJ$59-$BF37</f>
        <v>0</v>
      </c>
      <c r="BH37" s="47" t="e">
        <f ca="1" t="shared" si="14"/>
        <v>#REF!</v>
      </c>
      <c r="BI37" s="105"/>
      <c r="BJ37" s="105" t="e">
        <f>#REF!</f>
        <v>#REF!</v>
      </c>
      <c r="BK37" s="108" t="e">
        <f ca="1" t="shared" si="19"/>
        <v>#REF!</v>
      </c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</row>
    <row r="38" s="4" customFormat="1" ht="16.5" customHeight="1" spans="1:79">
      <c r="A38" s="45" t="s">
        <v>8394</v>
      </c>
      <c r="B38" s="45" t="s">
        <v>8395</v>
      </c>
      <c r="C38" s="46" t="s">
        <v>8295</v>
      </c>
      <c r="D38" s="47" t="e">
        <f>+#REF!</f>
        <v>#REF!</v>
      </c>
      <c r="E38" s="42">
        <f ca="1" t="shared" si="15"/>
        <v>0</v>
      </c>
      <c r="F38" s="52">
        <f ca="1" t="shared" si="9"/>
        <v>0</v>
      </c>
      <c r="G38" s="50">
        <f ca="1">+GETPIVOTDATA("XBB4",'binhba (2016)'!$A$3,"MA_HT","DXH","MA_QH","LUC")</f>
        <v>0</v>
      </c>
      <c r="H38" s="50">
        <f ca="1">+GETPIVOTDATA("XBB4",'binhba (2016)'!$A$3,"MA_HT","DXH","MA_QH","LUK")</f>
        <v>0</v>
      </c>
      <c r="I38" s="50">
        <f ca="1">+GETPIVOTDATA("XBB4",'binhba (2016)'!$A$3,"MA_HT","DXH","MA_QH","LUN")</f>
        <v>0</v>
      </c>
      <c r="J38" s="50">
        <f ca="1">+GETPIVOTDATA("XBB4",'binhba (2016)'!$A$3,"MA_HT","DXH","MA_QH","HNK")</f>
        <v>0</v>
      </c>
      <c r="K38" s="50">
        <f ca="1">+GETPIVOTDATA("XBB4",'binhba (2016)'!$A$3,"MA_HT","DXH","MA_QH","CLN")</f>
        <v>0</v>
      </c>
      <c r="L38" s="50">
        <f ca="1">+GETPIVOTDATA("XBB4",'binhba (2016)'!$A$3,"MA_HT","DXH","MA_QH","RSX")</f>
        <v>0</v>
      </c>
      <c r="M38" s="50">
        <f ca="1">+GETPIVOTDATA("XBB4",'binhba (2016)'!$A$3,"MA_HT","DXH","MA_QH","RPH")</f>
        <v>0</v>
      </c>
      <c r="N38" s="50">
        <f ca="1">+GETPIVOTDATA("XBB4",'binhba (2016)'!$A$3,"MA_HT","DXH","MA_QH","RDD")</f>
        <v>0</v>
      </c>
      <c r="O38" s="50">
        <f ca="1">+GETPIVOTDATA("XBB4",'binhba (2016)'!$A$3,"MA_HT","DXH","MA_QH","NTS")</f>
        <v>0</v>
      </c>
      <c r="P38" s="50">
        <f ca="1">+GETPIVOTDATA("XBB4",'binhba (2016)'!$A$3,"MA_HT","DXH","MA_QH","LMU")</f>
        <v>0</v>
      </c>
      <c r="Q38" s="50">
        <f ca="1">+GETPIVOTDATA("XBB4",'binhba (2016)'!$A$3,"MA_HT","DXH","MA_QH","NKH")</f>
        <v>0</v>
      </c>
      <c r="R38" s="48">
        <f ca="1" t="shared" si="20"/>
        <v>0</v>
      </c>
      <c r="S38" s="50">
        <f ca="1">+GETPIVOTDATA("XBB4",'binhba (2016)'!$A$3,"MA_HT","DXH","MA_QH","CQP")</f>
        <v>0</v>
      </c>
      <c r="T38" s="50">
        <f ca="1">+GETPIVOTDATA("XBB4",'binhba (2016)'!$A$3,"MA_HT","DXH","MA_QH","CAN")</f>
        <v>0</v>
      </c>
      <c r="U38" s="50">
        <f ca="1">+GETPIVOTDATA("XBB4",'binhba (2016)'!$A$3,"MA_HT","DXH","MA_QH","SKK")</f>
        <v>0</v>
      </c>
      <c r="V38" s="50">
        <f ca="1">+GETPIVOTDATA("XBB4",'binhba (2016)'!$A$3,"MA_HT","DXH","MA_QH","SKT")</f>
        <v>0</v>
      </c>
      <c r="W38" s="50">
        <f ca="1">+GETPIVOTDATA("XBB4",'binhba (2016)'!$A$3,"MA_HT","DXH","MA_QH","SKN")</f>
        <v>0</v>
      </c>
      <c r="X38" s="50">
        <f ca="1">+GETPIVOTDATA("XBB4",'binhba (2016)'!$A$3,"MA_HT","DXH","MA_QH","TMD")</f>
        <v>0</v>
      </c>
      <c r="Y38" s="50">
        <f ca="1">+GETPIVOTDATA("XBB4",'binhba (2016)'!$A$3,"MA_HT","DXH","MA_QH","SKC")</f>
        <v>0</v>
      </c>
      <c r="Z38" s="50">
        <f ca="1">+GETPIVOTDATA("XBB4",'binhba (2016)'!$A$3,"MA_HT","DXH","MA_QH","SKS")</f>
        <v>0</v>
      </c>
      <c r="AA38" s="52">
        <f ca="1">+SUM(AB38:AJ38,AL38:AM38)</f>
        <v>0</v>
      </c>
      <c r="AB38" s="50">
        <f ca="1">+GETPIVOTDATA("XBB4",'binhba (2016)'!$A$3,"MA_HT","DXH","MA_QH","DGT")</f>
        <v>0</v>
      </c>
      <c r="AC38" s="50">
        <f ca="1">+GETPIVOTDATA("XBB4",'binhba (2016)'!$A$3,"MA_HT","DXH","MA_QH","DTL")</f>
        <v>0</v>
      </c>
      <c r="AD38" s="50">
        <f ca="1">+GETPIVOTDATA("XBB4",'binhba (2016)'!$A$3,"MA_HT","DXH","MA_QH","DNL")</f>
        <v>0</v>
      </c>
      <c r="AE38" s="50">
        <f ca="1">+GETPIVOTDATA("XBB4",'binhba (2016)'!$A$3,"MA_HT","DXH","MA_QH","DBV")</f>
        <v>0</v>
      </c>
      <c r="AF38" s="50">
        <f ca="1">+GETPIVOTDATA("XBB4",'binhba (2016)'!$A$3,"MA_HT","DXH","MA_QH","DVH")</f>
        <v>0</v>
      </c>
      <c r="AG38" s="50">
        <f ca="1">+GETPIVOTDATA("XBB4",'binhba (2016)'!$A$3,"MA_HT","DXH","MA_QH","DYT")</f>
        <v>0</v>
      </c>
      <c r="AH38" s="50">
        <f ca="1">+GETPIVOTDATA("XBB4",'binhba (2016)'!$A$3,"MA_HT","DXH","MA_QH","DGD")</f>
        <v>0</v>
      </c>
      <c r="AI38" s="50">
        <f ca="1">+GETPIVOTDATA("XBB4",'binhba (2016)'!$A$3,"MA_HT","DXH","MA_QH","DTT")</f>
        <v>0</v>
      </c>
      <c r="AJ38" s="50">
        <f ca="1">+GETPIVOTDATA("XBB4",'binhba (2016)'!$A$3,"MA_HT","DXH","MA_QH","NCK")</f>
        <v>0</v>
      </c>
      <c r="AK38" s="49" t="e">
        <f ca="1">$D38-$BF38</f>
        <v>#REF!</v>
      </c>
      <c r="AL38" s="50">
        <f ca="1">+GETPIVOTDATA("XBB4",'binhba (2016)'!$A$3,"MA_HT","DXH","MA_QH","DCH")</f>
        <v>0</v>
      </c>
      <c r="AM38" s="50">
        <f ca="1">+GETPIVOTDATA("XBB4",'binhba (2016)'!$A$3,"MA_HT","DXH","MA_QH","DKG")</f>
        <v>0</v>
      </c>
      <c r="AN38" s="50">
        <f ca="1">+GETPIVOTDATA("XBB4",'binhba (2016)'!$A$3,"MA_HT","DXH","MA_QH","DDT")</f>
        <v>0</v>
      </c>
      <c r="AO38" s="50">
        <f ca="1">+GETPIVOTDATA("XBB4",'binhba (2016)'!$A$3,"MA_HT","DXH","MA_QH","DDL")</f>
        <v>0</v>
      </c>
      <c r="AP38" s="50">
        <f ca="1">+GETPIVOTDATA("XBB4",'binhba (2016)'!$A$3,"MA_HT","DXH","MA_QH","DRA")</f>
        <v>0</v>
      </c>
      <c r="AQ38" s="50">
        <f ca="1">+GETPIVOTDATA("XBB4",'binhba (2016)'!$A$3,"MA_HT","DXH","MA_QH","ONT")</f>
        <v>0</v>
      </c>
      <c r="AR38" s="50">
        <f ca="1">+GETPIVOTDATA("XBB4",'binhba (2016)'!$A$3,"MA_HT","DXH","MA_QH","ODT")</f>
        <v>0</v>
      </c>
      <c r="AS38" s="50">
        <f ca="1">+GETPIVOTDATA("XBB4",'binhba (2016)'!$A$3,"MA_HT","DXH","MA_QH","TSC")</f>
        <v>0</v>
      </c>
      <c r="AT38" s="50">
        <f ca="1">+GETPIVOTDATA("XBB4",'binhba (2016)'!$A$3,"MA_HT","DXH","MA_QH","DTS")</f>
        <v>0</v>
      </c>
      <c r="AU38" s="50">
        <f ca="1">+GETPIVOTDATA("XBB4",'binhba (2016)'!$A$3,"MA_HT","DXH","MA_QH","DNG")</f>
        <v>0</v>
      </c>
      <c r="AV38" s="50">
        <f ca="1">+GETPIVOTDATA("XBB4",'binhba (2016)'!$A$3,"MA_HT","DXH","MA_QH","TON")</f>
        <v>0</v>
      </c>
      <c r="AW38" s="50">
        <f ca="1">+GETPIVOTDATA("XBB4",'binhba (2016)'!$A$3,"MA_HT","DXH","MA_QH","NTD")</f>
        <v>0</v>
      </c>
      <c r="AX38" s="50">
        <f ca="1">+GETPIVOTDATA("XBB4",'binhba (2016)'!$A$3,"MA_HT","DXH","MA_QH","SKX")</f>
        <v>0</v>
      </c>
      <c r="AY38" s="50">
        <f ca="1">+GETPIVOTDATA("XBB4",'binhba (2016)'!$A$3,"MA_HT","DXH","MA_QH","DSH")</f>
        <v>0</v>
      </c>
      <c r="AZ38" s="50">
        <f ca="1">+GETPIVOTDATA("XBB4",'binhba (2016)'!$A$3,"MA_HT","DXH","MA_QH","DKV")</f>
        <v>0</v>
      </c>
      <c r="BA38" s="88">
        <f ca="1">+GETPIVOTDATA("XBB4",'binhba (2016)'!$A$3,"MA_HT","DXH","MA_QH","TIN")</f>
        <v>0</v>
      </c>
      <c r="BB38" s="50">
        <f ca="1">+GETPIVOTDATA("XBB4",'binhba (2016)'!$A$3,"MA_HT","DXH","MA_QH","SON")</f>
        <v>0</v>
      </c>
      <c r="BC38" s="50">
        <f ca="1">+GETPIVOTDATA("XBB4",'binhba (2016)'!$A$3,"MA_HT","DXH","MA_QH","MNC")</f>
        <v>0</v>
      </c>
      <c r="BD38" s="50">
        <f ca="1">+GETPIVOTDATA("XBB4",'binhba (2016)'!$A$3,"MA_HT","DXH","MA_QH","PNK")</f>
        <v>0</v>
      </c>
      <c r="BE38" s="80">
        <f ca="1">+GETPIVOTDATA("XBB4",'binhba (2016)'!$A$3,"MA_HT","DXH","MA_QH","CSD")</f>
        <v>0</v>
      </c>
      <c r="BF38" s="103">
        <f ca="1" t="shared" si="13"/>
        <v>0</v>
      </c>
      <c r="BG38" s="104">
        <f ca="1">AK$59-$BF38</f>
        <v>0</v>
      </c>
      <c r="BH38" s="47" t="e">
        <f ca="1" t="shared" si="14"/>
        <v>#REF!</v>
      </c>
      <c r="BI38" s="105"/>
      <c r="BJ38" s="105" t="e">
        <f>#REF!</f>
        <v>#REF!</v>
      </c>
      <c r="BK38" s="108" t="e">
        <f ca="1" t="shared" si="19"/>
        <v>#REF!</v>
      </c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</row>
    <row r="39" s="5" customFormat="1" ht="16.5" customHeight="1" spans="1:79">
      <c r="A39" s="45" t="s">
        <v>8396</v>
      </c>
      <c r="B39" s="45" t="s">
        <v>8397</v>
      </c>
      <c r="C39" s="46" t="s">
        <v>178</v>
      </c>
      <c r="D39" s="47" t="e">
        <f>+#REF!</f>
        <v>#REF!</v>
      </c>
      <c r="E39" s="42">
        <f ca="1" t="shared" si="15"/>
        <v>0</v>
      </c>
      <c r="F39" s="52">
        <f ca="1" t="shared" si="9"/>
        <v>0</v>
      </c>
      <c r="G39" s="50">
        <f ca="1">+GETPIVOTDATA("XBB4",'binhba (2016)'!$A$3,"MA_HT","DCH","MA_QH","LUC")</f>
        <v>0</v>
      </c>
      <c r="H39" s="50">
        <f ca="1">+GETPIVOTDATA("XBB4",'binhba (2016)'!$A$3,"MA_HT","DCH","MA_QH","LUK")</f>
        <v>0</v>
      </c>
      <c r="I39" s="50">
        <f ca="1">+GETPIVOTDATA("XBB4",'binhba (2016)'!$A$3,"MA_HT","DCH","MA_QH","LUN")</f>
        <v>0</v>
      </c>
      <c r="J39" s="50">
        <f ca="1">+GETPIVOTDATA("XBB4",'binhba (2016)'!$A$3,"MA_HT","DCH","MA_QH","HNK")</f>
        <v>0</v>
      </c>
      <c r="K39" s="50">
        <f ca="1">+GETPIVOTDATA("XBB4",'binhba (2016)'!$A$3,"MA_HT","DCH","MA_QH","CLN")</f>
        <v>0</v>
      </c>
      <c r="L39" s="50">
        <f ca="1">+GETPIVOTDATA("XBB4",'binhba (2016)'!$A$3,"MA_HT","DCH","MA_QH","RSX")</f>
        <v>0</v>
      </c>
      <c r="M39" s="50">
        <f ca="1">+GETPIVOTDATA("XBB4",'binhba (2016)'!$A$3,"MA_HT","DCH","MA_QH","RPH")</f>
        <v>0</v>
      </c>
      <c r="N39" s="50">
        <f ca="1">+GETPIVOTDATA("XBB4",'binhba (2016)'!$A$3,"MA_HT","DCH","MA_QH","RDD")</f>
        <v>0</v>
      </c>
      <c r="O39" s="50">
        <f ca="1">+GETPIVOTDATA("XBB4",'binhba (2016)'!$A$3,"MA_HT","DCH","MA_QH","NTS")</f>
        <v>0</v>
      </c>
      <c r="P39" s="50">
        <f ca="1">+GETPIVOTDATA("XBB4",'binhba (2016)'!$A$3,"MA_HT","DCH","MA_QH","LMU")</f>
        <v>0</v>
      </c>
      <c r="Q39" s="50">
        <f ca="1">+GETPIVOTDATA("XBB4",'binhba (2016)'!$A$3,"MA_HT","DCH","MA_QH","NKH")</f>
        <v>0</v>
      </c>
      <c r="R39" s="48">
        <f ca="1" t="shared" si="20"/>
        <v>0</v>
      </c>
      <c r="S39" s="50">
        <f ca="1">+GETPIVOTDATA("XBB4",'binhba (2016)'!$A$3,"MA_HT","DCH","MA_QH","CQP")</f>
        <v>0</v>
      </c>
      <c r="T39" s="50">
        <f ca="1">+GETPIVOTDATA("XBB4",'binhba (2016)'!$A$3,"MA_HT","DCH","MA_QH","CAN")</f>
        <v>0</v>
      </c>
      <c r="U39" s="50">
        <f ca="1">+GETPIVOTDATA("XBB4",'binhba (2016)'!$A$3,"MA_HT","DCH","MA_QH","SKK")</f>
        <v>0</v>
      </c>
      <c r="V39" s="50">
        <f ca="1">+GETPIVOTDATA("XBB4",'binhba (2016)'!$A$3,"MA_HT","DCH","MA_QH","SKT")</f>
        <v>0</v>
      </c>
      <c r="W39" s="50">
        <f ca="1">+GETPIVOTDATA("XBB4",'binhba (2016)'!$A$3,"MA_HT","DCH","MA_QH","SKN")</f>
        <v>0</v>
      </c>
      <c r="X39" s="50">
        <f ca="1">+GETPIVOTDATA("XBB4",'binhba (2016)'!$A$3,"MA_HT","DCH","MA_QH","TMD")</f>
        <v>0</v>
      </c>
      <c r="Y39" s="50">
        <f ca="1">+GETPIVOTDATA("XBB4",'binhba (2016)'!$A$3,"MA_HT","DCH","MA_QH","SKC")</f>
        <v>0</v>
      </c>
      <c r="Z39" s="50">
        <f ca="1">+GETPIVOTDATA("XBB4",'binhba (2016)'!$A$3,"MA_HT","DCH","MA_QH","SKS")</f>
        <v>0</v>
      </c>
      <c r="AA39" s="52">
        <f ca="1">+SUM(AB39:AK39,AM39)</f>
        <v>0</v>
      </c>
      <c r="AB39" s="50">
        <f ca="1">+GETPIVOTDATA("XBB4",'binhba (2016)'!$A$3,"MA_HT","DCH","MA_QH","DGT")</f>
        <v>0</v>
      </c>
      <c r="AC39" s="50">
        <f ca="1">+GETPIVOTDATA("XBB4",'binhba (2016)'!$A$3,"MA_HT","DCH","MA_QH","DTL")</f>
        <v>0</v>
      </c>
      <c r="AD39" s="50">
        <f ca="1">+GETPIVOTDATA("XBB4",'binhba (2016)'!$A$3,"MA_HT","DCH","MA_QH","DNL")</f>
        <v>0</v>
      </c>
      <c r="AE39" s="50">
        <f ca="1">+GETPIVOTDATA("XBB4",'binhba (2016)'!$A$3,"MA_HT","DCH","MA_QH","DBV")</f>
        <v>0</v>
      </c>
      <c r="AF39" s="50">
        <f ca="1">+GETPIVOTDATA("XBB4",'binhba (2016)'!$A$3,"MA_HT","DCH","MA_QH","DVH")</f>
        <v>0</v>
      </c>
      <c r="AG39" s="50">
        <f ca="1">+GETPIVOTDATA("XBB4",'binhba (2016)'!$A$3,"MA_HT","DCH","MA_QH","DYT")</f>
        <v>0</v>
      </c>
      <c r="AH39" s="50">
        <f ca="1">+GETPIVOTDATA("XBB4",'binhba (2016)'!$A$3,"MA_HT","DCH","MA_QH","DGD")</f>
        <v>0</v>
      </c>
      <c r="AI39" s="50">
        <f ca="1">+GETPIVOTDATA("XBB4",'binhba (2016)'!$A$3,"MA_HT","DCH","MA_QH","DTT")</f>
        <v>0</v>
      </c>
      <c r="AJ39" s="50">
        <f ca="1">+GETPIVOTDATA("XBB4",'binhba (2016)'!$A$3,"MA_HT","DCH","MA_QH","NCK")</f>
        <v>0</v>
      </c>
      <c r="AK39" s="50">
        <f ca="1">+GETPIVOTDATA("XBB4",'binhba (2016)'!$A$3,"MA_HT","DCH","MA_QH","DXH")</f>
        <v>0</v>
      </c>
      <c r="AL39" s="49" t="e">
        <f ca="1">$D39-$BF39</f>
        <v>#REF!</v>
      </c>
      <c r="AM39" s="50">
        <f ca="1">+GETPIVOTDATA("XBB4",'binhba (2016)'!$A$3,"MA_HT","DXH","MA_QH","DKG")</f>
        <v>0</v>
      </c>
      <c r="AN39" s="50">
        <f ca="1">+GETPIVOTDATA("XBB4",'binhba (2016)'!$A$3,"MA_HT","DCH","MA_QH","DDT")</f>
        <v>0</v>
      </c>
      <c r="AO39" s="50">
        <f ca="1">+GETPIVOTDATA("XBB4",'binhba (2016)'!$A$3,"MA_HT","DCH","MA_QH","DDL")</f>
        <v>0</v>
      </c>
      <c r="AP39" s="50">
        <f ca="1">+GETPIVOTDATA("XBB4",'binhba (2016)'!$A$3,"MA_HT","DCH","MA_QH","DRA")</f>
        <v>0</v>
      </c>
      <c r="AQ39" s="50">
        <f ca="1">+GETPIVOTDATA("XBB4",'binhba (2016)'!$A$3,"MA_HT","DCH","MA_QH","ONT")</f>
        <v>0</v>
      </c>
      <c r="AR39" s="50">
        <f ca="1">+GETPIVOTDATA("XBB4",'binhba (2016)'!$A$3,"MA_HT","DCH","MA_QH","ODT")</f>
        <v>0</v>
      </c>
      <c r="AS39" s="50">
        <f ca="1">+GETPIVOTDATA("XBB4",'binhba (2016)'!$A$3,"MA_HT","DCH","MA_QH","TSC")</f>
        <v>0</v>
      </c>
      <c r="AT39" s="50">
        <f ca="1">+GETPIVOTDATA("XBB4",'binhba (2016)'!$A$3,"MA_HT","DCH","MA_QH","DTS")</f>
        <v>0</v>
      </c>
      <c r="AU39" s="50">
        <f ca="1">+GETPIVOTDATA("XBB4",'binhba (2016)'!$A$3,"MA_HT","DCH","MA_QH","DNG")</f>
        <v>0</v>
      </c>
      <c r="AV39" s="50">
        <f ca="1">+GETPIVOTDATA("XBB4",'binhba (2016)'!$A$3,"MA_HT","DCH","MA_QH","TON")</f>
        <v>0</v>
      </c>
      <c r="AW39" s="50">
        <f ca="1">+GETPIVOTDATA("XBB4",'binhba (2016)'!$A$3,"MA_HT","DCH","MA_QH","NTD")</f>
        <v>0</v>
      </c>
      <c r="AX39" s="50">
        <f ca="1">+GETPIVOTDATA("XBB4",'binhba (2016)'!$A$3,"MA_HT","DCH","MA_QH","SKX")</f>
        <v>0</v>
      </c>
      <c r="AY39" s="50">
        <f ca="1">+GETPIVOTDATA("XBB4",'binhba (2016)'!$A$3,"MA_HT","DCH","MA_QH","DSH")</f>
        <v>0</v>
      </c>
      <c r="AZ39" s="50">
        <f ca="1">+GETPIVOTDATA("XBB4",'binhba (2016)'!$A$3,"MA_HT","DCH","MA_QH","DKV")</f>
        <v>0</v>
      </c>
      <c r="BA39" s="88">
        <f ca="1">+GETPIVOTDATA("XBB4",'binhba (2016)'!$A$3,"MA_HT","DCH","MA_QH","TIN")</f>
        <v>0</v>
      </c>
      <c r="BB39" s="50">
        <f ca="1">+GETPIVOTDATA("XBB4",'binhba (2016)'!$A$3,"MA_HT","DCH","MA_QH","SON")</f>
        <v>0</v>
      </c>
      <c r="BC39" s="50">
        <f ca="1">+GETPIVOTDATA("XBB4",'binhba (2016)'!$A$3,"MA_HT","DCH","MA_QH","MNC")</f>
        <v>0</v>
      </c>
      <c r="BD39" s="50">
        <f ca="1">+GETPIVOTDATA("XBB4",'binhba (2016)'!$A$3,"MA_HT","DCH","MA_QH","PNK")</f>
        <v>0</v>
      </c>
      <c r="BE39" s="80">
        <f ca="1">+GETPIVOTDATA("XBB4",'binhba (2016)'!$A$3,"MA_HT","DCH","MA_QH","CSD")</f>
        <v>0</v>
      </c>
      <c r="BF39" s="103">
        <f ca="1" t="shared" si="13"/>
        <v>0</v>
      </c>
      <c r="BG39" s="104">
        <f ca="1">AL$59-$BF39</f>
        <v>0</v>
      </c>
      <c r="BH39" s="47" t="e">
        <f ca="1" t="shared" si="14"/>
        <v>#REF!</v>
      </c>
      <c r="BI39" s="109"/>
      <c r="BJ39" s="109" t="e">
        <f>#REF!</f>
        <v>#REF!</v>
      </c>
      <c r="BK39" s="110" t="e">
        <f ca="1" t="shared" si="19"/>
        <v>#REF!</v>
      </c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</row>
    <row r="40" s="5" customFormat="1" ht="16.5" customHeight="1" spans="1:79">
      <c r="A40" s="45" t="s">
        <v>8398</v>
      </c>
      <c r="B40" s="45" t="s">
        <v>8399</v>
      </c>
      <c r="C40" s="46" t="s">
        <v>8312</v>
      </c>
      <c r="D40" s="47" t="e">
        <f>+#REF!</f>
        <v>#REF!</v>
      </c>
      <c r="E40" s="42">
        <f ca="1" t="shared" si="15"/>
        <v>0</v>
      </c>
      <c r="F40" s="52">
        <f ca="1" t="shared" si="9"/>
        <v>0</v>
      </c>
      <c r="G40" s="50">
        <f ca="1">+GETPIVOTDATA("XBB4",'binhba (2016)'!$A$3,"MA_HT","DKG","MA_QH","LUC")</f>
        <v>0</v>
      </c>
      <c r="H40" s="50">
        <f ca="1">+GETPIVOTDATA("XBB4",'binhba (2016)'!$A$3,"MA_HT","DKG","MA_QH","LUK")</f>
        <v>0</v>
      </c>
      <c r="I40" s="50">
        <f ca="1">+GETPIVOTDATA("XBB4",'binhba (2016)'!$A$3,"MA_HT","DKG","MA_QH","LUN")</f>
        <v>0</v>
      </c>
      <c r="J40" s="50">
        <f ca="1">+GETPIVOTDATA("XBB4",'binhba (2016)'!$A$3,"MA_HT","DKG","MA_QH","HNK")</f>
        <v>0</v>
      </c>
      <c r="K40" s="50">
        <f ca="1">+GETPIVOTDATA("XBB4",'binhba (2016)'!$A$3,"MA_HT","DKG","MA_QH","CLN")</f>
        <v>0</v>
      </c>
      <c r="L40" s="50">
        <f ca="1">+GETPIVOTDATA("XBB4",'binhba (2016)'!$A$3,"MA_HT","DKG","MA_QH","RSX")</f>
        <v>0</v>
      </c>
      <c r="M40" s="50">
        <f ca="1">+GETPIVOTDATA("XBB4",'binhba (2016)'!$A$3,"MA_HT","DKG","MA_QH","RPH")</f>
        <v>0</v>
      </c>
      <c r="N40" s="50">
        <f ca="1">+GETPIVOTDATA("XBB4",'binhba (2016)'!$A$3,"MA_HT","DKG","MA_QH","RDD")</f>
        <v>0</v>
      </c>
      <c r="O40" s="50">
        <f ca="1">+GETPIVOTDATA("XBB4",'binhba (2016)'!$A$3,"MA_HT","DKG","MA_QH","NTS")</f>
        <v>0</v>
      </c>
      <c r="P40" s="50">
        <f ca="1">+GETPIVOTDATA("XBB4",'binhba (2016)'!$A$3,"MA_HT","DKG","MA_QH","LMU")</f>
        <v>0</v>
      </c>
      <c r="Q40" s="50">
        <f ca="1">+GETPIVOTDATA("XBB4",'binhba (2016)'!$A$3,"MA_HT","DKG","MA_QH","NKH")</f>
        <v>0</v>
      </c>
      <c r="R40" s="48">
        <f ca="1" t="shared" si="20"/>
        <v>0</v>
      </c>
      <c r="S40" s="50">
        <f ca="1">+GETPIVOTDATA("XBB4",'binhba (2016)'!$A$3,"MA_HT","DKG","MA_QH","CQP")</f>
        <v>0</v>
      </c>
      <c r="T40" s="50">
        <f ca="1">+GETPIVOTDATA("XBB4",'binhba (2016)'!$A$3,"MA_HT","DKG","MA_QH","CAN")</f>
        <v>0</v>
      </c>
      <c r="U40" s="50">
        <f ca="1">+GETPIVOTDATA("XBB4",'binhba (2016)'!$A$3,"MA_HT","DKG","MA_QH","SKK")</f>
        <v>0</v>
      </c>
      <c r="V40" s="50">
        <f ca="1">+GETPIVOTDATA("XBB4",'binhba (2016)'!$A$3,"MA_HT","DKG","MA_QH","SKT")</f>
        <v>0</v>
      </c>
      <c r="W40" s="50">
        <f ca="1">+GETPIVOTDATA("XBB4",'binhba (2016)'!$A$3,"MA_HT","DKG","MA_QH","SKN")</f>
        <v>0</v>
      </c>
      <c r="X40" s="50">
        <f ca="1">+GETPIVOTDATA("XBB4",'binhba (2016)'!$A$3,"MA_HT","DKG","MA_QH","TMD")</f>
        <v>0</v>
      </c>
      <c r="Y40" s="50">
        <f ca="1">+GETPIVOTDATA("XBB4",'binhba (2016)'!$A$3,"MA_HT","DKG","MA_QH","SKC")</f>
        <v>0</v>
      </c>
      <c r="Z40" s="50">
        <f ca="1">+GETPIVOTDATA("XBB4",'binhba (2016)'!$A$3,"MA_HT","DKG","MA_QH","SKS")</f>
        <v>0</v>
      </c>
      <c r="AA40" s="52">
        <f ca="1">+SUM(AB40:AL40)</f>
        <v>0</v>
      </c>
      <c r="AB40" s="50">
        <f ca="1">+GETPIVOTDATA("XBB4",'binhba (2016)'!$A$3,"MA_HT","DKG","MA_QH","DGT")</f>
        <v>0</v>
      </c>
      <c r="AC40" s="50">
        <f ca="1">+GETPIVOTDATA("XBB4",'binhba (2016)'!$A$3,"MA_HT","DKG","MA_QH","DTL")</f>
        <v>0</v>
      </c>
      <c r="AD40" s="50">
        <f ca="1">+GETPIVOTDATA("XBB4",'binhba (2016)'!$A$3,"MA_HT","DKG","MA_QH","DNL")</f>
        <v>0</v>
      </c>
      <c r="AE40" s="50">
        <f ca="1">+GETPIVOTDATA("XBB4",'binhba (2016)'!$A$3,"MA_HT","DKG","MA_QH","DBV")</f>
        <v>0</v>
      </c>
      <c r="AF40" s="50">
        <f ca="1">+GETPIVOTDATA("XBB4",'binhba (2016)'!$A$3,"MA_HT","DKG","MA_QH","DVH")</f>
        <v>0</v>
      </c>
      <c r="AG40" s="50">
        <f ca="1">+GETPIVOTDATA("XBB4",'binhba (2016)'!$A$3,"MA_HT","DKG","MA_QH","DYT")</f>
        <v>0</v>
      </c>
      <c r="AH40" s="50">
        <f ca="1">+GETPIVOTDATA("XBB4",'binhba (2016)'!$A$3,"MA_HT","DKG","MA_QH","DGD")</f>
        <v>0</v>
      </c>
      <c r="AI40" s="50">
        <f ca="1">+GETPIVOTDATA("XBB4",'binhba (2016)'!$A$3,"MA_HT","DKG","MA_QH","DTT")</f>
        <v>0</v>
      </c>
      <c r="AJ40" s="50">
        <f ca="1">+GETPIVOTDATA("XBB4",'binhba (2016)'!$A$3,"MA_HT","DKG","MA_QH","NCK")</f>
        <v>0</v>
      </c>
      <c r="AK40" s="50">
        <f ca="1">+GETPIVOTDATA("XBB4",'binhba (2016)'!$A$3,"MA_HT","DKG","MA_QH","DXH")</f>
        <v>0</v>
      </c>
      <c r="AL40" s="60">
        <f ca="1">+GETPIVOTDATA("XBB4",'binhba (2016)'!$A$3,"MA_HT","DDT","MA_QH","DKG")</f>
        <v>0</v>
      </c>
      <c r="AM40" s="49" t="e">
        <f ca="1">$D40-$BF40</f>
        <v>#REF!</v>
      </c>
      <c r="AN40" s="50">
        <f ca="1">+GETPIVOTDATA("XBB4",'binhba (2016)'!$A$3,"MA_HT","DKG","MA_QH","DDT")</f>
        <v>0</v>
      </c>
      <c r="AO40" s="50">
        <f ca="1">+GETPIVOTDATA("XBB4",'binhba (2016)'!$A$3,"MA_HT","DKG","MA_QH","DDL")</f>
        <v>0</v>
      </c>
      <c r="AP40" s="50">
        <f ca="1">+GETPIVOTDATA("XBB4",'binhba (2016)'!$A$3,"MA_HT","DKG","MA_QH","DRA")</f>
        <v>0</v>
      </c>
      <c r="AQ40" s="50">
        <f ca="1">+GETPIVOTDATA("XBB4",'binhba (2016)'!$A$3,"MA_HT","DKG","MA_QH","ONT")</f>
        <v>0</v>
      </c>
      <c r="AR40" s="50">
        <f ca="1">+GETPIVOTDATA("XBB4",'binhba (2016)'!$A$3,"MA_HT","DKG","MA_QH","ODT")</f>
        <v>0</v>
      </c>
      <c r="AS40" s="50">
        <f ca="1">+GETPIVOTDATA("XBB4",'binhba (2016)'!$A$3,"MA_HT","DKG","MA_QH","TSC")</f>
        <v>0</v>
      </c>
      <c r="AT40" s="50">
        <f ca="1">+GETPIVOTDATA("XBB4",'binhba (2016)'!$A$3,"MA_HT","DKG","MA_QH","DTS")</f>
        <v>0</v>
      </c>
      <c r="AU40" s="50">
        <f ca="1">+GETPIVOTDATA("XBB4",'binhba (2016)'!$A$3,"MA_HT","DKG","MA_QH","DNG")</f>
        <v>0</v>
      </c>
      <c r="AV40" s="50">
        <f ca="1">+GETPIVOTDATA("XBB4",'binhba (2016)'!$A$3,"MA_HT","DKG","MA_QH","TON")</f>
        <v>0</v>
      </c>
      <c r="AW40" s="50">
        <f ca="1">+GETPIVOTDATA("XBB4",'binhba (2016)'!$A$3,"MA_HT","DKG","MA_QH","NTD")</f>
        <v>0</v>
      </c>
      <c r="AX40" s="50">
        <f ca="1">+GETPIVOTDATA("XBB4",'binhba (2016)'!$A$3,"MA_HT","DKG","MA_QH","SKX")</f>
        <v>0</v>
      </c>
      <c r="AY40" s="50">
        <f ca="1">+GETPIVOTDATA("XBB4",'binhba (2016)'!$A$3,"MA_HT","DKG","MA_QH","DSH")</f>
        <v>0</v>
      </c>
      <c r="AZ40" s="50">
        <f ca="1">+GETPIVOTDATA("XBB4",'binhba (2016)'!$A$3,"MA_HT","DKG","MA_QH","DKV")</f>
        <v>0</v>
      </c>
      <c r="BA40" s="88">
        <f ca="1">+GETPIVOTDATA("XBB4",'binhba (2016)'!$A$3,"MA_HT","DKG","MA_QH","TIN")</f>
        <v>0</v>
      </c>
      <c r="BB40" s="50">
        <f ca="1">+GETPIVOTDATA("XBB4",'binhba (2016)'!$A$3,"MA_HT","DKG","MA_QH","SON")</f>
        <v>0</v>
      </c>
      <c r="BC40" s="50">
        <f ca="1">+GETPIVOTDATA("XBB4",'binhba (2016)'!$A$3,"MA_HT","DKG","MA_QH","MNC")</f>
        <v>0</v>
      </c>
      <c r="BD40" s="50">
        <f ca="1">+GETPIVOTDATA("XBB4",'binhba (2016)'!$A$3,"MA_HT","DKG","MA_QH","PNK")</f>
        <v>0</v>
      </c>
      <c r="BE40" s="80">
        <f ca="1">+GETPIVOTDATA("XBB4",'binhba (2016)'!$A$3,"MA_HT","DKG","MA_QH","CSD")</f>
        <v>0</v>
      </c>
      <c r="BF40" s="103">
        <f ca="1" t="shared" si="13"/>
        <v>0</v>
      </c>
      <c r="BG40" s="104">
        <f ca="1">AM$59-$BF40</f>
        <v>0</v>
      </c>
      <c r="BH40" s="47" t="e">
        <f ca="1" t="shared" si="14"/>
        <v>#REF!</v>
      </c>
      <c r="BI40" s="109"/>
      <c r="BJ40" s="109" t="e">
        <f>#REF!</f>
        <v>#REF!</v>
      </c>
      <c r="BK40" s="110" t="e">
        <f ca="1" t="shared" si="19"/>
        <v>#REF!</v>
      </c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</row>
    <row r="41" s="6" customFormat="1" ht="15.75" customHeight="1" spans="1:79">
      <c r="A41" s="54" t="s">
        <v>8400</v>
      </c>
      <c r="B41" s="55" t="s">
        <v>8401</v>
      </c>
      <c r="C41" s="56" t="s">
        <v>8287</v>
      </c>
      <c r="D41" s="57" t="e">
        <f>+#REF!</f>
        <v>#REF!</v>
      </c>
      <c r="E41" s="58">
        <f ca="1" t="shared" si="15"/>
        <v>0</v>
      </c>
      <c r="F41" s="59">
        <f ca="1" t="shared" si="9"/>
        <v>0</v>
      </c>
      <c r="G41" s="60">
        <f ca="1">+GETPIVOTDATA("XBB4",'binhba (2016)'!$A$3,"MA_HT","DDT","MA_QH","LUC")</f>
        <v>0</v>
      </c>
      <c r="H41" s="60">
        <f ca="1">+GETPIVOTDATA("XBB4",'binhba (2016)'!$A$3,"MA_HT","DDT","MA_QH","LUK")</f>
        <v>0</v>
      </c>
      <c r="I41" s="60">
        <f ca="1">+GETPIVOTDATA("XBB4",'binhba (2016)'!$A$3,"MA_HT","DDT","MA_QH","LUN")</f>
        <v>0</v>
      </c>
      <c r="J41" s="60">
        <f ca="1">+GETPIVOTDATA("XBB4",'binhba (2016)'!$A$3,"MA_HT","DDT","MA_QH","HNK")</f>
        <v>0</v>
      </c>
      <c r="K41" s="60">
        <f ca="1">+GETPIVOTDATA("XBB4",'binhba (2016)'!$A$3,"MA_HT","DDT","MA_QH","CLN")</f>
        <v>0</v>
      </c>
      <c r="L41" s="60">
        <f ca="1">+GETPIVOTDATA("XBB4",'binhba (2016)'!$A$3,"MA_HT","DDT","MA_QH","RSX")</f>
        <v>0</v>
      </c>
      <c r="M41" s="60">
        <f ca="1">+GETPIVOTDATA("XBB4",'binhba (2016)'!$A$3,"MA_HT","DDT","MA_QH","RPH")</f>
        <v>0</v>
      </c>
      <c r="N41" s="60">
        <f ca="1">+GETPIVOTDATA("XBB4",'binhba (2016)'!$A$3,"MA_HT","DDT","MA_QH","RDD")</f>
        <v>0</v>
      </c>
      <c r="O41" s="60">
        <f ca="1">+GETPIVOTDATA("XBB4",'binhba (2016)'!$A$3,"MA_HT","DDT","MA_QH","NTS")</f>
        <v>0</v>
      </c>
      <c r="P41" s="60">
        <f ca="1">+GETPIVOTDATA("XBB4",'binhba (2016)'!$A$3,"MA_HT","DDT","MA_QH","LMU")</f>
        <v>0</v>
      </c>
      <c r="Q41" s="60">
        <f ca="1">+GETPIVOTDATA("XBB4",'binhba (2016)'!$A$3,"MA_HT","DDT","MA_QH","NKH")</f>
        <v>0</v>
      </c>
      <c r="R41" s="78">
        <f ca="1">SUM(S41:AA41,AO41:BD41)</f>
        <v>0</v>
      </c>
      <c r="S41" s="60">
        <f ca="1">+GETPIVOTDATA("XBB4",'binhba (2016)'!$A$3,"MA_HT","DDT","MA_QH","CQP")</f>
        <v>0</v>
      </c>
      <c r="T41" s="60">
        <f ca="1">+GETPIVOTDATA("XBB4",'binhba (2016)'!$A$3,"MA_HT","DDT","MA_QH","CAN")</f>
        <v>0</v>
      </c>
      <c r="U41" s="60">
        <f ca="1">+GETPIVOTDATA("XBB4",'binhba (2016)'!$A$3,"MA_HT","DDT","MA_QH","SKK")</f>
        <v>0</v>
      </c>
      <c r="V41" s="60">
        <f ca="1">+GETPIVOTDATA("XBB4",'binhba (2016)'!$A$3,"MA_HT","DDT","MA_QH","SKT")</f>
        <v>0</v>
      </c>
      <c r="W41" s="60">
        <f ca="1">+GETPIVOTDATA("XBB4",'binhba (2016)'!$A$3,"MA_HT","DDT","MA_QH","SKN")</f>
        <v>0</v>
      </c>
      <c r="X41" s="60">
        <f ca="1">+GETPIVOTDATA("XBB4",'binhba (2016)'!$A$3,"MA_HT","DDT","MA_QH","TMD")</f>
        <v>0</v>
      </c>
      <c r="Y41" s="60">
        <f ca="1">+GETPIVOTDATA("XBB4",'binhba (2016)'!$A$3,"MA_HT","DDT","MA_QH","SKC")</f>
        <v>0</v>
      </c>
      <c r="Z41" s="60">
        <f ca="1">+GETPIVOTDATA("XBB4",'binhba (2016)'!$A$3,"MA_HT","DDT","MA_QH","SKS")</f>
        <v>0</v>
      </c>
      <c r="AA41" s="59">
        <f ca="1" t="shared" ref="AA41:AA58" si="21">+SUM(AB41:AM41)</f>
        <v>0</v>
      </c>
      <c r="AB41" s="60">
        <f ca="1">+GETPIVOTDATA("XBB4",'binhba (2016)'!$A$3,"MA_HT","DDT","MA_QH","DGT")</f>
        <v>0</v>
      </c>
      <c r="AC41" s="60">
        <f ca="1">+GETPIVOTDATA("XBB4",'binhba (2016)'!$A$3,"MA_HT","DDT","MA_QH","DTL")</f>
        <v>0</v>
      </c>
      <c r="AD41" s="60">
        <f ca="1">+GETPIVOTDATA("XBB4",'binhba (2016)'!$A$3,"MA_HT","DDT","MA_QH","DNL")</f>
        <v>0</v>
      </c>
      <c r="AE41" s="60">
        <f ca="1">+GETPIVOTDATA("XBB4",'binhba (2016)'!$A$3,"MA_HT","DDT","MA_QH","DBV")</f>
        <v>0</v>
      </c>
      <c r="AF41" s="60">
        <f ca="1">+GETPIVOTDATA("XBB4",'binhba (2016)'!$A$3,"MA_HT","DDT","MA_QH","DVH")</f>
        <v>0</v>
      </c>
      <c r="AG41" s="60">
        <f ca="1">+GETPIVOTDATA("XBB4",'binhba (2016)'!$A$3,"MA_HT","DDT","MA_QH","DYT")</f>
        <v>0</v>
      </c>
      <c r="AH41" s="60">
        <f ca="1">+GETPIVOTDATA("XBB4",'binhba (2016)'!$A$3,"MA_HT","DDT","MA_QH","DGD")</f>
        <v>0</v>
      </c>
      <c r="AI41" s="60">
        <f ca="1">+GETPIVOTDATA("XBB4",'binhba (2016)'!$A$3,"MA_HT","DDT","MA_QH","DTT")</f>
        <v>0</v>
      </c>
      <c r="AJ41" s="60">
        <f ca="1">+GETPIVOTDATA("XBB4",'binhba (2016)'!$A$3,"MA_HT","DDT","MA_QH","NCK")</f>
        <v>0</v>
      </c>
      <c r="AK41" s="60">
        <f ca="1">+GETPIVOTDATA("XBB4",'binhba (2016)'!$A$3,"MA_HT","DDT","MA_QH","DXH")</f>
        <v>0</v>
      </c>
      <c r="AL41" s="60">
        <f ca="1">+GETPIVOTDATA("XBB4",'binhba (2016)'!$A$3,"MA_HT","DDT","MA_QH","DCH")</f>
        <v>0</v>
      </c>
      <c r="AM41" s="60">
        <f ca="1">+GETPIVOTDATA("XBB4",'binhba (2016)'!$A$3,"MA_HT","DDT","MA_QH","DKG")</f>
        <v>0</v>
      </c>
      <c r="AN41" s="81" t="e">
        <f ca="1">$D41-$BF41</f>
        <v>#REF!</v>
      </c>
      <c r="AO41" s="60">
        <f ca="1">+GETPIVOTDATA("XBB4",'binhba (2016)'!$A$3,"MA_HT","DDT","MA_QH","DDL")</f>
        <v>0</v>
      </c>
      <c r="AP41" s="60">
        <f ca="1">+GETPIVOTDATA("XBB4",'binhba (2016)'!$A$3,"MA_HT","DDT","MA_QH","DRA")</f>
        <v>0</v>
      </c>
      <c r="AQ41" s="60">
        <f ca="1">+GETPIVOTDATA("XBB4",'binhba (2016)'!$A$3,"MA_HT","DDT","MA_QH","ONT")</f>
        <v>0</v>
      </c>
      <c r="AR41" s="60">
        <f ca="1">+GETPIVOTDATA("XBB4",'binhba (2016)'!$A$3,"MA_HT","DDT","MA_QH","ODT")</f>
        <v>0</v>
      </c>
      <c r="AS41" s="60">
        <f ca="1">+GETPIVOTDATA("XBB4",'binhba (2016)'!$A$3,"MA_HT","DDT","MA_QH","TSC")</f>
        <v>0</v>
      </c>
      <c r="AT41" s="60">
        <f ca="1">+GETPIVOTDATA("XBB4",'binhba (2016)'!$A$3,"MA_HT","DDT","MA_QH","DTS")</f>
        <v>0</v>
      </c>
      <c r="AU41" s="60">
        <f ca="1">+GETPIVOTDATA("XBB4",'binhba (2016)'!$A$3,"MA_HT","DDT","MA_QH","DNG")</f>
        <v>0</v>
      </c>
      <c r="AV41" s="60">
        <f ca="1">+GETPIVOTDATA("XBB4",'binhba (2016)'!$A$3,"MA_HT","DDT","MA_QH","TON")</f>
        <v>0</v>
      </c>
      <c r="AW41" s="60">
        <f ca="1">+GETPIVOTDATA("XBB4",'binhba (2016)'!$A$3,"MA_HT","DDT","MA_QH","NTD")</f>
        <v>0</v>
      </c>
      <c r="AX41" s="60">
        <f ca="1">+GETPIVOTDATA("XBB4",'binhba (2016)'!$A$3,"MA_HT","DDT","MA_QH","SKX")</f>
        <v>0</v>
      </c>
      <c r="AY41" s="60">
        <f ca="1">+GETPIVOTDATA("XBB4",'binhba (2016)'!$A$3,"MA_HT","DDT","MA_QH","DSH")</f>
        <v>0</v>
      </c>
      <c r="AZ41" s="60">
        <f ca="1">+GETPIVOTDATA("XBB4",'binhba (2016)'!$A$3,"MA_HT","DDT","MA_QH","DKV")</f>
        <v>0</v>
      </c>
      <c r="BA41" s="90">
        <f ca="1">+GETPIVOTDATA("XBB4",'binhba (2016)'!$A$3,"MA_HT","DDT","MA_QH","TIN")</f>
        <v>0</v>
      </c>
      <c r="BB41" s="91">
        <f ca="1">+GETPIVOTDATA("XBB4",'binhba (2016)'!$A$3,"MA_HT","DDT","MA_QH","SON")</f>
        <v>0</v>
      </c>
      <c r="BC41" s="91">
        <f ca="1">+GETPIVOTDATA("XBB4",'binhba (2016)'!$A$3,"MA_HT","DDT","MA_QH","MNC")</f>
        <v>0</v>
      </c>
      <c r="BD41" s="60">
        <f ca="1">+GETPIVOTDATA("XBB4",'binhba (2016)'!$A$3,"MA_HT","DDT","MA_QH","PNK")</f>
        <v>0</v>
      </c>
      <c r="BE41" s="111">
        <f ca="1">+GETPIVOTDATA("XBB4",'binhba (2016)'!$A$3,"MA_HT","DDT","MA_QH","CSD")</f>
        <v>0</v>
      </c>
      <c r="BF41" s="112">
        <f ca="1" t="shared" si="13"/>
        <v>0</v>
      </c>
      <c r="BG41" s="113">
        <f ca="1">AN$59-$BF41</f>
        <v>0</v>
      </c>
      <c r="BH41" s="57" t="e">
        <f ca="1" t="shared" si="14"/>
        <v>#REF!</v>
      </c>
      <c r="BI41" s="114"/>
      <c r="BJ41" s="115"/>
      <c r="BK41" s="115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</row>
    <row r="42" s="2" customFormat="1" ht="15.75" customHeight="1" spans="1:79">
      <c r="A42" s="39" t="s">
        <v>8402</v>
      </c>
      <c r="B42" s="53" t="s">
        <v>8403</v>
      </c>
      <c r="C42" s="40" t="s">
        <v>8286</v>
      </c>
      <c r="D42" s="41" t="e">
        <f>+#REF!</f>
        <v>#REF!</v>
      </c>
      <c r="E42" s="42">
        <f ca="1" t="shared" si="15"/>
        <v>0</v>
      </c>
      <c r="F42" s="52">
        <f ca="1" t="shared" si="9"/>
        <v>0</v>
      </c>
      <c r="G42" s="22">
        <f ca="1">+GETPIVOTDATA("XBB4",'binhba (2016)'!$A$3,"MA_HT","DDL","MA_QH","LUC")</f>
        <v>0</v>
      </c>
      <c r="H42" s="22">
        <f ca="1">+GETPIVOTDATA("XBB4",'binhba (2016)'!$A$3,"MA_HT","DDL","MA_QH","LUK")</f>
        <v>0</v>
      </c>
      <c r="I42" s="22">
        <f ca="1">+GETPIVOTDATA("XBB4",'binhba (2016)'!$A$3,"MA_HT","DDL","MA_QH","LUN")</f>
        <v>0</v>
      </c>
      <c r="J42" s="22">
        <f ca="1">+GETPIVOTDATA("XBB4",'binhba (2016)'!$A$3,"MA_HT","DDL","MA_QH","HNK")</f>
        <v>0</v>
      </c>
      <c r="K42" s="22">
        <f ca="1">+GETPIVOTDATA("XBB4",'binhba (2016)'!$A$3,"MA_HT","DDL","MA_QH","CLN")</f>
        <v>0</v>
      </c>
      <c r="L42" s="22">
        <f ca="1">+GETPIVOTDATA("XBB4",'binhba (2016)'!$A$3,"MA_HT","DDL","MA_QH","RSX")</f>
        <v>0</v>
      </c>
      <c r="M42" s="22">
        <f ca="1">+GETPIVOTDATA("XBB4",'binhba (2016)'!$A$3,"MA_HT","DDL","MA_QH","RPH")</f>
        <v>0</v>
      </c>
      <c r="N42" s="22">
        <f ca="1">+GETPIVOTDATA("XBB4",'binhba (2016)'!$A$3,"MA_HT","DDL","MA_QH","RDD")</f>
        <v>0</v>
      </c>
      <c r="O42" s="22">
        <f ca="1">+GETPIVOTDATA("XBB4",'binhba (2016)'!$A$3,"MA_HT","DDL","MA_QH","NTS")</f>
        <v>0</v>
      </c>
      <c r="P42" s="22">
        <f ca="1">+GETPIVOTDATA("XBB4",'binhba (2016)'!$A$3,"MA_HT","DDL","MA_QH","LMU")</f>
        <v>0</v>
      </c>
      <c r="Q42" s="22">
        <f ca="1">+GETPIVOTDATA("XBB4",'binhba (2016)'!$A$3,"MA_HT","DDL","MA_QH","NKH")</f>
        <v>0</v>
      </c>
      <c r="R42" s="79">
        <f ca="1">SUM(S42:AA42,AN42,AP42:BD42)</f>
        <v>0</v>
      </c>
      <c r="S42" s="22">
        <f ca="1">+GETPIVOTDATA("XBB4",'binhba (2016)'!$A$3,"MA_HT","DDL","MA_QH","CQP")</f>
        <v>0</v>
      </c>
      <c r="T42" s="22">
        <f ca="1">+GETPIVOTDATA("XBB4",'binhba (2016)'!$A$3,"MA_HT","DDL","MA_QH","CAN")</f>
        <v>0</v>
      </c>
      <c r="U42" s="22">
        <f ca="1">+GETPIVOTDATA("XBB4",'binhba (2016)'!$A$3,"MA_HT","DDL","MA_QH","SKK")</f>
        <v>0</v>
      </c>
      <c r="V42" s="22">
        <f ca="1">+GETPIVOTDATA("XBB4",'binhba (2016)'!$A$3,"MA_HT","DDL","MA_QH","SKT")</f>
        <v>0</v>
      </c>
      <c r="W42" s="22">
        <f ca="1">+GETPIVOTDATA("XBB4",'binhba (2016)'!$A$3,"MA_HT","DDL","MA_QH","SKN")</f>
        <v>0</v>
      </c>
      <c r="X42" s="22">
        <f ca="1">+GETPIVOTDATA("XBB4",'binhba (2016)'!$A$3,"MA_HT","DDL","MA_QH","TMD")</f>
        <v>0</v>
      </c>
      <c r="Y42" s="22">
        <f ca="1">+GETPIVOTDATA("XBB4",'binhba (2016)'!$A$3,"MA_HT","DDL","MA_QH","SKC")</f>
        <v>0</v>
      </c>
      <c r="Z42" s="22">
        <f ca="1">+GETPIVOTDATA("XBB4",'binhba (2016)'!$A$3,"MA_HT","DDL","MA_QH","SKS")</f>
        <v>0</v>
      </c>
      <c r="AA42" s="52">
        <f ca="1" t="shared" si="21"/>
        <v>0</v>
      </c>
      <c r="AB42" s="22">
        <f ca="1">+GETPIVOTDATA("XBB4",'binhba (2016)'!$A$3,"MA_HT","DDL","MA_QH","DGT")</f>
        <v>0</v>
      </c>
      <c r="AC42" s="22">
        <f ca="1">+GETPIVOTDATA("XBB4",'binhba (2016)'!$A$3,"MA_HT","DDL","MA_QH","DTL")</f>
        <v>0</v>
      </c>
      <c r="AD42" s="22">
        <f ca="1">+GETPIVOTDATA("XBB4",'binhba (2016)'!$A$3,"MA_HT","DDL","MA_QH","DNL")</f>
        <v>0</v>
      </c>
      <c r="AE42" s="22">
        <f ca="1">+GETPIVOTDATA("XBB4",'binhba (2016)'!$A$3,"MA_HT","DDL","MA_QH","DBV")</f>
        <v>0</v>
      </c>
      <c r="AF42" s="22">
        <f ca="1">+GETPIVOTDATA("XBB4",'binhba (2016)'!$A$3,"MA_HT","DDL","MA_QH","DVH")</f>
        <v>0</v>
      </c>
      <c r="AG42" s="22">
        <f ca="1">+GETPIVOTDATA("XBB4",'binhba (2016)'!$A$3,"MA_HT","DDL","MA_QH","DYT")</f>
        <v>0</v>
      </c>
      <c r="AH42" s="22">
        <f ca="1">+GETPIVOTDATA("XBB4",'binhba (2016)'!$A$3,"MA_HT","DDL","MA_QH","DGD")</f>
        <v>0</v>
      </c>
      <c r="AI42" s="22">
        <f ca="1">+GETPIVOTDATA("XBB4",'binhba (2016)'!$A$3,"MA_HT","DDL","MA_QH","DTT")</f>
        <v>0</v>
      </c>
      <c r="AJ42" s="22">
        <f ca="1">+GETPIVOTDATA("XBB4",'binhba (2016)'!$A$3,"MA_HT","DDL","MA_QH","NCK")</f>
        <v>0</v>
      </c>
      <c r="AK42" s="22">
        <f ca="1">+GETPIVOTDATA("XBB4",'binhba (2016)'!$A$3,"MA_HT","DDL","MA_QH","DXH")</f>
        <v>0</v>
      </c>
      <c r="AL42" s="22">
        <f ca="1">+GETPIVOTDATA("XBB4",'binhba (2016)'!$A$3,"MA_HT","DDL","MA_QH","DCH")</f>
        <v>0</v>
      </c>
      <c r="AM42" s="22">
        <f ca="1">+GETPIVOTDATA("XBB4",'binhba (2016)'!$A$3,"MA_HT","DDL","MA_QH","DKG")</f>
        <v>0</v>
      </c>
      <c r="AN42" s="22">
        <f ca="1">+GETPIVOTDATA("XBB4",'binhba (2016)'!$A$3,"MA_HT","DDL","MA_QH","DDT")</f>
        <v>0</v>
      </c>
      <c r="AO42" s="43" t="e">
        <f ca="1">$D42-$BF42</f>
        <v>#REF!</v>
      </c>
      <c r="AP42" s="22">
        <f ca="1">+GETPIVOTDATA("XBB4",'binhba (2016)'!$A$3,"MA_HT","DDL","MA_QH","DRA")</f>
        <v>0</v>
      </c>
      <c r="AQ42" s="22">
        <f ca="1">+GETPIVOTDATA("XBB4",'binhba (2016)'!$A$3,"MA_HT","DDL","MA_QH","ONT")</f>
        <v>0</v>
      </c>
      <c r="AR42" s="22">
        <f ca="1">+GETPIVOTDATA("XBB4",'binhba (2016)'!$A$3,"MA_HT","DDL","MA_QH","ODT")</f>
        <v>0</v>
      </c>
      <c r="AS42" s="22">
        <f ca="1">+GETPIVOTDATA("XBB4",'binhba (2016)'!$A$3,"MA_HT","DDL","MA_QH","TSC")</f>
        <v>0</v>
      </c>
      <c r="AT42" s="22">
        <f ca="1">+GETPIVOTDATA("XBB4",'binhba (2016)'!$A$3,"MA_HT","DDL","MA_QH","DTS")</f>
        <v>0</v>
      </c>
      <c r="AU42" s="22">
        <f ca="1">+GETPIVOTDATA("XBB4",'binhba (2016)'!$A$3,"MA_HT","DDL","MA_QH","DNG")</f>
        <v>0</v>
      </c>
      <c r="AV42" s="22">
        <f ca="1">+GETPIVOTDATA("XBB4",'binhba (2016)'!$A$3,"MA_HT","DDL","MA_QH","TON")</f>
        <v>0</v>
      </c>
      <c r="AW42" s="22">
        <f ca="1">+GETPIVOTDATA("XBB4",'binhba (2016)'!$A$3,"MA_HT","DDL","MA_QH","NTD")</f>
        <v>0</v>
      </c>
      <c r="AX42" s="22">
        <f ca="1">+GETPIVOTDATA("XBB4",'binhba (2016)'!$A$3,"MA_HT","DDL","MA_QH","SKX")</f>
        <v>0</v>
      </c>
      <c r="AY42" s="22">
        <f ca="1">+GETPIVOTDATA("XBB4",'binhba (2016)'!$A$3,"MA_HT","DDL","MA_QH","DSH")</f>
        <v>0</v>
      </c>
      <c r="AZ42" s="22">
        <f ca="1">+GETPIVOTDATA("XBB4",'binhba (2016)'!$A$3,"MA_HT","DDL","MA_QH","DKV")</f>
        <v>0</v>
      </c>
      <c r="BA42" s="89">
        <f ca="1">+GETPIVOTDATA("XBB4",'binhba (2016)'!$A$3,"MA_HT","DDL","MA_QH","TIN")</f>
        <v>0</v>
      </c>
      <c r="BB42" s="50">
        <f ca="1">+GETPIVOTDATA("XBB4",'binhba (2016)'!$A$3,"MA_HT","DDL","MA_QH","SON")</f>
        <v>0</v>
      </c>
      <c r="BC42" s="50">
        <f ca="1">+GETPIVOTDATA("XBB4",'binhba (2016)'!$A$3,"MA_HT","DDL","MA_QH","MNC")</f>
        <v>0</v>
      </c>
      <c r="BD42" s="22">
        <f ca="1">+GETPIVOTDATA("XBB4",'binhba (2016)'!$A$3,"MA_HT","DDL","MA_QH","PNK")</f>
        <v>0</v>
      </c>
      <c r="BE42" s="71">
        <f ca="1">+GETPIVOTDATA("XBB4",'binhba (2016)'!$A$3,"MA_HT","DDL","MA_QH","CSD")</f>
        <v>0</v>
      </c>
      <c r="BF42" s="74">
        <f ca="1" t="shared" si="13"/>
        <v>0</v>
      </c>
      <c r="BG42" s="101">
        <f ca="1">AO$59-$BF42</f>
        <v>0</v>
      </c>
      <c r="BH42" s="41" t="e">
        <f ca="1" t="shared" si="14"/>
        <v>#REF!</v>
      </c>
      <c r="BI42" s="98"/>
      <c r="BJ42" s="107"/>
      <c r="BK42" s="10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</row>
    <row r="43" s="2" customFormat="1" ht="15.75" customHeight="1" spans="1:79">
      <c r="A43" s="39" t="s">
        <v>8404</v>
      </c>
      <c r="B43" s="53" t="s">
        <v>8405</v>
      </c>
      <c r="C43" s="40" t="s">
        <v>8291</v>
      </c>
      <c r="D43" s="41" t="e">
        <f>+#REF!</f>
        <v>#REF!</v>
      </c>
      <c r="E43" s="42">
        <f ca="1" t="shared" si="15"/>
        <v>0</v>
      </c>
      <c r="F43" s="52">
        <f ca="1" t="shared" si="9"/>
        <v>0</v>
      </c>
      <c r="G43" s="22">
        <f ca="1">+GETPIVOTDATA("XBB4",'binhba (2016)'!$A$3,"MA_HT","DRA","MA_QH","LUC")</f>
        <v>0</v>
      </c>
      <c r="H43" s="22">
        <f ca="1">+GETPIVOTDATA("XBB4",'binhba (2016)'!$A$3,"MA_HT","DRA","MA_QH","LUK")</f>
        <v>0</v>
      </c>
      <c r="I43" s="22">
        <f ca="1">+GETPIVOTDATA("XBB4",'binhba (2016)'!$A$3,"MA_HT","DRA","MA_QH","LUN")</f>
        <v>0</v>
      </c>
      <c r="J43" s="22">
        <f ca="1">+GETPIVOTDATA("XBB4",'binhba (2016)'!$A$3,"MA_HT","DRA","MA_QH","HNK")</f>
        <v>0</v>
      </c>
      <c r="K43" s="22">
        <f ca="1">+GETPIVOTDATA("XBB4",'binhba (2016)'!$A$3,"MA_HT","DRA","MA_QH","CLN")</f>
        <v>0</v>
      </c>
      <c r="L43" s="22">
        <f ca="1">+GETPIVOTDATA("XBB4",'binhba (2016)'!$A$3,"MA_HT","DRA","MA_QH","RSX")</f>
        <v>0</v>
      </c>
      <c r="M43" s="22">
        <f ca="1">+GETPIVOTDATA("XBB4",'binhba (2016)'!$A$3,"MA_HT","DRA","MA_QH","RPH")</f>
        <v>0</v>
      </c>
      <c r="N43" s="22">
        <f ca="1">+GETPIVOTDATA("XBB4",'binhba (2016)'!$A$3,"MA_HT","DRA","MA_QH","RDD")</f>
        <v>0</v>
      </c>
      <c r="O43" s="22">
        <f ca="1">+GETPIVOTDATA("XBB4",'binhba (2016)'!$A$3,"MA_HT","DRA","MA_QH","NTS")</f>
        <v>0</v>
      </c>
      <c r="P43" s="22">
        <f ca="1">+GETPIVOTDATA("XBB4",'binhba (2016)'!$A$3,"MA_HT","DRA","MA_QH","LMU")</f>
        <v>0</v>
      </c>
      <c r="Q43" s="22">
        <f ca="1">+GETPIVOTDATA("XBB4",'binhba (2016)'!$A$3,"MA_HT","DRA","MA_QH","NKH")</f>
        <v>0</v>
      </c>
      <c r="R43" s="79">
        <f ca="1">SUM(S43:AA43,AN43:AO43,AQ43:BD43)</f>
        <v>0</v>
      </c>
      <c r="S43" s="22">
        <f ca="1">+GETPIVOTDATA("XBB4",'binhba (2016)'!$A$3,"MA_HT","DRA","MA_QH","CQP")</f>
        <v>0</v>
      </c>
      <c r="T43" s="22">
        <f ca="1">+GETPIVOTDATA("XBB4",'binhba (2016)'!$A$3,"MA_HT","DRA","MA_QH","CAN")</f>
        <v>0</v>
      </c>
      <c r="U43" s="22">
        <f ca="1">+GETPIVOTDATA("XBB4",'binhba (2016)'!$A$3,"MA_HT","DRA","MA_QH","SKK")</f>
        <v>0</v>
      </c>
      <c r="V43" s="22">
        <f ca="1">+GETPIVOTDATA("XBB4",'binhba (2016)'!$A$3,"MA_HT","DRA","MA_QH","SKT")</f>
        <v>0</v>
      </c>
      <c r="W43" s="22">
        <f ca="1">+GETPIVOTDATA("XBB4",'binhba (2016)'!$A$3,"MA_HT","DRA","MA_QH","SKN")</f>
        <v>0</v>
      </c>
      <c r="X43" s="22">
        <f ca="1">+GETPIVOTDATA("XBB4",'binhba (2016)'!$A$3,"MA_HT","DRA","MA_QH","TMD")</f>
        <v>0</v>
      </c>
      <c r="Y43" s="22">
        <f ca="1">+GETPIVOTDATA("XBB4",'binhba (2016)'!$A$3,"MA_HT","DRA","MA_QH","SKC")</f>
        <v>0</v>
      </c>
      <c r="Z43" s="22">
        <f ca="1">+GETPIVOTDATA("XBB4",'binhba (2016)'!$A$3,"MA_HT","DRA","MA_QH","SKS")</f>
        <v>0</v>
      </c>
      <c r="AA43" s="52">
        <f ca="1" t="shared" si="21"/>
        <v>0</v>
      </c>
      <c r="AB43" s="22">
        <f ca="1">+GETPIVOTDATA("XBB4",'binhba (2016)'!$A$3,"MA_HT","DRA","MA_QH","DGT")</f>
        <v>0</v>
      </c>
      <c r="AC43" s="22">
        <f ca="1">+GETPIVOTDATA("XBB4",'binhba (2016)'!$A$3,"MA_HT","DRA","MA_QH","DTL")</f>
        <v>0</v>
      </c>
      <c r="AD43" s="22">
        <f ca="1">+GETPIVOTDATA("XBB4",'binhba (2016)'!$A$3,"MA_HT","DRA","MA_QH","DNL")</f>
        <v>0</v>
      </c>
      <c r="AE43" s="22">
        <f ca="1">+GETPIVOTDATA("XBB4",'binhba (2016)'!$A$3,"MA_HT","DRA","MA_QH","DBV")</f>
        <v>0</v>
      </c>
      <c r="AF43" s="22">
        <f ca="1">+GETPIVOTDATA("XBB4",'binhba (2016)'!$A$3,"MA_HT","DRA","MA_QH","DVH")</f>
        <v>0</v>
      </c>
      <c r="AG43" s="22">
        <f ca="1">+GETPIVOTDATA("XBB4",'binhba (2016)'!$A$3,"MA_HT","DRA","MA_QH","DYT")</f>
        <v>0</v>
      </c>
      <c r="AH43" s="22">
        <f ca="1">+GETPIVOTDATA("XBB4",'binhba (2016)'!$A$3,"MA_HT","DRA","MA_QH","DGD")</f>
        <v>0</v>
      </c>
      <c r="AI43" s="22">
        <f ca="1">+GETPIVOTDATA("XBB4",'binhba (2016)'!$A$3,"MA_HT","DRA","MA_QH","DTT")</f>
        <v>0</v>
      </c>
      <c r="AJ43" s="22">
        <f ca="1">+GETPIVOTDATA("XBB4",'binhba (2016)'!$A$3,"MA_HT","DRA","MA_QH","NCK")</f>
        <v>0</v>
      </c>
      <c r="AK43" s="22">
        <f ca="1">+GETPIVOTDATA("XBB4",'binhba (2016)'!$A$3,"MA_HT","DRA","MA_QH","DXH")</f>
        <v>0</v>
      </c>
      <c r="AL43" s="22">
        <f ca="1">+GETPIVOTDATA("XBB4",'binhba (2016)'!$A$3,"MA_HT","DRA","MA_QH","DCH")</f>
        <v>0</v>
      </c>
      <c r="AM43" s="22">
        <f ca="1">+GETPIVOTDATA("XBB4",'binhba (2016)'!$A$3,"MA_HT","DRA","MA_QH","DKG")</f>
        <v>0</v>
      </c>
      <c r="AN43" s="22">
        <f ca="1">+GETPIVOTDATA("XBB4",'binhba (2016)'!$A$3,"MA_HT","DRA","MA_QH","DDT")</f>
        <v>0</v>
      </c>
      <c r="AO43" s="22">
        <f ca="1">+GETPIVOTDATA("XBB4",'binhba (2016)'!$A$3,"MA_HT","DRA","MA_QH","DDL")</f>
        <v>0</v>
      </c>
      <c r="AP43" s="43" t="e">
        <f ca="1">$D43-$BF43</f>
        <v>#REF!</v>
      </c>
      <c r="AQ43" s="22">
        <f ca="1">+GETPIVOTDATA("XBB4",'binhba (2016)'!$A$3,"MA_HT","DRA","MA_QH","ONT")</f>
        <v>0</v>
      </c>
      <c r="AR43" s="22">
        <f ca="1">+GETPIVOTDATA("XBB4",'binhba (2016)'!$A$3,"MA_HT","DRA","MA_QH","ODT")</f>
        <v>0</v>
      </c>
      <c r="AS43" s="22">
        <f ca="1">+GETPIVOTDATA("XBB4",'binhba (2016)'!$A$3,"MA_HT","DRA","MA_QH","TSC")</f>
        <v>0</v>
      </c>
      <c r="AT43" s="22">
        <f ca="1">+GETPIVOTDATA("XBB4",'binhba (2016)'!$A$3,"MA_HT","DRA","MA_QH","DTS")</f>
        <v>0</v>
      </c>
      <c r="AU43" s="22">
        <f ca="1">+GETPIVOTDATA("XBB4",'binhba (2016)'!$A$3,"MA_HT","DRA","MA_QH","DNG")</f>
        <v>0</v>
      </c>
      <c r="AV43" s="22">
        <f ca="1">+GETPIVOTDATA("XBB4",'binhba (2016)'!$A$3,"MA_HT","DRA","MA_QH","TON")</f>
        <v>0</v>
      </c>
      <c r="AW43" s="22">
        <f ca="1">+GETPIVOTDATA("XBB4",'binhba (2016)'!$A$3,"MA_HT","DRA","MA_QH","NTD")</f>
        <v>0</v>
      </c>
      <c r="AX43" s="22">
        <f ca="1">+GETPIVOTDATA("XBB4",'binhba (2016)'!$A$3,"MA_HT","DRA","MA_QH","SKX")</f>
        <v>0</v>
      </c>
      <c r="AY43" s="22">
        <f ca="1">+GETPIVOTDATA("XBB4",'binhba (2016)'!$A$3,"MA_HT","DRA","MA_QH","DSH")</f>
        <v>0</v>
      </c>
      <c r="AZ43" s="22">
        <f ca="1">+GETPIVOTDATA("XBB4",'binhba (2016)'!$A$3,"MA_HT","DRA","MA_QH","DKV")</f>
        <v>0</v>
      </c>
      <c r="BA43" s="89">
        <f ca="1">+GETPIVOTDATA("XBB4",'binhba (2016)'!$A$3,"MA_HT","DRA","MA_QH","TIN")</f>
        <v>0</v>
      </c>
      <c r="BB43" s="50">
        <f ca="1">+GETPIVOTDATA("XBB4",'binhba (2016)'!$A$3,"MA_HT","DRA","MA_QH","SON")</f>
        <v>0</v>
      </c>
      <c r="BC43" s="50">
        <f ca="1">+GETPIVOTDATA("XBB4",'binhba (2016)'!$A$3,"MA_HT","DRA","MA_QH","MNC")</f>
        <v>0</v>
      </c>
      <c r="BD43" s="22">
        <f ca="1">+GETPIVOTDATA("XBB4",'binhba (2016)'!$A$3,"MA_HT","DRA","MA_QH","PNK")</f>
        <v>0</v>
      </c>
      <c r="BE43" s="71">
        <f ca="1">+GETPIVOTDATA("XBB4",'binhba (2016)'!$A$3,"MA_HT","DRA","MA_QH","CSD")</f>
        <v>0</v>
      </c>
      <c r="BF43" s="74">
        <f ca="1" t="shared" si="13"/>
        <v>0</v>
      </c>
      <c r="BG43" s="101">
        <f ca="1">AP$59-$BF43</f>
        <v>0</v>
      </c>
      <c r="BH43" s="41" t="e">
        <f ca="1" t="shared" si="14"/>
        <v>#REF!</v>
      </c>
      <c r="BI43" s="98"/>
      <c r="BJ43" s="107" t="e">
        <f>#REF!</f>
        <v>#REF!</v>
      </c>
      <c r="BK43" s="107" t="e">
        <f ca="1">BH43-BJ43</f>
        <v>#REF!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</row>
    <row r="44" s="2" customFormat="1" ht="15.75" customHeight="1" spans="1:79">
      <c r="A44" s="39" t="s">
        <v>8406</v>
      </c>
      <c r="B44" s="53" t="s">
        <v>8407</v>
      </c>
      <c r="C44" s="40" t="s">
        <v>188</v>
      </c>
      <c r="D44" s="41" t="e">
        <f>+#REF!</f>
        <v>#REF!</v>
      </c>
      <c r="E44" s="42">
        <f ca="1" t="shared" si="15"/>
        <v>0</v>
      </c>
      <c r="F44" s="52">
        <f ca="1" t="shared" si="9"/>
        <v>0</v>
      </c>
      <c r="G44" s="22">
        <f ca="1">+GETPIVOTDATA("XBB4",'binhba (2016)'!$A$3,"MA_HT","ONT","MA_QH","LUC")</f>
        <v>0</v>
      </c>
      <c r="H44" s="22">
        <f ca="1">+GETPIVOTDATA("XBB4",'binhba (2016)'!$A$3,"MA_HT","ONT","MA_QH","LUK")</f>
        <v>0</v>
      </c>
      <c r="I44" s="22">
        <f ca="1">+GETPIVOTDATA("XBB4",'binhba (2016)'!$A$3,"MA_HT","ONT","MA_QH","LUN")</f>
        <v>0</v>
      </c>
      <c r="J44" s="22">
        <f ca="1">+GETPIVOTDATA("XBB4",'binhba (2016)'!$A$3,"MA_HT","ONT","MA_QH","HNK")</f>
        <v>0</v>
      </c>
      <c r="K44" s="22">
        <f ca="1">+GETPIVOTDATA("XBB4",'binhba (2016)'!$A$3,"MA_HT","ONT","MA_QH","CLN")</f>
        <v>0</v>
      </c>
      <c r="L44" s="22">
        <f ca="1">+GETPIVOTDATA("XBB4",'binhba (2016)'!$A$3,"MA_HT","ONT","MA_QH","RSX")</f>
        <v>0</v>
      </c>
      <c r="M44" s="22">
        <f ca="1">+GETPIVOTDATA("XBB4",'binhba (2016)'!$A$3,"MA_HT","ONT","MA_QH","RPH")</f>
        <v>0</v>
      </c>
      <c r="N44" s="22">
        <f ca="1">+GETPIVOTDATA("XBB4",'binhba (2016)'!$A$3,"MA_HT","ONT","MA_QH","RDD")</f>
        <v>0</v>
      </c>
      <c r="O44" s="22">
        <f ca="1">+GETPIVOTDATA("XBB4",'binhba (2016)'!$A$3,"MA_HT","ONT","MA_QH","NTS")</f>
        <v>0</v>
      </c>
      <c r="P44" s="22">
        <f ca="1">+GETPIVOTDATA("XBB4",'binhba (2016)'!$A$3,"MA_HT","ONT","MA_QH","LMU")</f>
        <v>0</v>
      </c>
      <c r="Q44" s="22">
        <f ca="1">+GETPIVOTDATA("XBB4",'binhba (2016)'!$A$3,"MA_HT","ONT","MA_QH","NKH")</f>
        <v>0</v>
      </c>
      <c r="R44" s="79">
        <f ca="1">SUM(S44:AA44,AN44:AP44,AR44:BD44)</f>
        <v>0</v>
      </c>
      <c r="S44" s="22">
        <f ca="1">+GETPIVOTDATA("XBB4",'binhba (2016)'!$A$3,"MA_HT","ONT","MA_QH","CQP")</f>
        <v>0</v>
      </c>
      <c r="T44" s="22">
        <f ca="1">+GETPIVOTDATA("XBB4",'binhba (2016)'!$A$3,"MA_HT","ONT","MA_QH","CAN")</f>
        <v>0</v>
      </c>
      <c r="U44" s="22">
        <f ca="1">+GETPIVOTDATA("XBB4",'binhba (2016)'!$A$3,"MA_HT","ONT","MA_QH","SKK")</f>
        <v>0</v>
      </c>
      <c r="V44" s="22">
        <f ca="1">+GETPIVOTDATA("XBB4",'binhba (2016)'!$A$3,"MA_HT","ONT","MA_QH","SKT")</f>
        <v>0</v>
      </c>
      <c r="W44" s="22">
        <f ca="1">+GETPIVOTDATA("XBB4",'binhba (2016)'!$A$3,"MA_HT","ONT","MA_QH","SKN")</f>
        <v>0</v>
      </c>
      <c r="X44" s="22">
        <f ca="1">+GETPIVOTDATA("XBB4",'binhba (2016)'!$A$3,"MA_HT","ONT","MA_QH","TMD")</f>
        <v>0</v>
      </c>
      <c r="Y44" s="22">
        <f ca="1">+GETPIVOTDATA("XBB4",'binhba (2016)'!$A$3,"MA_HT","ONT","MA_QH","SKC")</f>
        <v>0</v>
      </c>
      <c r="Z44" s="22">
        <f ca="1">+GETPIVOTDATA("XBB4",'binhba (2016)'!$A$3,"MA_HT","ONT","MA_QH","SKS")</f>
        <v>0</v>
      </c>
      <c r="AA44" s="52">
        <f ca="1" t="shared" si="21"/>
        <v>0</v>
      </c>
      <c r="AB44" s="22">
        <f ca="1">+GETPIVOTDATA("XBB4",'binhba (2016)'!$A$3,"MA_HT","ONT","MA_QH","DGT")</f>
        <v>0</v>
      </c>
      <c r="AC44" s="22">
        <f ca="1">+GETPIVOTDATA("XBB4",'binhba (2016)'!$A$3,"MA_HT","ONT","MA_QH","DTL")</f>
        <v>0</v>
      </c>
      <c r="AD44" s="22">
        <f ca="1">+GETPIVOTDATA("XBB4",'binhba (2016)'!$A$3,"MA_HT","ONT","MA_QH","DNL")</f>
        <v>0</v>
      </c>
      <c r="AE44" s="22">
        <f ca="1">+GETPIVOTDATA("XBB4",'binhba (2016)'!$A$3,"MA_HT","ONT","MA_QH","DBV")</f>
        <v>0</v>
      </c>
      <c r="AF44" s="22">
        <f ca="1">+GETPIVOTDATA("XBB4",'binhba (2016)'!$A$3,"MA_HT","ONT","MA_QH","DVH")</f>
        <v>0</v>
      </c>
      <c r="AG44" s="22">
        <f ca="1">+GETPIVOTDATA("XBB4",'binhba (2016)'!$A$3,"MA_HT","ONT","MA_QH","DYT")</f>
        <v>0</v>
      </c>
      <c r="AH44" s="22">
        <f ca="1">+GETPIVOTDATA("XBB4",'binhba (2016)'!$A$3,"MA_HT","ONT","MA_QH","DGD")</f>
        <v>0</v>
      </c>
      <c r="AI44" s="22">
        <f ca="1">+GETPIVOTDATA("XBB4",'binhba (2016)'!$A$3,"MA_HT","ONT","MA_QH","DTT")</f>
        <v>0</v>
      </c>
      <c r="AJ44" s="22">
        <f ca="1">+GETPIVOTDATA("XBB4",'binhba (2016)'!$A$3,"MA_HT","ONT","MA_QH","NCK")</f>
        <v>0</v>
      </c>
      <c r="AK44" s="22">
        <f ca="1">+GETPIVOTDATA("XBB4",'binhba (2016)'!$A$3,"MA_HT","ONT","MA_QH","DXH")</f>
        <v>0</v>
      </c>
      <c r="AL44" s="22">
        <f ca="1">+GETPIVOTDATA("XBB4",'binhba (2016)'!$A$3,"MA_HT","ONT","MA_QH","DCH")</f>
        <v>0</v>
      </c>
      <c r="AM44" s="22">
        <f ca="1">+GETPIVOTDATA("XBB4",'binhba (2016)'!$A$3,"MA_HT","ONT","MA_QH","DKG")</f>
        <v>0</v>
      </c>
      <c r="AN44" s="22">
        <f ca="1">+GETPIVOTDATA("XBB4",'binhba (2016)'!$A$3,"MA_HT","ONT","MA_QH","DDT")</f>
        <v>0</v>
      </c>
      <c r="AO44" s="22">
        <f ca="1">+GETPIVOTDATA("XBB4",'binhba (2016)'!$A$3,"MA_HT","ONT","MA_QH","DDL")</f>
        <v>0</v>
      </c>
      <c r="AP44" s="22">
        <f ca="1">+GETPIVOTDATA("XBB4",'binhba (2016)'!$A$3,"MA_HT","ONT","MA_QH","DRA")</f>
        <v>0</v>
      </c>
      <c r="AQ44" s="43" t="e">
        <f ca="1">$D44-$BF44</f>
        <v>#REF!</v>
      </c>
      <c r="AR44" s="22">
        <f ca="1">+GETPIVOTDATA("XBB4",'binhba (2016)'!$A$3,"MA_HT","ONT","MA_QH","ODT")</f>
        <v>0</v>
      </c>
      <c r="AS44" s="22">
        <f ca="1">+GETPIVOTDATA("XBB4",'binhba (2016)'!$A$3,"MA_HT","ONT","MA_QH","TSC")</f>
        <v>0</v>
      </c>
      <c r="AT44" s="22">
        <f ca="1">+GETPIVOTDATA("XBB4",'binhba (2016)'!$A$3,"MA_HT","ONT","MA_QH","DTS")</f>
        <v>0</v>
      </c>
      <c r="AU44" s="22">
        <f ca="1">+GETPIVOTDATA("XBB4",'binhba (2016)'!$A$3,"MA_HT","ONT","MA_QH","DNG")</f>
        <v>0</v>
      </c>
      <c r="AV44" s="22">
        <f ca="1">+GETPIVOTDATA("XBB4",'binhba (2016)'!$A$3,"MA_HT","ONT","MA_QH","TON")</f>
        <v>0</v>
      </c>
      <c r="AW44" s="22">
        <f ca="1">+GETPIVOTDATA("XBB4",'binhba (2016)'!$A$3,"MA_HT","ONT","MA_QH","NTD")</f>
        <v>0</v>
      </c>
      <c r="AX44" s="22">
        <f ca="1">+GETPIVOTDATA("XBB4",'binhba (2016)'!$A$3,"MA_HT","ONT","MA_QH","SKX")</f>
        <v>0</v>
      </c>
      <c r="AY44" s="22">
        <f ca="1">+GETPIVOTDATA("XBB4",'binhba (2016)'!$A$3,"MA_HT","ONT","MA_QH","DSH")</f>
        <v>0</v>
      </c>
      <c r="AZ44" s="22">
        <f ca="1">+GETPIVOTDATA("XBB4",'binhba (2016)'!$A$3,"MA_HT","ONT","MA_QH","DKV")</f>
        <v>0</v>
      </c>
      <c r="BA44" s="89">
        <f ca="1">+GETPIVOTDATA("XBB4",'binhba (2016)'!$A$3,"MA_HT","ONT","MA_QH","TIN")</f>
        <v>0</v>
      </c>
      <c r="BB44" s="50">
        <f ca="1">+GETPIVOTDATA("XBB4",'binhba (2016)'!$A$3,"MA_HT","ONT","MA_QH","SON")</f>
        <v>0</v>
      </c>
      <c r="BC44" s="50">
        <f ca="1">+GETPIVOTDATA("XBB4",'binhba (2016)'!$A$3,"MA_HT","ONT","MA_QH","MNC")</f>
        <v>0</v>
      </c>
      <c r="BD44" s="22">
        <f ca="1">+GETPIVOTDATA("XBB4",'binhba (2016)'!$A$3,"MA_HT","ONT","MA_QH","PNK")</f>
        <v>0</v>
      </c>
      <c r="BE44" s="71">
        <f ca="1">+GETPIVOTDATA("XBB4",'binhba (2016)'!$A$3,"MA_HT","ONT","MA_QH","CSD")</f>
        <v>0</v>
      </c>
      <c r="BF44" s="74">
        <f ca="1" t="shared" si="13"/>
        <v>0</v>
      </c>
      <c r="BG44" s="101">
        <f ca="1">AQ$59-$BF44</f>
        <v>0</v>
      </c>
      <c r="BH44" s="41" t="e">
        <f ca="1" t="shared" si="14"/>
        <v>#REF!</v>
      </c>
      <c r="BI44" s="98"/>
      <c r="BJ44" s="107" t="e">
        <f>#REF!</f>
        <v>#REF!</v>
      </c>
      <c r="BK44" s="107" t="e">
        <f ca="1">BH44-BJ44</f>
        <v>#REF!</v>
      </c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</row>
    <row r="45" s="2" customFormat="1" ht="15.75" customHeight="1" spans="1:79">
      <c r="A45" s="61" t="s">
        <v>8408</v>
      </c>
      <c r="B45" s="62" t="s">
        <v>8409</v>
      </c>
      <c r="C45" s="63" t="s">
        <v>201</v>
      </c>
      <c r="D45" s="64" t="e">
        <f>+#REF!</f>
        <v>#REF!</v>
      </c>
      <c r="E45" s="65">
        <f ca="1" t="shared" si="15"/>
        <v>0</v>
      </c>
      <c r="F45" s="66">
        <f ca="1" t="shared" si="9"/>
        <v>0</v>
      </c>
      <c r="G45" s="67">
        <f ca="1">+GETPIVOTDATA("XBB4",'binhba (2016)'!$A$3,"MA_HT","ODT","MA_QH","LUC")</f>
        <v>0</v>
      </c>
      <c r="H45" s="67">
        <f ca="1">+GETPIVOTDATA("XBB4",'binhba (2016)'!$A$3,"MA_HT","ODT","MA_QH","LUK")</f>
        <v>0</v>
      </c>
      <c r="I45" s="67">
        <f ca="1">+GETPIVOTDATA("XBB4",'binhba (2016)'!$A$3,"MA_HT","ODT","MA_QH","LUN")</f>
        <v>0</v>
      </c>
      <c r="J45" s="67">
        <f ca="1">+GETPIVOTDATA("XBB4",'binhba (2016)'!$A$3,"MA_HT","ODT","MA_QH","HNK")</f>
        <v>0</v>
      </c>
      <c r="K45" s="67">
        <f ca="1">+GETPIVOTDATA("XBB4",'binhba (2016)'!$A$3,"MA_HT","ODT","MA_QH","CLN")</f>
        <v>0</v>
      </c>
      <c r="L45" s="67">
        <f ca="1">+GETPIVOTDATA("XBB4",'binhba (2016)'!$A$3,"MA_HT","ODT","MA_QH","RSX")</f>
        <v>0</v>
      </c>
      <c r="M45" s="67">
        <f ca="1">+GETPIVOTDATA("XBB4",'binhba (2016)'!$A$3,"MA_HT","ODT","MA_QH","RPH")</f>
        <v>0</v>
      </c>
      <c r="N45" s="67">
        <f ca="1">+GETPIVOTDATA("XBB4",'binhba (2016)'!$A$3,"MA_HT","ODT","MA_QH","RDD")</f>
        <v>0</v>
      </c>
      <c r="O45" s="67">
        <f ca="1">+GETPIVOTDATA("XBB4",'binhba (2016)'!$A$3,"MA_HT","ODT","MA_QH","NTS")</f>
        <v>0</v>
      </c>
      <c r="P45" s="67">
        <f ca="1">+GETPIVOTDATA("XBB4",'binhba (2016)'!$A$3,"MA_HT","ODT","MA_QH","LMU")</f>
        <v>0</v>
      </c>
      <c r="Q45" s="67">
        <f ca="1">+GETPIVOTDATA("XBB4",'binhba (2016)'!$A$3,"MA_HT","ODT","MA_QH","NKH")</f>
        <v>0</v>
      </c>
      <c r="R45" s="79">
        <f ca="1">SUM(S45:AA45,AN45:AQ45,AS45:BD45)</f>
        <v>0</v>
      </c>
      <c r="S45" s="67">
        <f ca="1">+GETPIVOTDATA("XBB4",'binhba (2016)'!$A$3,"MA_HT","ODT","MA_QH","CQP")</f>
        <v>0</v>
      </c>
      <c r="T45" s="67">
        <f ca="1">+GETPIVOTDATA("XBB4",'binhba (2016)'!$A$3,"MA_HT","ODT","MA_QH","CAN")</f>
        <v>0</v>
      </c>
      <c r="U45" s="67">
        <f ca="1">+GETPIVOTDATA("XBB4",'binhba (2016)'!$A$3,"MA_HT","ODT","MA_QH","SKK")</f>
        <v>0</v>
      </c>
      <c r="V45" s="67">
        <f ca="1">+GETPIVOTDATA("XBB4",'binhba (2016)'!$A$3,"MA_HT","ODT","MA_QH","SKT")</f>
        <v>0</v>
      </c>
      <c r="W45" s="67">
        <f ca="1">+GETPIVOTDATA("XBB4",'binhba (2016)'!$A$3,"MA_HT","ODT","MA_QH","SKN")</f>
        <v>0</v>
      </c>
      <c r="X45" s="67">
        <f ca="1">+GETPIVOTDATA("XBB4",'binhba (2016)'!$A$3,"MA_HT","ODT","MA_QH","TMD")</f>
        <v>0</v>
      </c>
      <c r="Y45" s="67">
        <f ca="1">+GETPIVOTDATA("XBB4",'binhba (2016)'!$A$3,"MA_HT","ODT","MA_QH","SKC")</f>
        <v>0</v>
      </c>
      <c r="Z45" s="67">
        <f ca="1">+GETPIVOTDATA("XBB4",'binhba (2016)'!$A$3,"MA_HT","ODT","MA_QH","SKS")</f>
        <v>0</v>
      </c>
      <c r="AA45" s="66">
        <f ca="1" t="shared" si="21"/>
        <v>0</v>
      </c>
      <c r="AB45" s="67">
        <f ca="1">+GETPIVOTDATA("XBB4",'binhba (2016)'!$A$3,"MA_HT","ODT","MA_QH","DGT")</f>
        <v>0</v>
      </c>
      <c r="AC45" s="67">
        <f ca="1">+GETPIVOTDATA("XBB4",'binhba (2016)'!$A$3,"MA_HT","ODT","MA_QH","DTL")</f>
        <v>0</v>
      </c>
      <c r="AD45" s="67">
        <f ca="1">+GETPIVOTDATA("XBB4",'binhba (2016)'!$A$3,"MA_HT","ODT","MA_QH","DNL")</f>
        <v>0</v>
      </c>
      <c r="AE45" s="67">
        <f ca="1">+GETPIVOTDATA("XBB4",'binhba (2016)'!$A$3,"MA_HT","ODT","MA_QH","DBV")</f>
        <v>0</v>
      </c>
      <c r="AF45" s="67">
        <f ca="1">+GETPIVOTDATA("XBB4",'binhba (2016)'!$A$3,"MA_HT","ODT","MA_QH","DVH")</f>
        <v>0</v>
      </c>
      <c r="AG45" s="67">
        <f ca="1">+GETPIVOTDATA("XBB4",'binhba (2016)'!$A$3,"MA_HT","ODT","MA_QH","DYT")</f>
        <v>0</v>
      </c>
      <c r="AH45" s="67">
        <f ca="1">+GETPIVOTDATA("XBB4",'binhba (2016)'!$A$3,"MA_HT","ODT","MA_QH","DGD")</f>
        <v>0</v>
      </c>
      <c r="AI45" s="67">
        <f ca="1">+GETPIVOTDATA("XBB4",'binhba (2016)'!$A$3,"MA_HT","ODT","MA_QH","DTT")</f>
        <v>0</v>
      </c>
      <c r="AJ45" s="67">
        <f ca="1">+GETPIVOTDATA("XBB4",'binhba (2016)'!$A$3,"MA_HT","ODT","MA_QH","NCK")</f>
        <v>0</v>
      </c>
      <c r="AK45" s="67">
        <f ca="1">+GETPIVOTDATA("XBB4",'binhba (2016)'!$A$3,"MA_HT","ODT","MA_QH","DXH")</f>
        <v>0</v>
      </c>
      <c r="AL45" s="67">
        <f ca="1">+GETPIVOTDATA("XBB4",'binhba (2016)'!$A$3,"MA_HT","ODT","MA_QH","DCH")</f>
        <v>0</v>
      </c>
      <c r="AM45" s="67">
        <f ca="1">+GETPIVOTDATA("XBB4",'binhba (2016)'!$A$3,"MA_HT","ODT","MA_QH","DKG")</f>
        <v>0</v>
      </c>
      <c r="AN45" s="67">
        <f ca="1">+GETPIVOTDATA("XBB4",'binhba (2016)'!$A$3,"MA_HT","ODT","MA_QH","DDT")</f>
        <v>0</v>
      </c>
      <c r="AO45" s="67">
        <f ca="1">+GETPIVOTDATA("XBB4",'binhba (2016)'!$A$3,"MA_HT","ODT","MA_QH","DDL")</f>
        <v>0</v>
      </c>
      <c r="AP45" s="67">
        <f ca="1">+GETPIVOTDATA("XBB4",'binhba (2016)'!$A$3,"MA_HT","ODT","MA_QH","DRA")</f>
        <v>0</v>
      </c>
      <c r="AQ45" s="67">
        <f ca="1">+GETPIVOTDATA("XBB4",'binhba (2016)'!$A$3,"MA_HT","ODT","MA_QH","ONT")</f>
        <v>0</v>
      </c>
      <c r="AR45" s="82" t="e">
        <f ca="1">$D45-$BF45</f>
        <v>#REF!</v>
      </c>
      <c r="AS45" s="67">
        <f ca="1">+GETPIVOTDATA("XBB4",'binhba (2016)'!$A$3,"MA_HT","ODT","MA_QH","TSC")</f>
        <v>0</v>
      </c>
      <c r="AT45" s="67">
        <f ca="1">+GETPIVOTDATA("XBB4",'binhba (2016)'!$A$3,"MA_HT","ODT","MA_QH","DTS")</f>
        <v>0</v>
      </c>
      <c r="AU45" s="67">
        <f ca="1">+GETPIVOTDATA("XBB4",'binhba (2016)'!$A$3,"MA_HT","ODT","MA_QH","DNG")</f>
        <v>0</v>
      </c>
      <c r="AV45" s="67">
        <f ca="1">+GETPIVOTDATA("XBB4",'binhba (2016)'!$A$3,"MA_HT","ODT","MA_QH","TON")</f>
        <v>0</v>
      </c>
      <c r="AW45" s="67">
        <f ca="1">+GETPIVOTDATA("XBB4",'binhba (2016)'!$A$3,"MA_HT","ODT","MA_QH","NTD")</f>
        <v>0</v>
      </c>
      <c r="AX45" s="67">
        <f ca="1">+GETPIVOTDATA("XBB4",'binhba (2016)'!$A$3,"MA_HT","ODT","MA_QH","SKX")</f>
        <v>0</v>
      </c>
      <c r="AY45" s="67">
        <f ca="1">+GETPIVOTDATA("XBB4",'binhba (2016)'!$A$3,"MA_HT","ODT","MA_QH","DSH")</f>
        <v>0</v>
      </c>
      <c r="AZ45" s="67">
        <f ca="1">+GETPIVOTDATA("XBB4",'binhba (2016)'!$A$3,"MA_HT","ODT","MA_QH","DKV")</f>
        <v>0</v>
      </c>
      <c r="BA45" s="92">
        <f ca="1">+GETPIVOTDATA("XBB4",'binhba (2016)'!$A$3,"MA_HT","ODT","MA_QH","TIN")</f>
        <v>0</v>
      </c>
      <c r="BB45" s="93">
        <f ca="1">+GETPIVOTDATA("XBB4",'binhba (2016)'!$A$3,"MA_HT","ODT","MA_QH","SON")</f>
        <v>0</v>
      </c>
      <c r="BC45" s="93">
        <f ca="1">+GETPIVOTDATA("XBB4",'binhba (2016)'!$A$3,"MA_HT","ODT","MA_QH","MNC")</f>
        <v>0</v>
      </c>
      <c r="BD45" s="67">
        <f ca="1">+GETPIVOTDATA("XBB4",'binhba (2016)'!$A$3,"MA_HT","ODT","MA_QH","PNK")</f>
        <v>0</v>
      </c>
      <c r="BE45" s="116">
        <f ca="1">+GETPIVOTDATA("XBB4",'binhba (2016)'!$A$3,"MA_HT","ODT","MA_QH","CSD")</f>
        <v>0</v>
      </c>
      <c r="BF45" s="117">
        <f ca="1" t="shared" si="13"/>
        <v>0</v>
      </c>
      <c r="BG45" s="118">
        <f ca="1">AR$59-$BF45</f>
        <v>0</v>
      </c>
      <c r="BH45" s="64" t="e">
        <f ca="1" t="shared" si="14"/>
        <v>#REF!</v>
      </c>
      <c r="BI45" s="98"/>
      <c r="BJ45" s="107" t="e">
        <f>#REF!</f>
        <v>#REF!</v>
      </c>
      <c r="BK45" s="107" t="e">
        <f ca="1">BH45-BJ45</f>
        <v>#REF!</v>
      </c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</row>
    <row r="46" s="6" customFormat="1" ht="15.75" customHeight="1" spans="1:79">
      <c r="A46" s="39" t="s">
        <v>8410</v>
      </c>
      <c r="B46" s="53" t="s">
        <v>8411</v>
      </c>
      <c r="C46" s="40" t="s">
        <v>336</v>
      </c>
      <c r="D46" s="41" t="e">
        <f>+#REF!</f>
        <v>#REF!</v>
      </c>
      <c r="E46" s="42">
        <f ca="1" t="shared" si="15"/>
        <v>0</v>
      </c>
      <c r="F46" s="52">
        <f ca="1" t="shared" si="9"/>
        <v>0</v>
      </c>
      <c r="G46" s="22">
        <f ca="1">+GETPIVOTDATA("XBB4",'binhba (2016)'!$A$3,"MA_HT","TSC","MA_QH","LUC")</f>
        <v>0</v>
      </c>
      <c r="H46" s="22">
        <f ca="1">+GETPIVOTDATA("XBB4",'binhba (2016)'!$A$3,"MA_HT","TSC","MA_QH","LUK")</f>
        <v>0</v>
      </c>
      <c r="I46" s="22">
        <f ca="1">+GETPIVOTDATA("XBB4",'binhba (2016)'!$A$3,"MA_HT","TSC","MA_QH","LUN")</f>
        <v>0</v>
      </c>
      <c r="J46" s="22">
        <f ca="1">+GETPIVOTDATA("XBB4",'binhba (2016)'!$A$3,"MA_HT","TSC","MA_QH","HNK")</f>
        <v>0</v>
      </c>
      <c r="K46" s="22">
        <f ca="1">+GETPIVOTDATA("XBB4",'binhba (2016)'!$A$3,"MA_HT","TSC","MA_QH","CLN")</f>
        <v>0</v>
      </c>
      <c r="L46" s="22">
        <f ca="1">+GETPIVOTDATA("XBB4",'binhba (2016)'!$A$3,"MA_HT","TSC","MA_QH","RSX")</f>
        <v>0</v>
      </c>
      <c r="M46" s="22">
        <f ca="1">+GETPIVOTDATA("XBB4",'binhba (2016)'!$A$3,"MA_HT","TSC","MA_QH","RPH")</f>
        <v>0</v>
      </c>
      <c r="N46" s="22">
        <f ca="1">+GETPIVOTDATA("XBB4",'binhba (2016)'!$A$3,"MA_HT","TSC","MA_QH","RDD")</f>
        <v>0</v>
      </c>
      <c r="O46" s="22">
        <f ca="1">+GETPIVOTDATA("XBB4",'binhba (2016)'!$A$3,"MA_HT","TSC","MA_QH","NTS")</f>
        <v>0</v>
      </c>
      <c r="P46" s="22">
        <f ca="1">+GETPIVOTDATA("XBB4",'binhba (2016)'!$A$3,"MA_HT","TSC","MA_QH","LMU")</f>
        <v>0</v>
      </c>
      <c r="Q46" s="22">
        <f ca="1">+GETPIVOTDATA("XBB4",'binhba (2016)'!$A$3,"MA_HT","TSC","MA_QH","NKH")</f>
        <v>0</v>
      </c>
      <c r="R46" s="48">
        <f ca="1">SUM(S46:AA46,AN46:AR46,AT46:BD46)</f>
        <v>0</v>
      </c>
      <c r="S46" s="22">
        <f ca="1">+GETPIVOTDATA("XBB4",'binhba (2016)'!$A$3,"MA_HT","TSC","MA_QH","CQP")</f>
        <v>0</v>
      </c>
      <c r="T46" s="22">
        <f ca="1">+GETPIVOTDATA("XBB4",'binhba (2016)'!$A$3,"MA_HT","TSC","MA_QH","CAN")</f>
        <v>0</v>
      </c>
      <c r="U46" s="22">
        <f ca="1">+GETPIVOTDATA("XBB4",'binhba (2016)'!$A$3,"MA_HT","TSC","MA_QH","SKK")</f>
        <v>0</v>
      </c>
      <c r="V46" s="22">
        <f ca="1">+GETPIVOTDATA("XBB4",'binhba (2016)'!$A$3,"MA_HT","TSC","MA_QH","SKT")</f>
        <v>0</v>
      </c>
      <c r="W46" s="22">
        <f ca="1">+GETPIVOTDATA("XBB4",'binhba (2016)'!$A$3,"MA_HT","TSC","MA_QH","SKN")</f>
        <v>0</v>
      </c>
      <c r="X46" s="22">
        <f ca="1">+GETPIVOTDATA("XBB4",'binhba (2016)'!$A$3,"MA_HT","TSC","MA_QH","TMD")</f>
        <v>0</v>
      </c>
      <c r="Y46" s="22">
        <f ca="1">+GETPIVOTDATA("XBB4",'binhba (2016)'!$A$3,"MA_HT","TSC","MA_QH","SKC")</f>
        <v>0</v>
      </c>
      <c r="Z46" s="22">
        <f ca="1">+GETPIVOTDATA("XBB4",'binhba (2016)'!$A$3,"MA_HT","TSC","MA_QH","SKS")</f>
        <v>0</v>
      </c>
      <c r="AA46" s="52">
        <f ca="1" t="shared" si="21"/>
        <v>0</v>
      </c>
      <c r="AB46" s="22">
        <f ca="1">+GETPIVOTDATA("XBB4",'binhba (2016)'!$A$3,"MA_HT","TSC","MA_QH","DGT")</f>
        <v>0</v>
      </c>
      <c r="AC46" s="22">
        <f ca="1">+GETPIVOTDATA("XBB4",'binhba (2016)'!$A$3,"MA_HT","TSC","MA_QH","DTL")</f>
        <v>0</v>
      </c>
      <c r="AD46" s="22">
        <f ca="1">+GETPIVOTDATA("XBB4",'binhba (2016)'!$A$3,"MA_HT","TSC","MA_QH","DNL")</f>
        <v>0</v>
      </c>
      <c r="AE46" s="22">
        <f ca="1">+GETPIVOTDATA("XBB4",'binhba (2016)'!$A$3,"MA_HT","TSC","MA_QH","DBV")</f>
        <v>0</v>
      </c>
      <c r="AF46" s="22">
        <f ca="1">+GETPIVOTDATA("XBB4",'binhba (2016)'!$A$3,"MA_HT","TSC","MA_QH","DVH")</f>
        <v>0</v>
      </c>
      <c r="AG46" s="22">
        <f ca="1">+GETPIVOTDATA("XBB4",'binhba (2016)'!$A$3,"MA_HT","TSC","MA_QH","DYT")</f>
        <v>0</v>
      </c>
      <c r="AH46" s="22">
        <f ca="1">+GETPIVOTDATA("XBB4",'binhba (2016)'!$A$3,"MA_HT","TSC","MA_QH","DGD")</f>
        <v>0</v>
      </c>
      <c r="AI46" s="22">
        <f ca="1">+GETPIVOTDATA("XBB4",'binhba (2016)'!$A$3,"MA_HT","TSC","MA_QH","DTT")</f>
        <v>0</v>
      </c>
      <c r="AJ46" s="22">
        <f ca="1">+GETPIVOTDATA("XBB4",'binhba (2016)'!$A$3,"MA_HT","TSC","MA_QH","NCK")</f>
        <v>0</v>
      </c>
      <c r="AK46" s="22">
        <f ca="1">+GETPIVOTDATA("XBB4",'binhba (2016)'!$A$3,"MA_HT","TSC","MA_QH","DXH")</f>
        <v>0</v>
      </c>
      <c r="AL46" s="22">
        <f ca="1">+GETPIVOTDATA("XBB4",'binhba (2016)'!$A$3,"MA_HT","TSC","MA_QH","DCH")</f>
        <v>0</v>
      </c>
      <c r="AM46" s="22">
        <f ca="1">+GETPIVOTDATA("XBB4",'binhba (2016)'!$A$3,"MA_HT","TSC","MA_QH","DKG")</f>
        <v>0</v>
      </c>
      <c r="AN46" s="22">
        <f ca="1">+GETPIVOTDATA("XBB4",'binhba (2016)'!$A$3,"MA_HT","TSC","MA_QH","DDT")</f>
        <v>0</v>
      </c>
      <c r="AO46" s="22">
        <f ca="1">+GETPIVOTDATA("XBB4",'binhba (2016)'!$A$3,"MA_HT","TSC","MA_QH","DDL")</f>
        <v>0</v>
      </c>
      <c r="AP46" s="22">
        <f ca="1">+GETPIVOTDATA("XBB4",'binhba (2016)'!$A$3,"MA_HT","TSC","MA_QH","DRA")</f>
        <v>0</v>
      </c>
      <c r="AQ46" s="22">
        <f ca="1">+GETPIVOTDATA("XBB4",'binhba (2016)'!$A$3,"MA_HT","TSC","MA_QH","ONT")</f>
        <v>0</v>
      </c>
      <c r="AR46" s="22">
        <f ca="1">+GETPIVOTDATA("XBB4",'binhba (2016)'!$A$3,"MA_HT","TSC","MA_QH","ODT")</f>
        <v>0</v>
      </c>
      <c r="AS46" s="43" t="e">
        <f ca="1">$D46-$BF46</f>
        <v>#REF!</v>
      </c>
      <c r="AT46" s="22">
        <f ca="1">+GETPIVOTDATA("XBB4",'binhba (2016)'!$A$3,"MA_HT","TSC","MA_QH","DTS")</f>
        <v>0</v>
      </c>
      <c r="AU46" s="22">
        <f ca="1">+GETPIVOTDATA("XBB4",'binhba (2016)'!$A$3,"MA_HT","TSC","MA_QH","DNG")</f>
        <v>0</v>
      </c>
      <c r="AV46" s="22">
        <f ca="1">+GETPIVOTDATA("XBB4",'binhba (2016)'!$A$3,"MA_HT","TSC","MA_QH","TON")</f>
        <v>0</v>
      </c>
      <c r="AW46" s="22">
        <f ca="1">+GETPIVOTDATA("XBB4",'binhba (2016)'!$A$3,"MA_HT","TSC","MA_QH","NTD")</f>
        <v>0</v>
      </c>
      <c r="AX46" s="22">
        <f ca="1">+GETPIVOTDATA("XBB4",'binhba (2016)'!$A$3,"MA_HT","TSC","MA_QH","SKX")</f>
        <v>0</v>
      </c>
      <c r="AY46" s="22">
        <f ca="1">+GETPIVOTDATA("XBB4",'binhba (2016)'!$A$3,"MA_HT","TSC","MA_QH","DSH")</f>
        <v>0</v>
      </c>
      <c r="AZ46" s="22">
        <f ca="1">+GETPIVOTDATA("XBB4",'binhba (2016)'!$A$3,"MA_HT","TSC","MA_QH","DKV")</f>
        <v>0</v>
      </c>
      <c r="BA46" s="89">
        <f ca="1">+GETPIVOTDATA("XBB4",'binhba (2016)'!$A$3,"MA_HT","TSC","MA_QH","TIN")</f>
        <v>0</v>
      </c>
      <c r="BB46" s="50">
        <f ca="1">+GETPIVOTDATA("XBB4",'binhba (2016)'!$A$3,"MA_HT","TSC","MA_QH","SON")</f>
        <v>0</v>
      </c>
      <c r="BC46" s="50">
        <f ca="1">+GETPIVOTDATA("XBB4",'binhba (2016)'!$A$3,"MA_HT","TSC","MA_QH","MNC")</f>
        <v>0</v>
      </c>
      <c r="BD46" s="22">
        <f ca="1">+GETPIVOTDATA("XBB4",'binhba (2016)'!$A$3,"MA_HT","TSC","MA_QH","PNK")</f>
        <v>0</v>
      </c>
      <c r="BE46" s="71">
        <f ca="1">+GETPIVOTDATA("XBB4",'binhba (2016)'!$A$3,"MA_HT","TSC","MA_QH","CSD")</f>
        <v>0</v>
      </c>
      <c r="BF46" s="74">
        <f ca="1" t="shared" si="13"/>
        <v>0</v>
      </c>
      <c r="BG46" s="101">
        <f ca="1">AS$59-$BF46</f>
        <v>0</v>
      </c>
      <c r="BH46" s="41" t="e">
        <f ca="1" t="shared" si="14"/>
        <v>#REF!</v>
      </c>
      <c r="BI46" s="114"/>
      <c r="BJ46" s="114" t="e">
        <f>#REF!</f>
        <v>#REF!</v>
      </c>
      <c r="BK46" s="115" t="e">
        <f ca="1">BH46-BJ46</f>
        <v>#REF!</v>
      </c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</row>
    <row r="47" s="2" customFormat="1" ht="15.75" customHeight="1" spans="1:79">
      <c r="A47" s="54" t="s">
        <v>8412</v>
      </c>
      <c r="B47" s="55" t="s">
        <v>8413</v>
      </c>
      <c r="C47" s="56" t="s">
        <v>8293</v>
      </c>
      <c r="D47" s="57" t="e">
        <f>+#REF!</f>
        <v>#REF!</v>
      </c>
      <c r="E47" s="58">
        <f ca="1" t="shared" si="15"/>
        <v>0</v>
      </c>
      <c r="F47" s="59">
        <f ca="1" t="shared" si="9"/>
        <v>0</v>
      </c>
      <c r="G47" s="60">
        <f ca="1">+GETPIVOTDATA("XBB4",'binhba (2016)'!$A$3,"MA_HT","DTS","MA_QH","LUC")</f>
        <v>0</v>
      </c>
      <c r="H47" s="60">
        <f ca="1">+GETPIVOTDATA("XBB4",'binhba (2016)'!$A$3,"MA_HT","DTS","MA_QH","LUK")</f>
        <v>0</v>
      </c>
      <c r="I47" s="60">
        <f ca="1">+GETPIVOTDATA("XBB4",'binhba (2016)'!$A$3,"MA_HT","DTS","MA_QH","LUN")</f>
        <v>0</v>
      </c>
      <c r="J47" s="60">
        <f ca="1">+GETPIVOTDATA("XBB4",'binhba (2016)'!$A$3,"MA_HT","DTS","MA_QH","HNK")</f>
        <v>0</v>
      </c>
      <c r="K47" s="60">
        <f ca="1">+GETPIVOTDATA("XBB4",'binhba (2016)'!$A$3,"MA_HT","DTS","MA_QH","CLN")</f>
        <v>0</v>
      </c>
      <c r="L47" s="60">
        <f ca="1">+GETPIVOTDATA("XBB4",'binhba (2016)'!$A$3,"MA_HT","DTS","MA_QH","RSX")</f>
        <v>0</v>
      </c>
      <c r="M47" s="60">
        <f ca="1">+GETPIVOTDATA("XBB4",'binhba (2016)'!$A$3,"MA_HT","DTS","MA_QH","RPH")</f>
        <v>0</v>
      </c>
      <c r="N47" s="60">
        <f ca="1">+GETPIVOTDATA("XBB4",'binhba (2016)'!$A$3,"MA_HT","DTS","MA_QH","RDD")</f>
        <v>0</v>
      </c>
      <c r="O47" s="60">
        <f ca="1">+GETPIVOTDATA("XBB4",'binhba (2016)'!$A$3,"MA_HT","DTS","MA_QH","NTS")</f>
        <v>0</v>
      </c>
      <c r="P47" s="60">
        <f ca="1">+GETPIVOTDATA("XBB4",'binhba (2016)'!$A$3,"MA_HT","DTS","MA_QH","LMU")</f>
        <v>0</v>
      </c>
      <c r="Q47" s="60">
        <f ca="1">+GETPIVOTDATA("XBB4",'binhba (2016)'!$A$3,"MA_HT","DTS","MA_QH","NKH")</f>
        <v>0</v>
      </c>
      <c r="R47" s="78">
        <f ca="1">SUM(S47:AA47,AN47:AS47,AU47:BD47)</f>
        <v>0</v>
      </c>
      <c r="S47" s="60">
        <f ca="1">+GETPIVOTDATA("XBB4",'binhba (2016)'!$A$3,"MA_HT","DTS","MA_QH","CQP")</f>
        <v>0</v>
      </c>
      <c r="T47" s="60">
        <f ca="1">+GETPIVOTDATA("XBB4",'binhba (2016)'!$A$3,"MA_HT","DTS","MA_QH","CAN")</f>
        <v>0</v>
      </c>
      <c r="U47" s="60">
        <f ca="1">+GETPIVOTDATA("XBB4",'binhba (2016)'!$A$3,"MA_HT","DTS","MA_QH","SKK")</f>
        <v>0</v>
      </c>
      <c r="V47" s="60">
        <f ca="1">+GETPIVOTDATA("XBB4",'binhba (2016)'!$A$3,"MA_HT","DTS","MA_QH","SKT")</f>
        <v>0</v>
      </c>
      <c r="W47" s="60">
        <f ca="1">+GETPIVOTDATA("XBB4",'binhba (2016)'!$A$3,"MA_HT","DTS","MA_QH","SKN")</f>
        <v>0</v>
      </c>
      <c r="X47" s="60">
        <f ca="1">+GETPIVOTDATA("XBB4",'binhba (2016)'!$A$3,"MA_HT","DTS","MA_QH","TMD")</f>
        <v>0</v>
      </c>
      <c r="Y47" s="60">
        <f ca="1">+GETPIVOTDATA("XBB4",'binhba (2016)'!$A$3,"MA_HT","DTS","MA_QH","SKC")</f>
        <v>0</v>
      </c>
      <c r="Z47" s="60">
        <f ca="1">+GETPIVOTDATA("XBB4",'binhba (2016)'!$A$3,"MA_HT","DTS","MA_QH","SKS")</f>
        <v>0</v>
      </c>
      <c r="AA47" s="59">
        <f ca="1" t="shared" si="21"/>
        <v>0</v>
      </c>
      <c r="AB47" s="60">
        <f ca="1">+GETPIVOTDATA("XBB4",'binhba (2016)'!$A$3,"MA_HT","DTS","MA_QH","DGT")</f>
        <v>0</v>
      </c>
      <c r="AC47" s="60">
        <f ca="1">+GETPIVOTDATA("XBB4",'binhba (2016)'!$A$3,"MA_HT","DTS","MA_QH","DTL")</f>
        <v>0</v>
      </c>
      <c r="AD47" s="60">
        <f ca="1">+GETPIVOTDATA("XBB4",'binhba (2016)'!$A$3,"MA_HT","DTS","MA_QH","DNL")</f>
        <v>0</v>
      </c>
      <c r="AE47" s="60">
        <f ca="1">+GETPIVOTDATA("XBB4",'binhba (2016)'!$A$3,"MA_HT","DTS","MA_QH","DBV")</f>
        <v>0</v>
      </c>
      <c r="AF47" s="60">
        <f ca="1">+GETPIVOTDATA("XBB4",'binhba (2016)'!$A$3,"MA_HT","DTS","MA_QH","DVH")</f>
        <v>0</v>
      </c>
      <c r="AG47" s="60">
        <f ca="1">+GETPIVOTDATA("XBB4",'binhba (2016)'!$A$3,"MA_HT","DTS","MA_QH","DYT")</f>
        <v>0</v>
      </c>
      <c r="AH47" s="60">
        <f ca="1">+GETPIVOTDATA("XBB4",'binhba (2016)'!$A$3,"MA_HT","DTS","MA_QH","DGD")</f>
        <v>0</v>
      </c>
      <c r="AI47" s="60">
        <f ca="1">+GETPIVOTDATA("XBB4",'binhba (2016)'!$A$3,"MA_HT","DTS","MA_QH","DTT")</f>
        <v>0</v>
      </c>
      <c r="AJ47" s="60">
        <f ca="1">+GETPIVOTDATA("XBB4",'binhba (2016)'!$A$3,"MA_HT","DTS","MA_QH","NCK")</f>
        <v>0</v>
      </c>
      <c r="AK47" s="60">
        <f ca="1">+GETPIVOTDATA("XBB4",'binhba (2016)'!$A$3,"MA_HT","DTS","MA_QH","DXH")</f>
        <v>0</v>
      </c>
      <c r="AL47" s="60">
        <f ca="1">+GETPIVOTDATA("XBB4",'binhba (2016)'!$A$3,"MA_HT","DTS","MA_QH","DCH")</f>
        <v>0</v>
      </c>
      <c r="AM47" s="60">
        <f ca="1">+GETPIVOTDATA("XBB4",'binhba (2016)'!$A$3,"MA_HT","DTS","MA_QH","DKG")</f>
        <v>0</v>
      </c>
      <c r="AN47" s="60">
        <f ca="1">+GETPIVOTDATA("XBB4",'binhba (2016)'!$A$3,"MA_HT","DTS","MA_QH","DDT")</f>
        <v>0</v>
      </c>
      <c r="AO47" s="60">
        <f ca="1">+GETPIVOTDATA("XBB4",'binhba (2016)'!$A$3,"MA_HT","DTS","MA_QH","DDL")</f>
        <v>0</v>
      </c>
      <c r="AP47" s="60">
        <f ca="1">+GETPIVOTDATA("XBB4",'binhba (2016)'!$A$3,"MA_HT","DTS","MA_QH","DRA")</f>
        <v>0</v>
      </c>
      <c r="AQ47" s="60">
        <f ca="1">+GETPIVOTDATA("XBB4",'binhba (2016)'!$A$3,"MA_HT","DTS","MA_QH","ONT")</f>
        <v>0</v>
      </c>
      <c r="AR47" s="60">
        <f ca="1">+GETPIVOTDATA("XBB4",'binhba (2016)'!$A$3,"MA_HT","DTS","MA_QH","ODT")</f>
        <v>0</v>
      </c>
      <c r="AS47" s="60">
        <f ca="1">+GETPIVOTDATA("XBB4",'binhba (2016)'!$A$3,"MA_HT","DTS","MA_QH","TSC")</f>
        <v>0</v>
      </c>
      <c r="AT47" s="81" t="e">
        <f ca="1">$D47-$BF47</f>
        <v>#REF!</v>
      </c>
      <c r="AU47" s="60">
        <f ca="1">+GETPIVOTDATA("XBB4",'binhba (2016)'!$A$3,"MA_HT","DTS","MA_QH","DNG")</f>
        <v>0</v>
      </c>
      <c r="AV47" s="60">
        <f ca="1">+GETPIVOTDATA("XBB4",'binhba (2016)'!$A$3,"MA_HT","DTS","MA_QH","TON")</f>
        <v>0</v>
      </c>
      <c r="AW47" s="60">
        <f ca="1">+GETPIVOTDATA("XBB4",'binhba (2016)'!$A$3,"MA_HT","DTS","MA_QH","NTD")</f>
        <v>0</v>
      </c>
      <c r="AX47" s="60">
        <f ca="1">+GETPIVOTDATA("XBB4",'binhba (2016)'!$A$3,"MA_HT","DTS","MA_QH","SKX")</f>
        <v>0</v>
      </c>
      <c r="AY47" s="60">
        <f ca="1">+GETPIVOTDATA("XBB4",'binhba (2016)'!$A$3,"MA_HT","DTS","MA_QH","DSH")</f>
        <v>0</v>
      </c>
      <c r="AZ47" s="60">
        <f ca="1">+GETPIVOTDATA("XBB4",'binhba (2016)'!$A$3,"MA_HT","DTS","MA_QH","DKV")</f>
        <v>0</v>
      </c>
      <c r="BA47" s="90">
        <f ca="1">+GETPIVOTDATA("XBB4",'binhba (2016)'!$A$3,"MA_HT","DTS","MA_QH","TIN")</f>
        <v>0</v>
      </c>
      <c r="BB47" s="91">
        <f ca="1">+GETPIVOTDATA("XBB4",'binhba (2016)'!$A$3,"MA_HT","DTS","MA_QH","SON")</f>
        <v>0</v>
      </c>
      <c r="BC47" s="91">
        <f ca="1">+GETPIVOTDATA("XBB4",'binhba (2016)'!$A$3,"MA_HT","DTS","MA_QH","MNC")</f>
        <v>0</v>
      </c>
      <c r="BD47" s="60">
        <f ca="1">+GETPIVOTDATA("XBB4",'binhba (2016)'!$A$3,"MA_HT","DTS","MA_QH","PNK")</f>
        <v>0</v>
      </c>
      <c r="BE47" s="111">
        <f ca="1">+GETPIVOTDATA("XBB4",'binhba (2016)'!$A$3,"MA_HT","DTS","MA_QH","CSD")</f>
        <v>0</v>
      </c>
      <c r="BF47" s="112">
        <f ca="1" t="shared" si="13"/>
        <v>0</v>
      </c>
      <c r="BG47" s="113">
        <f ca="1">AT$59-$BF47</f>
        <v>0</v>
      </c>
      <c r="BH47" s="57" t="e">
        <f ca="1" t="shared" si="14"/>
        <v>#REF!</v>
      </c>
      <c r="BI47" s="98"/>
      <c r="BJ47" s="98"/>
      <c r="BK47" s="107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</row>
    <row r="48" s="2" customFormat="1" ht="15.75" customHeight="1" spans="1:79">
      <c r="A48" s="39" t="s">
        <v>8414</v>
      </c>
      <c r="B48" s="53" t="s">
        <v>8415</v>
      </c>
      <c r="C48" s="40" t="s">
        <v>8290</v>
      </c>
      <c r="D48" s="41" t="e">
        <f>+#REF!</f>
        <v>#REF!</v>
      </c>
      <c r="E48" s="42">
        <f ca="1" t="shared" si="15"/>
        <v>0</v>
      </c>
      <c r="F48" s="52">
        <f ca="1" t="shared" si="9"/>
        <v>0</v>
      </c>
      <c r="G48" s="22">
        <f ca="1">+GETPIVOTDATA("XBB4",'binhba (2016)'!$A$3,"MA_HT","DNG","MA_QH","LUC")</f>
        <v>0</v>
      </c>
      <c r="H48" s="22">
        <f ca="1">+GETPIVOTDATA("XBB4",'binhba (2016)'!$A$3,"MA_HT","DNG","MA_QH","LUK")</f>
        <v>0</v>
      </c>
      <c r="I48" s="22">
        <f ca="1">+GETPIVOTDATA("XBB4",'binhba (2016)'!$A$3,"MA_HT","DNG","MA_QH","LUN")</f>
        <v>0</v>
      </c>
      <c r="J48" s="22">
        <f ca="1">+GETPIVOTDATA("XBB4",'binhba (2016)'!$A$3,"MA_HT","DNG","MA_QH","HNK")</f>
        <v>0</v>
      </c>
      <c r="K48" s="22">
        <f ca="1">+GETPIVOTDATA("XBB4",'binhba (2016)'!$A$3,"MA_HT","DNG","MA_QH","CLN")</f>
        <v>0</v>
      </c>
      <c r="L48" s="22">
        <f ca="1">+GETPIVOTDATA("XBB4",'binhba (2016)'!$A$3,"MA_HT","DNG","MA_QH","RSX")</f>
        <v>0</v>
      </c>
      <c r="M48" s="22">
        <f ca="1">+GETPIVOTDATA("XBB4",'binhba (2016)'!$A$3,"MA_HT","DNG","MA_QH","RPH")</f>
        <v>0</v>
      </c>
      <c r="N48" s="22">
        <f ca="1">+GETPIVOTDATA("XBB4",'binhba (2016)'!$A$3,"MA_HT","DNG","MA_QH","RDD")</f>
        <v>0</v>
      </c>
      <c r="O48" s="22">
        <f ca="1">+GETPIVOTDATA("XBB4",'binhba (2016)'!$A$3,"MA_HT","DNG","MA_QH","NTS")</f>
        <v>0</v>
      </c>
      <c r="P48" s="22">
        <f ca="1">+GETPIVOTDATA("XBB4",'binhba (2016)'!$A$3,"MA_HT","DNG","MA_QH","LMU")</f>
        <v>0</v>
      </c>
      <c r="Q48" s="22">
        <f ca="1">+GETPIVOTDATA("XBB4",'binhba (2016)'!$A$3,"MA_HT","DNG","MA_QH","NKH")</f>
        <v>0</v>
      </c>
      <c r="R48" s="79">
        <f ca="1">SUM(S48:AA48,AN48:AT48,AV48:BD48)</f>
        <v>0</v>
      </c>
      <c r="S48" s="22">
        <f ca="1">+GETPIVOTDATA("XBB4",'binhba (2016)'!$A$3,"MA_HT","DNG","MA_QH","CQP")</f>
        <v>0</v>
      </c>
      <c r="T48" s="22">
        <f ca="1">+GETPIVOTDATA("XBB4",'binhba (2016)'!$A$3,"MA_HT","DNG","MA_QH","CAN")</f>
        <v>0</v>
      </c>
      <c r="U48" s="22">
        <f ca="1">+GETPIVOTDATA("XBB4",'binhba (2016)'!$A$3,"MA_HT","DNG","MA_QH","SKK")</f>
        <v>0</v>
      </c>
      <c r="V48" s="22">
        <f ca="1">+GETPIVOTDATA("XBB4",'binhba (2016)'!$A$3,"MA_HT","DNG","MA_QH","SKT")</f>
        <v>0</v>
      </c>
      <c r="W48" s="22">
        <f ca="1">+GETPIVOTDATA("XBB4",'binhba (2016)'!$A$3,"MA_HT","DNG","MA_QH","SKN")</f>
        <v>0</v>
      </c>
      <c r="X48" s="22">
        <f ca="1">+GETPIVOTDATA("XBB4",'binhba (2016)'!$A$3,"MA_HT","DNG","MA_QH","TMD")</f>
        <v>0</v>
      </c>
      <c r="Y48" s="22">
        <f ca="1">+GETPIVOTDATA("XBB4",'binhba (2016)'!$A$3,"MA_HT","DNG","MA_QH","SKC")</f>
        <v>0</v>
      </c>
      <c r="Z48" s="22">
        <f ca="1">+GETPIVOTDATA("XBB4",'binhba (2016)'!$A$3,"MA_HT","DNG","MA_QH","SKS")</f>
        <v>0</v>
      </c>
      <c r="AA48" s="52">
        <f ca="1" t="shared" si="21"/>
        <v>0</v>
      </c>
      <c r="AB48" s="22">
        <f ca="1">+GETPIVOTDATA("XBB4",'binhba (2016)'!$A$3,"MA_HT","DNG","MA_QH","DGT")</f>
        <v>0</v>
      </c>
      <c r="AC48" s="22">
        <f ca="1">+GETPIVOTDATA("XBB4",'binhba (2016)'!$A$3,"MA_HT","DNG","MA_QH","DTL")</f>
        <v>0</v>
      </c>
      <c r="AD48" s="22">
        <f ca="1">+GETPIVOTDATA("XBB4",'binhba (2016)'!$A$3,"MA_HT","DNG","MA_QH","DNL")</f>
        <v>0</v>
      </c>
      <c r="AE48" s="22">
        <f ca="1">+GETPIVOTDATA("XBB4",'binhba (2016)'!$A$3,"MA_HT","DNG","MA_QH","DBV")</f>
        <v>0</v>
      </c>
      <c r="AF48" s="22">
        <f ca="1">+GETPIVOTDATA("XBB4",'binhba (2016)'!$A$3,"MA_HT","DNG","MA_QH","DVH")</f>
        <v>0</v>
      </c>
      <c r="AG48" s="22">
        <f ca="1">+GETPIVOTDATA("XBB4",'binhba (2016)'!$A$3,"MA_HT","DNG","MA_QH","DYT")</f>
        <v>0</v>
      </c>
      <c r="AH48" s="22">
        <f ca="1">+GETPIVOTDATA("XBB4",'binhba (2016)'!$A$3,"MA_HT","DNG","MA_QH","DGD")</f>
        <v>0</v>
      </c>
      <c r="AI48" s="22">
        <f ca="1">+GETPIVOTDATA("XBB4",'binhba (2016)'!$A$3,"MA_HT","DNG","MA_QH","DTT")</f>
        <v>0</v>
      </c>
      <c r="AJ48" s="22">
        <f ca="1">+GETPIVOTDATA("XBB4",'binhba (2016)'!$A$3,"MA_HT","DNG","MA_QH","NCK")</f>
        <v>0</v>
      </c>
      <c r="AK48" s="22">
        <f ca="1">+GETPIVOTDATA("XBB4",'binhba (2016)'!$A$3,"MA_HT","DNG","MA_QH","DXH")</f>
        <v>0</v>
      </c>
      <c r="AL48" s="22">
        <f ca="1">+GETPIVOTDATA("XBB4",'binhba (2016)'!$A$3,"MA_HT","DNG","MA_QH","DCH")</f>
        <v>0</v>
      </c>
      <c r="AM48" s="22">
        <f ca="1">+GETPIVOTDATA("XBB4",'binhba (2016)'!$A$3,"MA_HT","DNG","MA_QH","DKG")</f>
        <v>0</v>
      </c>
      <c r="AN48" s="22">
        <f ca="1">+GETPIVOTDATA("XBB4",'binhba (2016)'!$A$3,"MA_HT","DNG","MA_QH","DDT")</f>
        <v>0</v>
      </c>
      <c r="AO48" s="22">
        <f ca="1">+GETPIVOTDATA("XBB4",'binhba (2016)'!$A$3,"MA_HT","DNG","MA_QH","DDL")</f>
        <v>0</v>
      </c>
      <c r="AP48" s="22">
        <f ca="1">+GETPIVOTDATA("XBB4",'binhba (2016)'!$A$3,"MA_HT","DNG","MA_QH","DRA")</f>
        <v>0</v>
      </c>
      <c r="AQ48" s="22">
        <f ca="1">+GETPIVOTDATA("XBB4",'binhba (2016)'!$A$3,"MA_HT","DNG","MA_QH","ONT")</f>
        <v>0</v>
      </c>
      <c r="AR48" s="22">
        <f ca="1">+GETPIVOTDATA("XBB4",'binhba (2016)'!$A$3,"MA_HT","DNG","MA_QH","ODT")</f>
        <v>0</v>
      </c>
      <c r="AS48" s="22">
        <f ca="1">+GETPIVOTDATA("XBB4",'binhba (2016)'!$A$3,"MA_HT","DNG","MA_QH","TSC")</f>
        <v>0</v>
      </c>
      <c r="AT48" s="22">
        <f ca="1">+GETPIVOTDATA("XBB4",'binhba (2016)'!$A$3,"MA_HT","DNG","MA_QH","DTS")</f>
        <v>0</v>
      </c>
      <c r="AU48" s="43" t="e">
        <f ca="1">$D48-$BF48</f>
        <v>#REF!</v>
      </c>
      <c r="AV48" s="22">
        <f ca="1">+GETPIVOTDATA("XBB4",'binhba (2016)'!$A$3,"MA_HT","DNG","MA_QH","TON")</f>
        <v>0</v>
      </c>
      <c r="AW48" s="22">
        <f ca="1">+GETPIVOTDATA("XBB4",'binhba (2016)'!$A$3,"MA_HT","DNG","MA_QH","NTD")</f>
        <v>0</v>
      </c>
      <c r="AX48" s="22">
        <f ca="1">+GETPIVOTDATA("XBB4",'binhba (2016)'!$A$3,"MA_HT","DNG","MA_QH","SKX")</f>
        <v>0</v>
      </c>
      <c r="AY48" s="22">
        <f ca="1">+GETPIVOTDATA("XBB4",'binhba (2016)'!$A$3,"MA_HT","DNG","MA_QH","DSH")</f>
        <v>0</v>
      </c>
      <c r="AZ48" s="22">
        <f ca="1">+GETPIVOTDATA("XBB4",'binhba (2016)'!$A$3,"MA_HT","DNG","MA_QH","DKV")</f>
        <v>0</v>
      </c>
      <c r="BA48" s="89">
        <f ca="1">+GETPIVOTDATA("XBB4",'binhba (2016)'!$A$3,"MA_HT","DNG","MA_QH","TIN")</f>
        <v>0</v>
      </c>
      <c r="BB48" s="50">
        <f ca="1">+GETPIVOTDATA("XBB4",'binhba (2016)'!$A$3,"MA_HT","DNG","MA_QH","SON")</f>
        <v>0</v>
      </c>
      <c r="BC48" s="50">
        <f ca="1">+GETPIVOTDATA("XBB4",'binhba (2016)'!$A$3,"MA_HT","DNG","MA_QH","MNC")</f>
        <v>0</v>
      </c>
      <c r="BD48" s="22">
        <f ca="1">+GETPIVOTDATA("XBB4",'binhba (2016)'!$A$3,"MA_HT","DNG","MA_QH","PNK")</f>
        <v>0</v>
      </c>
      <c r="BE48" s="71">
        <f ca="1">+GETPIVOTDATA("XBB4",'binhba (2016)'!$A$3,"MA_HT","DNG","MA_QH","CSD")</f>
        <v>0</v>
      </c>
      <c r="BF48" s="74">
        <f ca="1" t="shared" si="13"/>
        <v>0</v>
      </c>
      <c r="BG48" s="101">
        <f ca="1">AU$59-$BF48</f>
        <v>0</v>
      </c>
      <c r="BH48" s="41" t="e">
        <f ca="1" t="shared" si="14"/>
        <v>#REF!</v>
      </c>
      <c r="BI48" s="98"/>
      <c r="BJ48" s="98" t="e">
        <f>#REF!</f>
        <v>#REF!</v>
      </c>
      <c r="BK48" s="107" t="e">
        <f ca="1">BH48-BJ48</f>
        <v>#REF!</v>
      </c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</row>
    <row r="49" s="2" customFormat="1" ht="15.75" customHeight="1" spans="1:79">
      <c r="A49" s="39" t="s">
        <v>8416</v>
      </c>
      <c r="B49" s="53" t="s">
        <v>8417</v>
      </c>
      <c r="C49" s="40" t="s">
        <v>324</v>
      </c>
      <c r="D49" s="41" t="e">
        <f>+#REF!</f>
        <v>#REF!</v>
      </c>
      <c r="E49" s="42">
        <f ca="1" t="shared" si="15"/>
        <v>0</v>
      </c>
      <c r="F49" s="52">
        <f ca="1" t="shared" si="9"/>
        <v>0</v>
      </c>
      <c r="G49" s="22">
        <f ca="1">+GETPIVOTDATA("XBB4",'binhba (2016)'!$A$3,"MA_HT","TON","MA_QH","LUC")</f>
        <v>0</v>
      </c>
      <c r="H49" s="22">
        <f ca="1">+GETPIVOTDATA("XBB4",'binhba (2016)'!$A$3,"MA_HT","TON","MA_QH","LUK")</f>
        <v>0</v>
      </c>
      <c r="I49" s="22">
        <f ca="1">+GETPIVOTDATA("XBB4",'binhba (2016)'!$A$3,"MA_HT","TON","MA_QH","LUN")</f>
        <v>0</v>
      </c>
      <c r="J49" s="22">
        <f ca="1">+GETPIVOTDATA("XBB4",'binhba (2016)'!$A$3,"MA_HT","TON","MA_QH","HNK")</f>
        <v>0</v>
      </c>
      <c r="K49" s="22">
        <f ca="1">+GETPIVOTDATA("XBB4",'binhba (2016)'!$A$3,"MA_HT","TON","MA_QH","CLN")</f>
        <v>0</v>
      </c>
      <c r="L49" s="22">
        <f ca="1">+GETPIVOTDATA("XBB4",'binhba (2016)'!$A$3,"MA_HT","TON","MA_QH","RSX")</f>
        <v>0</v>
      </c>
      <c r="M49" s="22">
        <f ca="1">+GETPIVOTDATA("XBB4",'binhba (2016)'!$A$3,"MA_HT","TON","MA_QH","RPH")</f>
        <v>0</v>
      </c>
      <c r="N49" s="22">
        <f ca="1">+GETPIVOTDATA("XBB4",'binhba (2016)'!$A$3,"MA_HT","TON","MA_QH","RDD")</f>
        <v>0</v>
      </c>
      <c r="O49" s="22">
        <f ca="1">+GETPIVOTDATA("XBB4",'binhba (2016)'!$A$3,"MA_HT","TON","MA_QH","NTS")</f>
        <v>0</v>
      </c>
      <c r="P49" s="22">
        <f ca="1">+GETPIVOTDATA("XBB4",'binhba (2016)'!$A$3,"MA_HT","TON","MA_QH","LMU")</f>
        <v>0</v>
      </c>
      <c r="Q49" s="22">
        <f ca="1">+GETPIVOTDATA("XBB4",'binhba (2016)'!$A$3,"MA_HT","TON","MA_QH","NKH")</f>
        <v>0</v>
      </c>
      <c r="R49" s="79">
        <f ca="1">SUM(S49:AA49,AN49:AU49,AW49:BD49)</f>
        <v>0</v>
      </c>
      <c r="S49" s="22">
        <f ca="1">+GETPIVOTDATA("XBB4",'binhba (2016)'!$A$3,"MA_HT","TON","MA_QH","CQP")</f>
        <v>0</v>
      </c>
      <c r="T49" s="22">
        <f ca="1">+GETPIVOTDATA("XBB4",'binhba (2016)'!$A$3,"MA_HT","TON","MA_QH","CAN")</f>
        <v>0</v>
      </c>
      <c r="U49" s="22">
        <f ca="1">+GETPIVOTDATA("XBB4",'binhba (2016)'!$A$3,"MA_HT","TON","MA_QH","SKK")</f>
        <v>0</v>
      </c>
      <c r="V49" s="22">
        <f ca="1">+GETPIVOTDATA("XBB4",'binhba (2016)'!$A$3,"MA_HT","TON","MA_QH","SKT")</f>
        <v>0</v>
      </c>
      <c r="W49" s="22">
        <f ca="1">+GETPIVOTDATA("XBB4",'binhba (2016)'!$A$3,"MA_HT","TON","MA_QH","SKN")</f>
        <v>0</v>
      </c>
      <c r="X49" s="22">
        <f ca="1">+GETPIVOTDATA("XBB4",'binhba (2016)'!$A$3,"MA_HT","TON","MA_QH","TMD")</f>
        <v>0</v>
      </c>
      <c r="Y49" s="22">
        <f ca="1">+GETPIVOTDATA("XBB4",'binhba (2016)'!$A$3,"MA_HT","TON","MA_QH","SKC")</f>
        <v>0</v>
      </c>
      <c r="Z49" s="22">
        <f ca="1">+GETPIVOTDATA("XBB4",'binhba (2016)'!$A$3,"MA_HT","TON","MA_QH","SKS")</f>
        <v>0</v>
      </c>
      <c r="AA49" s="52">
        <f ca="1" t="shared" si="21"/>
        <v>0</v>
      </c>
      <c r="AB49" s="22">
        <f ca="1">+GETPIVOTDATA("XBB4",'binhba (2016)'!$A$3,"MA_HT","TON","MA_QH","DGT")</f>
        <v>0</v>
      </c>
      <c r="AC49" s="22">
        <f ca="1">+GETPIVOTDATA("XBB4",'binhba (2016)'!$A$3,"MA_HT","TON","MA_QH","DTL")</f>
        <v>0</v>
      </c>
      <c r="AD49" s="22">
        <f ca="1">+GETPIVOTDATA("XBB4",'binhba (2016)'!$A$3,"MA_HT","TON","MA_QH","DNL")</f>
        <v>0</v>
      </c>
      <c r="AE49" s="22">
        <f ca="1">+GETPIVOTDATA("XBB4",'binhba (2016)'!$A$3,"MA_HT","TON","MA_QH","DBV")</f>
        <v>0</v>
      </c>
      <c r="AF49" s="22">
        <f ca="1">+GETPIVOTDATA("XBB4",'binhba (2016)'!$A$3,"MA_HT","TON","MA_QH","DVH")</f>
        <v>0</v>
      </c>
      <c r="AG49" s="22">
        <f ca="1">+GETPIVOTDATA("XBB4",'binhba (2016)'!$A$3,"MA_HT","TON","MA_QH","DYT")</f>
        <v>0</v>
      </c>
      <c r="AH49" s="22">
        <f ca="1">+GETPIVOTDATA("XBB4",'binhba (2016)'!$A$3,"MA_HT","TON","MA_QH","DGD")</f>
        <v>0</v>
      </c>
      <c r="AI49" s="22">
        <f ca="1">+GETPIVOTDATA("XBB4",'binhba (2016)'!$A$3,"MA_HT","TON","MA_QH","DTT")</f>
        <v>0</v>
      </c>
      <c r="AJ49" s="22">
        <f ca="1">+GETPIVOTDATA("XBB4",'binhba (2016)'!$A$3,"MA_HT","TON","MA_QH","NCK")</f>
        <v>0</v>
      </c>
      <c r="AK49" s="22">
        <f ca="1">+GETPIVOTDATA("XBB4",'binhba (2016)'!$A$3,"MA_HT","TON","MA_QH","DXH")</f>
        <v>0</v>
      </c>
      <c r="AL49" s="22">
        <f ca="1">+GETPIVOTDATA("XBB4",'binhba (2016)'!$A$3,"MA_HT","TON","MA_QH","DCH")</f>
        <v>0</v>
      </c>
      <c r="AM49" s="22">
        <f ca="1">+GETPIVOTDATA("XBB4",'binhba (2016)'!$A$3,"MA_HT","TON","MA_QH","DKG")</f>
        <v>0</v>
      </c>
      <c r="AN49" s="22">
        <f ca="1">+GETPIVOTDATA("XBB4",'binhba (2016)'!$A$3,"MA_HT","TON","MA_QH","DDT")</f>
        <v>0</v>
      </c>
      <c r="AO49" s="22">
        <f ca="1">+GETPIVOTDATA("XBB4",'binhba (2016)'!$A$3,"MA_HT","TON","MA_QH","DDL")</f>
        <v>0</v>
      </c>
      <c r="AP49" s="22">
        <f ca="1">+GETPIVOTDATA("XBB4",'binhba (2016)'!$A$3,"MA_HT","TON","MA_QH","DRA")</f>
        <v>0</v>
      </c>
      <c r="AQ49" s="22">
        <f ca="1">+GETPIVOTDATA("XBB4",'binhba (2016)'!$A$3,"MA_HT","TON","MA_QH","ONT")</f>
        <v>0</v>
      </c>
      <c r="AR49" s="22">
        <f ca="1">+GETPIVOTDATA("XBB4",'binhba (2016)'!$A$3,"MA_HT","TON","MA_QH","ODT")</f>
        <v>0</v>
      </c>
      <c r="AS49" s="22">
        <f ca="1">+GETPIVOTDATA("XBB4",'binhba (2016)'!$A$3,"MA_HT","TON","MA_QH","TSC")</f>
        <v>0</v>
      </c>
      <c r="AT49" s="22">
        <f ca="1">+GETPIVOTDATA("XBB4",'binhba (2016)'!$A$3,"MA_HT","TON","MA_QH","DTS")</f>
        <v>0</v>
      </c>
      <c r="AU49" s="22">
        <f ca="1">+GETPIVOTDATA("XBB4",'binhba (2016)'!$A$3,"MA_HT","TON","MA_QH","DNG")</f>
        <v>0</v>
      </c>
      <c r="AV49" s="43" t="e">
        <f ca="1">$D49-$BF49</f>
        <v>#REF!</v>
      </c>
      <c r="AW49" s="22">
        <f ca="1">+GETPIVOTDATA("XBB4",'binhba (2016)'!$A$3,"MA_HT","TON","MA_QH","NTD")</f>
        <v>0</v>
      </c>
      <c r="AX49" s="22">
        <f ca="1">+GETPIVOTDATA("XBB4",'binhba (2016)'!$A$3,"MA_HT","TON","MA_QH","SKX")</f>
        <v>0</v>
      </c>
      <c r="AY49" s="22">
        <f ca="1">+GETPIVOTDATA("XBB4",'binhba (2016)'!$A$3,"MA_HT","TON","MA_QH","DSH")</f>
        <v>0</v>
      </c>
      <c r="AZ49" s="22">
        <f ca="1">+GETPIVOTDATA("XBB4",'binhba (2016)'!$A$3,"MA_HT","TON","MA_QH","DKV")</f>
        <v>0</v>
      </c>
      <c r="BA49" s="89">
        <f ca="1">+GETPIVOTDATA("XBB4",'binhba (2016)'!$A$3,"MA_HT","TON","MA_QH","TIN")</f>
        <v>0</v>
      </c>
      <c r="BB49" s="50">
        <f ca="1">+GETPIVOTDATA("XBB4",'binhba (2016)'!$A$3,"MA_HT","TON","MA_QH","SON")</f>
        <v>0</v>
      </c>
      <c r="BC49" s="50">
        <f ca="1">+GETPIVOTDATA("XBB4",'binhba (2016)'!$A$3,"MA_HT","TON","MA_QH","MNC")</f>
        <v>0</v>
      </c>
      <c r="BD49" s="22">
        <f ca="1">+GETPIVOTDATA("XBB4",'binhba (2016)'!$A$3,"MA_HT","TON","MA_QH","PNK")</f>
        <v>0</v>
      </c>
      <c r="BE49" s="71">
        <f ca="1">+GETPIVOTDATA("XBB4",'binhba (2016)'!$A$3,"MA_HT","TON","MA_QH","CSD")</f>
        <v>0</v>
      </c>
      <c r="BF49" s="74">
        <f ca="1" t="shared" si="13"/>
        <v>0</v>
      </c>
      <c r="BG49" s="101">
        <f ca="1">AV$59-$BF49</f>
        <v>0</v>
      </c>
      <c r="BH49" s="41" t="e">
        <f ca="1" t="shared" si="14"/>
        <v>#REF!</v>
      </c>
      <c r="BI49" s="98"/>
      <c r="BJ49" s="98" t="e">
        <f>#REF!</f>
        <v>#REF!</v>
      </c>
      <c r="BK49" s="107" t="e">
        <f ca="1">BH49-BJ49</f>
        <v>#REF!</v>
      </c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</row>
    <row r="50" s="2" customFormat="1" ht="15.75" customHeight="1" spans="1:79">
      <c r="A50" s="39" t="s">
        <v>8418</v>
      </c>
      <c r="B50" s="53" t="s">
        <v>8419</v>
      </c>
      <c r="C50" s="40" t="s">
        <v>182</v>
      </c>
      <c r="D50" s="41" t="e">
        <f>+#REF!</f>
        <v>#REF!</v>
      </c>
      <c r="E50" s="42">
        <f ca="1" t="shared" si="15"/>
        <v>0</v>
      </c>
      <c r="F50" s="52">
        <f ca="1" t="shared" si="9"/>
        <v>0</v>
      </c>
      <c r="G50" s="22">
        <f ca="1">+GETPIVOTDATA("XBB4",'binhba (2016)'!$A$3,"MA_HT","NTD","MA_QH","LUC")</f>
        <v>0</v>
      </c>
      <c r="H50" s="22">
        <f ca="1">+GETPIVOTDATA("XBB4",'binhba (2016)'!$A$3,"MA_HT","NTD","MA_QH","LUK")</f>
        <v>0</v>
      </c>
      <c r="I50" s="22">
        <f ca="1">+GETPIVOTDATA("XBB4",'binhba (2016)'!$A$3,"MA_HT","NTD","MA_QH","LUN")</f>
        <v>0</v>
      </c>
      <c r="J50" s="22">
        <f ca="1">+GETPIVOTDATA("XBB4",'binhba (2016)'!$A$3,"MA_HT","NTD","MA_QH","HNK")</f>
        <v>0</v>
      </c>
      <c r="K50" s="22">
        <f ca="1">+GETPIVOTDATA("XBB4",'binhba (2016)'!$A$3,"MA_HT","NTD","MA_QH","CLN")</f>
        <v>0</v>
      </c>
      <c r="L50" s="22">
        <f ca="1">+GETPIVOTDATA("XBB4",'binhba (2016)'!$A$3,"MA_HT","NTD","MA_QH","RSX")</f>
        <v>0</v>
      </c>
      <c r="M50" s="22">
        <f ca="1">+GETPIVOTDATA("XBB4",'binhba (2016)'!$A$3,"MA_HT","NTD","MA_QH","RPH")</f>
        <v>0</v>
      </c>
      <c r="N50" s="22">
        <f ca="1">+GETPIVOTDATA("XBB4",'binhba (2016)'!$A$3,"MA_HT","NTD","MA_QH","RDD")</f>
        <v>0</v>
      </c>
      <c r="O50" s="22">
        <f ca="1">+GETPIVOTDATA("XBB4",'binhba (2016)'!$A$3,"MA_HT","NTD","MA_QH","NTS")</f>
        <v>0</v>
      </c>
      <c r="P50" s="22">
        <f ca="1">+GETPIVOTDATA("XBB4",'binhba (2016)'!$A$3,"MA_HT","NTD","MA_QH","LMU")</f>
        <v>0</v>
      </c>
      <c r="Q50" s="22">
        <f ca="1">+GETPIVOTDATA("XBB4",'binhba (2016)'!$A$3,"MA_HT","NTD","MA_QH","NKH")</f>
        <v>0</v>
      </c>
      <c r="R50" s="79">
        <f ca="1">SUM(S50:AA50,AN50:AV50,AX50:BD50)</f>
        <v>0</v>
      </c>
      <c r="S50" s="22">
        <f ca="1">+GETPIVOTDATA("XBB4",'binhba (2016)'!$A$3,"MA_HT","NTD","MA_QH","CQP")</f>
        <v>0</v>
      </c>
      <c r="T50" s="22">
        <f ca="1">+GETPIVOTDATA("XBB4",'binhba (2016)'!$A$3,"MA_HT","NTD","MA_QH","CAN")</f>
        <v>0</v>
      </c>
      <c r="U50" s="22">
        <f ca="1">+GETPIVOTDATA("XBB4",'binhba (2016)'!$A$3,"MA_HT","NTD","MA_QH","SKK")</f>
        <v>0</v>
      </c>
      <c r="V50" s="22">
        <f ca="1">+GETPIVOTDATA("XBB4",'binhba (2016)'!$A$3,"MA_HT","NTD","MA_QH","SKT")</f>
        <v>0</v>
      </c>
      <c r="W50" s="22">
        <f ca="1">+GETPIVOTDATA("XBB4",'binhba (2016)'!$A$3,"MA_HT","NTD","MA_QH","SKN")</f>
        <v>0</v>
      </c>
      <c r="X50" s="22">
        <f ca="1">+GETPIVOTDATA("XBB4",'binhba (2016)'!$A$3,"MA_HT","NTD","MA_QH","TMD")</f>
        <v>0</v>
      </c>
      <c r="Y50" s="22">
        <f ca="1">+GETPIVOTDATA("XBB4",'binhba (2016)'!$A$3,"MA_HT","NTD","MA_QH","SKC")</f>
        <v>0</v>
      </c>
      <c r="Z50" s="22">
        <f ca="1">+GETPIVOTDATA("XBB4",'binhba (2016)'!$A$3,"MA_HT","NTD","MA_QH","SKS")</f>
        <v>0</v>
      </c>
      <c r="AA50" s="52">
        <f ca="1" t="shared" si="21"/>
        <v>0</v>
      </c>
      <c r="AB50" s="22">
        <f ca="1">+GETPIVOTDATA("XBB4",'binhba (2016)'!$A$3,"MA_HT","NTD","MA_QH","DGT")</f>
        <v>0</v>
      </c>
      <c r="AC50" s="22">
        <f ca="1">+GETPIVOTDATA("XBB4",'binhba (2016)'!$A$3,"MA_HT","NTD","MA_QH","DTL")</f>
        <v>0</v>
      </c>
      <c r="AD50" s="22">
        <f ca="1">+GETPIVOTDATA("XBB4",'binhba (2016)'!$A$3,"MA_HT","NTD","MA_QH","DNL")</f>
        <v>0</v>
      </c>
      <c r="AE50" s="22">
        <f ca="1">+GETPIVOTDATA("XBB4",'binhba (2016)'!$A$3,"MA_HT","NTD","MA_QH","DBV")</f>
        <v>0</v>
      </c>
      <c r="AF50" s="22">
        <f ca="1">+GETPIVOTDATA("XBB4",'binhba (2016)'!$A$3,"MA_HT","NTD","MA_QH","DVH")</f>
        <v>0</v>
      </c>
      <c r="AG50" s="22">
        <f ca="1">+GETPIVOTDATA("XBB4",'binhba (2016)'!$A$3,"MA_HT","NTD","MA_QH","DYT")</f>
        <v>0</v>
      </c>
      <c r="AH50" s="22">
        <f ca="1">+GETPIVOTDATA("XBB4",'binhba (2016)'!$A$3,"MA_HT","NTD","MA_QH","DGD")</f>
        <v>0</v>
      </c>
      <c r="AI50" s="22">
        <f ca="1">+GETPIVOTDATA("XBB4",'binhba (2016)'!$A$3,"MA_HT","NTD","MA_QH","DTT")</f>
        <v>0</v>
      </c>
      <c r="AJ50" s="22">
        <f ca="1">+GETPIVOTDATA("XBB4",'binhba (2016)'!$A$3,"MA_HT","NTD","MA_QH","NCK")</f>
        <v>0</v>
      </c>
      <c r="AK50" s="22">
        <f ca="1">+GETPIVOTDATA("XBB4",'binhba (2016)'!$A$3,"MA_HT","NTD","MA_QH","DXH")</f>
        <v>0</v>
      </c>
      <c r="AL50" s="22">
        <f ca="1">+GETPIVOTDATA("XBB4",'binhba (2016)'!$A$3,"MA_HT","NTD","MA_QH","DCH")</f>
        <v>0</v>
      </c>
      <c r="AM50" s="22">
        <f ca="1">+GETPIVOTDATA("XBB4",'binhba (2016)'!$A$3,"MA_HT","NTD","MA_QH","DKG")</f>
        <v>0</v>
      </c>
      <c r="AN50" s="22">
        <f ca="1">+GETPIVOTDATA("XBB4",'binhba (2016)'!$A$3,"MA_HT","NTD","MA_QH","DDT")</f>
        <v>0</v>
      </c>
      <c r="AO50" s="22">
        <f ca="1">+GETPIVOTDATA("XBB4",'binhba (2016)'!$A$3,"MA_HT","NTD","MA_QH","DDL")</f>
        <v>0</v>
      </c>
      <c r="AP50" s="22">
        <f ca="1">+GETPIVOTDATA("XBB4",'binhba (2016)'!$A$3,"MA_HT","NTD","MA_QH","DRA")</f>
        <v>0</v>
      </c>
      <c r="AQ50" s="22">
        <f ca="1">+GETPIVOTDATA("XBB4",'binhba (2016)'!$A$3,"MA_HT","NTD","MA_QH","ONT")</f>
        <v>0</v>
      </c>
      <c r="AR50" s="22">
        <f ca="1">+GETPIVOTDATA("XBB4",'binhba (2016)'!$A$3,"MA_HT","NTD","MA_QH","ODT")</f>
        <v>0</v>
      </c>
      <c r="AS50" s="22">
        <f ca="1">+GETPIVOTDATA("XBB4",'binhba (2016)'!$A$3,"MA_HT","NTD","MA_QH","TSC")</f>
        <v>0</v>
      </c>
      <c r="AT50" s="22">
        <f ca="1">+GETPIVOTDATA("XBB4",'binhba (2016)'!$A$3,"MA_HT","NTD","MA_QH","DTS")</f>
        <v>0</v>
      </c>
      <c r="AU50" s="22">
        <f ca="1">+GETPIVOTDATA("XBB4",'binhba (2016)'!$A$3,"MA_HT","NTD","MA_QH","DNG")</f>
        <v>0</v>
      </c>
      <c r="AV50" s="22">
        <f ca="1">+GETPIVOTDATA("XBB4",'binhba (2016)'!$A$3,"MA_HT","NTD","MA_QH","TON")</f>
        <v>0</v>
      </c>
      <c r="AW50" s="43" t="e">
        <f ca="1">$D50-$BF50</f>
        <v>#REF!</v>
      </c>
      <c r="AX50" s="22">
        <f ca="1">+GETPIVOTDATA("XBB4",'binhba (2016)'!$A$3,"MA_HT","NTD","MA_QH","SKX")</f>
        <v>0</v>
      </c>
      <c r="AY50" s="22">
        <f ca="1">+GETPIVOTDATA("XBB4",'binhba (2016)'!$A$3,"MA_HT","NTD","MA_QH","DSH")</f>
        <v>0</v>
      </c>
      <c r="AZ50" s="22">
        <f ca="1">+GETPIVOTDATA("XBB4",'binhba (2016)'!$A$3,"MA_HT","NTD","MA_QH","DKV")</f>
        <v>0</v>
      </c>
      <c r="BA50" s="89">
        <f ca="1">+GETPIVOTDATA("XBB4",'binhba (2016)'!$A$3,"MA_HT","NTD","MA_QH","TIN")</f>
        <v>0</v>
      </c>
      <c r="BB50" s="50">
        <f ca="1">+GETPIVOTDATA("XBB4",'binhba (2016)'!$A$3,"MA_HT","NTD","MA_QH","SON")</f>
        <v>0</v>
      </c>
      <c r="BC50" s="50">
        <f ca="1">+GETPIVOTDATA("XBB4",'binhba (2016)'!$A$3,"MA_HT","NTD","MA_QH","MNC")</f>
        <v>0</v>
      </c>
      <c r="BD50" s="22">
        <f ca="1">+GETPIVOTDATA("XBB4",'binhba (2016)'!$A$3,"MA_HT","NTD","MA_QH","PNK")</f>
        <v>0</v>
      </c>
      <c r="BE50" s="71">
        <f ca="1">+GETPIVOTDATA("XBB4",'binhba (2016)'!$A$3,"MA_HT","NTD","MA_QH","CSD")</f>
        <v>0</v>
      </c>
      <c r="BF50" s="74">
        <f ca="1" t="shared" si="13"/>
        <v>0</v>
      </c>
      <c r="BG50" s="101">
        <f ca="1">AW$59-$BF50</f>
        <v>0</v>
      </c>
      <c r="BH50" s="41" t="e">
        <f ca="1" t="shared" si="14"/>
        <v>#REF!</v>
      </c>
      <c r="BI50" s="98"/>
      <c r="BJ50" s="98"/>
      <c r="BK50" s="107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</row>
    <row r="51" s="2" customFormat="1" ht="15.75" customHeight="1" spans="1:79">
      <c r="A51" s="39" t="s">
        <v>8420</v>
      </c>
      <c r="B51" s="39" t="s">
        <v>8421</v>
      </c>
      <c r="C51" s="40" t="s">
        <v>236</v>
      </c>
      <c r="D51" s="41" t="e">
        <f>+#REF!</f>
        <v>#REF!</v>
      </c>
      <c r="E51" s="42">
        <f ca="1" t="shared" si="15"/>
        <v>0</v>
      </c>
      <c r="F51" s="52">
        <f ca="1" t="shared" si="9"/>
        <v>0</v>
      </c>
      <c r="G51" s="22">
        <f ca="1">+GETPIVOTDATA("XBB4",'binhba (2016)'!$A$3,"MA_HT","SKX","MA_QH","LUC")</f>
        <v>0</v>
      </c>
      <c r="H51" s="22">
        <f ca="1">+GETPIVOTDATA("XBB4",'binhba (2016)'!$A$3,"MA_HT","SKX","MA_QH","LUK")</f>
        <v>0</v>
      </c>
      <c r="I51" s="22">
        <f ca="1">+GETPIVOTDATA("XBB4",'binhba (2016)'!$A$3,"MA_HT","SKX","MA_QH","LUN")</f>
        <v>0</v>
      </c>
      <c r="J51" s="22">
        <f ca="1">+GETPIVOTDATA("XBB4",'binhba (2016)'!$A$3,"MA_HT","SKX","MA_QH","HNK")</f>
        <v>0</v>
      </c>
      <c r="K51" s="22">
        <f ca="1">+GETPIVOTDATA("XBB4",'binhba (2016)'!$A$3,"MA_HT","SKX","MA_QH","CLN")</f>
        <v>0</v>
      </c>
      <c r="L51" s="22">
        <f ca="1">+GETPIVOTDATA("XBB4",'binhba (2016)'!$A$3,"MA_HT","SKX","MA_QH","RSX")</f>
        <v>0</v>
      </c>
      <c r="M51" s="22">
        <f ca="1">+GETPIVOTDATA("XBB4",'binhba (2016)'!$A$3,"MA_HT","SKX","MA_QH","RPH")</f>
        <v>0</v>
      </c>
      <c r="N51" s="22">
        <f ca="1">+GETPIVOTDATA("XBB4",'binhba (2016)'!$A$3,"MA_HT","SKX","MA_QH","RDD")</f>
        <v>0</v>
      </c>
      <c r="O51" s="22">
        <f ca="1">+GETPIVOTDATA("XBB4",'binhba (2016)'!$A$3,"MA_HT","SKX","MA_QH","NTS")</f>
        <v>0</v>
      </c>
      <c r="P51" s="22">
        <f ca="1">+GETPIVOTDATA("XBB4",'binhba (2016)'!$A$3,"MA_HT","SKX","MA_QH","LMU")</f>
        <v>0</v>
      </c>
      <c r="Q51" s="22">
        <f ca="1">+GETPIVOTDATA("XBB4",'binhba (2016)'!$A$3,"MA_HT","SKX","MA_QH","NKH")</f>
        <v>0</v>
      </c>
      <c r="R51" s="79">
        <f ca="1">SUM(S51:AA51,AN51:AW51,AY51:BD51)</f>
        <v>0</v>
      </c>
      <c r="S51" s="22">
        <f ca="1">+GETPIVOTDATA("XBB4",'binhba (2016)'!$A$3,"MA_HT","SKX","MA_QH","CQP")</f>
        <v>0</v>
      </c>
      <c r="T51" s="22">
        <f ca="1">+GETPIVOTDATA("XBB4",'binhba (2016)'!$A$3,"MA_HT","SKX","MA_QH","CAN")</f>
        <v>0</v>
      </c>
      <c r="U51" s="22">
        <f ca="1">+GETPIVOTDATA("XBB4",'binhba (2016)'!$A$3,"MA_HT","SKX","MA_QH","SKK")</f>
        <v>0</v>
      </c>
      <c r="V51" s="22">
        <f ca="1">+GETPIVOTDATA("XBB4",'binhba (2016)'!$A$3,"MA_HT","SKX","MA_QH","SKT")</f>
        <v>0</v>
      </c>
      <c r="W51" s="22">
        <f ca="1">+GETPIVOTDATA("XBB4",'binhba (2016)'!$A$3,"MA_HT","SKX","MA_QH","SKN")</f>
        <v>0</v>
      </c>
      <c r="X51" s="22">
        <f ca="1">+GETPIVOTDATA("XBB4",'binhba (2016)'!$A$3,"MA_HT","SKX","MA_QH","TMD")</f>
        <v>0</v>
      </c>
      <c r="Y51" s="22">
        <f ca="1">+GETPIVOTDATA("XBB4",'binhba (2016)'!$A$3,"MA_HT","SKX","MA_QH","SKC")</f>
        <v>0</v>
      </c>
      <c r="Z51" s="22">
        <f ca="1">+GETPIVOTDATA("XBB4",'binhba (2016)'!$A$3,"MA_HT","SKX","MA_QH","SKS")</f>
        <v>0</v>
      </c>
      <c r="AA51" s="52">
        <f ca="1" t="shared" si="21"/>
        <v>0</v>
      </c>
      <c r="AB51" s="22">
        <f ca="1">+GETPIVOTDATA("XBB4",'binhba (2016)'!$A$3,"MA_HT","SKX","MA_QH","DGT")</f>
        <v>0</v>
      </c>
      <c r="AC51" s="22">
        <f ca="1">+GETPIVOTDATA("XBB4",'binhba (2016)'!$A$3,"MA_HT","SKX","MA_QH","DTL")</f>
        <v>0</v>
      </c>
      <c r="AD51" s="22">
        <f ca="1">+GETPIVOTDATA("XBB4",'binhba (2016)'!$A$3,"MA_HT","SKX","MA_QH","DNL")</f>
        <v>0</v>
      </c>
      <c r="AE51" s="22">
        <f ca="1">+GETPIVOTDATA("XBB4",'binhba (2016)'!$A$3,"MA_HT","SKX","MA_QH","DBV")</f>
        <v>0</v>
      </c>
      <c r="AF51" s="22">
        <f ca="1">+GETPIVOTDATA("XBB4",'binhba (2016)'!$A$3,"MA_HT","SKX","MA_QH","DVH")</f>
        <v>0</v>
      </c>
      <c r="AG51" s="22">
        <f ca="1">+GETPIVOTDATA("XBB4",'binhba (2016)'!$A$3,"MA_HT","SKX","MA_QH","DYT")</f>
        <v>0</v>
      </c>
      <c r="AH51" s="22">
        <f ca="1">+GETPIVOTDATA("XBB4",'binhba (2016)'!$A$3,"MA_HT","SKX","MA_QH","DGD")</f>
        <v>0</v>
      </c>
      <c r="AI51" s="22">
        <f ca="1">+GETPIVOTDATA("XBB4",'binhba (2016)'!$A$3,"MA_HT","SKX","MA_QH","DTT")</f>
        <v>0</v>
      </c>
      <c r="AJ51" s="22">
        <f ca="1">+GETPIVOTDATA("XBB4",'binhba (2016)'!$A$3,"MA_HT","SKX","MA_QH","NCK")</f>
        <v>0</v>
      </c>
      <c r="AK51" s="22">
        <f ca="1">+GETPIVOTDATA("XBB4",'binhba (2016)'!$A$3,"MA_HT","SKX","MA_QH","DXH")</f>
        <v>0</v>
      </c>
      <c r="AL51" s="22">
        <f ca="1">+GETPIVOTDATA("XBB4",'binhba (2016)'!$A$3,"MA_HT","SKX","MA_QH","DCH")</f>
        <v>0</v>
      </c>
      <c r="AM51" s="22">
        <f ca="1">+GETPIVOTDATA("XBB4",'binhba (2016)'!$A$3,"MA_HT","SKX","MA_QH","DKG")</f>
        <v>0</v>
      </c>
      <c r="AN51" s="22">
        <f ca="1">+GETPIVOTDATA("XBB4",'binhba (2016)'!$A$3,"MA_HT","SKX","MA_QH","DDT")</f>
        <v>0</v>
      </c>
      <c r="AO51" s="22">
        <f ca="1">+GETPIVOTDATA("XBB4",'binhba (2016)'!$A$3,"MA_HT","SKX","MA_QH","DDL")</f>
        <v>0</v>
      </c>
      <c r="AP51" s="22">
        <f ca="1">+GETPIVOTDATA("XBB4",'binhba (2016)'!$A$3,"MA_HT","SKX","MA_QH","DRA")</f>
        <v>0</v>
      </c>
      <c r="AQ51" s="22">
        <f ca="1">+GETPIVOTDATA("XBB4",'binhba (2016)'!$A$3,"MA_HT","SKX","MA_QH","ONT")</f>
        <v>0</v>
      </c>
      <c r="AR51" s="22">
        <f ca="1">+GETPIVOTDATA("XBB4",'binhba (2016)'!$A$3,"MA_HT","SKX","MA_QH","ODT")</f>
        <v>0</v>
      </c>
      <c r="AS51" s="22">
        <f ca="1">+GETPIVOTDATA("XBB4",'binhba (2016)'!$A$3,"MA_HT","SKX","MA_QH","TSC")</f>
        <v>0</v>
      </c>
      <c r="AT51" s="22">
        <f ca="1">+GETPIVOTDATA("XBB4",'binhba (2016)'!$A$3,"MA_HT","SKX","MA_QH","DTS")</f>
        <v>0</v>
      </c>
      <c r="AU51" s="22">
        <f ca="1">+GETPIVOTDATA("XBB4",'binhba (2016)'!$A$3,"MA_HT","SKX","MA_QH","DNG")</f>
        <v>0</v>
      </c>
      <c r="AV51" s="22">
        <f ca="1">+GETPIVOTDATA("XBB4",'binhba (2016)'!$A$3,"MA_HT","SKX","MA_QH","TON")</f>
        <v>0</v>
      </c>
      <c r="AW51" s="22">
        <f ca="1">+GETPIVOTDATA("XBB4",'binhba (2016)'!$A$3,"MA_HT","SKX","MA_QH","NTD")</f>
        <v>0</v>
      </c>
      <c r="AX51" s="43" t="e">
        <f ca="1">$D51-$BF51</f>
        <v>#REF!</v>
      </c>
      <c r="AY51" s="22">
        <f ca="1">+GETPIVOTDATA("XBB4",'binhba (2016)'!$A$3,"MA_HT","SKX","MA_QH","DSH")</f>
        <v>0</v>
      </c>
      <c r="AZ51" s="22">
        <f ca="1">+GETPIVOTDATA("XBB4",'binhba (2016)'!$A$3,"MA_HT","SKX","MA_QH","DKV")</f>
        <v>0</v>
      </c>
      <c r="BA51" s="89">
        <f ca="1">+GETPIVOTDATA("XBB4",'binhba (2016)'!$A$3,"MA_HT","SKX","MA_QH","TIN")</f>
        <v>0</v>
      </c>
      <c r="BB51" s="50">
        <f ca="1">+GETPIVOTDATA("XBB4",'binhba (2016)'!$A$3,"MA_HT","SKX","MA_QH","SON")</f>
        <v>0</v>
      </c>
      <c r="BC51" s="50">
        <f ca="1">+GETPIVOTDATA("XBB4",'binhba (2016)'!$A$3,"MA_HT","SKX","MA_QH","MNC")</f>
        <v>0</v>
      </c>
      <c r="BD51" s="22">
        <f ca="1">+GETPIVOTDATA("XBB4",'binhba (2016)'!$A$3,"MA_HT","SKX","MA_QH","PNK")</f>
        <v>0</v>
      </c>
      <c r="BE51" s="71">
        <f ca="1">+GETPIVOTDATA("XBB4",'binhba (2016)'!$A$3,"MA_HT","SKX","MA_QH","CSD")</f>
        <v>0</v>
      </c>
      <c r="BF51" s="74">
        <f ca="1" t="shared" si="13"/>
        <v>0</v>
      </c>
      <c r="BG51" s="101">
        <f ca="1">AX$59-$BF51</f>
        <v>0</v>
      </c>
      <c r="BH51" s="41" t="e">
        <f ca="1" t="shared" si="14"/>
        <v>#REF!</v>
      </c>
      <c r="BI51" s="98"/>
      <c r="BJ51" s="98" t="e">
        <f>#REF!</f>
        <v>#REF!</v>
      </c>
      <c r="BK51" s="107" t="e">
        <f ca="1">BH51-BJ51</f>
        <v>#REF!</v>
      </c>
      <c r="BL51" s="98"/>
      <c r="BM51" s="122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</row>
    <row r="52" s="2" customFormat="1" ht="15.75" customHeight="1" spans="1:79">
      <c r="A52" s="39" t="s">
        <v>8422</v>
      </c>
      <c r="B52" s="39" t="s">
        <v>8423</v>
      </c>
      <c r="C52" s="40" t="s">
        <v>8292</v>
      </c>
      <c r="D52" s="41" t="e">
        <f>+#REF!</f>
        <v>#REF!</v>
      </c>
      <c r="E52" s="42">
        <f ca="1" t="shared" si="15"/>
        <v>0</v>
      </c>
      <c r="F52" s="52">
        <f ca="1" t="shared" si="9"/>
        <v>0</v>
      </c>
      <c r="G52" s="22">
        <f ca="1">+GETPIVOTDATA("XBB4",'binhba (2016)'!$A$3,"MA_HT","DSH","MA_QH","LUC")</f>
        <v>0</v>
      </c>
      <c r="H52" s="22">
        <f ca="1">+GETPIVOTDATA("XBB4",'binhba (2016)'!$A$3,"MA_HT","DSH","MA_QH","LUK")</f>
        <v>0</v>
      </c>
      <c r="I52" s="22">
        <f ca="1">+GETPIVOTDATA("XBB4",'binhba (2016)'!$A$3,"MA_HT","DSH","MA_QH","LUN")</f>
        <v>0</v>
      </c>
      <c r="J52" s="22">
        <f ca="1">+GETPIVOTDATA("XBB4",'binhba (2016)'!$A$3,"MA_HT","DSH","MA_QH","HNK")</f>
        <v>0</v>
      </c>
      <c r="K52" s="22">
        <f ca="1">+GETPIVOTDATA("XBB4",'binhba (2016)'!$A$3,"MA_HT","DSH","MA_QH","CLN")</f>
        <v>0</v>
      </c>
      <c r="L52" s="22">
        <f ca="1">+GETPIVOTDATA("XBB4",'binhba (2016)'!$A$3,"MA_HT","DSH","MA_QH","RSX")</f>
        <v>0</v>
      </c>
      <c r="M52" s="22">
        <f ca="1">+GETPIVOTDATA("XBB4",'binhba (2016)'!$A$3,"MA_HT","DSH","MA_QH","RPH")</f>
        <v>0</v>
      </c>
      <c r="N52" s="22">
        <f ca="1">+GETPIVOTDATA("XBB4",'binhba (2016)'!$A$3,"MA_HT","DSH","MA_QH","RDD")</f>
        <v>0</v>
      </c>
      <c r="O52" s="22">
        <f ca="1">+GETPIVOTDATA("XBB4",'binhba (2016)'!$A$3,"MA_HT","DSH","MA_QH","NTS")</f>
        <v>0</v>
      </c>
      <c r="P52" s="22">
        <f ca="1">+GETPIVOTDATA("XBB4",'binhba (2016)'!$A$3,"MA_HT","DSH","MA_QH","LMU")</f>
        <v>0</v>
      </c>
      <c r="Q52" s="22">
        <f ca="1">+GETPIVOTDATA("XBB4",'binhba (2016)'!$A$3,"MA_HT","DSH","MA_QH","NKH")</f>
        <v>0</v>
      </c>
      <c r="R52" s="79">
        <f ca="1">SUM(S52:AA52,AN52:AX52,AZ52:BD52)</f>
        <v>0</v>
      </c>
      <c r="S52" s="22">
        <f ca="1">+GETPIVOTDATA("XBB4",'binhba (2016)'!$A$3,"MA_HT","DSH","MA_QH","CQP")</f>
        <v>0</v>
      </c>
      <c r="T52" s="22">
        <f ca="1">+GETPIVOTDATA("XBB4",'binhba (2016)'!$A$3,"MA_HT","DSH","MA_QH","CAN")</f>
        <v>0</v>
      </c>
      <c r="U52" s="22">
        <f ca="1">+GETPIVOTDATA("XBB4",'binhba (2016)'!$A$3,"MA_HT","DSH","MA_QH","SKK")</f>
        <v>0</v>
      </c>
      <c r="V52" s="22">
        <f ca="1">+GETPIVOTDATA("XBB4",'binhba (2016)'!$A$3,"MA_HT","DSH","MA_QH","SKT")</f>
        <v>0</v>
      </c>
      <c r="W52" s="22">
        <f ca="1">+GETPIVOTDATA("XBB4",'binhba (2016)'!$A$3,"MA_HT","DSH","MA_QH","SKN")</f>
        <v>0</v>
      </c>
      <c r="X52" s="22">
        <f ca="1">+GETPIVOTDATA("XBB4",'binhba (2016)'!$A$3,"MA_HT","DSH","MA_QH","TMD")</f>
        <v>0</v>
      </c>
      <c r="Y52" s="22">
        <f ca="1">+GETPIVOTDATA("XBB4",'binhba (2016)'!$A$3,"MA_HT","DSH","MA_QH","SKC")</f>
        <v>0</v>
      </c>
      <c r="Z52" s="22">
        <f ca="1">+GETPIVOTDATA("XBB4",'binhba (2016)'!$A$3,"MA_HT","DSH","MA_QH","SKS")</f>
        <v>0</v>
      </c>
      <c r="AA52" s="52">
        <f ca="1" t="shared" si="21"/>
        <v>0</v>
      </c>
      <c r="AB52" s="22">
        <f ca="1">+GETPIVOTDATA("XBB4",'binhba (2016)'!$A$3,"MA_HT","DSH","MA_QH","DGT")</f>
        <v>0</v>
      </c>
      <c r="AC52" s="22">
        <f ca="1">+GETPIVOTDATA("XBB4",'binhba (2016)'!$A$3,"MA_HT","DSH","MA_QH","DTL")</f>
        <v>0</v>
      </c>
      <c r="AD52" s="22">
        <f ca="1">+GETPIVOTDATA("XBB4",'binhba (2016)'!$A$3,"MA_HT","DSH","MA_QH","DNL")</f>
        <v>0</v>
      </c>
      <c r="AE52" s="22">
        <f ca="1">+GETPIVOTDATA("XBB4",'binhba (2016)'!$A$3,"MA_HT","DSH","MA_QH","DBV")</f>
        <v>0</v>
      </c>
      <c r="AF52" s="22">
        <f ca="1">+GETPIVOTDATA("XBB4",'binhba (2016)'!$A$3,"MA_HT","DSH","MA_QH","DVH")</f>
        <v>0</v>
      </c>
      <c r="AG52" s="22">
        <f ca="1">+GETPIVOTDATA("XBB4",'binhba (2016)'!$A$3,"MA_HT","DSH","MA_QH","DYT")</f>
        <v>0</v>
      </c>
      <c r="AH52" s="22">
        <f ca="1">+GETPIVOTDATA("XBB4",'binhba (2016)'!$A$3,"MA_HT","DSH","MA_QH","DGD")</f>
        <v>0</v>
      </c>
      <c r="AI52" s="22">
        <f ca="1">+GETPIVOTDATA("XBB4",'binhba (2016)'!$A$3,"MA_HT","DSH","MA_QH","DTT")</f>
        <v>0</v>
      </c>
      <c r="AJ52" s="22">
        <f ca="1">+GETPIVOTDATA("XBB4",'binhba (2016)'!$A$3,"MA_HT","DSH","MA_QH","NCK")</f>
        <v>0</v>
      </c>
      <c r="AK52" s="22">
        <f ca="1">+GETPIVOTDATA("XBB4",'binhba (2016)'!$A$3,"MA_HT","DSH","MA_QH","DXH")</f>
        <v>0</v>
      </c>
      <c r="AL52" s="22">
        <f ca="1">+GETPIVOTDATA("XBB4",'binhba (2016)'!$A$3,"MA_HT","DSH","MA_QH","DCH")</f>
        <v>0</v>
      </c>
      <c r="AM52" s="22">
        <f ca="1">+GETPIVOTDATA("XBB4",'binhba (2016)'!$A$3,"MA_HT","DSH","MA_QH","DKG")</f>
        <v>0</v>
      </c>
      <c r="AN52" s="22">
        <f ca="1">+GETPIVOTDATA("XBB4",'binhba (2016)'!$A$3,"MA_HT","DSH","MA_QH","DDT")</f>
        <v>0</v>
      </c>
      <c r="AO52" s="22">
        <f ca="1">+GETPIVOTDATA("XBB4",'binhba (2016)'!$A$3,"MA_HT","DSH","MA_QH","DDL")</f>
        <v>0</v>
      </c>
      <c r="AP52" s="22">
        <f ca="1">+GETPIVOTDATA("XBB4",'binhba (2016)'!$A$3,"MA_HT","DSH","MA_QH","DRA")</f>
        <v>0</v>
      </c>
      <c r="AQ52" s="22">
        <f ca="1">+GETPIVOTDATA("XBB4",'binhba (2016)'!$A$3,"MA_HT","DSH","MA_QH","ONT")</f>
        <v>0</v>
      </c>
      <c r="AR52" s="22">
        <f ca="1">+GETPIVOTDATA("XBB4",'binhba (2016)'!$A$3,"MA_HT","DSH","MA_QH","ODT")</f>
        <v>0</v>
      </c>
      <c r="AS52" s="22">
        <f ca="1">+GETPIVOTDATA("XBB4",'binhba (2016)'!$A$3,"MA_HT","DSH","MA_QH","TSC")</f>
        <v>0</v>
      </c>
      <c r="AT52" s="22">
        <f ca="1">+GETPIVOTDATA("XBB4",'binhba (2016)'!$A$3,"MA_HT","DSH","MA_QH","DTS")</f>
        <v>0</v>
      </c>
      <c r="AU52" s="22">
        <f ca="1">+GETPIVOTDATA("XBB4",'binhba (2016)'!$A$3,"MA_HT","DSH","MA_QH","DNG")</f>
        <v>0</v>
      </c>
      <c r="AV52" s="22">
        <f ca="1">+GETPIVOTDATA("XBB4",'binhba (2016)'!$A$3,"MA_HT","DSH","MA_QH","TON")</f>
        <v>0</v>
      </c>
      <c r="AW52" s="22">
        <f ca="1">+GETPIVOTDATA("XBB4",'binhba (2016)'!$A$3,"MA_HT","DSH","MA_QH","NTD")</f>
        <v>0</v>
      </c>
      <c r="AX52" s="22">
        <f ca="1">+GETPIVOTDATA("XBB4",'binhba (2016)'!$A$3,"MA_HT","DSH","MA_QH","SKX")</f>
        <v>0</v>
      </c>
      <c r="AY52" s="43" t="e">
        <f ca="1">$D52-$BF52</f>
        <v>#REF!</v>
      </c>
      <c r="AZ52" s="22">
        <f ca="1">+GETPIVOTDATA("XBB4",'binhba (2016)'!$A$3,"MA_HT","DSH","MA_QH","DKV")</f>
        <v>0</v>
      </c>
      <c r="BA52" s="89">
        <f ca="1">+GETPIVOTDATA("XBB4",'binhba (2016)'!$A$3,"MA_HT","DSH","MA_QH","TIN")</f>
        <v>0</v>
      </c>
      <c r="BB52" s="50">
        <f ca="1">+GETPIVOTDATA("XBB4",'binhba (2016)'!$A$3,"MA_HT","DSH","MA_QH","SON")</f>
        <v>0</v>
      </c>
      <c r="BC52" s="50">
        <f ca="1">+GETPIVOTDATA("XBB4",'binhba (2016)'!$A$3,"MA_HT","DSH","MA_QH","MNC")</f>
        <v>0</v>
      </c>
      <c r="BD52" s="22">
        <f ca="1">+GETPIVOTDATA("XBB4",'binhba (2016)'!$A$3,"MA_HT","DSH","MA_QH","PNK")</f>
        <v>0</v>
      </c>
      <c r="BE52" s="71">
        <f ca="1">+GETPIVOTDATA("XBB4",'binhba (2016)'!$A$3,"MA_HT","DSH","MA_QH","CSD")</f>
        <v>0</v>
      </c>
      <c r="BF52" s="74">
        <f ca="1" t="shared" si="13"/>
        <v>0</v>
      </c>
      <c r="BG52" s="101">
        <f ca="1">AY$59-$BF52</f>
        <v>0</v>
      </c>
      <c r="BH52" s="41" t="e">
        <f ca="1" t="shared" si="14"/>
        <v>#REF!</v>
      </c>
      <c r="BI52" s="98"/>
      <c r="BJ52" s="98" t="e">
        <f>#REF!</f>
        <v>#REF!</v>
      </c>
      <c r="BK52" s="107" t="e">
        <f ca="1">BH52-BJ52</f>
        <v>#REF!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</row>
    <row r="53" s="2" customFormat="1" ht="15.75" customHeight="1" spans="1:79">
      <c r="A53" s="39" t="s">
        <v>8424</v>
      </c>
      <c r="B53" s="39" t="s">
        <v>8425</v>
      </c>
      <c r="C53" s="40" t="s">
        <v>8289</v>
      </c>
      <c r="D53" s="41" t="e">
        <f>+#REF!</f>
        <v>#REF!</v>
      </c>
      <c r="E53" s="42">
        <f ca="1" t="shared" si="15"/>
        <v>0</v>
      </c>
      <c r="F53" s="52">
        <f ca="1" t="shared" si="9"/>
        <v>0</v>
      </c>
      <c r="G53" s="22">
        <f ca="1">+GETPIVOTDATA("XBB4",'binhba (2016)'!$A$3,"MA_HT","DKV","MA_QH","LUC")</f>
        <v>0</v>
      </c>
      <c r="H53" s="22">
        <f ca="1">+GETPIVOTDATA("XBB4",'binhba (2016)'!$A$3,"MA_HT","DKV","MA_QH","LUK")</f>
        <v>0</v>
      </c>
      <c r="I53" s="22">
        <f ca="1">+GETPIVOTDATA("XBB4",'binhba (2016)'!$A$3,"MA_HT","DKV","MA_QH","LUN")</f>
        <v>0</v>
      </c>
      <c r="J53" s="22">
        <f ca="1">+GETPIVOTDATA("XBB4",'binhba (2016)'!$A$3,"MA_HT","DKV","MA_QH","HNK")</f>
        <v>0</v>
      </c>
      <c r="K53" s="22">
        <f ca="1">+GETPIVOTDATA("XBB4",'binhba (2016)'!$A$3,"MA_HT","DKV","MA_QH","CLN")</f>
        <v>0</v>
      </c>
      <c r="L53" s="22">
        <f ca="1">+GETPIVOTDATA("XBB4",'binhba (2016)'!$A$3,"MA_HT","DKV","MA_QH","RSX")</f>
        <v>0</v>
      </c>
      <c r="M53" s="22">
        <f ca="1">+GETPIVOTDATA("XBB4",'binhba (2016)'!$A$3,"MA_HT","DKV","MA_QH","RPH")</f>
        <v>0</v>
      </c>
      <c r="N53" s="22">
        <f ca="1">+GETPIVOTDATA("XBB4",'binhba (2016)'!$A$3,"MA_HT","DKV","MA_QH","RDD")</f>
        <v>0</v>
      </c>
      <c r="O53" s="22">
        <f ca="1">+GETPIVOTDATA("XBB4",'binhba (2016)'!$A$3,"MA_HT","DKV","MA_QH","NTS")</f>
        <v>0</v>
      </c>
      <c r="P53" s="22">
        <f ca="1">+GETPIVOTDATA("XBB4",'binhba (2016)'!$A$3,"MA_HT","DKV","MA_QH","LMU")</f>
        <v>0</v>
      </c>
      <c r="Q53" s="22">
        <f ca="1">+GETPIVOTDATA("XBB4",'binhba (2016)'!$A$3,"MA_HT","DKV","MA_QH","NKH")</f>
        <v>0</v>
      </c>
      <c r="R53" s="79">
        <f ca="1">SUM(S53:AA53,AN53:AY53,BB53:BD53)</f>
        <v>0</v>
      </c>
      <c r="S53" s="22">
        <f ca="1">+GETPIVOTDATA("XBB4",'binhba (2016)'!$A$3,"MA_HT","DKV","MA_QH","CQP")</f>
        <v>0</v>
      </c>
      <c r="T53" s="22">
        <f ca="1">+GETPIVOTDATA("XBB4",'binhba (2016)'!$A$3,"MA_HT","DKV","MA_QH","CAN")</f>
        <v>0</v>
      </c>
      <c r="U53" s="22">
        <f ca="1">+GETPIVOTDATA("XBB4",'binhba (2016)'!$A$3,"MA_HT","DKV","MA_QH","SKK")</f>
        <v>0</v>
      </c>
      <c r="V53" s="22">
        <f ca="1">+GETPIVOTDATA("XBB4",'binhba (2016)'!$A$3,"MA_HT","DKV","MA_QH","SKT")</f>
        <v>0</v>
      </c>
      <c r="W53" s="22">
        <f ca="1">+GETPIVOTDATA("XBB4",'binhba (2016)'!$A$3,"MA_HT","DKV","MA_QH","SKN")</f>
        <v>0</v>
      </c>
      <c r="X53" s="22">
        <f ca="1">+GETPIVOTDATA("XBB4",'binhba (2016)'!$A$3,"MA_HT","DKV","MA_QH","TMD")</f>
        <v>0</v>
      </c>
      <c r="Y53" s="22">
        <f ca="1">+GETPIVOTDATA("XBB4",'binhba (2016)'!$A$3,"MA_HT","DKV","MA_QH","SKC")</f>
        <v>0</v>
      </c>
      <c r="Z53" s="22">
        <f ca="1">+GETPIVOTDATA("XBB4",'binhba (2016)'!$A$3,"MA_HT","DKV","MA_QH","SKS")</f>
        <v>0</v>
      </c>
      <c r="AA53" s="52">
        <f ca="1" t="shared" si="21"/>
        <v>0</v>
      </c>
      <c r="AB53" s="22">
        <f ca="1">+GETPIVOTDATA("XBB4",'binhba (2016)'!$A$3,"MA_HT","DKV","MA_QH","DGT")</f>
        <v>0</v>
      </c>
      <c r="AC53" s="22">
        <f ca="1">+GETPIVOTDATA("XBB4",'binhba (2016)'!$A$3,"MA_HT","DKV","MA_QH","DTL")</f>
        <v>0</v>
      </c>
      <c r="AD53" s="22">
        <f ca="1">+GETPIVOTDATA("XBB4",'binhba (2016)'!$A$3,"MA_HT","DKV","MA_QH","DNL")</f>
        <v>0</v>
      </c>
      <c r="AE53" s="22">
        <f ca="1">+GETPIVOTDATA("XBB4",'binhba (2016)'!$A$3,"MA_HT","DKV","MA_QH","DBV")</f>
        <v>0</v>
      </c>
      <c r="AF53" s="22">
        <f ca="1">+GETPIVOTDATA("XBB4",'binhba (2016)'!$A$3,"MA_HT","DKV","MA_QH","DVH")</f>
        <v>0</v>
      </c>
      <c r="AG53" s="22">
        <f ca="1">+GETPIVOTDATA("XBB4",'binhba (2016)'!$A$3,"MA_HT","DKV","MA_QH","DYT")</f>
        <v>0</v>
      </c>
      <c r="AH53" s="22">
        <f ca="1">+GETPIVOTDATA("XBB4",'binhba (2016)'!$A$3,"MA_HT","DKV","MA_QH","DGD")</f>
        <v>0</v>
      </c>
      <c r="AI53" s="22">
        <f ca="1">+GETPIVOTDATA("XBB4",'binhba (2016)'!$A$3,"MA_HT","DKV","MA_QH","DTT")</f>
        <v>0</v>
      </c>
      <c r="AJ53" s="22">
        <f ca="1">+GETPIVOTDATA("XBB4",'binhba (2016)'!$A$3,"MA_HT","DKV","MA_QH","NCK")</f>
        <v>0</v>
      </c>
      <c r="AK53" s="22">
        <f ca="1">+GETPIVOTDATA("XBB4",'binhba (2016)'!$A$3,"MA_HT","DKV","MA_QH","DXH")</f>
        <v>0</v>
      </c>
      <c r="AL53" s="22">
        <f ca="1">+GETPIVOTDATA("XBB4",'binhba (2016)'!$A$3,"MA_HT","DKV","MA_QH","DCH")</f>
        <v>0</v>
      </c>
      <c r="AM53" s="22">
        <f ca="1">+GETPIVOTDATA("XBB4",'binhba (2016)'!$A$3,"MA_HT","DKV","MA_QH","DKG")</f>
        <v>0</v>
      </c>
      <c r="AN53" s="22">
        <f ca="1">+GETPIVOTDATA("XBB4",'binhba (2016)'!$A$3,"MA_HT","DKV","MA_QH","DDT")</f>
        <v>0</v>
      </c>
      <c r="AO53" s="22">
        <f ca="1">+GETPIVOTDATA("XBB4",'binhba (2016)'!$A$3,"MA_HT","DKV","MA_QH","DDL")</f>
        <v>0</v>
      </c>
      <c r="AP53" s="22">
        <f ca="1">+GETPIVOTDATA("XBB4",'binhba (2016)'!$A$3,"MA_HT","DKV","MA_QH","DRA")</f>
        <v>0</v>
      </c>
      <c r="AQ53" s="22">
        <f ca="1">+GETPIVOTDATA("XBB4",'binhba (2016)'!$A$3,"MA_HT","DKV","MA_QH","ONT")</f>
        <v>0</v>
      </c>
      <c r="AR53" s="22">
        <f ca="1">+GETPIVOTDATA("XBB4",'binhba (2016)'!$A$3,"MA_HT","DKV","MA_QH","ODT")</f>
        <v>0</v>
      </c>
      <c r="AS53" s="22">
        <f ca="1">+GETPIVOTDATA("XBB4",'binhba (2016)'!$A$3,"MA_HT","DKV","MA_QH","TSC")</f>
        <v>0</v>
      </c>
      <c r="AT53" s="22">
        <f ca="1">+GETPIVOTDATA("XBB4",'binhba (2016)'!$A$3,"MA_HT","DKV","MA_QH","DTS")</f>
        <v>0</v>
      </c>
      <c r="AU53" s="22">
        <f ca="1">+GETPIVOTDATA("XBB4",'binhba (2016)'!$A$3,"MA_HT","DKV","MA_QH","DNG")</f>
        <v>0</v>
      </c>
      <c r="AV53" s="22">
        <f ca="1">+GETPIVOTDATA("XBB4",'binhba (2016)'!$A$3,"MA_HT","DKV","MA_QH","TON")</f>
        <v>0</v>
      </c>
      <c r="AW53" s="22">
        <f ca="1">+GETPIVOTDATA("XBB4",'binhba (2016)'!$A$3,"MA_HT","DKV","MA_QH","NTD")</f>
        <v>0</v>
      </c>
      <c r="AX53" s="22">
        <f ca="1">+GETPIVOTDATA("XBB4",'binhba (2016)'!$A$3,"MA_HT","DKV","MA_QH","SKX")</f>
        <v>0</v>
      </c>
      <c r="AY53" s="22">
        <f ca="1">+GETPIVOTDATA("XBB4",'binhba (2016)'!$A$3,"MA_HT","DKV","MA_QH","DSH")</f>
        <v>0</v>
      </c>
      <c r="AZ53" s="43" t="e">
        <f ca="1">$D53-$BF53</f>
        <v>#REF!</v>
      </c>
      <c r="BA53" s="89">
        <f ca="1">+GETPIVOTDATA("XBB4",'binhba (2016)'!$A$3,"MA_HT","DKV","MA_QH","TIN")</f>
        <v>0</v>
      </c>
      <c r="BB53" s="50">
        <f ca="1">+GETPIVOTDATA("XBB4",'binhba (2016)'!$A$3,"MA_HT","DKV","MA_QH","SON")</f>
        <v>0</v>
      </c>
      <c r="BC53" s="50">
        <f ca="1">+GETPIVOTDATA("XBB4",'binhba (2016)'!$A$3,"MA_HT","DKV","MA_QH","MNC")</f>
        <v>0</v>
      </c>
      <c r="BD53" s="22">
        <f ca="1">+GETPIVOTDATA("XBB4",'binhba (2016)'!$A$3,"MA_HT","DKV","MA_QH","PNK")</f>
        <v>0</v>
      </c>
      <c r="BE53" s="71">
        <f ca="1">+GETPIVOTDATA("XBB4",'binhba (2016)'!$A$3,"MA_HT","DKV","MA_QH","CSD")</f>
        <v>0</v>
      </c>
      <c r="BF53" s="74">
        <f ca="1" t="shared" si="13"/>
        <v>0</v>
      </c>
      <c r="BG53" s="101">
        <f ca="1">AZ$59-$BF53</f>
        <v>0</v>
      </c>
      <c r="BH53" s="41" t="e">
        <f ca="1" t="shared" si="14"/>
        <v>#REF!</v>
      </c>
      <c r="BI53" s="98"/>
      <c r="BJ53" s="98" t="e">
        <f>#REF!</f>
        <v>#REF!</v>
      </c>
      <c r="BK53" s="107" t="e">
        <f ca="1">BH53-BJ53</f>
        <v>#REF!</v>
      </c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</row>
    <row r="54" s="2" customFormat="1" ht="15.75" customHeight="1" spans="1:75">
      <c r="A54" s="39" t="s">
        <v>8426</v>
      </c>
      <c r="B54" s="39" t="s">
        <v>8427</v>
      </c>
      <c r="C54" s="40" t="s">
        <v>8310</v>
      </c>
      <c r="D54" s="41" t="e">
        <f>+#REF!</f>
        <v>#REF!</v>
      </c>
      <c r="E54" s="33">
        <f ca="1" t="shared" si="15"/>
        <v>0</v>
      </c>
      <c r="F54" s="52">
        <f ca="1">SUM(F29:F39)</f>
        <v>0</v>
      </c>
      <c r="G54" s="22">
        <f ca="1">+GETPIVOTDATA("XBB4",'binhba (2016)'!$A$3,"MA_HT","TIN","MA_QH","LUC")</f>
        <v>0</v>
      </c>
      <c r="H54" s="22">
        <f ca="1">+GETPIVOTDATA("XBB4",'binhba (2016)'!$A$3,"MA_HT","TIN","MA_QH","LUK")</f>
        <v>0</v>
      </c>
      <c r="I54" s="22">
        <f ca="1">+GETPIVOTDATA("XBB4",'binhba (2016)'!$A$3,"MA_HT","TIN","MA_QH","LUN")</f>
        <v>0</v>
      </c>
      <c r="J54" s="22">
        <f ca="1">+GETPIVOTDATA("XBB4",'binhba (2016)'!$A$3,"MA_HT","TIN","MA_QH","HNK")</f>
        <v>0</v>
      </c>
      <c r="K54" s="22">
        <f ca="1">+GETPIVOTDATA("XBB4",'binhba (2016)'!$A$3,"MA_HT","TIN","MA_QH","CLN")</f>
        <v>0</v>
      </c>
      <c r="L54" s="22">
        <f ca="1">+GETPIVOTDATA("XBB4",'binhba (2016)'!$A$3,"MA_HT","TIN","MA_QH","RSX")</f>
        <v>0</v>
      </c>
      <c r="M54" s="22">
        <f ca="1">+GETPIVOTDATA("XBB4",'binhba (2016)'!$A$3,"MA_HT","TIN","MA_QH","RPH")</f>
        <v>0</v>
      </c>
      <c r="N54" s="22">
        <f ca="1">+GETPIVOTDATA("XBB4",'binhba (2016)'!$A$3,"MA_HT","TIN","MA_QH","RDD")</f>
        <v>0</v>
      </c>
      <c r="O54" s="22">
        <f ca="1">+GETPIVOTDATA("XBB4",'binhba (2016)'!$A$3,"MA_HT","TIN","MA_QH","NTS")</f>
        <v>0</v>
      </c>
      <c r="P54" s="22">
        <f ca="1">+GETPIVOTDATA("XBB4",'binhba (2016)'!$A$3,"MA_HT","TIN","MA_QH","LMU")</f>
        <v>0</v>
      </c>
      <c r="Q54" s="22">
        <f ca="1">+GETPIVOTDATA("XBB4",'binhba (2016)'!$A$3,"MA_HT","TIN","MA_QH","NKH")</f>
        <v>0</v>
      </c>
      <c r="R54" s="79">
        <f ca="1">SUM(S54:AA54,AN54:AZ54,BB54:BD54)</f>
        <v>0</v>
      </c>
      <c r="S54" s="22">
        <f ca="1">+GETPIVOTDATA("XBB4",'binhba (2016)'!$A$3,"MA_HT","TIN","MA_QH","CQP")</f>
        <v>0</v>
      </c>
      <c r="T54" s="22">
        <f ca="1">+GETPIVOTDATA("XBB4",'binhba (2016)'!$A$3,"MA_HT","TIN","MA_QH","CAN")</f>
        <v>0</v>
      </c>
      <c r="U54" s="22">
        <f ca="1">+GETPIVOTDATA("XBB4",'binhba (2016)'!$A$3,"MA_HT","TIN","MA_QH","SKK")</f>
        <v>0</v>
      </c>
      <c r="V54" s="22">
        <f ca="1">+GETPIVOTDATA("XBB4",'binhba (2016)'!$A$3,"MA_HT","TIN","MA_QH","SKT")</f>
        <v>0</v>
      </c>
      <c r="W54" s="22">
        <f ca="1">+GETPIVOTDATA("XBB4",'binhba (2016)'!$A$3,"MA_HT","TIN","MA_QH","SKN")</f>
        <v>0</v>
      </c>
      <c r="X54" s="22">
        <f ca="1">+GETPIVOTDATA("XBB4",'binhba (2016)'!$A$3,"MA_HT","TIN","MA_QH","TMD")</f>
        <v>0</v>
      </c>
      <c r="Y54" s="22">
        <f ca="1">+GETPIVOTDATA("XBB4",'binhba (2016)'!$A$3,"MA_HT","TIN","MA_QH","SKC")</f>
        <v>0</v>
      </c>
      <c r="Z54" s="22">
        <f ca="1">+GETPIVOTDATA("XBB4",'binhba (2016)'!$A$3,"MA_HT","TIN","MA_QH","SKS")</f>
        <v>0</v>
      </c>
      <c r="AA54" s="52">
        <f ca="1" t="shared" si="21"/>
        <v>0</v>
      </c>
      <c r="AB54" s="22">
        <f ca="1">+GETPIVOTDATA("XBB4",'binhba (2016)'!$A$3,"MA_HT","TIN","MA_QH","DGT")</f>
        <v>0</v>
      </c>
      <c r="AC54" s="22">
        <f ca="1">+GETPIVOTDATA("XBB4",'binhba (2016)'!$A$3,"MA_HT","TIN","MA_QH","DTL")</f>
        <v>0</v>
      </c>
      <c r="AD54" s="22">
        <f ca="1">+GETPIVOTDATA("XBB4",'binhba (2016)'!$A$3,"MA_HT","TIN","MA_QH","DNL")</f>
        <v>0</v>
      </c>
      <c r="AE54" s="22">
        <f ca="1">+GETPIVOTDATA("XBB4",'binhba (2016)'!$A$3,"MA_HT","TIN","MA_QH","DBV")</f>
        <v>0</v>
      </c>
      <c r="AF54" s="22">
        <f ca="1">+GETPIVOTDATA("XBB4",'binhba (2016)'!$A$3,"MA_HT","TIN","MA_QH","DVH")</f>
        <v>0</v>
      </c>
      <c r="AG54" s="22">
        <f ca="1">+GETPIVOTDATA("XBB4",'binhba (2016)'!$A$3,"MA_HT","TIN","MA_QH","DYT")</f>
        <v>0</v>
      </c>
      <c r="AH54" s="22">
        <f ca="1">+GETPIVOTDATA("XBB4",'binhba (2016)'!$A$3,"MA_HT","TIN","MA_QH","DGD")</f>
        <v>0</v>
      </c>
      <c r="AI54" s="22">
        <f ca="1">+GETPIVOTDATA("XBB4",'binhba (2016)'!$A$3,"MA_HT","TIN","MA_QH","DTT")</f>
        <v>0</v>
      </c>
      <c r="AJ54" s="22">
        <f ca="1">+GETPIVOTDATA("XBB4",'binhba (2016)'!$A$3,"MA_HT","TIN","MA_QH","NCK")</f>
        <v>0</v>
      </c>
      <c r="AK54" s="22">
        <f ca="1">+GETPIVOTDATA("XBB4",'binhba (2016)'!$A$3,"MA_HT","TIN","MA_QH","DXH")</f>
        <v>0</v>
      </c>
      <c r="AL54" s="22">
        <f ca="1">+GETPIVOTDATA("XBB4",'binhba (2016)'!$A$3,"MA_HT","TIN","MA_QH","DCH")</f>
        <v>0</v>
      </c>
      <c r="AM54" s="22">
        <f ca="1">+GETPIVOTDATA("XBB4",'binhba (2016)'!$A$3,"MA_HT","TIN","MA_QH","DKG")</f>
        <v>0</v>
      </c>
      <c r="AN54" s="22">
        <f ca="1">+GETPIVOTDATA("XBB4",'binhba (2016)'!$A$3,"MA_HT","TIN","MA_QH","DDT")</f>
        <v>0</v>
      </c>
      <c r="AO54" s="22">
        <f ca="1">+GETPIVOTDATA("XBB4",'binhba (2016)'!$A$3,"MA_HT","TIN","MA_QH","DDL")</f>
        <v>0</v>
      </c>
      <c r="AP54" s="22">
        <f ca="1">+GETPIVOTDATA("XBB4",'binhba (2016)'!$A$3,"MA_HT","TIN","MA_QH","DRA")</f>
        <v>0</v>
      </c>
      <c r="AQ54" s="22">
        <f ca="1">+GETPIVOTDATA("XBB4",'binhba (2016)'!$A$3,"MA_HT","TIN","MA_QH","ONT")</f>
        <v>0</v>
      </c>
      <c r="AR54" s="22">
        <f ca="1">+GETPIVOTDATA("XBB4",'binhba (2016)'!$A$3,"MA_HT","TIN","MA_QH","ODT")</f>
        <v>0</v>
      </c>
      <c r="AS54" s="22">
        <f ca="1">+GETPIVOTDATA("XBB4",'binhba (2016)'!$A$3,"MA_HT","TIN","MA_QH","TSC")</f>
        <v>0</v>
      </c>
      <c r="AT54" s="22">
        <f ca="1">+GETPIVOTDATA("XBB4",'binhba (2016)'!$A$3,"MA_HT","TIN","MA_QH","DTS")</f>
        <v>0</v>
      </c>
      <c r="AU54" s="22">
        <f ca="1">+GETPIVOTDATA("XBB4",'binhba (2016)'!$A$3,"MA_HT","TIN","MA_QH","DNG")</f>
        <v>0</v>
      </c>
      <c r="AV54" s="22">
        <f ca="1">+GETPIVOTDATA("XBB4",'binhba (2016)'!$A$3,"MA_HT","TIN","MA_QH","TON")</f>
        <v>0</v>
      </c>
      <c r="AW54" s="22">
        <f ca="1">+GETPIVOTDATA("XBB4",'binhba (2016)'!$A$3,"MA_HT","TIN","MA_QH","NTD")</f>
        <v>0</v>
      </c>
      <c r="AX54" s="22">
        <f ca="1">+GETPIVOTDATA("XBB4",'binhba (2016)'!$A$3,"MA_HT","TIN","MA_QH","SKX")</f>
        <v>0</v>
      </c>
      <c r="AY54" s="22">
        <f ca="1">+GETPIVOTDATA("XBB4",'binhba (2016)'!$A$3,"MA_HT","TIN","MA_QH","DSH")</f>
        <v>0</v>
      </c>
      <c r="AZ54" s="22">
        <f ca="1">+GETPIVOTDATA("XBB4",'binhba (2016)'!$A$3,"MA_HT","TIN","MA_QH","DKV")</f>
        <v>0</v>
      </c>
      <c r="BA54" s="43" t="e">
        <f ca="1">$D54-$BF54</f>
        <v>#REF!</v>
      </c>
      <c r="BB54" s="22">
        <f ca="1">+GETPIVOTDATA("XBB4",'binhba (2016)'!$A$3,"MA_HT","TIN","MA_QH","SON")</f>
        <v>0</v>
      </c>
      <c r="BC54" s="22">
        <f ca="1">+GETPIVOTDATA("XBB4",'binhba (2016)'!$A$3,"MA_HT","TIN","MA_QH","MNC")</f>
        <v>0</v>
      </c>
      <c r="BD54" s="22">
        <f ca="1">+GETPIVOTDATA("XBB4",'binhba (2016)'!$A$3,"MA_HT","TIN","MA_QH","PNK")</f>
        <v>0</v>
      </c>
      <c r="BE54" s="71">
        <f ca="1">+GETPIVOTDATA("XBB4",'binhba (2016)'!$A$3,"MA_HT","TIN","MA_QH","CSD")</f>
        <v>0</v>
      </c>
      <c r="BF54" s="74">
        <f ca="1" t="shared" si="13"/>
        <v>0</v>
      </c>
      <c r="BG54" s="101">
        <f ca="1">BA59-BF54</f>
        <v>0</v>
      </c>
      <c r="BH54" s="41" t="e">
        <f ca="1" t="shared" si="14"/>
        <v>#REF!</v>
      </c>
      <c r="BI54" s="98"/>
      <c r="BJ54" s="39" t="e">
        <f>SUM(BJ29:BJ39)</f>
        <v>#REF!</v>
      </c>
      <c r="BK54" s="107" t="e">
        <f ca="1">BH54-BJ54</f>
        <v>#REF!</v>
      </c>
      <c r="BL54" s="107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</row>
    <row r="55" s="2" customFormat="1" ht="15.75" customHeight="1" spans="1:79">
      <c r="A55" s="68" t="s">
        <v>8428</v>
      </c>
      <c r="B55" s="69" t="s">
        <v>8429</v>
      </c>
      <c r="C55" s="40" t="s">
        <v>8309</v>
      </c>
      <c r="D55" s="41" t="e">
        <f>+#REF!</f>
        <v>#REF!</v>
      </c>
      <c r="E55" s="42">
        <f ca="1" t="shared" si="15"/>
        <v>0</v>
      </c>
      <c r="F55" s="52">
        <f ca="1" t="shared" si="9"/>
        <v>0</v>
      </c>
      <c r="G55" s="22">
        <f ca="1">+GETPIVOTDATA("XBB4",'binhba (2016)'!$A$3,"MA_HT","SON","MA_QH","LUC")</f>
        <v>0</v>
      </c>
      <c r="H55" s="22">
        <f ca="1">+GETPIVOTDATA("XBB4",'binhba (2016)'!$A$3,"MA_HT","SON","MA_QH","LUK")</f>
        <v>0</v>
      </c>
      <c r="I55" s="22">
        <f ca="1">+GETPIVOTDATA("XBB4",'binhba (2016)'!$A$3,"MA_HT","SON","MA_QH","LUN")</f>
        <v>0</v>
      </c>
      <c r="J55" s="22">
        <f ca="1">+GETPIVOTDATA("XBB4",'binhba (2016)'!$A$3,"MA_HT","SON","MA_QH","HNK")</f>
        <v>0</v>
      </c>
      <c r="K55" s="22">
        <f ca="1">+GETPIVOTDATA("XBB4",'binhba (2016)'!$A$3,"MA_HT","SON","MA_QH","CLN")</f>
        <v>0</v>
      </c>
      <c r="L55" s="22">
        <f ca="1">+GETPIVOTDATA("XBB4",'binhba (2016)'!$A$3,"MA_HT","SON","MA_QH","RSX")</f>
        <v>0</v>
      </c>
      <c r="M55" s="22">
        <f ca="1">+GETPIVOTDATA("XBB4",'binhba (2016)'!$A$3,"MA_HT","SON","MA_QH","RPH")</f>
        <v>0</v>
      </c>
      <c r="N55" s="22">
        <f ca="1">+GETPIVOTDATA("XBB4",'binhba (2016)'!$A$3,"MA_HT","SON","MA_QH","RDD")</f>
        <v>0</v>
      </c>
      <c r="O55" s="22">
        <f ca="1">+GETPIVOTDATA("XBB4",'binhba (2016)'!$A$3,"MA_HT","SON","MA_QH","NTS")</f>
        <v>0</v>
      </c>
      <c r="P55" s="22">
        <f ca="1">+GETPIVOTDATA("XBB4",'binhba (2016)'!$A$3,"MA_HT","SON","MA_QH","LMU")</f>
        <v>0</v>
      </c>
      <c r="Q55" s="22">
        <f ca="1">+GETPIVOTDATA("XBB4",'binhba (2016)'!$A$3,"MA_HT","SON","MA_QH","NKH")</f>
        <v>0</v>
      </c>
      <c r="R55" s="79">
        <f ca="1">SUM(S55:AA55,AN55:AZ55,BC55:BD55)</f>
        <v>0</v>
      </c>
      <c r="S55" s="22">
        <f ca="1">+GETPIVOTDATA("XBB4",'binhba (2016)'!$A$3,"MA_HT","SON","MA_QH","CQP")</f>
        <v>0</v>
      </c>
      <c r="T55" s="22">
        <f ca="1">+GETPIVOTDATA("XBB4",'binhba (2016)'!$A$3,"MA_HT","SON","MA_QH","CAN")</f>
        <v>0</v>
      </c>
      <c r="U55" s="22">
        <f ca="1">+GETPIVOTDATA("XBB4",'binhba (2016)'!$A$3,"MA_HT","SON","MA_QH","SKK")</f>
        <v>0</v>
      </c>
      <c r="V55" s="22">
        <f ca="1">+GETPIVOTDATA("XBB4",'binhba (2016)'!$A$3,"MA_HT","SON","MA_QH","SKT")</f>
        <v>0</v>
      </c>
      <c r="W55" s="22">
        <f ca="1">+GETPIVOTDATA("XBB4",'binhba (2016)'!$A$3,"MA_HT","SON","MA_QH","SKN")</f>
        <v>0</v>
      </c>
      <c r="X55" s="22">
        <f ca="1">+GETPIVOTDATA("XBB4",'binhba (2016)'!$A$3,"MA_HT","SON","MA_QH","TMD")</f>
        <v>0</v>
      </c>
      <c r="Y55" s="22">
        <f ca="1">+GETPIVOTDATA("XBB4",'binhba (2016)'!$A$3,"MA_HT","SON","MA_QH","SKC")</f>
        <v>0</v>
      </c>
      <c r="Z55" s="22">
        <f ca="1">+GETPIVOTDATA("XBB4",'binhba (2016)'!$A$3,"MA_HT","SON","MA_QH","SKS")</f>
        <v>0</v>
      </c>
      <c r="AA55" s="52">
        <f ca="1" t="shared" si="21"/>
        <v>0</v>
      </c>
      <c r="AB55" s="22">
        <f ca="1">+GETPIVOTDATA("XBB4",'binhba (2016)'!$A$3,"MA_HT","SON","MA_QH","DGT")</f>
        <v>0</v>
      </c>
      <c r="AC55" s="22">
        <f ca="1">+GETPIVOTDATA("XBB4",'binhba (2016)'!$A$3,"MA_HT","SON","MA_QH","DTL")</f>
        <v>0</v>
      </c>
      <c r="AD55" s="22">
        <f ca="1">+GETPIVOTDATA("XBB4",'binhba (2016)'!$A$3,"MA_HT","SON","MA_QH","DNL")</f>
        <v>0</v>
      </c>
      <c r="AE55" s="22">
        <f ca="1">+GETPIVOTDATA("XBB4",'binhba (2016)'!$A$3,"MA_HT","SON","MA_QH","DBV")</f>
        <v>0</v>
      </c>
      <c r="AF55" s="22">
        <f ca="1">+GETPIVOTDATA("XBB4",'binhba (2016)'!$A$3,"MA_HT","SON","MA_QH","DVH")</f>
        <v>0</v>
      </c>
      <c r="AG55" s="22">
        <f ca="1">+GETPIVOTDATA("XBB4",'binhba (2016)'!$A$3,"MA_HT","SON","MA_QH","DYT")</f>
        <v>0</v>
      </c>
      <c r="AH55" s="22">
        <f ca="1">+GETPIVOTDATA("XBB4",'binhba (2016)'!$A$3,"MA_HT","SON","MA_QH","DGD")</f>
        <v>0</v>
      </c>
      <c r="AI55" s="22">
        <f ca="1">+GETPIVOTDATA("XBB4",'binhba (2016)'!$A$3,"MA_HT","SON","MA_QH","DTT")</f>
        <v>0</v>
      </c>
      <c r="AJ55" s="22">
        <f ca="1">+GETPIVOTDATA("XBB4",'binhba (2016)'!$A$3,"MA_HT","SON","MA_QH","NCK")</f>
        <v>0</v>
      </c>
      <c r="AK55" s="22">
        <f ca="1">+GETPIVOTDATA("XBB4",'binhba (2016)'!$A$3,"MA_HT","SON","MA_QH","DXH")</f>
        <v>0</v>
      </c>
      <c r="AL55" s="22">
        <f ca="1">+GETPIVOTDATA("XBB4",'binhba (2016)'!$A$3,"MA_HT","SON","MA_QH","DCH")</f>
        <v>0</v>
      </c>
      <c r="AM55" s="22">
        <f ca="1">+GETPIVOTDATA("XBB4",'binhba (2016)'!$A$3,"MA_HT","SON","MA_QH","DKG")</f>
        <v>0</v>
      </c>
      <c r="AN55" s="22">
        <f ca="1">+GETPIVOTDATA("XBB4",'binhba (2016)'!$A$3,"MA_HT","SON","MA_QH","DDT")</f>
        <v>0</v>
      </c>
      <c r="AO55" s="22">
        <f ca="1">+GETPIVOTDATA("XBB4",'binhba (2016)'!$A$3,"MA_HT","SON","MA_QH","DDL")</f>
        <v>0</v>
      </c>
      <c r="AP55" s="22">
        <f ca="1">+GETPIVOTDATA("XBB4",'binhba (2016)'!$A$3,"MA_HT","SON","MA_QH","DRA")</f>
        <v>0</v>
      </c>
      <c r="AQ55" s="22">
        <f ca="1">+GETPIVOTDATA("XBB4",'binhba (2016)'!$A$3,"MA_HT","SON","MA_QH","ONT")</f>
        <v>0</v>
      </c>
      <c r="AR55" s="22">
        <f ca="1">+GETPIVOTDATA("XBB4",'binhba (2016)'!$A$3,"MA_HT","SON","MA_QH","ODT")</f>
        <v>0</v>
      </c>
      <c r="AS55" s="22">
        <f ca="1">+GETPIVOTDATA("XBB4",'binhba (2016)'!$A$3,"MA_HT","SON","MA_QH","TSC")</f>
        <v>0</v>
      </c>
      <c r="AT55" s="22">
        <f ca="1">+GETPIVOTDATA("XBB4",'binhba (2016)'!$A$3,"MA_HT","SON","MA_QH","DTS")</f>
        <v>0</v>
      </c>
      <c r="AU55" s="22">
        <f ca="1">+GETPIVOTDATA("XBB4",'binhba (2016)'!$A$3,"MA_HT","SON","MA_QH","DNG")</f>
        <v>0</v>
      </c>
      <c r="AV55" s="22">
        <f ca="1">+GETPIVOTDATA("XBB4",'binhba (2016)'!$A$3,"MA_HT","SON","MA_QH","TON")</f>
        <v>0</v>
      </c>
      <c r="AW55" s="22">
        <f ca="1">+GETPIVOTDATA("XBB4",'binhba (2016)'!$A$3,"MA_HT","SON","MA_QH","NTD")</f>
        <v>0</v>
      </c>
      <c r="AX55" s="22">
        <f ca="1">+GETPIVOTDATA("XBB4",'binhba (2016)'!$A$3,"MA_HT","SON","MA_QH","SKX")</f>
        <v>0</v>
      </c>
      <c r="AY55" s="22">
        <f ca="1">+GETPIVOTDATA("XBB4",'binhba (2016)'!$A$3,"MA_HT","SON","MA_QH","DSH")</f>
        <v>0</v>
      </c>
      <c r="AZ55" s="22">
        <f ca="1">+GETPIVOTDATA("XBB4",'binhba (2016)'!$A$3,"MA_HT","SON","MA_QH","DKV")</f>
        <v>0</v>
      </c>
      <c r="BA55" s="89">
        <f ca="1">+GETPIVOTDATA("XBB4",'binhba (2016)'!$A$3,"MA_HT","SON","MA_QH","TIN")</f>
        <v>0</v>
      </c>
      <c r="BB55" s="43" t="e">
        <f ca="1">$D55-$BF55</f>
        <v>#REF!</v>
      </c>
      <c r="BC55" s="50">
        <f ca="1">+GETPIVOTDATA("XBB4",'binhba (2016)'!$A$3,"MA_HT","SON","MA_QH","MNC")</f>
        <v>0</v>
      </c>
      <c r="BD55" s="22">
        <f ca="1">+GETPIVOTDATA("XBB4",'binhba (2016)'!$A$3,"MA_HT","SON","MA_QH","PNK")</f>
        <v>0</v>
      </c>
      <c r="BE55" s="71">
        <f ca="1">+GETPIVOTDATA("XBB4",'binhba (2016)'!$A$3,"MA_HT","SON","MA_QH","CSD")</f>
        <v>0</v>
      </c>
      <c r="BF55" s="74">
        <f ca="1" t="shared" si="13"/>
        <v>0</v>
      </c>
      <c r="BG55" s="101">
        <f ca="1">BB$59-$BF55</f>
        <v>0</v>
      </c>
      <c r="BH55" s="41" t="e">
        <f ca="1" t="shared" si="14"/>
        <v>#REF!</v>
      </c>
      <c r="BI55" s="98"/>
      <c r="BJ55" s="98"/>
      <c r="BK55" s="107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</row>
    <row r="56" s="2" customFormat="1" ht="15.75" customHeight="1" spans="1:79">
      <c r="A56" s="68" t="s">
        <v>8430</v>
      </c>
      <c r="B56" s="69" t="s">
        <v>8431</v>
      </c>
      <c r="C56" s="40" t="s">
        <v>8301</v>
      </c>
      <c r="D56" s="41" t="e">
        <f>+#REF!</f>
        <v>#REF!</v>
      </c>
      <c r="E56" s="42">
        <f ca="1" t="shared" si="15"/>
        <v>0</v>
      </c>
      <c r="F56" s="52">
        <f ca="1" t="shared" si="9"/>
        <v>0</v>
      </c>
      <c r="G56" s="22">
        <f ca="1">+GETPIVOTDATA("XBB4",'binhba (2016)'!$A$3,"MA_HT","MNC","MA_QH","LUC")</f>
        <v>0</v>
      </c>
      <c r="H56" s="22">
        <f ca="1">+GETPIVOTDATA("XBB4",'binhba (2016)'!$A$3,"MA_HT","MNC","MA_QH","LUK")</f>
        <v>0</v>
      </c>
      <c r="I56" s="22">
        <f ca="1">+GETPIVOTDATA("XBB4",'binhba (2016)'!$A$3,"MA_HT","MNC","MA_QH","LUN")</f>
        <v>0</v>
      </c>
      <c r="J56" s="22">
        <f ca="1">+GETPIVOTDATA("XBB4",'binhba (2016)'!$A$3,"MA_HT","MNC","MA_QH","HNK")</f>
        <v>0</v>
      </c>
      <c r="K56" s="22">
        <f ca="1">+GETPIVOTDATA("XBB4",'binhba (2016)'!$A$3,"MA_HT","MNC","MA_QH","CLN")</f>
        <v>0</v>
      </c>
      <c r="L56" s="22">
        <f ca="1">+GETPIVOTDATA("XBB4",'binhba (2016)'!$A$3,"MA_HT","MNC","MA_QH","RSX")</f>
        <v>0</v>
      </c>
      <c r="M56" s="22">
        <f ca="1">+GETPIVOTDATA("XBB4",'binhba (2016)'!$A$3,"MA_HT","MNC","MA_QH","RPH")</f>
        <v>0</v>
      </c>
      <c r="N56" s="22">
        <f ca="1">+GETPIVOTDATA("XBB4",'binhba (2016)'!$A$3,"MA_HT","MNC","MA_QH","RDD")</f>
        <v>0</v>
      </c>
      <c r="O56" s="22">
        <f ca="1">+GETPIVOTDATA("XBB4",'binhba (2016)'!$A$3,"MA_HT","MNC","MA_QH","NTS")</f>
        <v>0</v>
      </c>
      <c r="P56" s="22">
        <f ca="1">+GETPIVOTDATA("XBB4",'binhba (2016)'!$A$3,"MA_HT","MNC","MA_QH","LMU")</f>
        <v>0</v>
      </c>
      <c r="Q56" s="22">
        <f ca="1">+GETPIVOTDATA("XBB4",'binhba (2016)'!$A$3,"MA_HT","MNC","MA_QH","NKH")</f>
        <v>0</v>
      </c>
      <c r="R56" s="79">
        <f ca="1">SUM(S56:AA56,AN56:BB56,BD56)</f>
        <v>0</v>
      </c>
      <c r="S56" s="22">
        <f ca="1">+GETPIVOTDATA("XBB4",'binhba (2016)'!$A$3,"MA_HT","MNC","MA_QH","CQP")</f>
        <v>0</v>
      </c>
      <c r="T56" s="22">
        <f ca="1">+GETPIVOTDATA("XBB4",'binhba (2016)'!$A$3,"MA_HT","MNC","MA_QH","CAN")</f>
        <v>0</v>
      </c>
      <c r="U56" s="22">
        <f ca="1">+GETPIVOTDATA("XBB4",'binhba (2016)'!$A$3,"MA_HT","MNC","MA_QH","SKK")</f>
        <v>0</v>
      </c>
      <c r="V56" s="22">
        <f ca="1">+GETPIVOTDATA("XBB4",'binhba (2016)'!$A$3,"MA_HT","MNC","MA_QH","SKT")</f>
        <v>0</v>
      </c>
      <c r="W56" s="22">
        <f ca="1">+GETPIVOTDATA("XBB4",'binhba (2016)'!$A$3,"MA_HT","MNC","MA_QH","SKN")</f>
        <v>0</v>
      </c>
      <c r="X56" s="22">
        <f ca="1">+GETPIVOTDATA("XBB4",'binhba (2016)'!$A$3,"MA_HT","MNC","MA_QH","TMD")</f>
        <v>0</v>
      </c>
      <c r="Y56" s="22">
        <f ca="1">+GETPIVOTDATA("XBB4",'binhba (2016)'!$A$3,"MA_HT","MNC","MA_QH","SKC")</f>
        <v>0</v>
      </c>
      <c r="Z56" s="22">
        <f ca="1">+GETPIVOTDATA("XBB4",'binhba (2016)'!$A$3,"MA_HT","MNC","MA_QH","SKS")</f>
        <v>0</v>
      </c>
      <c r="AA56" s="52">
        <f ca="1" t="shared" si="21"/>
        <v>0</v>
      </c>
      <c r="AB56" s="22">
        <f ca="1">+GETPIVOTDATA("XBB4",'binhba (2016)'!$A$3,"MA_HT","MNC","MA_QH","DGT")</f>
        <v>0</v>
      </c>
      <c r="AC56" s="22">
        <f ca="1">+GETPIVOTDATA("XBB4",'binhba (2016)'!$A$3,"MA_HT","MNC","MA_QH","DTL")</f>
        <v>0</v>
      </c>
      <c r="AD56" s="22">
        <f ca="1">+GETPIVOTDATA("XBB4",'binhba (2016)'!$A$3,"MA_HT","MNC","MA_QH","DNL")</f>
        <v>0</v>
      </c>
      <c r="AE56" s="22">
        <f ca="1">+GETPIVOTDATA("XBB4",'binhba (2016)'!$A$3,"MA_HT","MNC","MA_QH","DBV")</f>
        <v>0</v>
      </c>
      <c r="AF56" s="22">
        <f ca="1">+GETPIVOTDATA("XBB4",'binhba (2016)'!$A$3,"MA_HT","MNC","MA_QH","DVH")</f>
        <v>0</v>
      </c>
      <c r="AG56" s="22">
        <f ca="1">+GETPIVOTDATA("XBB4",'binhba (2016)'!$A$3,"MA_HT","MNC","MA_QH","DYT")</f>
        <v>0</v>
      </c>
      <c r="AH56" s="22">
        <f ca="1">+GETPIVOTDATA("XBB4",'binhba (2016)'!$A$3,"MA_HT","MNC","MA_QH","DGD")</f>
        <v>0</v>
      </c>
      <c r="AI56" s="22">
        <f ca="1">+GETPIVOTDATA("XBB4",'binhba (2016)'!$A$3,"MA_HT","MNC","MA_QH","DTT")</f>
        <v>0</v>
      </c>
      <c r="AJ56" s="22">
        <f ca="1">+GETPIVOTDATA("XBB4",'binhba (2016)'!$A$3,"MA_HT","MNC","MA_QH","NCK")</f>
        <v>0</v>
      </c>
      <c r="AK56" s="22">
        <f ca="1">+GETPIVOTDATA("XBB4",'binhba (2016)'!$A$3,"MA_HT","MNC","MA_QH","DXH")</f>
        <v>0</v>
      </c>
      <c r="AL56" s="22">
        <f ca="1">+GETPIVOTDATA("XBB4",'binhba (2016)'!$A$3,"MA_HT","MNC","MA_QH","DCH")</f>
        <v>0</v>
      </c>
      <c r="AM56" s="22">
        <f ca="1">+GETPIVOTDATA("XBB4",'binhba (2016)'!$A$3,"MA_HT","MNC","MA_QH","DKG")</f>
        <v>0</v>
      </c>
      <c r="AN56" s="22">
        <f ca="1">+GETPIVOTDATA("XBB4",'binhba (2016)'!$A$3,"MA_HT","MNC","MA_QH","DDT")</f>
        <v>0</v>
      </c>
      <c r="AO56" s="22">
        <f ca="1">+GETPIVOTDATA("XBB4",'binhba (2016)'!$A$3,"MA_HT","MNC","MA_QH","DDL")</f>
        <v>0</v>
      </c>
      <c r="AP56" s="22">
        <f ca="1">+GETPIVOTDATA("XBB4",'binhba (2016)'!$A$3,"MA_HT","MNC","MA_QH","DRA")</f>
        <v>0</v>
      </c>
      <c r="AQ56" s="22">
        <f ca="1">+GETPIVOTDATA("XBB4",'binhba (2016)'!$A$3,"MA_HT","MNC","MA_QH","ONT")</f>
        <v>0</v>
      </c>
      <c r="AR56" s="22">
        <f ca="1">+GETPIVOTDATA("XBB4",'binhba (2016)'!$A$3,"MA_HT","MNC","MA_QH","ODT")</f>
        <v>0</v>
      </c>
      <c r="AS56" s="22">
        <f ca="1">+GETPIVOTDATA("XBB4",'binhba (2016)'!$A$3,"MA_HT","MNC","MA_QH","TSC")</f>
        <v>0</v>
      </c>
      <c r="AT56" s="22">
        <f ca="1">+GETPIVOTDATA("XBB4",'binhba (2016)'!$A$3,"MA_HT","MNC","MA_QH","DTS")</f>
        <v>0</v>
      </c>
      <c r="AU56" s="22">
        <f ca="1">+GETPIVOTDATA("XBB4",'binhba (2016)'!$A$3,"MA_HT","MNC","MA_QH","DNG")</f>
        <v>0</v>
      </c>
      <c r="AV56" s="22">
        <f ca="1">+GETPIVOTDATA("XBB4",'binhba (2016)'!$A$3,"MA_HT","MNC","MA_QH","TON")</f>
        <v>0</v>
      </c>
      <c r="AW56" s="22">
        <f ca="1">+GETPIVOTDATA("XBB4",'binhba (2016)'!$A$3,"MA_HT","MNC","MA_QH","NTD")</f>
        <v>0</v>
      </c>
      <c r="AX56" s="22">
        <f ca="1">+GETPIVOTDATA("XBB4",'binhba (2016)'!$A$3,"MA_HT","MNC","MA_QH","SKX")</f>
        <v>0</v>
      </c>
      <c r="AY56" s="22">
        <f ca="1">+GETPIVOTDATA("XBB4",'binhba (2016)'!$A$3,"MA_HT","MNC","MA_QH","DSH")</f>
        <v>0</v>
      </c>
      <c r="AZ56" s="22">
        <f ca="1">+GETPIVOTDATA("XBB4",'binhba (2016)'!$A$3,"MA_HT","MNC","MA_QH","DKV")</f>
        <v>0</v>
      </c>
      <c r="BA56" s="89">
        <f ca="1">+GETPIVOTDATA("XBB4",'binhba (2016)'!$A$3,"MA_HT","MNC","MA_QH","TIN")</f>
        <v>0</v>
      </c>
      <c r="BB56" s="50">
        <f ca="1">+GETPIVOTDATA("XBB4",'binhba (2016)'!$A$3,"MA_HT","MNC","MA_QH","SON")</f>
        <v>0</v>
      </c>
      <c r="BC56" s="43" t="e">
        <f ca="1">$D56-$BF56</f>
        <v>#REF!</v>
      </c>
      <c r="BD56" s="22">
        <f ca="1">+GETPIVOTDATA("XBB4",'binhba (2016)'!$A$3,"MA_HT","MNC","MA_QH","PNK")</f>
        <v>0</v>
      </c>
      <c r="BE56" s="71">
        <f ca="1">+GETPIVOTDATA("XBB4",'binhba (2016)'!$A$3,"MA_HT","MNC","MA_QH","CSD")</f>
        <v>0</v>
      </c>
      <c r="BF56" s="74">
        <f ca="1" t="shared" si="13"/>
        <v>0</v>
      </c>
      <c r="BG56" s="101">
        <f ca="1">BC$59-$BF56</f>
        <v>0</v>
      </c>
      <c r="BH56" s="41" t="e">
        <f ca="1" t="shared" si="14"/>
        <v>#REF!</v>
      </c>
      <c r="BI56" s="98"/>
      <c r="BJ56" s="98"/>
      <c r="BK56" s="107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</row>
    <row r="57" s="2" customFormat="1" ht="15.75" customHeight="1" spans="1:79">
      <c r="A57" s="68" t="s">
        <v>8432</v>
      </c>
      <c r="B57" s="69" t="s">
        <v>8433</v>
      </c>
      <c r="C57" s="40" t="s">
        <v>59</v>
      </c>
      <c r="D57" s="41" t="e">
        <f>+#REF!</f>
        <v>#REF!</v>
      </c>
      <c r="E57" s="42">
        <f ca="1" t="shared" si="15"/>
        <v>0</v>
      </c>
      <c r="F57" s="52">
        <f ca="1" t="shared" si="9"/>
        <v>0</v>
      </c>
      <c r="G57" s="22">
        <f ca="1">+GETPIVOTDATA("XBB4",'binhba (2016)'!$A$3,"MA_HT","PNK","MA_QH","LUC")</f>
        <v>0</v>
      </c>
      <c r="H57" s="22">
        <f ca="1">+GETPIVOTDATA("XBB4",'binhba (2016)'!$A$3,"MA_HT","PNK","MA_QH","LUK")</f>
        <v>0</v>
      </c>
      <c r="I57" s="22">
        <f ca="1">+GETPIVOTDATA("XBB4",'binhba (2016)'!$A$3,"MA_HT","PNK","MA_QH","LUN")</f>
        <v>0</v>
      </c>
      <c r="J57" s="22">
        <f ca="1">+GETPIVOTDATA("XBB4",'binhba (2016)'!$A$3,"MA_HT","PNK","MA_QH","HNK")</f>
        <v>0</v>
      </c>
      <c r="K57" s="22">
        <f ca="1">+GETPIVOTDATA("XBB4",'binhba (2016)'!$A$3,"MA_HT","PNK","MA_QH","CLN")</f>
        <v>0</v>
      </c>
      <c r="L57" s="22">
        <f ca="1">+GETPIVOTDATA("XBB4",'binhba (2016)'!$A$3,"MA_HT","PNK","MA_QH","RSX")</f>
        <v>0</v>
      </c>
      <c r="M57" s="22">
        <f ca="1">+GETPIVOTDATA("XBB4",'binhba (2016)'!$A$3,"MA_HT","PNK","MA_QH","RPH")</f>
        <v>0</v>
      </c>
      <c r="N57" s="22">
        <f ca="1">+GETPIVOTDATA("XBB4",'binhba (2016)'!$A$3,"MA_HT","PNK","MA_QH","RDD")</f>
        <v>0</v>
      </c>
      <c r="O57" s="22">
        <f ca="1">+GETPIVOTDATA("XBB4",'binhba (2016)'!$A$3,"MA_HT","PNK","MA_QH","NTS")</f>
        <v>0</v>
      </c>
      <c r="P57" s="22">
        <f ca="1">+GETPIVOTDATA("XBB4",'binhba (2016)'!$A$3,"MA_HT","PNK","MA_QH","LMU")</f>
        <v>0</v>
      </c>
      <c r="Q57" s="22">
        <f ca="1">+GETPIVOTDATA("XBB4",'binhba (2016)'!$A$3,"MA_HT","PNK","MA_QH","NKH")</f>
        <v>0</v>
      </c>
      <c r="R57" s="79">
        <f ca="1">SUM(S57:AA57,AN57:BC57)</f>
        <v>0</v>
      </c>
      <c r="S57" s="22">
        <f ca="1">+GETPIVOTDATA("XBB4",'binhba (2016)'!$A$3,"MA_HT","PNK","MA_QH","CQP")</f>
        <v>0</v>
      </c>
      <c r="T57" s="22">
        <f ca="1">+GETPIVOTDATA("XBB4",'binhba (2016)'!$A$3,"MA_HT","PNK","MA_QH","CAN")</f>
        <v>0</v>
      </c>
      <c r="U57" s="22">
        <f ca="1">+GETPIVOTDATA("XBB4",'binhba (2016)'!$A$3,"MA_HT","PNK","MA_QH","SKK")</f>
        <v>0</v>
      </c>
      <c r="V57" s="22">
        <f ca="1">+GETPIVOTDATA("XBB4",'binhba (2016)'!$A$3,"MA_HT","PNK","MA_QH","SKT")</f>
        <v>0</v>
      </c>
      <c r="W57" s="22">
        <f ca="1">+GETPIVOTDATA("XBB4",'binhba (2016)'!$A$3,"MA_HT","PNK","MA_QH","SKN")</f>
        <v>0</v>
      </c>
      <c r="X57" s="22">
        <f ca="1">+GETPIVOTDATA("XBB4",'binhba (2016)'!$A$3,"MA_HT","PNK","MA_QH","TMD")</f>
        <v>0</v>
      </c>
      <c r="Y57" s="22">
        <f ca="1">+GETPIVOTDATA("XBB4",'binhba (2016)'!$A$3,"MA_HT","PNK","MA_QH","SKC")</f>
        <v>0</v>
      </c>
      <c r="Z57" s="22">
        <f ca="1">+GETPIVOTDATA("XBB4",'binhba (2016)'!$A$3,"MA_HT","PNK","MA_QH","SKS")</f>
        <v>0</v>
      </c>
      <c r="AA57" s="52">
        <f ca="1" t="shared" si="21"/>
        <v>0</v>
      </c>
      <c r="AB57" s="22">
        <f ca="1">+GETPIVOTDATA("XBB4",'binhba (2016)'!$A$3,"MA_HT","PNK","MA_QH","DGT")</f>
        <v>0</v>
      </c>
      <c r="AC57" s="22">
        <f ca="1">+GETPIVOTDATA("XBB4",'binhba (2016)'!$A$3,"MA_HT","PNK","MA_QH","DTL")</f>
        <v>0</v>
      </c>
      <c r="AD57" s="22">
        <f ca="1">+GETPIVOTDATA("XBB4",'binhba (2016)'!$A$3,"MA_HT","PNK","MA_QH","DNL")</f>
        <v>0</v>
      </c>
      <c r="AE57" s="22">
        <f ca="1">+GETPIVOTDATA("XBB4",'binhba (2016)'!$A$3,"MA_HT","PNK","MA_QH","DBV")</f>
        <v>0</v>
      </c>
      <c r="AF57" s="22">
        <f ca="1">+GETPIVOTDATA("XBB4",'binhba (2016)'!$A$3,"MA_HT","PNK","MA_QH","DVH")</f>
        <v>0</v>
      </c>
      <c r="AG57" s="22">
        <f ca="1">+GETPIVOTDATA("XBB4",'binhba (2016)'!$A$3,"MA_HT","PNK","MA_QH","DYT")</f>
        <v>0</v>
      </c>
      <c r="AH57" s="22">
        <f ca="1">+GETPIVOTDATA("XBB4",'binhba (2016)'!$A$3,"MA_HT","PNK","MA_QH","DGD")</f>
        <v>0</v>
      </c>
      <c r="AI57" s="22">
        <f ca="1">+GETPIVOTDATA("XBB4",'binhba (2016)'!$A$3,"MA_HT","PNK","MA_QH","DTT")</f>
        <v>0</v>
      </c>
      <c r="AJ57" s="22">
        <f ca="1">+GETPIVOTDATA("XBB4",'binhba (2016)'!$A$3,"MA_HT","PNK","MA_QH","NCK")</f>
        <v>0</v>
      </c>
      <c r="AK57" s="22">
        <f ca="1">+GETPIVOTDATA("XBB4",'binhba (2016)'!$A$3,"MA_HT","PNK","MA_QH","DXH")</f>
        <v>0</v>
      </c>
      <c r="AL57" s="22">
        <f ca="1">+GETPIVOTDATA("XBB4",'binhba (2016)'!$A$3,"MA_HT","PNK","MA_QH","DCH")</f>
        <v>0</v>
      </c>
      <c r="AM57" s="22">
        <f ca="1">+GETPIVOTDATA("XBB4",'binhba (2016)'!$A$3,"MA_HT","PNK","MA_QH","DKG")</f>
        <v>0</v>
      </c>
      <c r="AN57" s="22">
        <f ca="1">+GETPIVOTDATA("XBB4",'binhba (2016)'!$A$3,"MA_HT","PNK","MA_QH","DDT")</f>
        <v>0</v>
      </c>
      <c r="AO57" s="22">
        <f ca="1">+GETPIVOTDATA("XBB4",'binhba (2016)'!$A$3,"MA_HT","PNK","MA_QH","DDL")</f>
        <v>0</v>
      </c>
      <c r="AP57" s="22">
        <f ca="1">+GETPIVOTDATA("XBB4",'binhba (2016)'!$A$3,"MA_HT","PNK","MA_QH","DRA")</f>
        <v>0</v>
      </c>
      <c r="AQ57" s="22">
        <f ca="1">+GETPIVOTDATA("XBB4",'binhba (2016)'!$A$3,"MA_HT","PNK","MA_QH","ONT")</f>
        <v>0</v>
      </c>
      <c r="AR57" s="22">
        <f ca="1">+GETPIVOTDATA("XBB4",'binhba (2016)'!$A$3,"MA_HT","PNK","MA_QH","ODT")</f>
        <v>0</v>
      </c>
      <c r="AS57" s="22">
        <f ca="1">+GETPIVOTDATA("XBB4",'binhba (2016)'!$A$3,"MA_HT","PNK","MA_QH","TSC")</f>
        <v>0</v>
      </c>
      <c r="AT57" s="22">
        <f ca="1">+GETPIVOTDATA("XBB4",'binhba (2016)'!$A$3,"MA_HT","PNK","MA_QH","DTS")</f>
        <v>0</v>
      </c>
      <c r="AU57" s="22">
        <f ca="1">+GETPIVOTDATA("XBB4",'binhba (2016)'!$A$3,"MA_HT","PNK","MA_QH","DNG")</f>
        <v>0</v>
      </c>
      <c r="AV57" s="22">
        <f ca="1">+GETPIVOTDATA("XBB4",'binhba (2016)'!$A$3,"MA_HT","PNK","MA_QH","TON")</f>
        <v>0</v>
      </c>
      <c r="AW57" s="22">
        <f ca="1">+GETPIVOTDATA("XBB4",'binhba (2016)'!$A$3,"MA_HT","PNK","MA_QH","NTD")</f>
        <v>0</v>
      </c>
      <c r="AX57" s="22">
        <f ca="1">+GETPIVOTDATA("XBB4",'binhba (2016)'!$A$3,"MA_HT","PNK","MA_QH","SKX")</f>
        <v>0</v>
      </c>
      <c r="AY57" s="22">
        <f ca="1">+GETPIVOTDATA("XBB4",'binhba (2016)'!$A$3,"MA_HT","PNK","MA_QH","DSH")</f>
        <v>0</v>
      </c>
      <c r="AZ57" s="22">
        <f ca="1">+GETPIVOTDATA("XBB4",'binhba (2016)'!$A$3,"MA_HT","PNK","MA_QH","DKV")</f>
        <v>0</v>
      </c>
      <c r="BA57" s="89">
        <f ca="1">+GETPIVOTDATA("XBB4",'binhba (2016)'!$A$3,"MA_HT","PNK","MA_QH","TIN")</f>
        <v>0</v>
      </c>
      <c r="BB57" s="50">
        <f ca="1">+GETPIVOTDATA("XBB4",'binhba (2016)'!$A$3,"MA_HT","PNK","MA_QH","SON")</f>
        <v>0</v>
      </c>
      <c r="BC57" s="50">
        <f ca="1">+GETPIVOTDATA("XBB4",'binhba (2016)'!$A$3,"MA_HT","PNK","MA_QH","MNC")</f>
        <v>0</v>
      </c>
      <c r="BD57" s="43" t="e">
        <f ca="1">$D57-$BF57</f>
        <v>#REF!</v>
      </c>
      <c r="BE57" s="71">
        <f ca="1">+GETPIVOTDATA("XBB4",'binhba (2016)'!$A$3,"MA_HT","PNK","MA_QH","CSD")</f>
        <v>0</v>
      </c>
      <c r="BF57" s="74">
        <f ca="1" t="shared" si="13"/>
        <v>0</v>
      </c>
      <c r="BG57" s="101">
        <f ca="1">BD$59-$BF57</f>
        <v>0</v>
      </c>
      <c r="BH57" s="41" t="e">
        <f ca="1" t="shared" si="14"/>
        <v>#REF!</v>
      </c>
      <c r="BI57" s="98"/>
      <c r="BJ57" s="98" t="e">
        <f>#REF!</f>
        <v>#REF!</v>
      </c>
      <c r="BK57" s="107" t="e">
        <f ca="1">BH57-BJ57</f>
        <v>#REF!</v>
      </c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</row>
    <row r="58" s="3" customFormat="1" ht="15.75" customHeight="1" spans="1:79">
      <c r="A58" s="70" t="s">
        <v>8434</v>
      </c>
      <c r="B58" s="36" t="s">
        <v>8435</v>
      </c>
      <c r="C58" s="37" t="s">
        <v>8284</v>
      </c>
      <c r="D58" s="32" t="e">
        <f>+#REF!</f>
        <v>#REF!</v>
      </c>
      <c r="E58" s="42">
        <f ca="1" t="shared" si="15"/>
        <v>0</v>
      </c>
      <c r="F58" s="33">
        <f ca="1" t="shared" si="9"/>
        <v>0</v>
      </c>
      <c r="G58" s="71">
        <f ca="1">+GETPIVOTDATA("XBB4",'binhba (2016)'!$A$3,"MA_HT","CSD","MA_QH","LUC")</f>
        <v>0</v>
      </c>
      <c r="H58" s="71">
        <f ca="1">+GETPIVOTDATA("XBB4",'binhba (2016)'!$A$3,"MA_HT","CSD","MA_QH","LUK")</f>
        <v>0</v>
      </c>
      <c r="I58" s="71">
        <f ca="1">+GETPIVOTDATA("XBB4",'binhba (2016)'!$A$3,"MA_HT","CSD","MA_QH","LUN")</f>
        <v>0</v>
      </c>
      <c r="J58" s="71">
        <f ca="1">+GETPIVOTDATA("XBB4",'binhba (2016)'!$A$3,"MA_HT","CSD","MA_QH","HNK")</f>
        <v>0</v>
      </c>
      <c r="K58" s="71">
        <f ca="1">+GETPIVOTDATA("XBB4",'binhba (2016)'!$A$3,"MA_HT","CSD","MA_QH","CLN")</f>
        <v>0</v>
      </c>
      <c r="L58" s="71">
        <f ca="1">+GETPIVOTDATA("XBB4",'binhba (2016)'!$A$3,"MA_HT","CSD","MA_QH","RSX")</f>
        <v>0</v>
      </c>
      <c r="M58" s="71">
        <f ca="1">+GETPIVOTDATA("XBB4",'binhba (2016)'!$A$3,"MA_HT","CSD","MA_QH","RPH")</f>
        <v>0</v>
      </c>
      <c r="N58" s="71">
        <f ca="1">+GETPIVOTDATA("XBB4",'binhba (2016)'!$A$3,"MA_HT","CSD","MA_QH","RDD")</f>
        <v>0</v>
      </c>
      <c r="O58" s="71">
        <f ca="1">+GETPIVOTDATA("XBB4",'binhba (2016)'!$A$3,"MA_HT","CSD","MA_QH","NTS")</f>
        <v>0</v>
      </c>
      <c r="P58" s="71">
        <f ca="1">+GETPIVOTDATA("XBB4",'binhba (2016)'!$A$3,"MA_HT","CSD","MA_QH","LMU")</f>
        <v>0</v>
      </c>
      <c r="Q58" s="71">
        <f ca="1">+GETPIVOTDATA("XBB4",'binhba (2016)'!$A$3,"MA_HT","CSD","MA_QH","NKH")</f>
        <v>0</v>
      </c>
      <c r="R58" s="79">
        <f ca="1">SUM(S58:AA58,AN58:BD58)</f>
        <v>0</v>
      </c>
      <c r="S58" s="80">
        <f ca="1">+GETPIVOTDATA("XBB4",'binhba (2016)'!$A$3,"MA_HT","CSD","MA_QH","CQP")</f>
        <v>0</v>
      </c>
      <c r="T58" s="80">
        <f ca="1">+GETPIVOTDATA("XBB4",'binhba (2016)'!$A$3,"MA_HT","CSD","MA_QH","CAN")</f>
        <v>0</v>
      </c>
      <c r="U58" s="71">
        <f ca="1">+GETPIVOTDATA("XBB4",'binhba (2016)'!$A$3,"MA_HT","CSD","MA_QH","SKK")</f>
        <v>0</v>
      </c>
      <c r="V58" s="71">
        <f ca="1">+GETPIVOTDATA("XBB4",'binhba (2016)'!$A$3,"MA_HT","CSD","MA_QH","SKT")</f>
        <v>0</v>
      </c>
      <c r="W58" s="71">
        <f ca="1">+GETPIVOTDATA("XBB4",'binhba (2016)'!$A$3,"MA_HT","CSD","MA_QH","SKN")</f>
        <v>0</v>
      </c>
      <c r="X58" s="71">
        <f ca="1">+GETPIVOTDATA("XBB4",'binhba (2016)'!$A$3,"MA_HT","CSD","MA_QH","TMD")</f>
        <v>0</v>
      </c>
      <c r="Y58" s="71">
        <f ca="1">+GETPIVOTDATA("XBB4",'binhba (2016)'!$A$3,"MA_HT","CSD","MA_QH","SKC")</f>
        <v>0</v>
      </c>
      <c r="Z58" s="71">
        <f ca="1">+GETPIVOTDATA("XBB4",'binhba (2016)'!$A$3,"MA_HT","CSD","MA_QH","SKS")</f>
        <v>0</v>
      </c>
      <c r="AA58" s="52">
        <f ca="1" t="shared" si="21"/>
        <v>0</v>
      </c>
      <c r="AB58" s="80">
        <f ca="1">+GETPIVOTDATA("XBB4",'binhba (2016)'!$A$3,"MA_HT","CSD","MA_QH","DGT")</f>
        <v>0</v>
      </c>
      <c r="AC58" s="80">
        <f ca="1">+GETPIVOTDATA("XBB4",'binhba (2016)'!$A$3,"MA_HT","CSD","MA_QH","DTL")</f>
        <v>0</v>
      </c>
      <c r="AD58" s="80">
        <f ca="1">+GETPIVOTDATA("XBB4",'binhba (2016)'!$A$3,"MA_HT","CSD","MA_QH","DNL")</f>
        <v>0</v>
      </c>
      <c r="AE58" s="80">
        <f ca="1">+GETPIVOTDATA("XBB4",'binhba (2016)'!$A$3,"MA_HT","CSD","MA_QH","DBV")</f>
        <v>0</v>
      </c>
      <c r="AF58" s="80">
        <f ca="1">+GETPIVOTDATA("XBB4",'binhba (2016)'!$A$3,"MA_HT","CSD","MA_QH","DVH")</f>
        <v>0</v>
      </c>
      <c r="AG58" s="80">
        <f ca="1">+GETPIVOTDATA("XBB4",'binhba (2016)'!$A$3,"MA_HT","CSD","MA_QH","DYT")</f>
        <v>0</v>
      </c>
      <c r="AH58" s="80">
        <f ca="1">+GETPIVOTDATA("XBB4",'binhba (2016)'!$A$3,"MA_HT","CSD","MA_QH","DGD")</f>
        <v>0</v>
      </c>
      <c r="AI58" s="80">
        <f ca="1">+GETPIVOTDATA("XBB4",'binhba (2016)'!$A$3,"MA_HT","CSD","MA_QH","DTT")</f>
        <v>0</v>
      </c>
      <c r="AJ58" s="80">
        <f ca="1">+GETPIVOTDATA("XBB4",'binhba (2016)'!$A$3,"MA_HT","CSD","MA_QH","NCK")</f>
        <v>0</v>
      </c>
      <c r="AK58" s="80">
        <f ca="1">+GETPIVOTDATA("XBB4",'binhba (2016)'!$A$3,"MA_HT","CSD","MA_QH","DXH")</f>
        <v>0</v>
      </c>
      <c r="AL58" s="80">
        <f ca="1">+GETPIVOTDATA("XBB4",'binhba (2016)'!$A$3,"MA_HT","CSD","MA_QH","DCH")</f>
        <v>0</v>
      </c>
      <c r="AM58" s="80">
        <f ca="1">+GETPIVOTDATA("XBB4",'binhba (2016)'!$A$3,"MA_HT","CSD","MA_QH","DKG")</f>
        <v>0</v>
      </c>
      <c r="AN58" s="71">
        <f ca="1">+GETPIVOTDATA("XBB4",'binhba (2016)'!$A$3,"MA_HT","CSD","MA_QH","DDT")</f>
        <v>0</v>
      </c>
      <c r="AO58" s="71">
        <f ca="1">+GETPIVOTDATA("XBB4",'binhba (2016)'!$A$3,"MA_HT","CSD","MA_QH","DDL")</f>
        <v>0</v>
      </c>
      <c r="AP58" s="71">
        <f ca="1">+GETPIVOTDATA("XBB4",'binhba (2016)'!$A$3,"MA_HT","CSD","MA_QH","DRA")</f>
        <v>0</v>
      </c>
      <c r="AQ58" s="71">
        <f ca="1">+GETPIVOTDATA("XBB4",'binhba (2016)'!$A$3,"MA_HT","CSD","MA_QH","ONT")</f>
        <v>0</v>
      </c>
      <c r="AR58" s="71">
        <f ca="1">+GETPIVOTDATA("XBB4",'binhba (2016)'!$A$3,"MA_HT","CSD","MA_QH","ODT")</f>
        <v>0</v>
      </c>
      <c r="AS58" s="71">
        <f ca="1">+GETPIVOTDATA("XBB4",'binhba (2016)'!$A$3,"MA_HT","CSD","MA_QH","TSC")</f>
        <v>0</v>
      </c>
      <c r="AT58" s="71">
        <f ca="1">+GETPIVOTDATA("XBB4",'binhba (2016)'!$A$3,"MA_HT","CSD","MA_QH","DTS")</f>
        <v>0</v>
      </c>
      <c r="AU58" s="71">
        <f ca="1">+GETPIVOTDATA("XBB4",'binhba (2016)'!$A$3,"MA_HT","CSD","MA_QH","DNG")</f>
        <v>0</v>
      </c>
      <c r="AV58" s="71">
        <f ca="1">+GETPIVOTDATA("XBB4",'binhba (2016)'!$A$3,"MA_HT","CSD","MA_QH","TON")</f>
        <v>0</v>
      </c>
      <c r="AW58" s="71">
        <f ca="1">+GETPIVOTDATA("XBB4",'binhba (2016)'!$A$3,"MA_HT","CSD","MA_QH","NTD")</f>
        <v>0</v>
      </c>
      <c r="AX58" s="71">
        <f ca="1">+GETPIVOTDATA("XBB4",'binhba (2016)'!$A$3,"MA_HT","CSD","MA_QH","SKX")</f>
        <v>0</v>
      </c>
      <c r="AY58" s="71">
        <f ca="1">+GETPIVOTDATA("XBB4",'binhba (2016)'!$A$3,"MA_HT","CSD","MA_QH","DSH")</f>
        <v>0</v>
      </c>
      <c r="AZ58" s="71">
        <f ca="1">+GETPIVOTDATA("XBB4",'binhba (2016)'!$A$3,"MA_HT","CSD","MA_QH","DKV")</f>
        <v>0</v>
      </c>
      <c r="BA58" s="89">
        <f ca="1">+GETPIVOTDATA("XBB4",'binhba (2016)'!$A$3,"MA_HT","CSD","MA_QH","TIN")</f>
        <v>0</v>
      </c>
      <c r="BB58" s="80">
        <f ca="1">+GETPIVOTDATA("XBB4",'binhba (2016)'!$A$3,"MA_HT","CSD","MA_QH","SON")</f>
        <v>0</v>
      </c>
      <c r="BC58" s="80">
        <f ca="1">+GETPIVOTDATA("XBB4",'binhba (2016)'!$A$3,"MA_HT","CSD","MA_QH","MNC")</f>
        <v>0</v>
      </c>
      <c r="BD58" s="71">
        <f ca="1">+GETPIVOTDATA("XBB4",'binhba (2016)'!$A$3,"MA_HT","CSD","MA_QH","PNK")</f>
        <v>0</v>
      </c>
      <c r="BE58" s="38" t="e">
        <f ca="1">$D58-$BF58</f>
        <v>#REF!</v>
      </c>
      <c r="BF58" s="74">
        <f ca="1">R58+E58</f>
        <v>0</v>
      </c>
      <c r="BG58" s="119">
        <f ca="1">BE$59-$BF58</f>
        <v>0</v>
      </c>
      <c r="BH58" s="41" t="e">
        <f ca="1" t="shared" si="14"/>
        <v>#REF!</v>
      </c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</row>
    <row r="59" s="2" customFormat="1" ht="13.5" spans="1:246">
      <c r="A59" s="72"/>
      <c r="B59" s="72" t="s">
        <v>8436</v>
      </c>
      <c r="C59" s="73"/>
      <c r="D59" s="74"/>
      <c r="E59" s="75">
        <f ca="1">E58+E19</f>
        <v>0</v>
      </c>
      <c r="F59" s="74">
        <f ca="1" t="shared" ref="F59:Q59" si="22">F58+F19+F6</f>
        <v>0</v>
      </c>
      <c r="G59" s="74">
        <f ca="1" t="shared" si="22"/>
        <v>0</v>
      </c>
      <c r="H59" s="74">
        <f ca="1" t="shared" si="22"/>
        <v>0</v>
      </c>
      <c r="I59" s="74">
        <f ca="1" t="shared" si="22"/>
        <v>0</v>
      </c>
      <c r="J59" s="74">
        <f ca="1" t="shared" si="22"/>
        <v>0</v>
      </c>
      <c r="K59" s="74">
        <f ca="1" t="shared" si="22"/>
        <v>0</v>
      </c>
      <c r="L59" s="74">
        <f ca="1" t="shared" si="22"/>
        <v>0</v>
      </c>
      <c r="M59" s="74">
        <f ca="1" t="shared" si="22"/>
        <v>0</v>
      </c>
      <c r="N59" s="74">
        <f ca="1" t="shared" si="22"/>
        <v>0</v>
      </c>
      <c r="O59" s="74">
        <f ca="1" t="shared" si="22"/>
        <v>0</v>
      </c>
      <c r="P59" s="74">
        <f ca="1" t="shared" si="22"/>
        <v>0</v>
      </c>
      <c r="Q59" s="74">
        <f ca="1" t="shared" si="22"/>
        <v>0</v>
      </c>
      <c r="R59" s="75">
        <f ca="1">+R58+R6</f>
        <v>0</v>
      </c>
      <c r="S59" s="74">
        <f ca="1" t="shared" ref="S59:BD59" si="23">S58+S19+S6</f>
        <v>0</v>
      </c>
      <c r="T59" s="74">
        <f ca="1" t="shared" si="23"/>
        <v>0</v>
      </c>
      <c r="U59" s="74">
        <f ca="1" t="shared" si="23"/>
        <v>0</v>
      </c>
      <c r="V59" s="74">
        <f ca="1" t="shared" si="23"/>
        <v>0</v>
      </c>
      <c r="W59" s="74">
        <f ca="1" t="shared" si="23"/>
        <v>0</v>
      </c>
      <c r="X59" s="74">
        <f ca="1" t="shared" si="23"/>
        <v>0</v>
      </c>
      <c r="Y59" s="74">
        <f ca="1" t="shared" si="23"/>
        <v>0</v>
      </c>
      <c r="Z59" s="74">
        <f ca="1" t="shared" si="23"/>
        <v>0</v>
      </c>
      <c r="AA59" s="74">
        <f ca="1" t="shared" si="23"/>
        <v>0</v>
      </c>
      <c r="AB59" s="74">
        <f ca="1" t="shared" si="23"/>
        <v>0</v>
      </c>
      <c r="AC59" s="74">
        <f ca="1" t="shared" si="23"/>
        <v>0</v>
      </c>
      <c r="AD59" s="74">
        <f ca="1" t="shared" si="23"/>
        <v>0</v>
      </c>
      <c r="AE59" s="74">
        <f ca="1" t="shared" si="23"/>
        <v>0</v>
      </c>
      <c r="AF59" s="74">
        <f ca="1" t="shared" si="23"/>
        <v>0</v>
      </c>
      <c r="AG59" s="74">
        <f ca="1" t="shared" si="23"/>
        <v>0</v>
      </c>
      <c r="AH59" s="74">
        <f ca="1" t="shared" si="23"/>
        <v>0</v>
      </c>
      <c r="AI59" s="74">
        <f ca="1" t="shared" si="23"/>
        <v>0</v>
      </c>
      <c r="AJ59" s="74">
        <f ca="1" t="shared" si="23"/>
        <v>0</v>
      </c>
      <c r="AK59" s="74">
        <f ca="1" t="shared" si="23"/>
        <v>0</v>
      </c>
      <c r="AL59" s="74">
        <f ca="1" t="shared" si="23"/>
        <v>0</v>
      </c>
      <c r="AM59" s="74">
        <f ca="1" t="shared" si="23"/>
        <v>0</v>
      </c>
      <c r="AN59" s="74">
        <f ca="1" t="shared" si="23"/>
        <v>0</v>
      </c>
      <c r="AO59" s="74">
        <f ca="1" t="shared" si="23"/>
        <v>0</v>
      </c>
      <c r="AP59" s="74">
        <f ca="1" t="shared" si="23"/>
        <v>0</v>
      </c>
      <c r="AQ59" s="74">
        <f ca="1" t="shared" si="23"/>
        <v>0</v>
      </c>
      <c r="AR59" s="74">
        <f ca="1" t="shared" si="23"/>
        <v>0</v>
      </c>
      <c r="AS59" s="74">
        <f ca="1" t="shared" si="23"/>
        <v>0</v>
      </c>
      <c r="AT59" s="74">
        <f ca="1" t="shared" si="23"/>
        <v>0</v>
      </c>
      <c r="AU59" s="74">
        <f ca="1" t="shared" si="23"/>
        <v>0</v>
      </c>
      <c r="AV59" s="74">
        <f ca="1" t="shared" si="23"/>
        <v>0</v>
      </c>
      <c r="AW59" s="74">
        <f ca="1" t="shared" si="23"/>
        <v>0</v>
      </c>
      <c r="AX59" s="74">
        <f ca="1" t="shared" si="23"/>
        <v>0</v>
      </c>
      <c r="AY59" s="74">
        <f ca="1" t="shared" si="23"/>
        <v>0</v>
      </c>
      <c r="AZ59" s="74">
        <f ca="1" t="shared" si="23"/>
        <v>0</v>
      </c>
      <c r="BA59" s="75">
        <f ca="1" t="shared" si="23"/>
        <v>0</v>
      </c>
      <c r="BB59" s="74">
        <f ca="1" t="shared" si="23"/>
        <v>0</v>
      </c>
      <c r="BC59" s="74">
        <f ca="1" t="shared" si="23"/>
        <v>0</v>
      </c>
      <c r="BD59" s="74">
        <f ca="1" t="shared" si="23"/>
        <v>0</v>
      </c>
      <c r="BE59" s="120">
        <f ca="1">BE19+BE6</f>
        <v>0</v>
      </c>
      <c r="BF59" s="74"/>
      <c r="BG59" s="74"/>
      <c r="BH59" s="74"/>
      <c r="BI59" s="121"/>
      <c r="BJ59" s="121"/>
      <c r="BK59" s="121"/>
      <c r="BL59" s="1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3"/>
      <c r="CB59" s="123"/>
      <c r="CC59" s="124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</row>
    <row r="61" spans="61:76"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</row>
  </sheetData>
  <mergeCells count="3">
    <mergeCell ref="A3:A4"/>
    <mergeCell ref="B3:B4"/>
    <mergeCell ref="C3:C4"/>
  </mergeCells>
  <pageMargins left="0.65" right="0" top="0.5" bottom="0.25" header="0.5" footer="0.5"/>
  <pageSetup paperSize="8" orientation="landscape" horizontalDpi="360" verticalDpi="36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2">
    <tabColor rgb="FFFF0000"/>
  </sheetPr>
  <dimension ref="A1:IL61"/>
  <sheetViews>
    <sheetView workbookViewId="0">
      <selection activeCell="A1" sqref="A1"/>
    </sheetView>
  </sheetViews>
  <sheetFormatPr defaultColWidth="9" defaultRowHeight="15"/>
  <cols>
    <col min="1" max="1" width="6.375" style="7" customWidth="1"/>
    <col min="2" max="2" width="29.125" style="7" customWidth="1"/>
    <col min="3" max="3" width="6" style="7" customWidth="1"/>
    <col min="4" max="4" width="9.75" style="8" customWidth="1"/>
    <col min="5" max="5" width="9.375" style="9" customWidth="1"/>
    <col min="6" max="6" width="7" style="8" customWidth="1"/>
    <col min="7" max="7" width="7.75" style="8" customWidth="1"/>
    <col min="8" max="8" width="7" style="8" customWidth="1"/>
    <col min="9" max="9" width="6.875" style="8" customWidth="1"/>
    <col min="10" max="10" width="7.625" style="8" customWidth="1"/>
    <col min="11" max="11" width="9.125" style="8" customWidth="1"/>
    <col min="12" max="12" width="8.25" style="8" customWidth="1"/>
    <col min="13" max="13" width="6" style="8" customWidth="1"/>
    <col min="14" max="14" width="6.25" style="8" customWidth="1"/>
    <col min="15" max="15" width="5.875" style="8" customWidth="1"/>
    <col min="16" max="16" width="5.75" style="8" customWidth="1"/>
    <col min="17" max="17" width="6.25" style="8" customWidth="1"/>
    <col min="18" max="18" width="8.75" style="10" customWidth="1"/>
    <col min="19" max="19" width="7.125" style="8" customWidth="1"/>
    <col min="20" max="20" width="7.75" style="8" customWidth="1"/>
    <col min="21" max="23" width="6.125" style="8" customWidth="1"/>
    <col min="24" max="24" width="7.125" style="8" customWidth="1"/>
    <col min="25" max="25" width="7.75" style="8" customWidth="1"/>
    <col min="26" max="26" width="6.875" style="8" customWidth="1"/>
    <col min="27" max="27" width="7.375" style="8" customWidth="1"/>
    <col min="28" max="28" width="9" style="8"/>
    <col min="29" max="29" width="7.25" style="8" customWidth="1"/>
    <col min="30" max="30" width="7" style="8" customWidth="1"/>
    <col min="31" max="31" width="6.125" style="8" customWidth="1"/>
    <col min="32" max="33" width="6.625" style="8" customWidth="1"/>
    <col min="34" max="34" width="6.125" style="8" customWidth="1"/>
    <col min="35" max="35" width="8.5" style="8" customWidth="1"/>
    <col min="36" max="36" width="8.875" style="8" customWidth="1"/>
    <col min="37" max="37" width="8.75" style="8" customWidth="1"/>
    <col min="38" max="39" width="6.625" style="8" customWidth="1"/>
    <col min="40" max="41" width="6.875" style="8" customWidth="1"/>
    <col min="42" max="42" width="6.75" style="8" customWidth="1"/>
    <col min="43" max="43" width="6.375" style="8" customWidth="1"/>
    <col min="44" max="44" width="6.125" style="8" customWidth="1"/>
    <col min="45" max="46" width="5.75" style="8" customWidth="1"/>
    <col min="47" max="47" width="6.5" style="8" customWidth="1"/>
    <col min="48" max="49" width="5.625" style="8" customWidth="1"/>
    <col min="50" max="51" width="6.125" style="8" customWidth="1"/>
    <col min="52" max="52" width="7.625" style="8" customWidth="1"/>
    <col min="53" max="53" width="9.375" style="11" customWidth="1"/>
    <col min="54" max="54" width="6.625" style="12" customWidth="1"/>
    <col min="55" max="55" width="6.25" style="12" customWidth="1"/>
    <col min="56" max="56" width="7.125" style="8" customWidth="1"/>
    <col min="57" max="57" width="6.25" style="9" customWidth="1"/>
    <col min="58" max="58" width="7.25" style="11" customWidth="1"/>
    <col min="59" max="59" width="8.25" style="11" customWidth="1"/>
    <col min="60" max="60" width="10.125" style="11" customWidth="1"/>
    <col min="61" max="61" width="5.125" style="7" customWidth="1"/>
    <col min="62" max="62" width="8.375" style="7" hidden="1" customWidth="1"/>
    <col min="63" max="63" width="9" style="7" hidden="1" customWidth="1"/>
    <col min="64" max="64" width="4.875" style="7" customWidth="1"/>
    <col min="65" max="65" width="6.25" style="7" customWidth="1"/>
    <col min="66" max="66" width="5" style="7" customWidth="1"/>
    <col min="67" max="67" width="4.25" style="7" customWidth="1"/>
    <col min="68" max="68" width="5.375" style="7" customWidth="1"/>
    <col min="69" max="69" width="5.125" style="7" customWidth="1"/>
    <col min="70" max="70" width="4.625" style="7" customWidth="1"/>
    <col min="71" max="71" width="5.625" style="7" customWidth="1"/>
    <col min="72" max="72" width="5.875" style="7" customWidth="1"/>
    <col min="73" max="73" width="5" style="7" customWidth="1"/>
    <col min="74" max="74" width="3.875" style="7" customWidth="1"/>
    <col min="75" max="75" width="4.625" style="7" customWidth="1"/>
    <col min="76" max="76" width="5.5" style="7" customWidth="1"/>
    <col min="77" max="77" width="7.625" style="13" customWidth="1"/>
    <col min="78" max="79" width="8.375" style="13" customWidth="1"/>
    <col min="80" max="80" width="7.5" style="7" customWidth="1"/>
    <col min="81" max="16384" width="9" style="7"/>
  </cols>
  <sheetData>
    <row r="1" ht="21" customHeight="1" spans="1:82">
      <c r="A1" s="14" t="s">
        <v>8330</v>
      </c>
      <c r="B1" s="15"/>
      <c r="C1" s="16" t="e">
        <f>+"CHU CHUYỂN ĐẤT ĐAI TRONG KẾ HOẠCH SỬ DỤNG ĐẤT NĂM 2015 CỦA "&amp;#REF!</f>
        <v>#REF!</v>
      </c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83"/>
      <c r="BC1" s="83"/>
      <c r="BD1" s="18"/>
      <c r="BE1" s="18"/>
      <c r="BF1" s="18"/>
      <c r="BG1" s="18"/>
      <c r="BH1" s="18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7"/>
      <c r="BZ1" s="7"/>
      <c r="CA1" s="7"/>
      <c r="CB1" s="8"/>
      <c r="CC1" s="8"/>
      <c r="CD1" s="8"/>
    </row>
    <row r="2" s="1" customFormat="1" ht="7.5" customHeight="1" spans="1:82">
      <c r="A2" s="1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9"/>
      <c r="BA2" s="20"/>
      <c r="BB2" s="84"/>
      <c r="BC2" s="84"/>
      <c r="BD2" s="20"/>
      <c r="BE2" s="20"/>
      <c r="BF2" s="20"/>
      <c r="BG2" s="20"/>
      <c r="BH2" s="95" t="s">
        <v>8331</v>
      </c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CB2" s="9"/>
      <c r="CC2" s="9"/>
      <c r="CD2" s="9"/>
    </row>
    <row r="3" s="2" customFormat="1" ht="15.75" customHeight="1" spans="1:79">
      <c r="A3" s="21" t="s">
        <v>3</v>
      </c>
      <c r="B3" s="21" t="s">
        <v>8332</v>
      </c>
      <c r="C3" s="21" t="s">
        <v>8333</v>
      </c>
      <c r="D3" s="22"/>
      <c r="E3" s="23" t="s">
        <v>8334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7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85"/>
      <c r="BC3" s="85"/>
      <c r="BD3" s="24"/>
      <c r="BE3" s="97"/>
      <c r="BF3" s="22"/>
      <c r="BG3" s="22"/>
      <c r="BH3" s="22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</row>
    <row r="4" s="2" customFormat="1" ht="31.5" customHeight="1" spans="1:79">
      <c r="A4" s="25"/>
      <c r="B4" s="25"/>
      <c r="C4" s="25"/>
      <c r="D4" s="26" t="s">
        <v>8335</v>
      </c>
      <c r="E4" s="27" t="s">
        <v>8303</v>
      </c>
      <c r="F4" s="28" t="s">
        <v>8298</v>
      </c>
      <c r="G4" s="29" t="s">
        <v>8299</v>
      </c>
      <c r="H4" s="29" t="s">
        <v>221</v>
      </c>
      <c r="I4" s="29" t="s">
        <v>8300</v>
      </c>
      <c r="J4" s="28" t="s">
        <v>2492</v>
      </c>
      <c r="K4" s="28" t="s">
        <v>30</v>
      </c>
      <c r="L4" s="28" t="s">
        <v>8307</v>
      </c>
      <c r="M4" s="28" t="s">
        <v>8306</v>
      </c>
      <c r="N4" s="28" t="s">
        <v>8305</v>
      </c>
      <c r="O4" s="76" t="s">
        <v>318</v>
      </c>
      <c r="P4" s="28" t="s">
        <v>8297</v>
      </c>
      <c r="Q4" s="28" t="s">
        <v>553</v>
      </c>
      <c r="R4" s="37" t="s">
        <v>8304</v>
      </c>
      <c r="S4" s="40" t="s">
        <v>31</v>
      </c>
      <c r="T4" s="40" t="s">
        <v>8283</v>
      </c>
      <c r="U4" s="40" t="s">
        <v>47</v>
      </c>
      <c r="V4" s="40" t="s">
        <v>8308</v>
      </c>
      <c r="W4" s="40" t="s">
        <v>56</v>
      </c>
      <c r="X4" s="40" t="s">
        <v>265</v>
      </c>
      <c r="Y4" s="40" t="s">
        <v>204</v>
      </c>
      <c r="Z4" s="40" t="s">
        <v>174</v>
      </c>
      <c r="AA4" s="40" t="s">
        <v>8288</v>
      </c>
      <c r="AB4" s="46" t="s">
        <v>94</v>
      </c>
      <c r="AC4" s="46" t="s">
        <v>216</v>
      </c>
      <c r="AD4" s="46" t="s">
        <v>71</v>
      </c>
      <c r="AE4" s="46" t="s">
        <v>8285</v>
      </c>
      <c r="AF4" s="46" t="s">
        <v>212</v>
      </c>
      <c r="AG4" s="46" t="s">
        <v>8296</v>
      </c>
      <c r="AH4" s="46" t="s">
        <v>165</v>
      </c>
      <c r="AI4" s="46" t="s">
        <v>8294</v>
      </c>
      <c r="AJ4" s="46" t="s">
        <v>8302</v>
      </c>
      <c r="AK4" s="46" t="s">
        <v>8295</v>
      </c>
      <c r="AL4" s="46" t="s">
        <v>178</v>
      </c>
      <c r="AM4" s="46" t="s">
        <v>8312</v>
      </c>
      <c r="AN4" s="40" t="s">
        <v>8287</v>
      </c>
      <c r="AO4" s="40" t="s">
        <v>8286</v>
      </c>
      <c r="AP4" s="40" t="s">
        <v>8291</v>
      </c>
      <c r="AQ4" s="40" t="s">
        <v>188</v>
      </c>
      <c r="AR4" s="40" t="s">
        <v>201</v>
      </c>
      <c r="AS4" s="40" t="s">
        <v>336</v>
      </c>
      <c r="AT4" s="40" t="s">
        <v>8293</v>
      </c>
      <c r="AU4" s="40" t="s">
        <v>8290</v>
      </c>
      <c r="AV4" s="40" t="s">
        <v>324</v>
      </c>
      <c r="AW4" s="40" t="s">
        <v>182</v>
      </c>
      <c r="AX4" s="40" t="s">
        <v>236</v>
      </c>
      <c r="AY4" s="40" t="s">
        <v>8292</v>
      </c>
      <c r="AZ4" s="40" t="s">
        <v>8289</v>
      </c>
      <c r="BA4" s="40" t="s">
        <v>8310</v>
      </c>
      <c r="BB4" s="40" t="s">
        <v>8309</v>
      </c>
      <c r="BC4" s="40" t="s">
        <v>8301</v>
      </c>
      <c r="BD4" s="40" t="s">
        <v>59</v>
      </c>
      <c r="BE4" s="27" t="s">
        <v>8284</v>
      </c>
      <c r="BF4" s="99" t="s">
        <v>8336</v>
      </c>
      <c r="BG4" s="100" t="s">
        <v>8337</v>
      </c>
      <c r="BH4" s="26" t="s">
        <v>8335</v>
      </c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</row>
    <row r="5" s="2" customFormat="1" ht="15.75" customHeight="1" spans="1:79">
      <c r="A5" s="30"/>
      <c r="B5" s="30" t="s">
        <v>8338</v>
      </c>
      <c r="C5" s="31"/>
      <c r="D5" s="32" t="e">
        <f>+#REF!</f>
        <v>#REF!</v>
      </c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86"/>
      <c r="BC5" s="86"/>
      <c r="BD5" s="34"/>
      <c r="BE5" s="33"/>
      <c r="BF5" s="34"/>
      <c r="BG5" s="34"/>
      <c r="BH5" s="34" t="e">
        <f ca="1">BH6+BH19+BH58</f>
        <v>#REF!</v>
      </c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</row>
    <row r="6" s="3" customFormat="1" ht="15.75" customHeight="1" spans="1:79">
      <c r="A6" s="35">
        <v>1</v>
      </c>
      <c r="B6" s="36" t="s">
        <v>8339</v>
      </c>
      <c r="C6" s="37" t="s">
        <v>8303</v>
      </c>
      <c r="D6" s="33" t="e">
        <f>+#REF!</f>
        <v>#REF!</v>
      </c>
      <c r="E6" s="38" t="e">
        <f ca="1">$D6-$BF6</f>
        <v>#REF!</v>
      </c>
      <c r="F6" s="33">
        <f ca="1">SUM(F11:F18)</f>
        <v>0</v>
      </c>
      <c r="G6" s="33">
        <f ca="1">SUM(G7,G11:G18)</f>
        <v>0</v>
      </c>
      <c r="H6" s="33">
        <f ca="1">SUM(H7,H11:H18)</f>
        <v>0</v>
      </c>
      <c r="I6" s="33">
        <f ca="1">SUM(I7,I11:I18)</f>
        <v>0</v>
      </c>
      <c r="J6" s="33">
        <f ca="1">SUM(J7,J12:J18)</f>
        <v>0</v>
      </c>
      <c r="K6" s="33">
        <f ca="1">SUM(K7,K11,K13:K18)</f>
        <v>0</v>
      </c>
      <c r="L6" s="33">
        <f ca="1">SUM(L7,L11:L12,L14:L18)</f>
        <v>0</v>
      </c>
      <c r="M6" s="33">
        <f ca="1">SUM(M7,M11:M13,M15:M18)</f>
        <v>0</v>
      </c>
      <c r="N6" s="33">
        <f ca="1">SUM(N7,N11:N14,N16:N18)</f>
        <v>0</v>
      </c>
      <c r="O6" s="33">
        <f ca="1">SUM(O7,O11:O15,O17:O18)</f>
        <v>0</v>
      </c>
      <c r="P6" s="33">
        <f ca="1">SUM(P7,P11:P16,P18:P18)</f>
        <v>0</v>
      </c>
      <c r="Q6" s="33">
        <f ca="1">SUM(Q7,Q11:Q17)</f>
        <v>0</v>
      </c>
      <c r="R6" s="33">
        <f ca="1">SUM(R7,R11:R18)</f>
        <v>0</v>
      </c>
      <c r="S6" s="33">
        <f ca="1">SUM(S7,S11:S18)</f>
        <v>0</v>
      </c>
      <c r="T6" s="33">
        <f ca="1" t="shared" ref="T6:BE6" si="0">SUM(T7,T11:T18)</f>
        <v>0</v>
      </c>
      <c r="U6" s="33">
        <f ca="1" t="shared" si="0"/>
        <v>0</v>
      </c>
      <c r="V6" s="33">
        <f ca="1" t="shared" si="0"/>
        <v>0</v>
      </c>
      <c r="W6" s="33">
        <f ca="1" t="shared" si="0"/>
        <v>0</v>
      </c>
      <c r="X6" s="33">
        <f ca="1" t="shared" si="0"/>
        <v>0</v>
      </c>
      <c r="Y6" s="33">
        <f ca="1" t="shared" si="0"/>
        <v>0</v>
      </c>
      <c r="Z6" s="33">
        <f ca="1" t="shared" si="0"/>
        <v>0</v>
      </c>
      <c r="AA6" s="33">
        <f ca="1" t="shared" si="0"/>
        <v>0</v>
      </c>
      <c r="AB6" s="33">
        <f ca="1" t="shared" si="0"/>
        <v>0</v>
      </c>
      <c r="AC6" s="33">
        <f ca="1" t="shared" si="0"/>
        <v>0</v>
      </c>
      <c r="AD6" s="33">
        <f ca="1" t="shared" si="0"/>
        <v>0</v>
      </c>
      <c r="AE6" s="33">
        <f ca="1" t="shared" si="0"/>
        <v>0</v>
      </c>
      <c r="AF6" s="33">
        <f ca="1" t="shared" si="0"/>
        <v>0</v>
      </c>
      <c r="AG6" s="33">
        <f ca="1" t="shared" si="0"/>
        <v>0</v>
      </c>
      <c r="AH6" s="33">
        <f ca="1" t="shared" si="0"/>
        <v>0</v>
      </c>
      <c r="AI6" s="33">
        <f ca="1" t="shared" si="0"/>
        <v>0</v>
      </c>
      <c r="AJ6" s="33">
        <f ca="1" t="shared" si="0"/>
        <v>0</v>
      </c>
      <c r="AK6" s="33">
        <f ca="1" t="shared" si="0"/>
        <v>0</v>
      </c>
      <c r="AL6" s="33">
        <f ca="1" t="shared" si="0"/>
        <v>0</v>
      </c>
      <c r="AM6" s="33">
        <f ca="1" t="shared" si="0"/>
        <v>0</v>
      </c>
      <c r="AN6" s="33">
        <f ca="1" t="shared" si="0"/>
        <v>0</v>
      </c>
      <c r="AO6" s="33">
        <f ca="1" t="shared" si="0"/>
        <v>0</v>
      </c>
      <c r="AP6" s="33">
        <f ca="1" t="shared" si="0"/>
        <v>0</v>
      </c>
      <c r="AQ6" s="33">
        <f ca="1" t="shared" si="0"/>
        <v>0</v>
      </c>
      <c r="AR6" s="33">
        <f ca="1" t="shared" si="0"/>
        <v>0</v>
      </c>
      <c r="AS6" s="33">
        <f ca="1" t="shared" si="0"/>
        <v>0</v>
      </c>
      <c r="AT6" s="33">
        <f ca="1" t="shared" si="0"/>
        <v>0</v>
      </c>
      <c r="AU6" s="33">
        <f ca="1" t="shared" si="0"/>
        <v>0</v>
      </c>
      <c r="AV6" s="33">
        <f ca="1" t="shared" si="0"/>
        <v>0</v>
      </c>
      <c r="AW6" s="33">
        <f ca="1" t="shared" si="0"/>
        <v>0</v>
      </c>
      <c r="AX6" s="33">
        <f ca="1" t="shared" si="0"/>
        <v>0</v>
      </c>
      <c r="AY6" s="33">
        <f ca="1" t="shared" si="0"/>
        <v>0</v>
      </c>
      <c r="AZ6" s="33">
        <f ca="1" t="shared" si="0"/>
        <v>0</v>
      </c>
      <c r="BA6" s="33">
        <f ca="1" t="shared" si="0"/>
        <v>0</v>
      </c>
      <c r="BB6" s="33">
        <f ca="1" t="shared" si="0"/>
        <v>0</v>
      </c>
      <c r="BC6" s="33">
        <f ca="1" t="shared" si="0"/>
        <v>0</v>
      </c>
      <c r="BD6" s="33">
        <f ca="1" t="shared" si="0"/>
        <v>0</v>
      </c>
      <c r="BE6" s="33">
        <f ca="1" t="shared" si="0"/>
        <v>0</v>
      </c>
      <c r="BF6" s="74">
        <f ca="1">BE6+R6</f>
        <v>0</v>
      </c>
      <c r="BG6" s="101">
        <f ca="1">E$59-$BF6</f>
        <v>0</v>
      </c>
      <c r="BH6" s="33" t="e">
        <f ca="1">SUM(BH7,BH11:BH18)</f>
        <v>#REF!</v>
      </c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</row>
    <row r="7" s="2" customFormat="1" ht="15.75" customHeight="1" spans="1:79">
      <c r="A7" s="39" t="s">
        <v>27</v>
      </c>
      <c r="B7" s="39" t="s">
        <v>8340</v>
      </c>
      <c r="C7" s="40" t="s">
        <v>8298</v>
      </c>
      <c r="D7" s="41" t="e">
        <f>+#REF!</f>
        <v>#REF!</v>
      </c>
      <c r="E7" s="42">
        <f ca="1">SUM(J7:Q7)</f>
        <v>0</v>
      </c>
      <c r="F7" s="43" t="e">
        <f ca="1">$D7-$BF7</f>
        <v>#REF!</v>
      </c>
      <c r="G7" s="44">
        <f ca="1">SUM(G9:G10)</f>
        <v>0</v>
      </c>
      <c r="H7" s="44">
        <f ca="1">SUM(H8,H10)</f>
        <v>0</v>
      </c>
      <c r="I7" s="44">
        <f ca="1">SUM(I8:I9)</f>
        <v>0</v>
      </c>
      <c r="J7" s="44">
        <f ca="1">SUM(J8:J10)</f>
        <v>0</v>
      </c>
      <c r="K7" s="44">
        <f ca="1" t="shared" ref="K7:Q7" si="1">SUM(K8:K10)</f>
        <v>0</v>
      </c>
      <c r="L7" s="44">
        <f ca="1" t="shared" si="1"/>
        <v>0</v>
      </c>
      <c r="M7" s="44">
        <f ca="1" t="shared" si="1"/>
        <v>0</v>
      </c>
      <c r="N7" s="44">
        <f ca="1" t="shared" si="1"/>
        <v>0</v>
      </c>
      <c r="O7" s="44">
        <f ca="1" t="shared" si="1"/>
        <v>0</v>
      </c>
      <c r="P7" s="44">
        <f ca="1" t="shared" si="1"/>
        <v>0</v>
      </c>
      <c r="Q7" s="44">
        <f ca="1" t="shared" si="1"/>
        <v>0</v>
      </c>
      <c r="R7" s="42">
        <f ca="1" t="shared" ref="R7:R18" si="2">SUM(S7:AA7,AN7:BD7)</f>
        <v>0</v>
      </c>
      <c r="S7" s="52">
        <f ca="1" t="shared" ref="S7:AY7" si="3">SUM(S8:S10)</f>
        <v>0</v>
      </c>
      <c r="T7" s="52">
        <f ca="1" t="shared" si="3"/>
        <v>0</v>
      </c>
      <c r="U7" s="52">
        <f ca="1" t="shared" si="3"/>
        <v>0</v>
      </c>
      <c r="V7" s="52">
        <f ca="1" t="shared" si="3"/>
        <v>0</v>
      </c>
      <c r="W7" s="52">
        <f ca="1" t="shared" si="3"/>
        <v>0</v>
      </c>
      <c r="X7" s="52">
        <f ca="1" t="shared" si="3"/>
        <v>0</v>
      </c>
      <c r="Y7" s="52">
        <f ca="1" t="shared" si="3"/>
        <v>0</v>
      </c>
      <c r="Z7" s="52">
        <f ca="1" t="shared" si="3"/>
        <v>0</v>
      </c>
      <c r="AA7" s="52">
        <f ca="1" t="shared" ref="AA7:AA18" si="4">+SUM(AB7:AM7)</f>
        <v>0</v>
      </c>
      <c r="AB7" s="52">
        <f ca="1" t="shared" ref="AB7:AM7" si="5">SUM(AB8:AB10)</f>
        <v>0</v>
      </c>
      <c r="AC7" s="52">
        <f ca="1" t="shared" si="5"/>
        <v>0</v>
      </c>
      <c r="AD7" s="52">
        <f ca="1" t="shared" si="5"/>
        <v>0</v>
      </c>
      <c r="AE7" s="52">
        <f ca="1" t="shared" si="5"/>
        <v>0</v>
      </c>
      <c r="AF7" s="52">
        <f ca="1" t="shared" si="5"/>
        <v>0</v>
      </c>
      <c r="AG7" s="52">
        <f ca="1" t="shared" si="5"/>
        <v>0</v>
      </c>
      <c r="AH7" s="52">
        <f ca="1" t="shared" si="5"/>
        <v>0</v>
      </c>
      <c r="AI7" s="52">
        <f ca="1" t="shared" si="5"/>
        <v>0</v>
      </c>
      <c r="AJ7" s="52">
        <f ca="1" t="shared" si="5"/>
        <v>0</v>
      </c>
      <c r="AK7" s="52">
        <f ca="1" t="shared" si="5"/>
        <v>0</v>
      </c>
      <c r="AL7" s="52">
        <f ca="1" t="shared" si="5"/>
        <v>0</v>
      </c>
      <c r="AM7" s="52">
        <f ca="1" t="shared" si="5"/>
        <v>0</v>
      </c>
      <c r="AN7" s="52">
        <f ca="1" t="shared" si="3"/>
        <v>0</v>
      </c>
      <c r="AO7" s="52">
        <f ca="1" t="shared" si="3"/>
        <v>0</v>
      </c>
      <c r="AP7" s="52">
        <f ca="1" t="shared" si="3"/>
        <v>0</v>
      </c>
      <c r="AQ7" s="52">
        <f ca="1" t="shared" si="3"/>
        <v>0</v>
      </c>
      <c r="AR7" s="52">
        <f ca="1" t="shared" si="3"/>
        <v>0</v>
      </c>
      <c r="AS7" s="52">
        <f ca="1" t="shared" si="3"/>
        <v>0</v>
      </c>
      <c r="AT7" s="52">
        <f ca="1" t="shared" si="3"/>
        <v>0</v>
      </c>
      <c r="AU7" s="52">
        <f ca="1" t="shared" si="3"/>
        <v>0</v>
      </c>
      <c r="AV7" s="52">
        <f ca="1" t="shared" si="3"/>
        <v>0</v>
      </c>
      <c r="AW7" s="52">
        <f ca="1" t="shared" si="3"/>
        <v>0</v>
      </c>
      <c r="AX7" s="52">
        <f ca="1" t="shared" si="3"/>
        <v>0</v>
      </c>
      <c r="AY7" s="52">
        <f ca="1" t="shared" si="3"/>
        <v>0</v>
      </c>
      <c r="AZ7" s="52">
        <f ca="1" t="shared" ref="AZ7:BE7" si="6">SUM(AZ8:AZ10)</f>
        <v>0</v>
      </c>
      <c r="BA7" s="87">
        <f ca="1" t="shared" si="6"/>
        <v>0</v>
      </c>
      <c r="BB7" s="52">
        <f ca="1" t="shared" si="6"/>
        <v>0</v>
      </c>
      <c r="BC7" s="52">
        <f ca="1" t="shared" si="6"/>
        <v>0</v>
      </c>
      <c r="BD7" s="52">
        <f ca="1" t="shared" si="6"/>
        <v>0</v>
      </c>
      <c r="BE7" s="52">
        <f ca="1" t="shared" si="6"/>
        <v>0</v>
      </c>
      <c r="BF7" s="74">
        <f ca="1" t="shared" ref="BF7:BF18" si="7">BE7+R7+E7</f>
        <v>0</v>
      </c>
      <c r="BG7" s="101">
        <f ca="1">F$59-$BF7</f>
        <v>0</v>
      </c>
      <c r="BH7" s="41" t="e">
        <f ca="1" t="shared" ref="BH7:BH18" si="8">BG7+D7</f>
        <v>#REF!</v>
      </c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</row>
    <row r="8" s="4" customFormat="1" ht="15.75" customHeight="1" spans="1:79">
      <c r="A8" s="45"/>
      <c r="B8" s="316" t="s">
        <v>8341</v>
      </c>
      <c r="C8" s="46" t="s">
        <v>8299</v>
      </c>
      <c r="D8" s="47" t="e">
        <f>+#REF!</f>
        <v>#REF!</v>
      </c>
      <c r="E8" s="48">
        <f ca="1">SUM(F8,J8:Q8)</f>
        <v>0</v>
      </c>
      <c r="F8" s="44">
        <f ca="1">SUM(H8:I8)</f>
        <v>0</v>
      </c>
      <c r="G8" s="49" t="e">
        <f ca="1">$D8-$BF8</f>
        <v>#REF!</v>
      </c>
      <c r="H8" s="50">
        <f ca="1">+GETPIVOTDATA("XBG4",'binhgia (2016)'!$A$3,"MA_HT","LUC","MA_QH","LUK")</f>
        <v>0</v>
      </c>
      <c r="I8" s="50">
        <f ca="1">+GETPIVOTDATA("XBG4",'binhgia (2016)'!$A$3,"MA_HT","LUC","MA_QH","LUN")</f>
        <v>0</v>
      </c>
      <c r="J8" s="50">
        <f ca="1">+GETPIVOTDATA("XBG4",'binhgia (2016)'!$A$3,"MA_HT","LUC","MA_QH","HNK")</f>
        <v>0</v>
      </c>
      <c r="K8" s="50">
        <f ca="1">+GETPIVOTDATA("XBG4",'binhgia (2016)'!$A$3,"MA_HT","LUC","MA_QH","CLN")</f>
        <v>0</v>
      </c>
      <c r="L8" s="50">
        <f ca="1">+GETPIVOTDATA("XBG4",'binhgia (2016)'!$A$3,"MA_HT","LUC","MA_QH","RSX")</f>
        <v>0</v>
      </c>
      <c r="M8" s="50">
        <f ca="1">+GETPIVOTDATA("XBG4",'binhgia (2016)'!$A$3,"MA_HT","LUC","MA_QH","RPH")</f>
        <v>0</v>
      </c>
      <c r="N8" s="50">
        <f ca="1">+GETPIVOTDATA("XBG4",'binhgia (2016)'!$A$3,"MA_HT","LUC","MA_QH","RDD")</f>
        <v>0</v>
      </c>
      <c r="O8" s="50">
        <f ca="1">+GETPIVOTDATA("XBG4",'binhgia (2016)'!$A$3,"MA_HT","LUC","MA_QH","NTS")</f>
        <v>0</v>
      </c>
      <c r="P8" s="50">
        <f ca="1">+GETPIVOTDATA("XBG4",'binhgia (2016)'!$A$3,"MA_HT","LUC","MA_QH","LMU")</f>
        <v>0</v>
      </c>
      <c r="Q8" s="50">
        <f ca="1">+GETPIVOTDATA("XBG4",'binhgia (2016)'!$A$3,"MA_HT","LUC","MA_QH","NKH")</f>
        <v>0</v>
      </c>
      <c r="R8" s="48">
        <f ca="1" t="shared" si="2"/>
        <v>0</v>
      </c>
      <c r="S8" s="50">
        <f ca="1">+GETPIVOTDATA("XBG4",'binhgia (2016)'!$A$3,"MA_HT","LUC","MA_QH","CQP")</f>
        <v>0</v>
      </c>
      <c r="T8" s="50">
        <f ca="1">+GETPIVOTDATA("XBG4",'binhgia (2016)'!$A$3,"MA_HT","LUC","MA_QH","CAN")</f>
        <v>0</v>
      </c>
      <c r="U8" s="50">
        <f ca="1">+GETPIVOTDATA("XBG4",'binhgia (2016)'!$A$3,"MA_HT","LUC","MA_QH","SKK")</f>
        <v>0</v>
      </c>
      <c r="V8" s="50">
        <f ca="1">+GETPIVOTDATA("XBG4",'binhgia (2016)'!$A$3,"MA_HT","LUC","MA_QH","SKT")</f>
        <v>0</v>
      </c>
      <c r="W8" s="50">
        <f ca="1">+GETPIVOTDATA("XBG4",'binhgia (2016)'!$A$3,"MA_HT","LUC","MA_QH","SKN")</f>
        <v>0</v>
      </c>
      <c r="X8" s="50">
        <f ca="1">+GETPIVOTDATA("XBG4",'binhgia (2016)'!$A$3,"MA_HT","LUC","MA_QH","TMD")</f>
        <v>0</v>
      </c>
      <c r="Y8" s="50">
        <f ca="1">+GETPIVOTDATA("XBG4",'binhgia (2016)'!$A$3,"MA_HT","LUC","MA_QH","SKC")</f>
        <v>0</v>
      </c>
      <c r="Z8" s="50">
        <f ca="1">+GETPIVOTDATA("XBG4",'binhgia (2016)'!$A$3,"MA_HT","LUC","MA_QH","SKS")</f>
        <v>0</v>
      </c>
      <c r="AA8" s="52">
        <f ca="1" t="shared" si="4"/>
        <v>0</v>
      </c>
      <c r="AB8" s="50">
        <f ca="1">+GETPIVOTDATA("XBG4",'binhgia (2016)'!$A$3,"MA_HT","LUC","MA_QH","DGT")</f>
        <v>0</v>
      </c>
      <c r="AC8" s="50">
        <f ca="1">+GETPIVOTDATA("XBG4",'binhgia (2016)'!$A$3,"MA_HT","LUC","MA_QH","DTL")</f>
        <v>0</v>
      </c>
      <c r="AD8" s="50">
        <f ca="1">+GETPIVOTDATA("XBG4",'binhgia (2016)'!$A$3,"MA_HT","LUC","MA_QH","DNL")</f>
        <v>0</v>
      </c>
      <c r="AE8" s="50">
        <f ca="1">+GETPIVOTDATA("XBG4",'binhgia (2016)'!$A$3,"MA_HT","LUC","MA_QH","DBV")</f>
        <v>0</v>
      </c>
      <c r="AF8" s="50">
        <f ca="1">+GETPIVOTDATA("XBG4",'binhgia (2016)'!$A$3,"MA_HT","LUC","MA_QH","DVH")</f>
        <v>0</v>
      </c>
      <c r="AG8" s="50">
        <f ca="1">+GETPIVOTDATA("XBG4",'binhgia (2016)'!$A$3,"MA_HT","LUC","MA_QH","DYT")</f>
        <v>0</v>
      </c>
      <c r="AH8" s="50">
        <f ca="1">+GETPIVOTDATA("XBG4",'binhgia (2016)'!$A$3,"MA_HT","LUC","MA_QH","DGD")</f>
        <v>0</v>
      </c>
      <c r="AI8" s="50">
        <f ca="1">+GETPIVOTDATA("XBG4",'binhgia (2016)'!$A$3,"MA_HT","LUC","MA_QH","DTT")</f>
        <v>0</v>
      </c>
      <c r="AJ8" s="50">
        <f ca="1">+GETPIVOTDATA("XBG4",'binhgia (2016)'!$A$3,"MA_HT","LUC","MA_QH","NCK")</f>
        <v>0</v>
      </c>
      <c r="AK8" s="50">
        <f ca="1">+GETPIVOTDATA("XBG4",'binhgia (2016)'!$A$3,"MA_HT","LUC","MA_QH","DXH")</f>
        <v>0</v>
      </c>
      <c r="AL8" s="50">
        <f ca="1">+GETPIVOTDATA("XBG4",'binhgia (2016)'!$A$3,"MA_HT","LUC","MA_QH","DCH")</f>
        <v>0</v>
      </c>
      <c r="AM8" s="50">
        <f ca="1">+GETPIVOTDATA("XBG4",'binhgia (2016)'!$A$3,"MA_HT","LUC","MA_QH","DKG")</f>
        <v>0</v>
      </c>
      <c r="AN8" s="50">
        <f ca="1">+GETPIVOTDATA("XBG4",'binhgia (2016)'!$A$3,"MA_HT","LUC","MA_QH","DDT")</f>
        <v>0</v>
      </c>
      <c r="AO8" s="50">
        <f ca="1">+GETPIVOTDATA("XBG4",'binhgia (2016)'!$A$3,"MA_HT","LUC","MA_QH","DDL")</f>
        <v>0</v>
      </c>
      <c r="AP8" s="50">
        <f ca="1">+GETPIVOTDATA("XBG4",'binhgia (2016)'!$A$3,"MA_HT","LUC","MA_QH","DRA")</f>
        <v>0</v>
      </c>
      <c r="AQ8" s="50">
        <f ca="1">+GETPIVOTDATA("XBG4",'binhgia (2016)'!$A$3,"MA_HT","LUC","MA_QH","ONT")</f>
        <v>0</v>
      </c>
      <c r="AR8" s="50">
        <f ca="1">+GETPIVOTDATA("XBG4",'binhgia (2016)'!$A$3,"MA_HT","LUC","MA_QH","ODT")</f>
        <v>0</v>
      </c>
      <c r="AS8" s="50">
        <f ca="1">+GETPIVOTDATA("XBG4",'binhgia (2016)'!$A$3,"MA_HT","LUC","MA_QH","TSC")</f>
        <v>0</v>
      </c>
      <c r="AT8" s="50">
        <f ca="1">+GETPIVOTDATA("XBG4",'binhgia (2016)'!$A$3,"MA_HT","LUC","MA_QH","DTS")</f>
        <v>0</v>
      </c>
      <c r="AU8" s="50">
        <f ca="1">+GETPIVOTDATA("XBG4",'binhgia (2016)'!$A$3,"MA_HT","LUC","MA_QH","DNG")</f>
        <v>0</v>
      </c>
      <c r="AV8" s="50">
        <f ca="1">+GETPIVOTDATA("XBG4",'binhgia (2016)'!$A$3,"MA_HT","LUC","MA_QH","TON")</f>
        <v>0</v>
      </c>
      <c r="AW8" s="50">
        <f ca="1">+GETPIVOTDATA("XBG4",'binhgia (2016)'!$A$3,"MA_HT","LUC","MA_QH","NTD")</f>
        <v>0</v>
      </c>
      <c r="AX8" s="50">
        <f ca="1">+GETPIVOTDATA("XBG4",'binhgia (2016)'!$A$3,"MA_HT","LUC","MA_QH","SKX")</f>
        <v>0</v>
      </c>
      <c r="AY8" s="50">
        <f ca="1">+GETPIVOTDATA("XBG4",'binhgia (2016)'!$A$3,"MA_HT","LUC","MA_QH","DSH")</f>
        <v>0</v>
      </c>
      <c r="AZ8" s="50">
        <f ca="1">+GETPIVOTDATA("XBG4",'binhgia (2016)'!$A$3,"MA_HT","LUC","MA_QH","DKV")</f>
        <v>0</v>
      </c>
      <c r="BA8" s="88">
        <f ca="1">+GETPIVOTDATA("XBG4",'binhgia (2016)'!$A$3,"MA_HT","LUC","MA_QH","TIN")</f>
        <v>0</v>
      </c>
      <c r="BB8" s="50">
        <f ca="1">+GETPIVOTDATA("XBG4",'binhgia (2016)'!$A$3,"MA_HT","LUC","MA_QH","SON")</f>
        <v>0</v>
      </c>
      <c r="BC8" s="50">
        <f ca="1">+GETPIVOTDATA("XBG4",'binhgia (2016)'!$A$3,"MA_HT","LUC","MA_QH","MNC")</f>
        <v>0</v>
      </c>
      <c r="BD8" s="50">
        <f ca="1">+GETPIVOTDATA("XBG4",'binhgia (2016)'!$A$3,"MA_HT","LUC","MA_QH","PNK")</f>
        <v>0</v>
      </c>
      <c r="BE8" s="80">
        <f ca="1">+GETPIVOTDATA("XBG4",'binhgia (2016)'!$A$3,"MA_HT","LUC","MA_QH","CSD")</f>
        <v>0</v>
      </c>
      <c r="BF8" s="103">
        <f ca="1" t="shared" si="7"/>
        <v>0</v>
      </c>
      <c r="BG8" s="104">
        <f ca="1">G$59-$BF8</f>
        <v>0</v>
      </c>
      <c r="BH8" s="47" t="e">
        <f ca="1" t="shared" si="8"/>
        <v>#REF!</v>
      </c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</row>
    <row r="9" s="4" customFormat="1" ht="15.75" customHeight="1" spans="1:79">
      <c r="A9" s="45"/>
      <c r="B9" s="316" t="s">
        <v>8342</v>
      </c>
      <c r="C9" s="46" t="s">
        <v>221</v>
      </c>
      <c r="D9" s="47" t="e">
        <f>+#REF!</f>
        <v>#REF!</v>
      </c>
      <c r="E9" s="48">
        <f ca="1">SUM(F9,J9:Q9)</f>
        <v>0</v>
      </c>
      <c r="F9" s="44">
        <f ca="1">SUM(G9,I9)</f>
        <v>0</v>
      </c>
      <c r="G9" s="51">
        <f ca="1">+GETPIVOTDATA("XBG4",'binhgia (2016)'!$A$3,"MA_HT","LUK","MA_QH","LUC")</f>
        <v>0</v>
      </c>
      <c r="H9" s="49" t="e">
        <f ca="1">$D9-$BF9</f>
        <v>#REF!</v>
      </c>
      <c r="I9" s="50">
        <f ca="1">+GETPIVOTDATA("XBG4",'binhgia (2016)'!$A$3,"MA_HT","LUK","MA_QH","LUN")</f>
        <v>0</v>
      </c>
      <c r="J9" s="50">
        <f ca="1">+GETPIVOTDATA("XBG4",'binhgia (2016)'!$A$3,"MA_HT","LUK","MA_QH","HNK")</f>
        <v>0</v>
      </c>
      <c r="K9" s="50">
        <f ca="1">+GETPIVOTDATA("XBG4",'binhgia (2016)'!$A$3,"MA_HT","LUK","MA_QH","CLN")</f>
        <v>0</v>
      </c>
      <c r="L9" s="50">
        <f ca="1">+GETPIVOTDATA("XBG4",'binhgia (2016)'!$A$3,"MA_HT","LUK","MA_QH","RSX")</f>
        <v>0</v>
      </c>
      <c r="M9" s="50">
        <f ca="1">+GETPIVOTDATA("XBG4",'binhgia (2016)'!$A$3,"MA_HT","LUK","MA_QH","RPH")</f>
        <v>0</v>
      </c>
      <c r="N9" s="50">
        <f ca="1">+GETPIVOTDATA("XBG4",'binhgia (2016)'!$A$3,"MA_HT","LUK","MA_QH","RDD")</f>
        <v>0</v>
      </c>
      <c r="O9" s="50">
        <f ca="1">+GETPIVOTDATA("XBG4",'binhgia (2016)'!$A$3,"MA_HT","LUK","MA_QH","NTS")</f>
        <v>0</v>
      </c>
      <c r="P9" s="50">
        <f ca="1">+GETPIVOTDATA("XBG4",'binhgia (2016)'!$A$3,"MA_HT","LUK","MA_QH","LMU")</f>
        <v>0</v>
      </c>
      <c r="Q9" s="50">
        <f ca="1">+GETPIVOTDATA("XBG4",'binhgia (2016)'!$A$3,"MA_HT","LUK","MA_QH","NKH")</f>
        <v>0</v>
      </c>
      <c r="R9" s="48">
        <f ca="1" t="shared" si="2"/>
        <v>0</v>
      </c>
      <c r="S9" s="50">
        <f ca="1">+GETPIVOTDATA("XBG4",'binhgia (2016)'!$A$3,"MA_HT","LUK","MA_QH","CQP")</f>
        <v>0</v>
      </c>
      <c r="T9" s="50">
        <f ca="1">+GETPIVOTDATA("XBG4",'binhgia (2016)'!$A$3,"MA_HT","LUK","MA_QH","CAN")</f>
        <v>0</v>
      </c>
      <c r="U9" s="50">
        <f ca="1">+GETPIVOTDATA("XBG4",'binhgia (2016)'!$A$3,"MA_HT","LUK","MA_QH","SKK")</f>
        <v>0</v>
      </c>
      <c r="V9" s="50">
        <f ca="1">+GETPIVOTDATA("XBG4",'binhgia (2016)'!$A$3,"MA_HT","LUK","MA_QH","SKT")</f>
        <v>0</v>
      </c>
      <c r="W9" s="50">
        <f ca="1">+GETPIVOTDATA("XBG4",'binhgia (2016)'!$A$3,"MA_HT","LUK","MA_QH","SKN")</f>
        <v>0</v>
      </c>
      <c r="X9" s="50">
        <f ca="1">+GETPIVOTDATA("XBG4",'binhgia (2016)'!$A$3,"MA_HT","LUK","MA_QH","TMD")</f>
        <v>0</v>
      </c>
      <c r="Y9" s="50">
        <f ca="1">+GETPIVOTDATA("XBG4",'binhgia (2016)'!$A$3,"MA_HT","LUK","MA_QH","SKC")</f>
        <v>0</v>
      </c>
      <c r="Z9" s="50">
        <f ca="1">+GETPIVOTDATA("XBG4",'binhgia (2016)'!$A$3,"MA_HT","LUK","MA_QH","SKS")</f>
        <v>0</v>
      </c>
      <c r="AA9" s="52">
        <f ca="1" t="shared" si="4"/>
        <v>0</v>
      </c>
      <c r="AB9" s="50">
        <f ca="1">+GETPIVOTDATA("XBG4",'binhgia (2016)'!$A$3,"MA_HT","LUK","MA_QH","DGT")</f>
        <v>0</v>
      </c>
      <c r="AC9" s="50">
        <f ca="1">+GETPIVOTDATA("XBG4",'binhgia (2016)'!$A$3,"MA_HT","LUK","MA_QH","DTL")</f>
        <v>0</v>
      </c>
      <c r="AD9" s="50">
        <f ca="1">+GETPIVOTDATA("XBG4",'binhgia (2016)'!$A$3,"MA_HT","LUK","MA_QH","DNL")</f>
        <v>0</v>
      </c>
      <c r="AE9" s="50">
        <f ca="1">+GETPIVOTDATA("XBG4",'binhgia (2016)'!$A$3,"MA_HT","LUK","MA_QH","DBV")</f>
        <v>0</v>
      </c>
      <c r="AF9" s="50">
        <f ca="1">+GETPIVOTDATA("XBG4",'binhgia (2016)'!$A$3,"MA_HT","LUK","MA_QH","DVH")</f>
        <v>0</v>
      </c>
      <c r="AG9" s="50">
        <f ca="1">+GETPIVOTDATA("XBG4",'binhgia (2016)'!$A$3,"MA_HT","LUK","MA_QH","DYT")</f>
        <v>0</v>
      </c>
      <c r="AH9" s="50">
        <f ca="1">+GETPIVOTDATA("XBG4",'binhgia (2016)'!$A$3,"MA_HT","LUK","MA_QH","DGD")</f>
        <v>0</v>
      </c>
      <c r="AI9" s="50">
        <f ca="1">+GETPIVOTDATA("XBG4",'binhgia (2016)'!$A$3,"MA_HT","LUK","MA_QH","DTT")</f>
        <v>0</v>
      </c>
      <c r="AJ9" s="50">
        <f ca="1">+GETPIVOTDATA("XBG4",'binhgia (2016)'!$A$3,"MA_HT","LUK","MA_QH","NCK")</f>
        <v>0</v>
      </c>
      <c r="AK9" s="50">
        <f ca="1">+GETPIVOTDATA("XBG4",'binhgia (2016)'!$A$3,"MA_HT","LUK","MA_QH","DXH")</f>
        <v>0</v>
      </c>
      <c r="AL9" s="50">
        <f ca="1">+GETPIVOTDATA("XBG4",'binhgia (2016)'!$A$3,"MA_HT","LUK","MA_QH","DCH")</f>
        <v>0</v>
      </c>
      <c r="AM9" s="50">
        <f ca="1">+GETPIVOTDATA("XBG4",'binhgia (2016)'!$A$3,"MA_HT","LUK","MA_QH","DKG")</f>
        <v>0</v>
      </c>
      <c r="AN9" s="50">
        <f ca="1">+GETPIVOTDATA("XBG4",'binhgia (2016)'!$A$3,"MA_HT","LUK","MA_QH","DDT")</f>
        <v>0</v>
      </c>
      <c r="AO9" s="50">
        <f ca="1">+GETPIVOTDATA("XBG4",'binhgia (2016)'!$A$3,"MA_HT","LUK","MA_QH","DDL")</f>
        <v>0</v>
      </c>
      <c r="AP9" s="50">
        <f ca="1">+GETPIVOTDATA("XBG4",'binhgia (2016)'!$A$3,"MA_HT","LUK","MA_QH","DRA")</f>
        <v>0</v>
      </c>
      <c r="AQ9" s="50">
        <f ca="1">+GETPIVOTDATA("XBG4",'binhgia (2016)'!$A$3,"MA_HT","LUK","MA_QH","ONT")</f>
        <v>0</v>
      </c>
      <c r="AR9" s="50">
        <f ca="1">+GETPIVOTDATA("XBG4",'binhgia (2016)'!$A$3,"MA_HT","LUK","MA_QH","ODT")</f>
        <v>0</v>
      </c>
      <c r="AS9" s="50">
        <f ca="1">+GETPIVOTDATA("XBG4",'binhgia (2016)'!$A$3,"MA_HT","LUK","MA_QH","TSC")</f>
        <v>0</v>
      </c>
      <c r="AT9" s="50">
        <f ca="1">+GETPIVOTDATA("XBG4",'binhgia (2016)'!$A$3,"MA_HT","LUK","MA_QH","DTS")</f>
        <v>0</v>
      </c>
      <c r="AU9" s="50">
        <f ca="1">+GETPIVOTDATA("XBG4",'binhgia (2016)'!$A$3,"MA_HT","LUK","MA_QH","DNG")</f>
        <v>0</v>
      </c>
      <c r="AV9" s="50">
        <f ca="1">+GETPIVOTDATA("XBG4",'binhgia (2016)'!$A$3,"MA_HT","LUK","MA_QH","TON")</f>
        <v>0</v>
      </c>
      <c r="AW9" s="50">
        <f ca="1">+GETPIVOTDATA("XBG4",'binhgia (2016)'!$A$3,"MA_HT","LUK","MA_QH","NTD")</f>
        <v>0</v>
      </c>
      <c r="AX9" s="50">
        <f ca="1">+GETPIVOTDATA("XBG4",'binhgia (2016)'!$A$3,"MA_HT","LUK","MA_QH","SKX")</f>
        <v>0</v>
      </c>
      <c r="AY9" s="50">
        <f ca="1">+GETPIVOTDATA("XBG4",'binhgia (2016)'!$A$3,"MA_HT","LUK","MA_QH","DSH")</f>
        <v>0</v>
      </c>
      <c r="AZ9" s="50">
        <f ca="1">+GETPIVOTDATA("XBG4",'binhgia (2016)'!$A$3,"MA_HT","LUK","MA_QH","DKV")</f>
        <v>0</v>
      </c>
      <c r="BA9" s="88">
        <f ca="1">+GETPIVOTDATA("XBG4",'binhgia (2016)'!$A$3,"MA_HT","LUK","MA_QH","TIN")</f>
        <v>0</v>
      </c>
      <c r="BB9" s="50">
        <f ca="1">+GETPIVOTDATA("XBG4",'binhgia (2016)'!$A$3,"MA_HT","LUK","MA_QH","SON")</f>
        <v>0</v>
      </c>
      <c r="BC9" s="50">
        <f ca="1">+GETPIVOTDATA("XBG4",'binhgia (2016)'!$A$3,"MA_HT","LUK","MA_QH","MNC")</f>
        <v>0</v>
      </c>
      <c r="BD9" s="50">
        <f ca="1">+GETPIVOTDATA("XBG4",'binhgia (2016)'!$A$3,"MA_HT","LUK","MA_QH","PNK")</f>
        <v>0</v>
      </c>
      <c r="BE9" s="80">
        <f ca="1">+GETPIVOTDATA("XBG4",'binhgia (2016)'!$A$3,"MA_HT","LUK","MA_QH","CSD")</f>
        <v>0</v>
      </c>
      <c r="BF9" s="103">
        <f ca="1" t="shared" si="7"/>
        <v>0</v>
      </c>
      <c r="BG9" s="104">
        <f ca="1">H$59-$BF9</f>
        <v>0</v>
      </c>
      <c r="BH9" s="47" t="e">
        <f ca="1" t="shared" si="8"/>
        <v>#REF!</v>
      </c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</row>
    <row r="10" s="4" customFormat="1" ht="15.75" customHeight="1" spans="1:79">
      <c r="A10" s="45"/>
      <c r="B10" s="316" t="s">
        <v>8343</v>
      </c>
      <c r="C10" s="46" t="s">
        <v>8300</v>
      </c>
      <c r="D10" s="47" t="e">
        <f>+#REF!</f>
        <v>#REF!</v>
      </c>
      <c r="E10" s="48">
        <f ca="1">SUM(J10:Q10,F10)</f>
        <v>0</v>
      </c>
      <c r="F10" s="44">
        <f ca="1">SUM(G10:H10)</f>
        <v>0</v>
      </c>
      <c r="G10" s="50">
        <f ca="1">+GETPIVOTDATA("XBG4",'binhgia (2016)'!$A$3,"MA_HT","LUN","MA_QH","LUC")</f>
        <v>0</v>
      </c>
      <c r="H10" s="50">
        <f ca="1">+GETPIVOTDATA("XBG4",'binhgia (2016)'!$A$3,"MA_HT","LUN","MA_QH","LUK")</f>
        <v>0</v>
      </c>
      <c r="I10" s="49" t="e">
        <f ca="1">$D10-$BF10</f>
        <v>#REF!</v>
      </c>
      <c r="J10" s="50">
        <f ca="1">+GETPIVOTDATA("XBG4",'binhgia (2016)'!$A$3,"MA_HT","LUN","MA_QH","HNK")</f>
        <v>0</v>
      </c>
      <c r="K10" s="50">
        <f ca="1">+GETPIVOTDATA("XBG4",'binhgia (2016)'!$A$3,"MA_HT","LUN","MA_QH","CLN")</f>
        <v>0</v>
      </c>
      <c r="L10" s="50">
        <f ca="1">+GETPIVOTDATA("XBG4",'binhgia (2016)'!$A$3,"MA_HT","LUN","MA_QH","RSX")</f>
        <v>0</v>
      </c>
      <c r="M10" s="50">
        <f ca="1">+GETPIVOTDATA("XBG4",'binhgia (2016)'!$A$3,"MA_HT","LUN","MA_QH","RPH")</f>
        <v>0</v>
      </c>
      <c r="N10" s="50">
        <f ca="1">+GETPIVOTDATA("XBG4",'binhgia (2016)'!$A$3,"MA_HT","LUN","MA_QH","RDD")</f>
        <v>0</v>
      </c>
      <c r="O10" s="50">
        <f ca="1">+GETPIVOTDATA("XBG4",'binhgia (2016)'!$A$3,"MA_HT","LUN","MA_QH","NTS")</f>
        <v>0</v>
      </c>
      <c r="P10" s="50">
        <f ca="1">+GETPIVOTDATA("XBG4",'binhgia (2016)'!$A$3,"MA_HT","LUN","MA_QH","LMU")</f>
        <v>0</v>
      </c>
      <c r="Q10" s="50">
        <f ca="1">+GETPIVOTDATA("XBG4",'binhgia (2016)'!$A$3,"MA_HT","LUN","MA_QH","NKH")</f>
        <v>0</v>
      </c>
      <c r="R10" s="48">
        <f ca="1" t="shared" si="2"/>
        <v>0</v>
      </c>
      <c r="S10" s="50">
        <f ca="1">+GETPIVOTDATA("XBG4",'binhgia (2016)'!$A$3,"MA_HT","LUN","MA_QH","CQP")</f>
        <v>0</v>
      </c>
      <c r="T10" s="50">
        <f ca="1">+GETPIVOTDATA("XBG4",'binhgia (2016)'!$A$3,"MA_HT","LUN","MA_QH","CAN")</f>
        <v>0</v>
      </c>
      <c r="U10" s="50">
        <f ca="1">+GETPIVOTDATA("XBG4",'binhgia (2016)'!$A$3,"MA_HT","LUN","MA_QH","SKK")</f>
        <v>0</v>
      </c>
      <c r="V10" s="50">
        <f ca="1">+GETPIVOTDATA("XBG4",'binhgia (2016)'!$A$3,"MA_HT","LUN","MA_QH","SKT")</f>
        <v>0</v>
      </c>
      <c r="W10" s="50">
        <f ca="1">+GETPIVOTDATA("XBG4",'binhgia (2016)'!$A$3,"MA_HT","LUN","MA_QH","SKN")</f>
        <v>0</v>
      </c>
      <c r="X10" s="50">
        <f ca="1">+GETPIVOTDATA("XBG4",'binhgia (2016)'!$A$3,"MA_HT","LUN","MA_QH","TMD")</f>
        <v>0</v>
      </c>
      <c r="Y10" s="50">
        <f ca="1">+GETPIVOTDATA("XBG4",'binhgia (2016)'!$A$3,"MA_HT","LUN","MA_QH","SKC")</f>
        <v>0</v>
      </c>
      <c r="Z10" s="50">
        <f ca="1">+GETPIVOTDATA("XBG4",'binhgia (2016)'!$A$3,"MA_HT","LUN","MA_QH","SKS")</f>
        <v>0</v>
      </c>
      <c r="AA10" s="52">
        <f ca="1" t="shared" si="4"/>
        <v>0</v>
      </c>
      <c r="AB10" s="50">
        <f ca="1">+GETPIVOTDATA("XBG4",'binhgia (2016)'!$A$3,"MA_HT","LUN","MA_QH","DGT")</f>
        <v>0</v>
      </c>
      <c r="AC10" s="50">
        <f ca="1">+GETPIVOTDATA("XBG4",'binhgia (2016)'!$A$3,"MA_HT","LUN","MA_QH","DTL")</f>
        <v>0</v>
      </c>
      <c r="AD10" s="50">
        <f ca="1">+GETPIVOTDATA("XBG4",'binhgia (2016)'!$A$3,"MA_HT","LUN","MA_QH","DNL")</f>
        <v>0</v>
      </c>
      <c r="AE10" s="50">
        <f ca="1">+GETPIVOTDATA("XBG4",'binhgia (2016)'!$A$3,"MA_HT","LUN","MA_QH","DBV")</f>
        <v>0</v>
      </c>
      <c r="AF10" s="50">
        <f ca="1">+GETPIVOTDATA("XBG4",'binhgia (2016)'!$A$3,"MA_HT","LUN","MA_QH","DVH")</f>
        <v>0</v>
      </c>
      <c r="AG10" s="50">
        <f ca="1">+GETPIVOTDATA("XBG4",'binhgia (2016)'!$A$3,"MA_HT","LUN","MA_QH","DYT")</f>
        <v>0</v>
      </c>
      <c r="AH10" s="50">
        <f ca="1">+GETPIVOTDATA("XBG4",'binhgia (2016)'!$A$3,"MA_HT","LUN","MA_QH","DGD")</f>
        <v>0</v>
      </c>
      <c r="AI10" s="50">
        <f ca="1">+GETPIVOTDATA("XBG4",'binhgia (2016)'!$A$3,"MA_HT","LUN","MA_QH","DTT")</f>
        <v>0</v>
      </c>
      <c r="AJ10" s="50">
        <f ca="1">+GETPIVOTDATA("XBG4",'binhgia (2016)'!$A$3,"MA_HT","LUN","MA_QH","NCK")</f>
        <v>0</v>
      </c>
      <c r="AK10" s="50">
        <f ca="1">+GETPIVOTDATA("XBG4",'binhgia (2016)'!$A$3,"MA_HT","LUN","MA_QH","DXH")</f>
        <v>0</v>
      </c>
      <c r="AL10" s="50">
        <f ca="1">+GETPIVOTDATA("XBG4",'binhgia (2016)'!$A$3,"MA_HT","LUN","MA_QH","DCH")</f>
        <v>0</v>
      </c>
      <c r="AM10" s="50">
        <f ca="1">+GETPIVOTDATA("XBG4",'binhgia (2016)'!$A$3,"MA_HT","LUN","MA_QH","DKG")</f>
        <v>0</v>
      </c>
      <c r="AN10" s="50">
        <f ca="1">+GETPIVOTDATA("XBG4",'binhgia (2016)'!$A$3,"MA_HT","LUN","MA_QH","DDT")</f>
        <v>0</v>
      </c>
      <c r="AO10" s="50">
        <f ca="1">+GETPIVOTDATA("XBG4",'binhgia (2016)'!$A$3,"MA_HT","LUN","MA_QH","DDL")</f>
        <v>0</v>
      </c>
      <c r="AP10" s="50">
        <f ca="1">+GETPIVOTDATA("XBG4",'binhgia (2016)'!$A$3,"MA_HT","LUN","MA_QH","DRA")</f>
        <v>0</v>
      </c>
      <c r="AQ10" s="50">
        <f ca="1">+GETPIVOTDATA("XBG4",'binhgia (2016)'!$A$3,"MA_HT","LUN","MA_QH","ONT")</f>
        <v>0</v>
      </c>
      <c r="AR10" s="50">
        <f ca="1">+GETPIVOTDATA("XBG4",'binhgia (2016)'!$A$3,"MA_HT","LUN","MA_QH","ODT")</f>
        <v>0</v>
      </c>
      <c r="AS10" s="50">
        <f ca="1">+GETPIVOTDATA("XBG4",'binhgia (2016)'!$A$3,"MA_HT","LUN","MA_QH","TSC")</f>
        <v>0</v>
      </c>
      <c r="AT10" s="50">
        <f ca="1">+GETPIVOTDATA("XBG4",'binhgia (2016)'!$A$3,"MA_HT","LUN","MA_QH","DTS")</f>
        <v>0</v>
      </c>
      <c r="AU10" s="50">
        <f ca="1">+GETPIVOTDATA("XBG4",'binhgia (2016)'!$A$3,"MA_HT","LUN","MA_QH","DNG")</f>
        <v>0</v>
      </c>
      <c r="AV10" s="50">
        <f ca="1">+GETPIVOTDATA("XBG4",'binhgia (2016)'!$A$3,"MA_HT","LUN","MA_QH","TON")</f>
        <v>0</v>
      </c>
      <c r="AW10" s="50">
        <f ca="1">+GETPIVOTDATA("XBG4",'binhgia (2016)'!$A$3,"MA_HT","LUN","MA_QH","NTD")</f>
        <v>0</v>
      </c>
      <c r="AX10" s="50">
        <f ca="1">+GETPIVOTDATA("XBG4",'binhgia (2016)'!$A$3,"MA_HT","LUN","MA_QH","SKX")</f>
        <v>0</v>
      </c>
      <c r="AY10" s="50">
        <f ca="1">+GETPIVOTDATA("XBG4",'binhgia (2016)'!$A$3,"MA_HT","LUN","MA_QH","DSH")</f>
        <v>0</v>
      </c>
      <c r="AZ10" s="50">
        <f ca="1">+GETPIVOTDATA("XBG4",'binhgia (2016)'!$A$3,"MA_HT","LUN","MA_QH","DKV")</f>
        <v>0</v>
      </c>
      <c r="BA10" s="88">
        <f ca="1">+GETPIVOTDATA("XBG4",'binhgia (2016)'!$A$3,"MA_HT","LUN","MA_QH","TIN")</f>
        <v>0</v>
      </c>
      <c r="BB10" s="50">
        <f ca="1">+GETPIVOTDATA("XBG4",'binhgia (2016)'!$A$3,"MA_HT","LUN","MA_QH","SON")</f>
        <v>0</v>
      </c>
      <c r="BC10" s="50">
        <f ca="1">+GETPIVOTDATA("XBG4",'binhgia (2016)'!$A$3,"MA_HT","LUN","MA_QH","MNC")</f>
        <v>0</v>
      </c>
      <c r="BD10" s="50">
        <f ca="1">+GETPIVOTDATA("XBG4",'binhgia (2016)'!$A$3,"MA_HT","LUN","MA_QH","PNK")</f>
        <v>0</v>
      </c>
      <c r="BE10" s="80">
        <f ca="1">+GETPIVOTDATA("XBG4",'binhgia (2016)'!$A$3,"MA_HT","LUN","MA_QH","CSD")</f>
        <v>0</v>
      </c>
      <c r="BF10" s="103">
        <f ca="1" t="shared" si="7"/>
        <v>0</v>
      </c>
      <c r="BG10" s="104">
        <f ca="1">I$59-$BF10</f>
        <v>0</v>
      </c>
      <c r="BH10" s="47" t="e">
        <f ca="1" t="shared" si="8"/>
        <v>#REF!</v>
      </c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</row>
    <row r="11" s="2" customFormat="1" ht="15.75" customHeight="1" spans="1:79">
      <c r="A11" s="39" t="s">
        <v>40</v>
      </c>
      <c r="B11" s="39" t="s">
        <v>8344</v>
      </c>
      <c r="C11" s="40" t="s">
        <v>2492</v>
      </c>
      <c r="D11" s="47" t="e">
        <f>+#REF!</f>
        <v>#REF!</v>
      </c>
      <c r="E11" s="42">
        <f ca="1">SUM(K11:Q11,F11)</f>
        <v>0</v>
      </c>
      <c r="F11" s="52">
        <f ca="1">SUM(G11:I11)</f>
        <v>0</v>
      </c>
      <c r="G11" s="22">
        <f ca="1">+GETPIVOTDATA("XBG4",'binhgia (2016)'!$A$3,"MA_HT","HNK","MA_QH","LUC")</f>
        <v>0</v>
      </c>
      <c r="H11" s="22">
        <f ca="1">+GETPIVOTDATA("XBG4",'binhgia (2016)'!$A$3,"MA_HT","HNK","MA_QH","LUK")</f>
        <v>0</v>
      </c>
      <c r="I11" s="22">
        <f ca="1">+GETPIVOTDATA("XBG4",'binhgia (2016)'!$A$3,"MA_HT","HNK","MA_QH","LUN")</f>
        <v>0</v>
      </c>
      <c r="J11" s="43" t="e">
        <f ca="1">$D11-$BF11</f>
        <v>#REF!</v>
      </c>
      <c r="K11" s="22">
        <f ca="1">+GETPIVOTDATA("XBG4",'binhgia (2016)'!$A$3,"MA_HT","HNK","MA_QH","CLN")</f>
        <v>0</v>
      </c>
      <c r="L11" s="22">
        <f ca="1">+GETPIVOTDATA("XBG4",'binhgia (2016)'!$A$3,"MA_HT","HNK","MA_QH","RSX")</f>
        <v>0</v>
      </c>
      <c r="M11" s="22">
        <f ca="1">+GETPIVOTDATA("XBG4",'binhgia (2016)'!$A$3,"MA_HT","HNK","MA_QH","RPH")</f>
        <v>0</v>
      </c>
      <c r="N11" s="22">
        <f ca="1">+GETPIVOTDATA("XBG4",'binhgia (2016)'!$A$3,"MA_HT","HNK","MA_QH","RDD")</f>
        <v>0</v>
      </c>
      <c r="O11" s="22">
        <f ca="1">+GETPIVOTDATA("XBG4",'binhgia (2016)'!$A$3,"MA_HT","HNK","MA_QH","NTS")</f>
        <v>0</v>
      </c>
      <c r="P11" s="22">
        <f ca="1">+GETPIVOTDATA("XBG4",'binhgia (2016)'!$A$3,"MA_HT","HNK","MA_QH","LMU")</f>
        <v>0</v>
      </c>
      <c r="Q11" s="22">
        <f ca="1">+GETPIVOTDATA("XBG4",'binhgia (2016)'!$A$3,"MA_HT","HNK","MA_QH","NKH")</f>
        <v>0</v>
      </c>
      <c r="R11" s="42">
        <f ca="1" t="shared" si="2"/>
        <v>0</v>
      </c>
      <c r="S11" s="22">
        <f ca="1">+GETPIVOTDATA("XBG4",'binhgia (2016)'!$A$3,"MA_HT","HNK","MA_QH","CQP")</f>
        <v>0</v>
      </c>
      <c r="T11" s="22">
        <f ca="1">+GETPIVOTDATA("XBG4",'binhgia (2016)'!$A$3,"MA_HT","HNK","MA_QH","CAN")</f>
        <v>0</v>
      </c>
      <c r="U11" s="22">
        <f ca="1">+GETPIVOTDATA("XBG4",'binhgia (2016)'!$A$3,"MA_HT","HNK","MA_QH","SKK")</f>
        <v>0</v>
      </c>
      <c r="V11" s="22">
        <f ca="1">+GETPIVOTDATA("XBG4",'binhgia (2016)'!$A$3,"MA_HT","HNK","MA_QH","SKT")</f>
        <v>0</v>
      </c>
      <c r="W11" s="22">
        <f ca="1">+GETPIVOTDATA("XBG4",'binhgia (2016)'!$A$3,"MA_HT","HNK","MA_QH","SKN")</f>
        <v>0</v>
      </c>
      <c r="X11" s="22">
        <f ca="1">+GETPIVOTDATA("XBG4",'binhgia (2016)'!$A$3,"MA_HT","HNK","MA_QH","TMD")</f>
        <v>0</v>
      </c>
      <c r="Y11" s="22">
        <f ca="1">+GETPIVOTDATA("XBG4",'binhgia (2016)'!$A$3,"MA_HT","HNK","MA_QH","SKC")</f>
        <v>0</v>
      </c>
      <c r="Z11" s="22">
        <f ca="1">+GETPIVOTDATA("XBG4",'binhgia (2016)'!$A$3,"MA_HT","HNK","MA_QH","SKS")</f>
        <v>0</v>
      </c>
      <c r="AA11" s="52">
        <f ca="1" t="shared" si="4"/>
        <v>0</v>
      </c>
      <c r="AB11" s="22">
        <f ca="1">+GETPIVOTDATA("XBG4",'binhgia (2016)'!$A$3,"MA_HT","HNK","MA_QH","DGT")</f>
        <v>0</v>
      </c>
      <c r="AC11" s="22">
        <f ca="1">+GETPIVOTDATA("XBG4",'binhgia (2016)'!$A$3,"MA_HT","HNK","MA_QH","DTL")</f>
        <v>0</v>
      </c>
      <c r="AD11" s="22">
        <f ca="1">+GETPIVOTDATA("XBG4",'binhgia (2016)'!$A$3,"MA_HT","HNK","MA_QH","DNL")</f>
        <v>0</v>
      </c>
      <c r="AE11" s="22">
        <f ca="1">+GETPIVOTDATA("XBG4",'binhgia (2016)'!$A$3,"MA_HT","HNK","MA_QH","DBV")</f>
        <v>0</v>
      </c>
      <c r="AF11" s="22">
        <f ca="1">+GETPIVOTDATA("XBG4",'binhgia (2016)'!$A$3,"MA_HT","HNK","MA_QH","DVH")</f>
        <v>0</v>
      </c>
      <c r="AG11" s="22">
        <f ca="1">+GETPIVOTDATA("XBG4",'binhgia (2016)'!$A$3,"MA_HT","HNK","MA_QH","DYT")</f>
        <v>0</v>
      </c>
      <c r="AH11" s="22">
        <f ca="1">+GETPIVOTDATA("XBG4",'binhgia (2016)'!$A$3,"MA_HT","HNK","MA_QH","DGD")</f>
        <v>0</v>
      </c>
      <c r="AI11" s="22">
        <f ca="1">+GETPIVOTDATA("XBG4",'binhgia (2016)'!$A$3,"MA_HT","HNK","MA_QH","DTT")</f>
        <v>0</v>
      </c>
      <c r="AJ11" s="22">
        <f ca="1">+GETPIVOTDATA("XBG4",'binhgia (2016)'!$A$3,"MA_HT","HNK","MA_QH","NCK")</f>
        <v>0</v>
      </c>
      <c r="AK11" s="22">
        <f ca="1">+GETPIVOTDATA("XBG4",'binhgia (2016)'!$A$3,"MA_HT","HNK","MA_QH","DXH")</f>
        <v>0</v>
      </c>
      <c r="AL11" s="22">
        <f ca="1">+GETPIVOTDATA("XBG4",'binhgia (2016)'!$A$3,"MA_HT","HNK","MA_QH","DCH")</f>
        <v>0</v>
      </c>
      <c r="AM11" s="22">
        <f ca="1">+GETPIVOTDATA("XBG4",'binhgia (2016)'!$A$3,"MA_HT","HNK","MA_QH","DKG")</f>
        <v>0</v>
      </c>
      <c r="AN11" s="22">
        <f ca="1">+GETPIVOTDATA("XBG4",'binhgia (2016)'!$A$3,"MA_HT","HNK","MA_QH","DDT")</f>
        <v>0</v>
      </c>
      <c r="AO11" s="22">
        <f ca="1">+GETPIVOTDATA("XBG4",'binhgia (2016)'!$A$3,"MA_HT","HNK","MA_QH","DDL")</f>
        <v>0</v>
      </c>
      <c r="AP11" s="22">
        <f ca="1">+GETPIVOTDATA("XBG4",'binhgia (2016)'!$A$3,"MA_HT","HNK","MA_QH","DRA")</f>
        <v>0</v>
      </c>
      <c r="AQ11" s="22">
        <f ca="1">+GETPIVOTDATA("XBG4",'binhgia (2016)'!$A$3,"MA_HT","HNK","MA_QH","ONT")</f>
        <v>0</v>
      </c>
      <c r="AR11" s="22">
        <f ca="1">+GETPIVOTDATA("XBG4",'binhgia (2016)'!$A$3,"MA_HT","HNK","MA_QH","ODT")</f>
        <v>0</v>
      </c>
      <c r="AS11" s="22">
        <f ca="1">+GETPIVOTDATA("XBG4",'binhgia (2016)'!$A$3,"MA_HT","HNK","MA_QH","TSC")</f>
        <v>0</v>
      </c>
      <c r="AT11" s="22">
        <f ca="1">+GETPIVOTDATA("XBG4",'binhgia (2016)'!$A$3,"MA_HT","HNK","MA_QH","DTS")</f>
        <v>0</v>
      </c>
      <c r="AU11" s="22">
        <f ca="1">+GETPIVOTDATA("XBG4",'binhgia (2016)'!$A$3,"MA_HT","HNK","MA_QH","DNG")</f>
        <v>0</v>
      </c>
      <c r="AV11" s="22">
        <f ca="1">+GETPIVOTDATA("XBG4",'binhgia (2016)'!$A$3,"MA_HT","HNK","MA_QH","TON")</f>
        <v>0</v>
      </c>
      <c r="AW11" s="22">
        <f ca="1">+GETPIVOTDATA("XBG4",'binhgia (2016)'!$A$3,"MA_HT","HNK","MA_QH","NTD")</f>
        <v>0</v>
      </c>
      <c r="AX11" s="22">
        <f ca="1">+GETPIVOTDATA("XBG4",'binhgia (2016)'!$A$3,"MA_HT","HNK","MA_QH","SKX")</f>
        <v>0</v>
      </c>
      <c r="AY11" s="22">
        <f ca="1">+GETPIVOTDATA("XBG4",'binhgia (2016)'!$A$3,"MA_HT","HNK","MA_QH","DSH")</f>
        <v>0</v>
      </c>
      <c r="AZ11" s="22">
        <f ca="1">+GETPIVOTDATA("XBG4",'binhgia (2016)'!$A$3,"MA_HT","HNK","MA_QH","DKV")</f>
        <v>0</v>
      </c>
      <c r="BA11" s="89">
        <f ca="1">+GETPIVOTDATA("XBG4",'binhgia (2016)'!$A$3,"MA_HT","HNK","MA_QH","TIN")</f>
        <v>0</v>
      </c>
      <c r="BB11" s="50">
        <f ca="1">+GETPIVOTDATA("XBG4",'binhgia (2016)'!$A$3,"MA_HT","HNK","MA_QH","SON")</f>
        <v>0</v>
      </c>
      <c r="BC11" s="50">
        <f ca="1">+GETPIVOTDATA("XBG4",'binhgia (2016)'!$A$3,"MA_HT","HNK","MA_QH","MNC")</f>
        <v>0</v>
      </c>
      <c r="BD11" s="22">
        <f ca="1">+GETPIVOTDATA("XBG4",'binhgia (2016)'!$A$3,"MA_HT","HNK","MA_QH","PNK")</f>
        <v>0</v>
      </c>
      <c r="BE11" s="71">
        <f ca="1">+GETPIVOTDATA("XBG4",'binhgia (2016)'!$A$3,"MA_HT","HNK","MA_QH","CSD")</f>
        <v>0</v>
      </c>
      <c r="BF11" s="74">
        <f ca="1" t="shared" si="7"/>
        <v>0</v>
      </c>
      <c r="BG11" s="101">
        <f ca="1">J$59-$BF11</f>
        <v>0</v>
      </c>
      <c r="BH11" s="41" t="e">
        <f ca="1" t="shared" si="8"/>
        <v>#REF!</v>
      </c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</row>
    <row r="12" s="2" customFormat="1" ht="15.75" customHeight="1" spans="1:79">
      <c r="A12" s="39" t="s">
        <v>8345</v>
      </c>
      <c r="B12" s="39" t="s">
        <v>8346</v>
      </c>
      <c r="C12" s="40" t="s">
        <v>30</v>
      </c>
      <c r="D12" s="47" t="e">
        <f>+#REF!</f>
        <v>#REF!</v>
      </c>
      <c r="E12" s="42">
        <f ca="1">SUM(L12:Q12,F12,J12)</f>
        <v>0</v>
      </c>
      <c r="F12" s="52">
        <f ca="1" t="shared" ref="F12:F58" si="9">SUM(G12:I12)</f>
        <v>0</v>
      </c>
      <c r="G12" s="22">
        <f ca="1">+GETPIVOTDATA("XBG4",'binhgia (2016)'!$A$3,"MA_HT","CLN","MA_QH","LUC")</f>
        <v>0</v>
      </c>
      <c r="H12" s="22">
        <f ca="1">+GETPIVOTDATA("XBG4",'binhgia (2016)'!$A$3,"MA_HT","CLN","MA_QH","LUK")</f>
        <v>0</v>
      </c>
      <c r="I12" s="22">
        <f ca="1">+GETPIVOTDATA("XBG4",'binhgia (2016)'!$A$3,"MA_HT","CLN","MA_QH","LUN")</f>
        <v>0</v>
      </c>
      <c r="J12" s="22">
        <f ca="1">+GETPIVOTDATA("XBG4",'binhgia (2016)'!$A$3,"MA_HT","CLN","MA_QH","HNK")</f>
        <v>0</v>
      </c>
      <c r="K12" s="43" t="e">
        <f ca="1">$D12-$BF12</f>
        <v>#REF!</v>
      </c>
      <c r="L12" s="22">
        <f ca="1">+GETPIVOTDATA("XBG4",'binhgia (2016)'!$A$3,"MA_HT","CLN","MA_QH","RSX")</f>
        <v>0</v>
      </c>
      <c r="M12" s="22">
        <f ca="1">+GETPIVOTDATA("XBG4",'binhgia (2016)'!$A$3,"MA_HT","CLN","MA_QH","RPH")</f>
        <v>0</v>
      </c>
      <c r="N12" s="22">
        <f ca="1">+GETPIVOTDATA("XBG4",'binhgia (2016)'!$A$3,"MA_HT","CLN","MA_QH","RDD")</f>
        <v>0</v>
      </c>
      <c r="O12" s="22">
        <f ca="1">+GETPIVOTDATA("XBG4",'binhgia (2016)'!$A$3,"MA_HT","CLN","MA_QH","NTS")</f>
        <v>0</v>
      </c>
      <c r="P12" s="22">
        <f ca="1">+GETPIVOTDATA("XBG4",'binhgia (2016)'!$A$3,"MA_HT","CLN","MA_QH","LMU")</f>
        <v>0</v>
      </c>
      <c r="Q12" s="22">
        <f ca="1">+GETPIVOTDATA("XBG4",'binhgia (2016)'!$A$3,"MA_HT","CLN","MA_QH","NKH")</f>
        <v>0</v>
      </c>
      <c r="R12" s="42">
        <f ca="1" t="shared" si="2"/>
        <v>0</v>
      </c>
      <c r="S12" s="22">
        <f ca="1">+GETPIVOTDATA("XBG4",'binhgia (2016)'!$A$3,"MA_HT","CLN","MA_QH","CQP")</f>
        <v>0</v>
      </c>
      <c r="T12" s="22">
        <f ca="1">+GETPIVOTDATA("XBG4",'binhgia (2016)'!$A$3,"MA_HT","CLN","MA_QH","CAN")</f>
        <v>0</v>
      </c>
      <c r="U12" s="22">
        <f ca="1">+GETPIVOTDATA("XBG4",'binhgia (2016)'!$A$3,"MA_HT","CLN","MA_QH","SKK")</f>
        <v>0</v>
      </c>
      <c r="V12" s="22">
        <f ca="1">+GETPIVOTDATA("XBG4",'binhgia (2016)'!$A$3,"MA_HT","CLN","MA_QH","SKT")</f>
        <v>0</v>
      </c>
      <c r="W12" s="22">
        <f ca="1">+GETPIVOTDATA("XBG4",'binhgia (2016)'!$A$3,"MA_HT","CLN","MA_QH","SKN")</f>
        <v>0</v>
      </c>
      <c r="X12" s="22">
        <f ca="1">+GETPIVOTDATA("XBG4",'binhgia (2016)'!$A$3,"MA_HT","CLN","MA_QH","TMD")</f>
        <v>0</v>
      </c>
      <c r="Y12" s="22">
        <f ca="1">+GETPIVOTDATA("XBG4",'binhgia (2016)'!$A$3,"MA_HT","CLN","MA_QH","SKC")</f>
        <v>0</v>
      </c>
      <c r="Z12" s="22">
        <f ca="1">+GETPIVOTDATA("XBG4",'binhgia (2016)'!$A$3,"MA_HT","CLN","MA_QH","SKS")</f>
        <v>0</v>
      </c>
      <c r="AA12" s="52">
        <f ca="1" t="shared" si="4"/>
        <v>0</v>
      </c>
      <c r="AB12" s="22">
        <f ca="1">+GETPIVOTDATA("XBG4",'binhgia (2016)'!$A$3,"MA_HT","CLN","MA_QH","DGT")</f>
        <v>0</v>
      </c>
      <c r="AC12" s="22">
        <f ca="1">+GETPIVOTDATA("XBG4",'binhgia (2016)'!$A$3,"MA_HT","CLN","MA_QH","DTL")</f>
        <v>0</v>
      </c>
      <c r="AD12" s="22">
        <f ca="1">+GETPIVOTDATA("XBG4",'binhgia (2016)'!$A$3,"MA_HT","CLN","MA_QH","DNL")</f>
        <v>0</v>
      </c>
      <c r="AE12" s="22">
        <f ca="1">+GETPIVOTDATA("XBG4",'binhgia (2016)'!$A$3,"MA_HT","CLN","MA_QH","DBV")</f>
        <v>0</v>
      </c>
      <c r="AF12" s="22">
        <f ca="1">+GETPIVOTDATA("XBG4",'binhgia (2016)'!$A$3,"MA_HT","CLN","MA_QH","DVH")</f>
        <v>0</v>
      </c>
      <c r="AG12" s="22">
        <f ca="1">+GETPIVOTDATA("XBG4",'binhgia (2016)'!$A$3,"MA_HT","CLN","MA_QH","DYT")</f>
        <v>0</v>
      </c>
      <c r="AH12" s="22">
        <f ca="1">+GETPIVOTDATA("XBG4",'binhgia (2016)'!$A$3,"MA_HT","CLN","MA_QH","DGD")</f>
        <v>0</v>
      </c>
      <c r="AI12" s="22">
        <f ca="1">+GETPIVOTDATA("XBG4",'binhgia (2016)'!$A$3,"MA_HT","CLN","MA_QH","DTT")</f>
        <v>0</v>
      </c>
      <c r="AJ12" s="22">
        <f ca="1">+GETPIVOTDATA("XBG4",'binhgia (2016)'!$A$3,"MA_HT","CLN","MA_QH","NCK")</f>
        <v>0</v>
      </c>
      <c r="AK12" s="22">
        <f ca="1">+GETPIVOTDATA("XBG4",'binhgia (2016)'!$A$3,"MA_HT","CLN","MA_QH","DXH")</f>
        <v>0</v>
      </c>
      <c r="AL12" s="22">
        <f ca="1">+GETPIVOTDATA("XBG4",'binhgia (2016)'!$A$3,"MA_HT","CLN","MA_QH","DCH")</f>
        <v>0</v>
      </c>
      <c r="AM12" s="22">
        <f ca="1">+GETPIVOTDATA("XBG4",'binhgia (2016)'!$A$3,"MA_HT","CLN","MA_QH","DKG")</f>
        <v>0</v>
      </c>
      <c r="AN12" s="22">
        <f ca="1">+GETPIVOTDATA("XBG4",'binhgia (2016)'!$A$3,"MA_HT","CLN","MA_QH","DDT")</f>
        <v>0</v>
      </c>
      <c r="AO12" s="22">
        <f ca="1">+GETPIVOTDATA("XBG4",'binhgia (2016)'!$A$3,"MA_HT","CLN","MA_QH","DDL")</f>
        <v>0</v>
      </c>
      <c r="AP12" s="22">
        <f ca="1">+GETPIVOTDATA("XBG4",'binhgia (2016)'!$A$3,"MA_HT","CLN","MA_QH","DRA")</f>
        <v>0</v>
      </c>
      <c r="AQ12" s="22">
        <f ca="1">+GETPIVOTDATA("XBG4",'binhgia (2016)'!$A$3,"MA_HT","CLN","MA_QH","ONT")</f>
        <v>0</v>
      </c>
      <c r="AR12" s="22">
        <f ca="1">+GETPIVOTDATA("XBG4",'binhgia (2016)'!$A$3,"MA_HT","CLN","MA_QH","ODT")</f>
        <v>0</v>
      </c>
      <c r="AS12" s="22">
        <f ca="1">+GETPIVOTDATA("XBG4",'binhgia (2016)'!$A$3,"MA_HT","CLN","MA_QH","TSC")</f>
        <v>0</v>
      </c>
      <c r="AT12" s="22">
        <f ca="1">+GETPIVOTDATA("XBG4",'binhgia (2016)'!$A$3,"MA_HT","CLN","MA_QH","DTS")</f>
        <v>0</v>
      </c>
      <c r="AU12" s="22">
        <f ca="1">+GETPIVOTDATA("XBG4",'binhgia (2016)'!$A$3,"MA_HT","CLN","MA_QH","DNG")</f>
        <v>0</v>
      </c>
      <c r="AV12" s="22">
        <f ca="1">+GETPIVOTDATA("XBG4",'binhgia (2016)'!$A$3,"MA_HT","CLN","MA_QH","TON")</f>
        <v>0</v>
      </c>
      <c r="AW12" s="22">
        <f ca="1">+GETPIVOTDATA("XBG4",'binhgia (2016)'!$A$3,"MA_HT","CLN","MA_QH","NTD")</f>
        <v>0</v>
      </c>
      <c r="AX12" s="22">
        <f ca="1">+GETPIVOTDATA("XBG4",'binhgia (2016)'!$A$3,"MA_HT","CLN","MA_QH","SKX")</f>
        <v>0</v>
      </c>
      <c r="AY12" s="22">
        <f ca="1">+GETPIVOTDATA("XBG4",'binhgia (2016)'!$A$3,"MA_HT","CLN","MA_QH","DSH")</f>
        <v>0</v>
      </c>
      <c r="AZ12" s="22">
        <f ca="1">+GETPIVOTDATA("XBG4",'binhgia (2016)'!$A$3,"MA_HT","CLN","MA_QH","DKV")</f>
        <v>0</v>
      </c>
      <c r="BA12" s="89">
        <f ca="1">+GETPIVOTDATA("XBG4",'binhgia (2016)'!$A$3,"MA_HT","CLN","MA_QH","TIN")</f>
        <v>0</v>
      </c>
      <c r="BB12" s="50">
        <f ca="1">+GETPIVOTDATA("XBG4",'binhgia (2016)'!$A$3,"MA_HT","CLN","MA_QH","SON")</f>
        <v>0</v>
      </c>
      <c r="BC12" s="50">
        <f ca="1">+GETPIVOTDATA("XBG4",'binhgia (2016)'!$A$3,"MA_HT","CLN","MA_QH","MNC")</f>
        <v>0</v>
      </c>
      <c r="BD12" s="22">
        <f ca="1">+GETPIVOTDATA("XBG4",'binhgia (2016)'!$A$3,"MA_HT","CLN","MA_QH","PNK")</f>
        <v>0</v>
      </c>
      <c r="BE12" s="71">
        <f ca="1">+GETPIVOTDATA("XBG4",'binhgia (2016)'!$A$3,"MA_HT","CLN","MA_QH","CSD")</f>
        <v>0</v>
      </c>
      <c r="BF12" s="74">
        <f ca="1" t="shared" si="7"/>
        <v>0</v>
      </c>
      <c r="BG12" s="101">
        <f ca="1">K$59-$BF12</f>
        <v>0</v>
      </c>
      <c r="BH12" s="41" t="e">
        <f ca="1" t="shared" si="8"/>
        <v>#REF!</v>
      </c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</row>
    <row r="13" s="2" customFormat="1" ht="15.75" customHeight="1" spans="1:79">
      <c r="A13" s="39" t="s">
        <v>8347</v>
      </c>
      <c r="B13" s="39" t="s">
        <v>8348</v>
      </c>
      <c r="C13" s="40" t="s">
        <v>8307</v>
      </c>
      <c r="D13" s="47" t="e">
        <f>+#REF!</f>
        <v>#REF!</v>
      </c>
      <c r="E13" s="42">
        <f ca="1">SUM(F13,J13:K13,M13:Q13)</f>
        <v>0</v>
      </c>
      <c r="F13" s="52">
        <f ca="1" t="shared" si="9"/>
        <v>0</v>
      </c>
      <c r="G13" s="22">
        <f ca="1">+GETPIVOTDATA("XBG4",'binhgia (2016)'!$A$3,"MA_HT","RSX","MA_QH","LUC")</f>
        <v>0</v>
      </c>
      <c r="H13" s="22">
        <f ca="1">+GETPIVOTDATA("XBG4",'binhgia (2016)'!$A$3,"MA_HT","RSX","MA_QH","LUK")</f>
        <v>0</v>
      </c>
      <c r="I13" s="22">
        <f ca="1">+GETPIVOTDATA("XBG4",'binhgia (2016)'!$A$3,"MA_HT","RSX","MA_QH","LUN")</f>
        <v>0</v>
      </c>
      <c r="J13" s="22">
        <f ca="1">+GETPIVOTDATA("XBG4",'binhgia (2016)'!$A$3,"MA_HT","RSX","MA_QH","HNK")</f>
        <v>0</v>
      </c>
      <c r="K13" s="22">
        <f ca="1">+GETPIVOTDATA("XBG4",'binhgia (2016)'!$A$3,"MA_HT","RSX","MA_QH","CLN")</f>
        <v>0</v>
      </c>
      <c r="L13" s="43" t="e">
        <f ca="1">$D13-$BF13</f>
        <v>#REF!</v>
      </c>
      <c r="M13" s="22">
        <f ca="1">+GETPIVOTDATA("XBG4",'binhgia (2016)'!$A$3,"MA_HT","RSX","MA_QH","RPH")</f>
        <v>0</v>
      </c>
      <c r="N13" s="22">
        <f ca="1">+GETPIVOTDATA("XBG4",'binhgia (2016)'!$A$3,"MA_HT","RSX","MA_QH","RDD")</f>
        <v>0</v>
      </c>
      <c r="O13" s="22">
        <f ca="1">+GETPIVOTDATA("XBG4",'binhgia (2016)'!$A$3,"MA_HT","RSX","MA_QH","NTS")</f>
        <v>0</v>
      </c>
      <c r="P13" s="22">
        <f ca="1">+GETPIVOTDATA("XBG4",'binhgia (2016)'!$A$3,"MA_HT","RSX","MA_QH","LMU")</f>
        <v>0</v>
      </c>
      <c r="Q13" s="22">
        <f ca="1">+GETPIVOTDATA("XBG4",'binhgia (2016)'!$A$3,"MA_HT","RSX","MA_QH","NKH")</f>
        <v>0</v>
      </c>
      <c r="R13" s="42">
        <f ca="1" t="shared" si="2"/>
        <v>0</v>
      </c>
      <c r="S13" s="22">
        <f ca="1">+GETPIVOTDATA("XBG4",'binhgia (2016)'!$A$3,"MA_HT","RSX","MA_QH","CQP")</f>
        <v>0</v>
      </c>
      <c r="T13" s="22">
        <f ca="1">+GETPIVOTDATA("XBG4",'binhgia (2016)'!$A$3,"MA_HT","RSX","MA_QH","CAN")</f>
        <v>0</v>
      </c>
      <c r="U13" s="22">
        <f ca="1">+GETPIVOTDATA("XBG4",'binhgia (2016)'!$A$3,"MA_HT","RSX","MA_QH","SKK")</f>
        <v>0</v>
      </c>
      <c r="V13" s="22">
        <f ca="1">+GETPIVOTDATA("XBG4",'binhgia (2016)'!$A$3,"MA_HT","RSX","MA_QH","SKT")</f>
        <v>0</v>
      </c>
      <c r="W13" s="22">
        <f ca="1">+GETPIVOTDATA("XBG4",'binhgia (2016)'!$A$3,"MA_HT","RSX","MA_QH","SKN")</f>
        <v>0</v>
      </c>
      <c r="X13" s="22">
        <f ca="1">+GETPIVOTDATA("XBG4",'binhgia (2016)'!$A$3,"MA_HT","RSX","MA_QH","TMD")</f>
        <v>0</v>
      </c>
      <c r="Y13" s="22">
        <f ca="1">+GETPIVOTDATA("XBG4",'binhgia (2016)'!$A$3,"MA_HT","RSX","MA_QH","SKC")</f>
        <v>0</v>
      </c>
      <c r="Z13" s="22">
        <f ca="1">+GETPIVOTDATA("XBG4",'binhgia (2016)'!$A$3,"MA_HT","RSX","MA_QH","SKS")</f>
        <v>0</v>
      </c>
      <c r="AA13" s="52">
        <f ca="1" t="shared" si="4"/>
        <v>0</v>
      </c>
      <c r="AB13" s="22">
        <f ca="1">+GETPIVOTDATA("XBG4",'binhgia (2016)'!$A$3,"MA_HT","RSX","MA_QH","DGT")</f>
        <v>0</v>
      </c>
      <c r="AC13" s="22">
        <f ca="1">+GETPIVOTDATA("XBG4",'binhgia (2016)'!$A$3,"MA_HT","RSX","MA_QH","DTL")</f>
        <v>0</v>
      </c>
      <c r="AD13" s="22">
        <f ca="1">+GETPIVOTDATA("XBG4",'binhgia (2016)'!$A$3,"MA_HT","RSX","MA_QH","DNL")</f>
        <v>0</v>
      </c>
      <c r="AE13" s="22">
        <f ca="1">+GETPIVOTDATA("XBG4",'binhgia (2016)'!$A$3,"MA_HT","RSX","MA_QH","DBV")</f>
        <v>0</v>
      </c>
      <c r="AF13" s="22">
        <f ca="1">+GETPIVOTDATA("XBG4",'binhgia (2016)'!$A$3,"MA_HT","RSX","MA_QH","DVH")</f>
        <v>0</v>
      </c>
      <c r="AG13" s="22">
        <f ca="1">+GETPIVOTDATA("XBG4",'binhgia (2016)'!$A$3,"MA_HT","RSX","MA_QH","DYT")</f>
        <v>0</v>
      </c>
      <c r="AH13" s="22">
        <f ca="1">+GETPIVOTDATA("XBG4",'binhgia (2016)'!$A$3,"MA_HT","RSX","MA_QH","DGD")</f>
        <v>0</v>
      </c>
      <c r="AI13" s="22">
        <f ca="1">+GETPIVOTDATA("XBG4",'binhgia (2016)'!$A$3,"MA_HT","RSX","MA_QH","DTT")</f>
        <v>0</v>
      </c>
      <c r="AJ13" s="22">
        <f ca="1">+GETPIVOTDATA("XBG4",'binhgia (2016)'!$A$3,"MA_HT","RSX","MA_QH","NCK")</f>
        <v>0</v>
      </c>
      <c r="AK13" s="22">
        <f ca="1">+GETPIVOTDATA("XBG4",'binhgia (2016)'!$A$3,"MA_HT","RSX","MA_QH","DXH")</f>
        <v>0</v>
      </c>
      <c r="AL13" s="22">
        <f ca="1">+GETPIVOTDATA("XBG4",'binhgia (2016)'!$A$3,"MA_HT","RSX","MA_QH","DCH")</f>
        <v>0</v>
      </c>
      <c r="AM13" s="22">
        <f ca="1">+GETPIVOTDATA("XBG4",'binhgia (2016)'!$A$3,"MA_HT","RSX","MA_QH","DKG")</f>
        <v>0</v>
      </c>
      <c r="AN13" s="22">
        <f ca="1">+GETPIVOTDATA("XBG4",'binhgia (2016)'!$A$3,"MA_HT","RSX","MA_QH","DDT")</f>
        <v>0</v>
      </c>
      <c r="AO13" s="22">
        <f ca="1">+GETPIVOTDATA("XBG4",'binhgia (2016)'!$A$3,"MA_HT","RSX","MA_QH","DDL")</f>
        <v>0</v>
      </c>
      <c r="AP13" s="22">
        <f ca="1">+GETPIVOTDATA("XBG4",'binhgia (2016)'!$A$3,"MA_HT","RSX","MA_QH","DRA")</f>
        <v>0</v>
      </c>
      <c r="AQ13" s="22">
        <f ca="1">+GETPIVOTDATA("XBG4",'binhgia (2016)'!$A$3,"MA_HT","RSX","MA_QH","ONT")</f>
        <v>0</v>
      </c>
      <c r="AR13" s="22">
        <f ca="1">+GETPIVOTDATA("XBG4",'binhgia (2016)'!$A$3,"MA_HT","RSX","MA_QH","ODT")</f>
        <v>0</v>
      </c>
      <c r="AS13" s="22">
        <f ca="1">+GETPIVOTDATA("XBG4",'binhgia (2016)'!$A$3,"MA_HT","RSX","MA_QH","TSC")</f>
        <v>0</v>
      </c>
      <c r="AT13" s="22">
        <f ca="1">+GETPIVOTDATA("XBG4",'binhgia (2016)'!$A$3,"MA_HT","RSX","MA_QH","DTS")</f>
        <v>0</v>
      </c>
      <c r="AU13" s="22">
        <f ca="1">+GETPIVOTDATA("XBG4",'binhgia (2016)'!$A$3,"MA_HT","RSX","MA_QH","DNG")</f>
        <v>0</v>
      </c>
      <c r="AV13" s="22">
        <f ca="1">+GETPIVOTDATA("XBG4",'binhgia (2016)'!$A$3,"MA_HT","RSX","MA_QH","TON")</f>
        <v>0</v>
      </c>
      <c r="AW13" s="22">
        <f ca="1">+GETPIVOTDATA("XBG4",'binhgia (2016)'!$A$3,"MA_HT","RSX","MA_QH","NTD")</f>
        <v>0</v>
      </c>
      <c r="AX13" s="22">
        <f ca="1">+GETPIVOTDATA("XBG4",'binhgia (2016)'!$A$3,"MA_HT","RSX","MA_QH","SKX")</f>
        <v>0</v>
      </c>
      <c r="AY13" s="22">
        <f ca="1">+GETPIVOTDATA("XBG4",'binhgia (2016)'!$A$3,"MA_HT","RSX","MA_QH","DSH")</f>
        <v>0</v>
      </c>
      <c r="AZ13" s="22">
        <f ca="1">+GETPIVOTDATA("XBG4",'binhgia (2016)'!$A$3,"MA_HT","RSX","MA_QH","DKV")</f>
        <v>0</v>
      </c>
      <c r="BA13" s="89">
        <f ca="1">+GETPIVOTDATA("XBG4",'binhgia (2016)'!$A$3,"MA_HT","RSX","MA_QH","TIN")</f>
        <v>0</v>
      </c>
      <c r="BB13" s="50">
        <f ca="1">+GETPIVOTDATA("XBG4",'binhgia (2016)'!$A$3,"MA_HT","RSX","MA_QH","SON")</f>
        <v>0</v>
      </c>
      <c r="BC13" s="50">
        <f ca="1">+GETPIVOTDATA("XBG4",'binhgia (2016)'!$A$3,"MA_HT","RSX","MA_QH","MNC")</f>
        <v>0</v>
      </c>
      <c r="BD13" s="22">
        <f ca="1">+GETPIVOTDATA("XBG4",'binhgia (2016)'!$A$3,"MA_HT","RSX","MA_QH","PNK")</f>
        <v>0</v>
      </c>
      <c r="BE13" s="71">
        <f ca="1">+GETPIVOTDATA("XBG4",'binhgia (2016)'!$A$3,"MA_HT","RSX","MA_QH","CSD")</f>
        <v>0</v>
      </c>
      <c r="BF13" s="74">
        <f ca="1" t="shared" si="7"/>
        <v>0</v>
      </c>
      <c r="BG13" s="101">
        <f ca="1">L$59-$BF13</f>
        <v>0</v>
      </c>
      <c r="BH13" s="41" t="e">
        <f ca="1" t="shared" si="8"/>
        <v>#REF!</v>
      </c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</row>
    <row r="14" s="2" customFormat="1" ht="15.75" customHeight="1" spans="1:79">
      <c r="A14" s="39" t="s">
        <v>8349</v>
      </c>
      <c r="B14" s="39" t="s">
        <v>8350</v>
      </c>
      <c r="C14" s="40" t="s">
        <v>8306</v>
      </c>
      <c r="D14" s="47" t="e">
        <f>+#REF!</f>
        <v>#REF!</v>
      </c>
      <c r="E14" s="42">
        <f ca="1">SUM(F14,J14:L14,N14:Q14)</f>
        <v>0</v>
      </c>
      <c r="F14" s="52">
        <f ca="1" t="shared" si="9"/>
        <v>0</v>
      </c>
      <c r="G14" s="22">
        <f ca="1">+GETPIVOTDATA("XBG4",'binhgia (2016)'!$A$3,"MA_HT","RPH","MA_QH","LUC")</f>
        <v>0</v>
      </c>
      <c r="H14" s="22">
        <f ca="1">+GETPIVOTDATA("XBG4",'binhgia (2016)'!$A$3,"MA_HT","RPH","MA_QH","LUK")</f>
        <v>0</v>
      </c>
      <c r="I14" s="22">
        <f ca="1">+GETPIVOTDATA("XBG4",'binhgia (2016)'!$A$3,"MA_HT","RPH","MA_QH","LUN")</f>
        <v>0</v>
      </c>
      <c r="J14" s="22">
        <f ca="1">+GETPIVOTDATA("XBG4",'binhgia (2016)'!$A$3,"MA_HT","RPH","MA_QH","HNK")</f>
        <v>0</v>
      </c>
      <c r="K14" s="22">
        <f ca="1">+GETPIVOTDATA("XBG4",'binhgia (2016)'!$A$3,"MA_HT","RPH","MA_QH","CLN")</f>
        <v>0</v>
      </c>
      <c r="L14" s="22">
        <f ca="1">+GETPIVOTDATA("XBG4",'binhgia (2016)'!$A$3,"MA_HT","RPH","MA_QH","RSX")</f>
        <v>0</v>
      </c>
      <c r="M14" s="43" t="e">
        <f ca="1">$D14-$BF14</f>
        <v>#REF!</v>
      </c>
      <c r="N14" s="22">
        <f ca="1">+GETPIVOTDATA("XBG4",'binhgia (2016)'!$A$3,"MA_HT","RPH","MA_QH","RDD")</f>
        <v>0</v>
      </c>
      <c r="O14" s="22">
        <f ca="1">+GETPIVOTDATA("XBG4",'binhgia (2016)'!$A$3,"MA_HT","RPH","MA_QH","NTS")</f>
        <v>0</v>
      </c>
      <c r="P14" s="22">
        <f ca="1">+GETPIVOTDATA("XBG4",'binhgia (2016)'!$A$3,"MA_HT","RPH","MA_QH","LMU")</f>
        <v>0</v>
      </c>
      <c r="Q14" s="22">
        <f ca="1">+GETPIVOTDATA("XBG4",'binhgia (2016)'!$A$3,"MA_HT","RPH","MA_QH","NKH")</f>
        <v>0</v>
      </c>
      <c r="R14" s="42">
        <f ca="1" t="shared" si="2"/>
        <v>0</v>
      </c>
      <c r="S14" s="22">
        <f ca="1">+GETPIVOTDATA("XBG4",'binhgia (2016)'!$A$3,"MA_HT","RPH","MA_QH","CQP")</f>
        <v>0</v>
      </c>
      <c r="T14" s="22">
        <f ca="1">+GETPIVOTDATA("XBG4",'binhgia (2016)'!$A$3,"MA_HT","RPH","MA_QH","CAN")</f>
        <v>0</v>
      </c>
      <c r="U14" s="22">
        <f ca="1">+GETPIVOTDATA("XBG4",'binhgia (2016)'!$A$3,"MA_HT","RPH","MA_QH","SKK")</f>
        <v>0</v>
      </c>
      <c r="V14" s="22">
        <f ca="1">+GETPIVOTDATA("XBG4",'binhgia (2016)'!$A$3,"MA_HT","RPH","MA_QH","SKT")</f>
        <v>0</v>
      </c>
      <c r="W14" s="22">
        <f ca="1">+GETPIVOTDATA("XBG4",'binhgia (2016)'!$A$3,"MA_HT","RPH","MA_QH","SKN")</f>
        <v>0</v>
      </c>
      <c r="X14" s="22">
        <f ca="1">+GETPIVOTDATA("XBG4",'binhgia (2016)'!$A$3,"MA_HT","RPH","MA_QH","TMD")</f>
        <v>0</v>
      </c>
      <c r="Y14" s="22">
        <f ca="1">+GETPIVOTDATA("XBG4",'binhgia (2016)'!$A$3,"MA_HT","RPH","MA_QH","SKC")</f>
        <v>0</v>
      </c>
      <c r="Z14" s="22">
        <f ca="1">+GETPIVOTDATA("XBG4",'binhgia (2016)'!$A$3,"MA_HT","RPH","MA_QH","SKS")</f>
        <v>0</v>
      </c>
      <c r="AA14" s="52">
        <f ca="1" t="shared" si="4"/>
        <v>0</v>
      </c>
      <c r="AB14" s="22">
        <f ca="1">+GETPIVOTDATA("XBG4",'binhgia (2016)'!$A$3,"MA_HT","RPH","MA_QH","DGT")</f>
        <v>0</v>
      </c>
      <c r="AC14" s="22">
        <f ca="1">+GETPIVOTDATA("XBG4",'binhgia (2016)'!$A$3,"MA_HT","RPH","MA_QH","DTL")</f>
        <v>0</v>
      </c>
      <c r="AD14" s="22">
        <f ca="1">+GETPIVOTDATA("XBG4",'binhgia (2016)'!$A$3,"MA_HT","RPH","MA_QH","DNL")</f>
        <v>0</v>
      </c>
      <c r="AE14" s="22">
        <f ca="1">+GETPIVOTDATA("XBG4",'binhgia (2016)'!$A$3,"MA_HT","RPH","MA_QH","DBV")</f>
        <v>0</v>
      </c>
      <c r="AF14" s="22">
        <f ca="1">+GETPIVOTDATA("XBG4",'binhgia (2016)'!$A$3,"MA_HT","RPH","MA_QH","DVH")</f>
        <v>0</v>
      </c>
      <c r="AG14" s="22">
        <f ca="1">+GETPIVOTDATA("XBG4",'binhgia (2016)'!$A$3,"MA_HT","RPH","MA_QH","DYT")</f>
        <v>0</v>
      </c>
      <c r="AH14" s="22">
        <f ca="1">+GETPIVOTDATA("XBG4",'binhgia (2016)'!$A$3,"MA_HT","RPH","MA_QH","DGD")</f>
        <v>0</v>
      </c>
      <c r="AI14" s="22">
        <f ca="1">+GETPIVOTDATA("XBG4",'binhgia (2016)'!$A$3,"MA_HT","RPH","MA_QH","DTT")</f>
        <v>0</v>
      </c>
      <c r="AJ14" s="22">
        <f ca="1">+GETPIVOTDATA("XBG4",'binhgia (2016)'!$A$3,"MA_HT","RPH","MA_QH","NCK")</f>
        <v>0</v>
      </c>
      <c r="AK14" s="22">
        <f ca="1">+GETPIVOTDATA("XBG4",'binhgia (2016)'!$A$3,"MA_HT","RPH","MA_QH","DXH")</f>
        <v>0</v>
      </c>
      <c r="AL14" s="22">
        <f ca="1">+GETPIVOTDATA("XBG4",'binhgia (2016)'!$A$3,"MA_HT","RPH","MA_QH","DCH")</f>
        <v>0</v>
      </c>
      <c r="AM14" s="22">
        <f ca="1">+GETPIVOTDATA("XBG4",'binhgia (2016)'!$A$3,"MA_HT","RPH","MA_QH","DKG")</f>
        <v>0</v>
      </c>
      <c r="AN14" s="22">
        <f ca="1">+GETPIVOTDATA("XBG4",'binhgia (2016)'!$A$3,"MA_HT","RPH","MA_QH","DDT")</f>
        <v>0</v>
      </c>
      <c r="AO14" s="22">
        <f ca="1">+GETPIVOTDATA("XBG4",'binhgia (2016)'!$A$3,"MA_HT","RPH","MA_QH","DDL")</f>
        <v>0</v>
      </c>
      <c r="AP14" s="22">
        <f ca="1">+GETPIVOTDATA("XBG4",'binhgia (2016)'!$A$3,"MA_HT","RPH","MA_QH","DRA")</f>
        <v>0</v>
      </c>
      <c r="AQ14" s="22">
        <f ca="1">+GETPIVOTDATA("XBG4",'binhgia (2016)'!$A$3,"MA_HT","RPH","MA_QH","ONT")</f>
        <v>0</v>
      </c>
      <c r="AR14" s="22">
        <f ca="1">+GETPIVOTDATA("XBG4",'binhgia (2016)'!$A$3,"MA_HT","RPH","MA_QH","ODT")</f>
        <v>0</v>
      </c>
      <c r="AS14" s="22">
        <f ca="1">+GETPIVOTDATA("XBG4",'binhgia (2016)'!$A$3,"MA_HT","RPH","MA_QH","TSC")</f>
        <v>0</v>
      </c>
      <c r="AT14" s="22">
        <f ca="1">+GETPIVOTDATA("XBG4",'binhgia (2016)'!$A$3,"MA_HT","RPH","MA_QH","DTS")</f>
        <v>0</v>
      </c>
      <c r="AU14" s="22">
        <f ca="1">+GETPIVOTDATA("XBG4",'binhgia (2016)'!$A$3,"MA_HT","RPH","MA_QH","DNG")</f>
        <v>0</v>
      </c>
      <c r="AV14" s="22">
        <f ca="1">+GETPIVOTDATA("XBG4",'binhgia (2016)'!$A$3,"MA_HT","RPH","MA_QH","TON")</f>
        <v>0</v>
      </c>
      <c r="AW14" s="22">
        <f ca="1">+GETPIVOTDATA("XBG4",'binhgia (2016)'!$A$3,"MA_HT","RPH","MA_QH","NTD")</f>
        <v>0</v>
      </c>
      <c r="AX14" s="22">
        <f ca="1">+GETPIVOTDATA("XBG4",'binhgia (2016)'!$A$3,"MA_HT","RPH","MA_QH","SKX")</f>
        <v>0</v>
      </c>
      <c r="AY14" s="22">
        <f ca="1">+GETPIVOTDATA("XBG4",'binhgia (2016)'!$A$3,"MA_HT","RPH","MA_QH","DSH")</f>
        <v>0</v>
      </c>
      <c r="AZ14" s="22">
        <f ca="1">+GETPIVOTDATA("XBG4",'binhgia (2016)'!$A$3,"MA_HT","RPH","MA_QH","DKV")</f>
        <v>0</v>
      </c>
      <c r="BA14" s="89">
        <f ca="1">+GETPIVOTDATA("XBG4",'binhgia (2016)'!$A$3,"MA_HT","RPH","MA_QH","TIN")</f>
        <v>0</v>
      </c>
      <c r="BB14" s="50">
        <f ca="1">+GETPIVOTDATA("XBG4",'binhgia (2016)'!$A$3,"MA_HT","RPH","MA_QH","SON")</f>
        <v>0</v>
      </c>
      <c r="BC14" s="50">
        <f ca="1">+GETPIVOTDATA("XBG4",'binhgia (2016)'!$A$3,"MA_HT","RPH","MA_QH","MNC")</f>
        <v>0</v>
      </c>
      <c r="BD14" s="22">
        <f ca="1">+GETPIVOTDATA("XBG4",'binhgia (2016)'!$A$3,"MA_HT","RPH","MA_QH","PNK")</f>
        <v>0</v>
      </c>
      <c r="BE14" s="71">
        <f ca="1">+GETPIVOTDATA("XBG4",'binhgia (2016)'!$A$3,"MA_HT","RPH","MA_QH","CSD")</f>
        <v>0</v>
      </c>
      <c r="BF14" s="74">
        <f ca="1" t="shared" si="7"/>
        <v>0</v>
      </c>
      <c r="BG14" s="101">
        <f ca="1">M$59-$BF14</f>
        <v>0</v>
      </c>
      <c r="BH14" s="41" t="e">
        <f ca="1" t="shared" si="8"/>
        <v>#REF!</v>
      </c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</row>
    <row r="15" s="2" customFormat="1" ht="15.75" customHeight="1" spans="1:79">
      <c r="A15" s="39" t="s">
        <v>8351</v>
      </c>
      <c r="B15" s="39" t="s">
        <v>8352</v>
      </c>
      <c r="C15" s="40" t="s">
        <v>8305</v>
      </c>
      <c r="D15" s="47" t="e">
        <f>+#REF!</f>
        <v>#REF!</v>
      </c>
      <c r="E15" s="42">
        <f ca="1">SUM(F15,J15:M15,O15:Q15)</f>
        <v>0</v>
      </c>
      <c r="F15" s="52">
        <f ca="1" t="shared" si="9"/>
        <v>0</v>
      </c>
      <c r="G15" s="22">
        <f ca="1">+GETPIVOTDATA("XBG4",'binhgia (2016)'!$A$3,"MA_HT","RDD","MA_QH","LUC")</f>
        <v>0</v>
      </c>
      <c r="H15" s="22">
        <f ca="1">+GETPIVOTDATA("XBG4",'binhgia (2016)'!$A$3,"MA_HT","RDD","MA_QH","LUK")</f>
        <v>0</v>
      </c>
      <c r="I15" s="22">
        <f ca="1">+GETPIVOTDATA("XBG4",'binhgia (2016)'!$A$3,"MA_HT","RDD","MA_QH","LUN")</f>
        <v>0</v>
      </c>
      <c r="J15" s="22">
        <f ca="1">+GETPIVOTDATA("XBG4",'binhgia (2016)'!$A$3,"MA_HT","RDD","MA_QH","HNK")</f>
        <v>0</v>
      </c>
      <c r="K15" s="22">
        <f ca="1">+GETPIVOTDATA("XBG4",'binhgia (2016)'!$A$3,"MA_HT","RDD","MA_QH","CLN")</f>
        <v>0</v>
      </c>
      <c r="L15" s="22">
        <f ca="1">+GETPIVOTDATA("XBG4",'binhgia (2016)'!$A$3,"MA_HT","RDD","MA_QH","RSX")</f>
        <v>0</v>
      </c>
      <c r="M15" s="22">
        <f ca="1">+GETPIVOTDATA("XBG4",'binhgia (2016)'!$A$3,"MA_HT","RDD","MA_QH","RPH")</f>
        <v>0</v>
      </c>
      <c r="N15" s="43" t="e">
        <f ca="1">$D15-$BF15</f>
        <v>#REF!</v>
      </c>
      <c r="O15" s="22">
        <f ca="1">+GETPIVOTDATA("XBG4",'binhgia (2016)'!$A$3,"MA_HT","RDD","MA_QH","NTS")</f>
        <v>0</v>
      </c>
      <c r="P15" s="22">
        <f ca="1">+GETPIVOTDATA("XBG4",'binhgia (2016)'!$A$3,"MA_HT","RDD","MA_QH","LMU")</f>
        <v>0</v>
      </c>
      <c r="Q15" s="22">
        <f ca="1">+GETPIVOTDATA("XBG4",'binhgia (2016)'!$A$3,"MA_HT","RDD","MA_QH","NKH")</f>
        <v>0</v>
      </c>
      <c r="R15" s="42">
        <f ca="1" t="shared" si="2"/>
        <v>0</v>
      </c>
      <c r="S15" s="22">
        <f ca="1">+GETPIVOTDATA("XBG4",'binhgia (2016)'!$A$3,"MA_HT","RDD","MA_QH","CQP")</f>
        <v>0</v>
      </c>
      <c r="T15" s="22">
        <f ca="1">+GETPIVOTDATA("XBG4",'binhgia (2016)'!$A$3,"MA_HT","RDD","MA_QH","CAN")</f>
        <v>0</v>
      </c>
      <c r="U15" s="22">
        <f ca="1">+GETPIVOTDATA("XBG4",'binhgia (2016)'!$A$3,"MA_HT","RDD","MA_QH","SKK")</f>
        <v>0</v>
      </c>
      <c r="V15" s="22">
        <f ca="1">+GETPIVOTDATA("XBG4",'binhgia (2016)'!$A$3,"MA_HT","RDD","MA_QH","SKT")</f>
        <v>0</v>
      </c>
      <c r="W15" s="22">
        <f ca="1">+GETPIVOTDATA("XBG4",'binhgia (2016)'!$A$3,"MA_HT","RDD","MA_QH","SKN")</f>
        <v>0</v>
      </c>
      <c r="X15" s="22">
        <f ca="1">+GETPIVOTDATA("XBG4",'binhgia (2016)'!$A$3,"MA_HT","RDD","MA_QH","TMD")</f>
        <v>0</v>
      </c>
      <c r="Y15" s="22">
        <f ca="1">+GETPIVOTDATA("XBG4",'binhgia (2016)'!$A$3,"MA_HT","RDD","MA_QH","SKC")</f>
        <v>0</v>
      </c>
      <c r="Z15" s="22">
        <f ca="1">+GETPIVOTDATA("XBG4",'binhgia (2016)'!$A$3,"MA_HT","RDD","MA_QH","SKS")</f>
        <v>0</v>
      </c>
      <c r="AA15" s="52">
        <f ca="1" t="shared" si="4"/>
        <v>0</v>
      </c>
      <c r="AB15" s="22">
        <f ca="1">+GETPIVOTDATA("XBG4",'binhgia (2016)'!$A$3,"MA_HT","RDD","MA_QH","DGT")</f>
        <v>0</v>
      </c>
      <c r="AC15" s="22">
        <f ca="1">+GETPIVOTDATA("XBG4",'binhgia (2016)'!$A$3,"MA_HT","RDD","MA_QH","DTL")</f>
        <v>0</v>
      </c>
      <c r="AD15" s="22">
        <f ca="1">+GETPIVOTDATA("XBG4",'binhgia (2016)'!$A$3,"MA_HT","RDD","MA_QH","DNL")</f>
        <v>0</v>
      </c>
      <c r="AE15" s="22">
        <f ca="1">+GETPIVOTDATA("XBG4",'binhgia (2016)'!$A$3,"MA_HT","RDD","MA_QH","DBV")</f>
        <v>0</v>
      </c>
      <c r="AF15" s="22">
        <f ca="1">+GETPIVOTDATA("XBG4",'binhgia (2016)'!$A$3,"MA_HT","RDD","MA_QH","DVH")</f>
        <v>0</v>
      </c>
      <c r="AG15" s="22">
        <f ca="1">+GETPIVOTDATA("XBG4",'binhgia (2016)'!$A$3,"MA_HT","RDD","MA_QH","DYT")</f>
        <v>0</v>
      </c>
      <c r="AH15" s="22">
        <f ca="1">+GETPIVOTDATA("XBG4",'binhgia (2016)'!$A$3,"MA_HT","RDD","MA_QH","DGD")</f>
        <v>0</v>
      </c>
      <c r="AI15" s="22">
        <f ca="1">+GETPIVOTDATA("XBG4",'binhgia (2016)'!$A$3,"MA_HT","RDD","MA_QH","DTT")</f>
        <v>0</v>
      </c>
      <c r="AJ15" s="22">
        <f ca="1">+GETPIVOTDATA("XBG4",'binhgia (2016)'!$A$3,"MA_HT","RDD","MA_QH","NCK")</f>
        <v>0</v>
      </c>
      <c r="AK15" s="22">
        <f ca="1">+GETPIVOTDATA("XBG4",'binhgia (2016)'!$A$3,"MA_HT","RDD","MA_QH","DXH")</f>
        <v>0</v>
      </c>
      <c r="AL15" s="22">
        <f ca="1">+GETPIVOTDATA("XBG4",'binhgia (2016)'!$A$3,"MA_HT","RDD","MA_QH","DCH")</f>
        <v>0</v>
      </c>
      <c r="AM15" s="22">
        <f ca="1">+GETPIVOTDATA("XBG4",'binhgia (2016)'!$A$3,"MA_HT","RDD","MA_QH","DKG")</f>
        <v>0</v>
      </c>
      <c r="AN15" s="22">
        <f ca="1">+GETPIVOTDATA("XBG4",'binhgia (2016)'!$A$3,"MA_HT","RDD","MA_QH","DDT")</f>
        <v>0</v>
      </c>
      <c r="AO15" s="22">
        <f ca="1">+GETPIVOTDATA("XBG4",'binhgia (2016)'!$A$3,"MA_HT","RDD","MA_QH","DDL")</f>
        <v>0</v>
      </c>
      <c r="AP15" s="22">
        <f ca="1">+GETPIVOTDATA("XBG4",'binhgia (2016)'!$A$3,"MA_HT","RDD","MA_QH","DRA")</f>
        <v>0</v>
      </c>
      <c r="AQ15" s="22">
        <f ca="1">+GETPIVOTDATA("XBG4",'binhgia (2016)'!$A$3,"MA_HT","RDD","MA_QH","ONT")</f>
        <v>0</v>
      </c>
      <c r="AR15" s="22">
        <f ca="1">+GETPIVOTDATA("XBG4",'binhgia (2016)'!$A$3,"MA_HT","RDD","MA_QH","ODT")</f>
        <v>0</v>
      </c>
      <c r="AS15" s="22">
        <f ca="1">+GETPIVOTDATA("XBG4",'binhgia (2016)'!$A$3,"MA_HT","RDD","MA_QH","TSC")</f>
        <v>0</v>
      </c>
      <c r="AT15" s="22">
        <f ca="1">+GETPIVOTDATA("XBG4",'binhgia (2016)'!$A$3,"MA_HT","RDD","MA_QH","DTS")</f>
        <v>0</v>
      </c>
      <c r="AU15" s="22">
        <f ca="1">+GETPIVOTDATA("XBG4",'binhgia (2016)'!$A$3,"MA_HT","RDD","MA_QH","DNG")</f>
        <v>0</v>
      </c>
      <c r="AV15" s="22">
        <f ca="1">+GETPIVOTDATA("XBG4",'binhgia (2016)'!$A$3,"MA_HT","RDD","MA_QH","TON")</f>
        <v>0</v>
      </c>
      <c r="AW15" s="22">
        <f ca="1">+GETPIVOTDATA("XBG4",'binhgia (2016)'!$A$3,"MA_HT","RDD","MA_QH","NTD")</f>
        <v>0</v>
      </c>
      <c r="AX15" s="22">
        <f ca="1">+GETPIVOTDATA("XBG4",'binhgia (2016)'!$A$3,"MA_HT","RDD","MA_QH","SKX")</f>
        <v>0</v>
      </c>
      <c r="AY15" s="22">
        <f ca="1">+GETPIVOTDATA("XBG4",'binhgia (2016)'!$A$3,"MA_HT","RDD","MA_QH","DSH")</f>
        <v>0</v>
      </c>
      <c r="AZ15" s="22">
        <f ca="1">+GETPIVOTDATA("XBG4",'binhgia (2016)'!$A$3,"MA_HT","RDD","MA_QH","DKV")</f>
        <v>0</v>
      </c>
      <c r="BA15" s="89">
        <f ca="1">+GETPIVOTDATA("XBG4",'binhgia (2016)'!$A$3,"MA_HT","RDD","MA_QH","TIN")</f>
        <v>0</v>
      </c>
      <c r="BB15" s="50">
        <f ca="1">+GETPIVOTDATA("XBG4",'binhgia (2016)'!$A$3,"MA_HT","RDD","MA_QH","SON")</f>
        <v>0</v>
      </c>
      <c r="BC15" s="50">
        <f ca="1">+GETPIVOTDATA("XBG4",'binhgia (2016)'!$A$3,"MA_HT","RDD","MA_QH","MNC")</f>
        <v>0</v>
      </c>
      <c r="BD15" s="22">
        <f ca="1">+GETPIVOTDATA("XBG4",'binhgia (2016)'!$A$3,"MA_HT","RDD","MA_QH","PNK")</f>
        <v>0</v>
      </c>
      <c r="BE15" s="71">
        <f ca="1">+GETPIVOTDATA("XBG4",'binhgia (2016)'!$A$3,"MA_HT","RDD","MA_QH","CSD")</f>
        <v>0</v>
      </c>
      <c r="BF15" s="74">
        <f ca="1" t="shared" si="7"/>
        <v>0</v>
      </c>
      <c r="BG15" s="101">
        <f ca="1">N$59-$BF15</f>
        <v>0</v>
      </c>
      <c r="BH15" s="41" t="e">
        <f ca="1" t="shared" si="8"/>
        <v>#REF!</v>
      </c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</row>
    <row r="16" s="2" customFormat="1" ht="15.75" customHeight="1" spans="1:79">
      <c r="A16" s="39" t="s">
        <v>8353</v>
      </c>
      <c r="B16" s="39" t="s">
        <v>8354</v>
      </c>
      <c r="C16" s="40" t="s">
        <v>318</v>
      </c>
      <c r="D16" s="47" t="e">
        <f>+#REF!</f>
        <v>#REF!</v>
      </c>
      <c r="E16" s="42">
        <f ca="1">SUM(F16,J16:N16,P16:Q16)</f>
        <v>0</v>
      </c>
      <c r="F16" s="52">
        <f ca="1" t="shared" si="9"/>
        <v>0</v>
      </c>
      <c r="G16" s="22">
        <f ca="1">+GETPIVOTDATA("XBG4",'binhgia (2016)'!$A$3,"MA_HT","NTS","MA_QH","LUC")</f>
        <v>0</v>
      </c>
      <c r="H16" s="22">
        <f ca="1">+GETPIVOTDATA("XBG4",'binhgia (2016)'!$A$3,"MA_HT","NTS","MA_QH","LUK")</f>
        <v>0</v>
      </c>
      <c r="I16" s="22">
        <f ca="1">+GETPIVOTDATA("XBG4",'binhgia (2016)'!$A$3,"MA_HT","NTS","MA_QH","LUN")</f>
        <v>0</v>
      </c>
      <c r="J16" s="22">
        <f ca="1">+GETPIVOTDATA("XBG4",'binhgia (2016)'!$A$3,"MA_HT","NTS","MA_QH","HNK")</f>
        <v>0</v>
      </c>
      <c r="K16" s="22">
        <f ca="1">+GETPIVOTDATA("XBG4",'binhgia (2016)'!$A$3,"MA_HT","NTS","MA_QH","CLN")</f>
        <v>0</v>
      </c>
      <c r="L16" s="22">
        <f ca="1">+GETPIVOTDATA("XBG4",'binhgia (2016)'!$A$3,"MA_HT","NTS","MA_QH","RSX")</f>
        <v>0</v>
      </c>
      <c r="M16" s="22">
        <f ca="1">+GETPIVOTDATA("XBG4",'binhgia (2016)'!$A$3,"MA_HT","NTS","MA_QH","RPH")</f>
        <v>0</v>
      </c>
      <c r="N16" s="22">
        <f ca="1">+GETPIVOTDATA("XBG4",'binhgia (2016)'!$A$3,"MA_HT","NTS","MA_QH","RDD")</f>
        <v>0</v>
      </c>
      <c r="O16" s="43" t="e">
        <f ca="1">$D16-$BF16</f>
        <v>#REF!</v>
      </c>
      <c r="P16" s="22">
        <f ca="1">+GETPIVOTDATA("XBG4",'binhgia (2016)'!$A$3,"MA_HT","NTS","MA_QH","LMU")</f>
        <v>0</v>
      </c>
      <c r="Q16" s="22">
        <f ca="1">+GETPIVOTDATA("XBG4",'binhgia (2016)'!$A$3,"MA_HT","NTS","MA_QH","NKH")</f>
        <v>0</v>
      </c>
      <c r="R16" s="42">
        <f ca="1" t="shared" si="2"/>
        <v>0</v>
      </c>
      <c r="S16" s="22">
        <f ca="1">+GETPIVOTDATA("XBG4",'binhgia (2016)'!$A$3,"MA_HT","NTS","MA_QH","CQP")</f>
        <v>0</v>
      </c>
      <c r="T16" s="22">
        <f ca="1">+GETPIVOTDATA("XBG4",'binhgia (2016)'!$A$3,"MA_HT","NTS","MA_QH","CAN")</f>
        <v>0</v>
      </c>
      <c r="U16" s="22">
        <f ca="1">+GETPIVOTDATA("XBG4",'binhgia (2016)'!$A$3,"MA_HT","NTS","MA_QH","SKK")</f>
        <v>0</v>
      </c>
      <c r="V16" s="22">
        <f ca="1">+GETPIVOTDATA("XBG4",'binhgia (2016)'!$A$3,"MA_HT","NTS","MA_QH","SKT")</f>
        <v>0</v>
      </c>
      <c r="W16" s="22">
        <f ca="1">+GETPIVOTDATA("XBG4",'binhgia (2016)'!$A$3,"MA_HT","NTS","MA_QH","SKN")</f>
        <v>0</v>
      </c>
      <c r="X16" s="22">
        <f ca="1">+GETPIVOTDATA("XBG4",'binhgia (2016)'!$A$3,"MA_HT","NTS","MA_QH","TMD")</f>
        <v>0</v>
      </c>
      <c r="Y16" s="22">
        <f ca="1">+GETPIVOTDATA("XBG4",'binhgia (2016)'!$A$3,"MA_HT","NTS","MA_QH","SKC")</f>
        <v>0</v>
      </c>
      <c r="Z16" s="22">
        <f ca="1">+GETPIVOTDATA("XBG4",'binhgia (2016)'!$A$3,"MA_HT","NTS","MA_QH","SKS")</f>
        <v>0</v>
      </c>
      <c r="AA16" s="52">
        <f ca="1" t="shared" si="4"/>
        <v>0</v>
      </c>
      <c r="AB16" s="22">
        <f ca="1">+GETPIVOTDATA("XBG4",'binhgia (2016)'!$A$3,"MA_HT","NTS","MA_QH","DGT")</f>
        <v>0</v>
      </c>
      <c r="AC16" s="22">
        <f ca="1">+GETPIVOTDATA("XBG4",'binhgia (2016)'!$A$3,"MA_HT","NTS","MA_QH","DTL")</f>
        <v>0</v>
      </c>
      <c r="AD16" s="22">
        <f ca="1">+GETPIVOTDATA("XBG4",'binhgia (2016)'!$A$3,"MA_HT","NTS","MA_QH","DNL")</f>
        <v>0</v>
      </c>
      <c r="AE16" s="22">
        <f ca="1">+GETPIVOTDATA("XBG4",'binhgia (2016)'!$A$3,"MA_HT","NTS","MA_QH","DBV")</f>
        <v>0</v>
      </c>
      <c r="AF16" s="22">
        <f ca="1">+GETPIVOTDATA("XBG4",'binhgia (2016)'!$A$3,"MA_HT","NTS","MA_QH","DVH")</f>
        <v>0</v>
      </c>
      <c r="AG16" s="22">
        <f ca="1">+GETPIVOTDATA("XBG4",'binhgia (2016)'!$A$3,"MA_HT","NTS","MA_QH","DYT")</f>
        <v>0</v>
      </c>
      <c r="AH16" s="22">
        <f ca="1">+GETPIVOTDATA("XBG4",'binhgia (2016)'!$A$3,"MA_HT","NTS","MA_QH","DGD")</f>
        <v>0</v>
      </c>
      <c r="AI16" s="22">
        <f ca="1">+GETPIVOTDATA("XBG4",'binhgia (2016)'!$A$3,"MA_HT","NTS","MA_QH","DTT")</f>
        <v>0</v>
      </c>
      <c r="AJ16" s="22">
        <f ca="1">+GETPIVOTDATA("XBG4",'binhgia (2016)'!$A$3,"MA_HT","NTS","MA_QH","NCK")</f>
        <v>0</v>
      </c>
      <c r="AK16" s="22">
        <f ca="1">+GETPIVOTDATA("XBG4",'binhgia (2016)'!$A$3,"MA_HT","NTS","MA_QH","DXH")</f>
        <v>0</v>
      </c>
      <c r="AL16" s="22">
        <f ca="1">+GETPIVOTDATA("XBG4",'binhgia (2016)'!$A$3,"MA_HT","NTS","MA_QH","DCH")</f>
        <v>0</v>
      </c>
      <c r="AM16" s="22">
        <f ca="1">+GETPIVOTDATA("XBG4",'binhgia (2016)'!$A$3,"MA_HT","NTS","MA_QH","DKG")</f>
        <v>0</v>
      </c>
      <c r="AN16" s="22">
        <f ca="1">+GETPIVOTDATA("XBG4",'binhgia (2016)'!$A$3,"MA_HT","NTS","MA_QH","DDT")</f>
        <v>0</v>
      </c>
      <c r="AO16" s="22">
        <f ca="1">+GETPIVOTDATA("XBG4",'binhgia (2016)'!$A$3,"MA_HT","NTS","MA_QH","DDL")</f>
        <v>0</v>
      </c>
      <c r="AP16" s="22">
        <f ca="1">+GETPIVOTDATA("XBG4",'binhgia (2016)'!$A$3,"MA_HT","NTS","MA_QH","DRA")</f>
        <v>0</v>
      </c>
      <c r="AQ16" s="22">
        <f ca="1">+GETPIVOTDATA("XBG4",'binhgia (2016)'!$A$3,"MA_HT","NTS","MA_QH","ONT")</f>
        <v>0</v>
      </c>
      <c r="AR16" s="22">
        <f ca="1">+GETPIVOTDATA("XBG4",'binhgia (2016)'!$A$3,"MA_HT","NTS","MA_QH","ODT")</f>
        <v>0</v>
      </c>
      <c r="AS16" s="22">
        <f ca="1">+GETPIVOTDATA("XBG4",'binhgia (2016)'!$A$3,"MA_HT","NTS","MA_QH","TSC")</f>
        <v>0</v>
      </c>
      <c r="AT16" s="22">
        <f ca="1">+GETPIVOTDATA("XBG4",'binhgia (2016)'!$A$3,"MA_HT","NTS","MA_QH","DTS")</f>
        <v>0</v>
      </c>
      <c r="AU16" s="22">
        <f ca="1">+GETPIVOTDATA("XBG4",'binhgia (2016)'!$A$3,"MA_HT","NTS","MA_QH","DNG")</f>
        <v>0</v>
      </c>
      <c r="AV16" s="22">
        <f ca="1">+GETPIVOTDATA("XBG4",'binhgia (2016)'!$A$3,"MA_HT","NTS","MA_QH","TON")</f>
        <v>0</v>
      </c>
      <c r="AW16" s="22">
        <f ca="1">+GETPIVOTDATA("XBG4",'binhgia (2016)'!$A$3,"MA_HT","NTS","MA_QH","NTD")</f>
        <v>0</v>
      </c>
      <c r="AX16" s="22">
        <f ca="1">+GETPIVOTDATA("XBG4",'binhgia (2016)'!$A$3,"MA_HT","NTS","MA_QH","SKX")</f>
        <v>0</v>
      </c>
      <c r="AY16" s="22">
        <f ca="1">+GETPIVOTDATA("XBG4",'binhgia (2016)'!$A$3,"MA_HT","NTS","MA_QH","DSH")</f>
        <v>0</v>
      </c>
      <c r="AZ16" s="22">
        <f ca="1">+GETPIVOTDATA("XBG4",'binhgia (2016)'!$A$3,"MA_HT","NTS","MA_QH","DKV")</f>
        <v>0</v>
      </c>
      <c r="BA16" s="89">
        <f ca="1">+GETPIVOTDATA("XBG4",'binhgia (2016)'!$A$3,"MA_HT","NTS","MA_QH","TIN")</f>
        <v>0</v>
      </c>
      <c r="BB16" s="50">
        <f ca="1">+GETPIVOTDATA("XBG4",'binhgia (2016)'!$A$3,"MA_HT","NTS","MA_QH","SON")</f>
        <v>0</v>
      </c>
      <c r="BC16" s="50">
        <f ca="1">+GETPIVOTDATA("XBG4",'binhgia (2016)'!$A$3,"MA_HT","NTS","MA_QH","MNC")</f>
        <v>0</v>
      </c>
      <c r="BD16" s="22">
        <f ca="1">+GETPIVOTDATA("XBG4",'binhgia (2016)'!$A$3,"MA_HT","NTS","MA_QH","PNK")</f>
        <v>0</v>
      </c>
      <c r="BE16" s="71">
        <f ca="1">+GETPIVOTDATA("XBG4",'binhgia (2016)'!$A$3,"MA_HT","NTS","MA_QH","CSD")</f>
        <v>0</v>
      </c>
      <c r="BF16" s="74">
        <f ca="1" t="shared" si="7"/>
        <v>0</v>
      </c>
      <c r="BG16" s="101">
        <f ca="1">O$59-$BF16</f>
        <v>0</v>
      </c>
      <c r="BH16" s="41" t="e">
        <f ca="1" t="shared" si="8"/>
        <v>#REF!</v>
      </c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</row>
    <row r="17" s="2" customFormat="1" ht="15.75" customHeight="1" spans="1:79">
      <c r="A17" s="39" t="s">
        <v>8355</v>
      </c>
      <c r="B17" s="39" t="s">
        <v>8356</v>
      </c>
      <c r="C17" s="40" t="s">
        <v>8297</v>
      </c>
      <c r="D17" s="47" t="e">
        <f>+#REF!</f>
        <v>#REF!</v>
      </c>
      <c r="E17" s="42">
        <f ca="1">SUM(F17,J17:O17,Q17:Q17)</f>
        <v>0</v>
      </c>
      <c r="F17" s="52">
        <f ca="1" t="shared" si="9"/>
        <v>0</v>
      </c>
      <c r="G17" s="22">
        <f ca="1">+GETPIVOTDATA("XBG4",'binhgia (2016)'!$A$3,"MA_HT","LMU","MA_QH","LUC")</f>
        <v>0</v>
      </c>
      <c r="H17" s="22">
        <f ca="1">+GETPIVOTDATA("XBG4",'binhgia (2016)'!$A$3,"MA_HT","LMU","MA_QH","LUK")</f>
        <v>0</v>
      </c>
      <c r="I17" s="22">
        <f ca="1">+GETPIVOTDATA("XBG4",'binhgia (2016)'!$A$3,"MA_HT","LMU","MA_QH","LUN")</f>
        <v>0</v>
      </c>
      <c r="J17" s="22">
        <f ca="1">+GETPIVOTDATA("XBG4",'binhgia (2016)'!$A$3,"MA_HT","LMU","MA_QH","HNK")</f>
        <v>0</v>
      </c>
      <c r="K17" s="22">
        <f ca="1">+GETPIVOTDATA("XBG4",'binhgia (2016)'!$A$3,"MA_HT","LMU","MA_QH","CLN")</f>
        <v>0</v>
      </c>
      <c r="L17" s="22">
        <f ca="1">+GETPIVOTDATA("XBG4",'binhgia (2016)'!$A$3,"MA_HT","LMU","MA_QH","RSX")</f>
        <v>0</v>
      </c>
      <c r="M17" s="22">
        <f ca="1">+GETPIVOTDATA("XBG4",'binhgia (2016)'!$A$3,"MA_HT","LMU","MA_QH","RPH")</f>
        <v>0</v>
      </c>
      <c r="N17" s="22">
        <f ca="1">+GETPIVOTDATA("XBG4",'binhgia (2016)'!$A$3,"MA_HT","LMU","MA_QH","RDD")</f>
        <v>0</v>
      </c>
      <c r="O17" s="22">
        <f ca="1">+GETPIVOTDATA("XBG4",'binhgia (2016)'!$A$3,"MA_HT","LMU","MA_QH","NTS")</f>
        <v>0</v>
      </c>
      <c r="P17" s="43" t="e">
        <f ca="1">$D17-$BF17</f>
        <v>#REF!</v>
      </c>
      <c r="Q17" s="22">
        <f ca="1">+GETPIVOTDATA("XBG4",'binhgia (2016)'!$A$3,"MA_HT","LMU","MA_QH","NKH")</f>
        <v>0</v>
      </c>
      <c r="R17" s="42">
        <f ca="1" t="shared" si="2"/>
        <v>0</v>
      </c>
      <c r="S17" s="22">
        <f ca="1">+GETPIVOTDATA("XBG4",'binhgia (2016)'!$A$3,"MA_HT","LMU","MA_QH","CQP")</f>
        <v>0</v>
      </c>
      <c r="T17" s="22">
        <f ca="1">+GETPIVOTDATA("XBG4",'binhgia (2016)'!$A$3,"MA_HT","LMU","MA_QH","CAN")</f>
        <v>0</v>
      </c>
      <c r="U17" s="22">
        <f ca="1">+GETPIVOTDATA("XBG4",'binhgia (2016)'!$A$3,"MA_HT","LMU","MA_QH","SKK")</f>
        <v>0</v>
      </c>
      <c r="V17" s="22">
        <f ca="1">+GETPIVOTDATA("XBG4",'binhgia (2016)'!$A$3,"MA_HT","LMU","MA_QH","SKT")</f>
        <v>0</v>
      </c>
      <c r="W17" s="22">
        <f ca="1">+GETPIVOTDATA("XBG4",'binhgia (2016)'!$A$3,"MA_HT","LMU","MA_QH","SKN")</f>
        <v>0</v>
      </c>
      <c r="X17" s="22">
        <f ca="1">+GETPIVOTDATA("XBG4",'binhgia (2016)'!$A$3,"MA_HT","LMU","MA_QH","TMD")</f>
        <v>0</v>
      </c>
      <c r="Y17" s="22">
        <f ca="1">+GETPIVOTDATA("XBG4",'binhgia (2016)'!$A$3,"MA_HT","LMU","MA_QH","SKC")</f>
        <v>0</v>
      </c>
      <c r="Z17" s="22">
        <f ca="1">+GETPIVOTDATA("XBG4",'binhgia (2016)'!$A$3,"MA_HT","LMU","MA_QH","SKS")</f>
        <v>0</v>
      </c>
      <c r="AA17" s="52">
        <f ca="1" t="shared" si="4"/>
        <v>0</v>
      </c>
      <c r="AB17" s="22">
        <f ca="1">+GETPIVOTDATA("XBG4",'binhgia (2016)'!$A$3,"MA_HT","LMU","MA_QH","DGT")</f>
        <v>0</v>
      </c>
      <c r="AC17" s="22">
        <f ca="1">+GETPIVOTDATA("XBG4",'binhgia (2016)'!$A$3,"MA_HT","LMU","MA_QH","DTL")</f>
        <v>0</v>
      </c>
      <c r="AD17" s="22">
        <f ca="1">+GETPIVOTDATA("XBG4",'binhgia (2016)'!$A$3,"MA_HT","LMU","MA_QH","DNL")</f>
        <v>0</v>
      </c>
      <c r="AE17" s="22">
        <f ca="1">+GETPIVOTDATA("XBG4",'binhgia (2016)'!$A$3,"MA_HT","LMU","MA_QH","DBV")</f>
        <v>0</v>
      </c>
      <c r="AF17" s="22">
        <f ca="1">+GETPIVOTDATA("XBG4",'binhgia (2016)'!$A$3,"MA_HT","LMU","MA_QH","DVH")</f>
        <v>0</v>
      </c>
      <c r="AG17" s="22">
        <f ca="1">+GETPIVOTDATA("XBG4",'binhgia (2016)'!$A$3,"MA_HT","LMU","MA_QH","DYT")</f>
        <v>0</v>
      </c>
      <c r="AH17" s="22">
        <f ca="1">+GETPIVOTDATA("XBG4",'binhgia (2016)'!$A$3,"MA_HT","LMU","MA_QH","DGD")</f>
        <v>0</v>
      </c>
      <c r="AI17" s="22">
        <f ca="1">+GETPIVOTDATA("XBG4",'binhgia (2016)'!$A$3,"MA_HT","LMU","MA_QH","DTT")</f>
        <v>0</v>
      </c>
      <c r="AJ17" s="22">
        <f ca="1">+GETPIVOTDATA("XBG4",'binhgia (2016)'!$A$3,"MA_HT","LMU","MA_QH","NCK")</f>
        <v>0</v>
      </c>
      <c r="AK17" s="22">
        <f ca="1">+GETPIVOTDATA("XBG4",'binhgia (2016)'!$A$3,"MA_HT","LMU","MA_QH","DXH")</f>
        <v>0</v>
      </c>
      <c r="AL17" s="22">
        <f ca="1">+GETPIVOTDATA("XBG4",'binhgia (2016)'!$A$3,"MA_HT","LMU","MA_QH","DCH")</f>
        <v>0</v>
      </c>
      <c r="AM17" s="22">
        <f ca="1">+GETPIVOTDATA("XBG4",'binhgia (2016)'!$A$3,"MA_HT","LMU","MA_QH","DKG")</f>
        <v>0</v>
      </c>
      <c r="AN17" s="22">
        <f ca="1">+GETPIVOTDATA("XBG4",'binhgia (2016)'!$A$3,"MA_HT","LMU","MA_QH","DDT")</f>
        <v>0</v>
      </c>
      <c r="AO17" s="22">
        <f ca="1">+GETPIVOTDATA("XBG4",'binhgia (2016)'!$A$3,"MA_HT","LMU","MA_QH","DDL")</f>
        <v>0</v>
      </c>
      <c r="AP17" s="22">
        <f ca="1">+GETPIVOTDATA("XBG4",'binhgia (2016)'!$A$3,"MA_HT","LMU","MA_QH","DRA")</f>
        <v>0</v>
      </c>
      <c r="AQ17" s="22">
        <f ca="1">+GETPIVOTDATA("XBG4",'binhgia (2016)'!$A$3,"MA_HT","LMU","MA_QH","ONT")</f>
        <v>0</v>
      </c>
      <c r="AR17" s="22">
        <f ca="1">+GETPIVOTDATA("XBG4",'binhgia (2016)'!$A$3,"MA_HT","LMU","MA_QH","ODT")</f>
        <v>0</v>
      </c>
      <c r="AS17" s="22">
        <f ca="1">+GETPIVOTDATA("XBG4",'binhgia (2016)'!$A$3,"MA_HT","LMU","MA_QH","TSC")</f>
        <v>0</v>
      </c>
      <c r="AT17" s="22">
        <f ca="1">+GETPIVOTDATA("XBG4",'binhgia (2016)'!$A$3,"MA_HT","LMU","MA_QH","DTS")</f>
        <v>0</v>
      </c>
      <c r="AU17" s="22">
        <f ca="1">+GETPIVOTDATA("XBG4",'binhgia (2016)'!$A$3,"MA_HT","LMU","MA_QH","DNG")</f>
        <v>0</v>
      </c>
      <c r="AV17" s="22">
        <f ca="1">+GETPIVOTDATA("XBG4",'binhgia (2016)'!$A$3,"MA_HT","LMU","MA_QH","TON")</f>
        <v>0</v>
      </c>
      <c r="AW17" s="22">
        <f ca="1">+GETPIVOTDATA("XBG4",'binhgia (2016)'!$A$3,"MA_HT","LMU","MA_QH","NTD")</f>
        <v>0</v>
      </c>
      <c r="AX17" s="22">
        <f ca="1">+GETPIVOTDATA("XBG4",'binhgia (2016)'!$A$3,"MA_HT","LMU","MA_QH","SKX")</f>
        <v>0</v>
      </c>
      <c r="AY17" s="22">
        <f ca="1">+GETPIVOTDATA("XBG4",'binhgia (2016)'!$A$3,"MA_HT","LMU","MA_QH","DSH")</f>
        <v>0</v>
      </c>
      <c r="AZ17" s="22">
        <f ca="1">+GETPIVOTDATA("XBG4",'binhgia (2016)'!$A$3,"MA_HT","LMU","MA_QH","DKV")</f>
        <v>0</v>
      </c>
      <c r="BA17" s="89">
        <f ca="1">+GETPIVOTDATA("XBG4",'binhgia (2016)'!$A$3,"MA_HT","LMU","MA_QH","TIN")</f>
        <v>0</v>
      </c>
      <c r="BB17" s="50">
        <f ca="1">+GETPIVOTDATA("XBG4",'binhgia (2016)'!$A$3,"MA_HT","LMU","MA_QH","SON")</f>
        <v>0</v>
      </c>
      <c r="BC17" s="50">
        <f ca="1">+GETPIVOTDATA("XBG4",'binhgia (2016)'!$A$3,"MA_HT","LMU","MA_QH","MNC")</f>
        <v>0</v>
      </c>
      <c r="BD17" s="22">
        <f ca="1">+GETPIVOTDATA("XBG4",'binhgia (2016)'!$A$3,"MA_HT","LMU","MA_QH","PNK")</f>
        <v>0</v>
      </c>
      <c r="BE17" s="71">
        <f ca="1">+GETPIVOTDATA("XBG4",'binhgia (2016)'!$A$3,"MA_HT","LMU","MA_QH","CSD")</f>
        <v>0</v>
      </c>
      <c r="BF17" s="74">
        <f ca="1" t="shared" si="7"/>
        <v>0</v>
      </c>
      <c r="BG17" s="101">
        <f ca="1">P$59-$BF17</f>
        <v>0</v>
      </c>
      <c r="BH17" s="41" t="e">
        <f ca="1" t="shared" si="8"/>
        <v>#REF!</v>
      </c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</row>
    <row r="18" s="2" customFormat="1" ht="15.75" customHeight="1" spans="1:79">
      <c r="A18" s="39" t="s">
        <v>8357</v>
      </c>
      <c r="B18" s="39" t="s">
        <v>8358</v>
      </c>
      <c r="C18" s="40" t="s">
        <v>553</v>
      </c>
      <c r="D18" s="47" t="e">
        <f>+#REF!</f>
        <v>#REF!</v>
      </c>
      <c r="E18" s="42">
        <f ca="1">SUM(F18,J18:P18)</f>
        <v>0</v>
      </c>
      <c r="F18" s="52">
        <f ca="1" t="shared" si="9"/>
        <v>0</v>
      </c>
      <c r="G18" s="22">
        <f ca="1">+GETPIVOTDATA("XBG4",'binhgia (2016)'!$A$3,"MA_HT","NKH","MA_QH","LUC")</f>
        <v>0</v>
      </c>
      <c r="H18" s="22">
        <f ca="1">+GETPIVOTDATA("XBG4",'binhgia (2016)'!$A$3,"MA_HT","NKH","MA_QH","LUK")</f>
        <v>0</v>
      </c>
      <c r="I18" s="22">
        <f ca="1">+GETPIVOTDATA("XBG4",'binhgia (2016)'!$A$3,"MA_HT","NKH","MA_QH","LUN")</f>
        <v>0</v>
      </c>
      <c r="J18" s="22">
        <f ca="1">+GETPIVOTDATA("XBG4",'binhgia (2016)'!$A$3,"MA_HT","NKH","MA_QH","HNK")</f>
        <v>0</v>
      </c>
      <c r="K18" s="22">
        <f ca="1">+GETPIVOTDATA("XBG4",'binhgia (2016)'!$A$3,"MA_HT","NKH","MA_QH","CLN")</f>
        <v>0</v>
      </c>
      <c r="L18" s="22">
        <f ca="1">+GETPIVOTDATA("XBG4",'binhgia (2016)'!$A$3,"MA_HT","NKH","MA_QH","RSX")</f>
        <v>0</v>
      </c>
      <c r="M18" s="22">
        <f ca="1">+GETPIVOTDATA("XBG4",'binhgia (2016)'!$A$3,"MA_HT","NKH","MA_QH","RPH")</f>
        <v>0</v>
      </c>
      <c r="N18" s="22">
        <f ca="1">+GETPIVOTDATA("XBG4",'binhgia (2016)'!$A$3,"MA_HT","NKH","MA_QH","RDD")</f>
        <v>0</v>
      </c>
      <c r="O18" s="22">
        <f ca="1">+GETPIVOTDATA("XBG4",'binhgia (2016)'!$A$3,"MA_HT","NKH","MA_QH","NTS")</f>
        <v>0</v>
      </c>
      <c r="P18" s="22">
        <f ca="1">+GETPIVOTDATA("XBG4",'binhgia (2016)'!$A$3,"MA_HT","NKH","MA_QH","LMU")</f>
        <v>0</v>
      </c>
      <c r="Q18" s="43" t="e">
        <f ca="1">$D18-$BF18</f>
        <v>#REF!</v>
      </c>
      <c r="R18" s="42">
        <f ca="1" t="shared" si="2"/>
        <v>0</v>
      </c>
      <c r="S18" s="22">
        <f ca="1">+GETPIVOTDATA("XBG4",'binhgia (2016)'!$A$3,"MA_HT","NKH","MA_QH","CQP")</f>
        <v>0</v>
      </c>
      <c r="T18" s="22">
        <f ca="1">+GETPIVOTDATA("XBG4",'binhgia (2016)'!$A$3,"MA_HT","NKH","MA_QH","CAN")</f>
        <v>0</v>
      </c>
      <c r="U18" s="22">
        <f ca="1">+GETPIVOTDATA("XBG4",'binhgia (2016)'!$A$3,"MA_HT","NKH","MA_QH","SKK")</f>
        <v>0</v>
      </c>
      <c r="V18" s="22">
        <f ca="1">+GETPIVOTDATA("XBG4",'binhgia (2016)'!$A$3,"MA_HT","NKH","MA_QH","SKT")</f>
        <v>0</v>
      </c>
      <c r="W18" s="22">
        <f ca="1">+GETPIVOTDATA("XBG4",'binhgia (2016)'!$A$3,"MA_HT","NKH","MA_QH","SKN")</f>
        <v>0</v>
      </c>
      <c r="X18" s="22">
        <f ca="1">+GETPIVOTDATA("XBG4",'binhgia (2016)'!$A$3,"MA_HT","NKH","MA_QH","TMD")</f>
        <v>0</v>
      </c>
      <c r="Y18" s="22">
        <f ca="1">+GETPIVOTDATA("XBG4",'binhgia (2016)'!$A$3,"MA_HT","NKH","MA_QH","SKC")</f>
        <v>0</v>
      </c>
      <c r="Z18" s="22">
        <f ca="1">+GETPIVOTDATA("XBG4",'binhgia (2016)'!$A$3,"MA_HT","NKH","MA_QH","SKS")</f>
        <v>0</v>
      </c>
      <c r="AA18" s="52">
        <f ca="1" t="shared" si="4"/>
        <v>0</v>
      </c>
      <c r="AB18" s="22">
        <f ca="1">+GETPIVOTDATA("XBG4",'binhgia (2016)'!$A$3,"MA_HT","NKH","MA_QH","DGT")</f>
        <v>0</v>
      </c>
      <c r="AC18" s="22">
        <f ca="1">+GETPIVOTDATA("XBG4",'binhgia (2016)'!$A$3,"MA_HT","NKH","MA_QH","DTL")</f>
        <v>0</v>
      </c>
      <c r="AD18" s="22">
        <f ca="1">+GETPIVOTDATA("XBG4",'binhgia (2016)'!$A$3,"MA_HT","NKH","MA_QH","DNL")</f>
        <v>0</v>
      </c>
      <c r="AE18" s="22">
        <f ca="1">+GETPIVOTDATA("XBG4",'binhgia (2016)'!$A$3,"MA_HT","NKH","MA_QH","DBV")</f>
        <v>0</v>
      </c>
      <c r="AF18" s="22">
        <f ca="1">+GETPIVOTDATA("XBG4",'binhgia (2016)'!$A$3,"MA_HT","NKH","MA_QH","DVH")</f>
        <v>0</v>
      </c>
      <c r="AG18" s="22">
        <f ca="1">+GETPIVOTDATA("XBG4",'binhgia (2016)'!$A$3,"MA_HT","NKH","MA_QH","DYT")</f>
        <v>0</v>
      </c>
      <c r="AH18" s="22">
        <f ca="1">+GETPIVOTDATA("XBG4",'binhgia (2016)'!$A$3,"MA_HT","NKH","MA_QH","DGD")</f>
        <v>0</v>
      </c>
      <c r="AI18" s="22">
        <f ca="1">+GETPIVOTDATA("XBG4",'binhgia (2016)'!$A$3,"MA_HT","NKH","MA_QH","DTT")</f>
        <v>0</v>
      </c>
      <c r="AJ18" s="22">
        <f ca="1">+GETPIVOTDATA("XBG4",'binhgia (2016)'!$A$3,"MA_HT","NKH","MA_QH","NCK")</f>
        <v>0</v>
      </c>
      <c r="AK18" s="22">
        <f ca="1">+GETPIVOTDATA("XBG4",'binhgia (2016)'!$A$3,"MA_HT","NKH","MA_QH","DXH")</f>
        <v>0</v>
      </c>
      <c r="AL18" s="22">
        <f ca="1">+GETPIVOTDATA("XBG4",'binhgia (2016)'!$A$3,"MA_HT","NKH","MA_QH","DCH")</f>
        <v>0</v>
      </c>
      <c r="AM18" s="22">
        <f ca="1">+GETPIVOTDATA("XBG4",'binhgia (2016)'!$A$3,"MA_HT","NKH","MA_QH","DKG")</f>
        <v>0</v>
      </c>
      <c r="AN18" s="22">
        <f ca="1">+GETPIVOTDATA("XBG4",'binhgia (2016)'!$A$3,"MA_HT","NKH","MA_QH","DDT")</f>
        <v>0</v>
      </c>
      <c r="AO18" s="22">
        <f ca="1">+GETPIVOTDATA("XBG4",'binhgia (2016)'!$A$3,"MA_HT","NKH","MA_QH","DDL")</f>
        <v>0</v>
      </c>
      <c r="AP18" s="22">
        <f ca="1">+GETPIVOTDATA("XBG4",'binhgia (2016)'!$A$3,"MA_HT","NKH","MA_QH","DRA")</f>
        <v>0</v>
      </c>
      <c r="AQ18" s="22">
        <f ca="1">+GETPIVOTDATA("XBG4",'binhgia (2016)'!$A$3,"MA_HT","NKH","MA_QH","ONT")</f>
        <v>0</v>
      </c>
      <c r="AR18" s="22">
        <f ca="1">+GETPIVOTDATA("XBG4",'binhgia (2016)'!$A$3,"MA_HT","NKH","MA_QH","ODT")</f>
        <v>0</v>
      </c>
      <c r="AS18" s="22">
        <f ca="1">+GETPIVOTDATA("XBG4",'binhgia (2016)'!$A$3,"MA_HT","NKH","MA_QH","TSC")</f>
        <v>0</v>
      </c>
      <c r="AT18" s="22">
        <f ca="1">+GETPIVOTDATA("XBG4",'binhgia (2016)'!$A$3,"MA_HT","NKH","MA_QH","DTS")</f>
        <v>0</v>
      </c>
      <c r="AU18" s="22">
        <f ca="1">+GETPIVOTDATA("XBG4",'binhgia (2016)'!$A$3,"MA_HT","NKH","MA_QH","DNG")</f>
        <v>0</v>
      </c>
      <c r="AV18" s="22">
        <f ca="1">+GETPIVOTDATA("XBG4",'binhgia (2016)'!$A$3,"MA_HT","NKH","MA_QH","TON")</f>
        <v>0</v>
      </c>
      <c r="AW18" s="22">
        <f ca="1">+GETPIVOTDATA("XBG4",'binhgia (2016)'!$A$3,"MA_HT","NKH","MA_QH","NTD")</f>
        <v>0</v>
      </c>
      <c r="AX18" s="22">
        <f ca="1">+GETPIVOTDATA("XBG4",'binhgia (2016)'!$A$3,"MA_HT","NKH","MA_QH","SKX")</f>
        <v>0</v>
      </c>
      <c r="AY18" s="22">
        <f ca="1">+GETPIVOTDATA("XBG4",'binhgia (2016)'!$A$3,"MA_HT","NKH","MA_QH","DSH")</f>
        <v>0</v>
      </c>
      <c r="AZ18" s="22">
        <f ca="1">+GETPIVOTDATA("XBG4",'binhgia (2016)'!$A$3,"MA_HT","NKH","MA_QH","DKV")</f>
        <v>0</v>
      </c>
      <c r="BA18" s="89">
        <f ca="1">+GETPIVOTDATA("XBG4",'binhgia (2016)'!$A$3,"MA_HT","NKH","MA_QH","TIN")</f>
        <v>0</v>
      </c>
      <c r="BB18" s="50">
        <f ca="1">+GETPIVOTDATA("XBG4",'binhgia (2016)'!$A$3,"MA_HT","NKH","MA_QH","SON")</f>
        <v>0</v>
      </c>
      <c r="BC18" s="50">
        <f ca="1">+GETPIVOTDATA("XBG4",'binhgia (2016)'!$A$3,"MA_HT","NKH","MA_QH","MNC")</f>
        <v>0</v>
      </c>
      <c r="BD18" s="22">
        <f ca="1">+GETPIVOTDATA("XBG4",'binhgia (2016)'!$A$3,"MA_HT","NKH","MA_QH","PNK")</f>
        <v>0</v>
      </c>
      <c r="BE18" s="71">
        <f ca="1">+GETPIVOTDATA("XBG4",'binhgia (2016)'!$A$3,"MA_HT","NKH","MA_QH","CSD")</f>
        <v>0</v>
      </c>
      <c r="BF18" s="74">
        <f ca="1" t="shared" si="7"/>
        <v>0</v>
      </c>
      <c r="BG18" s="101">
        <f ca="1">Q$59-$BF18</f>
        <v>0</v>
      </c>
      <c r="BH18" s="41" t="e">
        <f ca="1" t="shared" si="8"/>
        <v>#REF!</v>
      </c>
      <c r="BI18" s="98"/>
      <c r="BJ18" s="98"/>
      <c r="BK18" s="98"/>
      <c r="BL18" s="98"/>
      <c r="BM18" s="107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</row>
    <row r="19" s="3" customFormat="1" ht="15.75" customHeight="1" spans="1:75">
      <c r="A19" s="35">
        <v>2</v>
      </c>
      <c r="B19" s="36" t="s">
        <v>8359</v>
      </c>
      <c r="C19" s="37" t="s">
        <v>8304</v>
      </c>
      <c r="D19" s="33" t="e">
        <f>+#REF!</f>
        <v>#REF!</v>
      </c>
      <c r="E19" s="33">
        <f ca="1">SUM(E20:E28,E41:E57)</f>
        <v>0</v>
      </c>
      <c r="F19" s="33">
        <f ca="1">SUM(F20:F28,F41:F57)</f>
        <v>0</v>
      </c>
      <c r="G19" s="33">
        <f ca="1">SUM(G20:G28,G41:G57)</f>
        <v>0</v>
      </c>
      <c r="H19" s="33">
        <f ca="1">SUM(H20:H28,H41:H57)</f>
        <v>0</v>
      </c>
      <c r="I19" s="33">
        <f ca="1">SUM(I20:I28,I41:I57)</f>
        <v>0</v>
      </c>
      <c r="J19" s="33">
        <f ca="1" t="shared" ref="J19:Q19" si="10">SUM(J20:J28,J41:J57)</f>
        <v>0</v>
      </c>
      <c r="K19" s="33">
        <f ca="1" t="shared" si="10"/>
        <v>0</v>
      </c>
      <c r="L19" s="33">
        <f ca="1" t="shared" si="10"/>
        <v>0</v>
      </c>
      <c r="M19" s="33">
        <f ca="1" t="shared" si="10"/>
        <v>0</v>
      </c>
      <c r="N19" s="33">
        <f ca="1" t="shared" si="10"/>
        <v>0</v>
      </c>
      <c r="O19" s="33">
        <f ca="1" t="shared" si="10"/>
        <v>0</v>
      </c>
      <c r="P19" s="33">
        <f ca="1" t="shared" si="10"/>
        <v>0</v>
      </c>
      <c r="Q19" s="33">
        <f ca="1" t="shared" si="10"/>
        <v>0</v>
      </c>
      <c r="R19" s="38" t="e">
        <f ca="1">$D19-$BF19</f>
        <v>#REF!</v>
      </c>
      <c r="S19" s="33">
        <f ca="1">SUM(S21:S28,S41:S57)</f>
        <v>0</v>
      </c>
      <c r="T19" s="33">
        <f ca="1">SUM(T20,T22:T28,T41:T57)</f>
        <v>0</v>
      </c>
      <c r="U19" s="33">
        <f ca="1">SUM(U20:U21,U23:U28,U41:U57)</f>
        <v>0</v>
      </c>
      <c r="V19" s="33">
        <f ca="1">SUM(V20:V22,V24:V28,V41:V57)</f>
        <v>0</v>
      </c>
      <c r="W19" s="33">
        <f ca="1">SUM(W20:W23,W25:W28,W41:W57)</f>
        <v>0</v>
      </c>
      <c r="X19" s="33">
        <f ca="1">SUM(X20:X24,X26:X28,X41:X57)</f>
        <v>0</v>
      </c>
      <c r="Y19" s="33">
        <f ca="1">SUM(Y20:Y25,Y27:Y28,Y41:Y57)</f>
        <v>0</v>
      </c>
      <c r="Z19" s="33">
        <f ca="1">SUM(Z20:Z26,Z28,Z41:Z57)</f>
        <v>0</v>
      </c>
      <c r="AA19" s="33">
        <f ca="1">SUM(AA20:AA27,AA41:AA57)</f>
        <v>0</v>
      </c>
      <c r="AB19" s="33">
        <f ca="1" t="shared" ref="AB19:AM19" si="11">SUM(AB20:AB28,AB41:AB57)</f>
        <v>0</v>
      </c>
      <c r="AC19" s="33">
        <f ca="1" t="shared" si="11"/>
        <v>0</v>
      </c>
      <c r="AD19" s="33">
        <f ca="1" t="shared" si="11"/>
        <v>0</v>
      </c>
      <c r="AE19" s="33">
        <f ca="1" t="shared" si="11"/>
        <v>0</v>
      </c>
      <c r="AF19" s="33">
        <f ca="1" t="shared" si="11"/>
        <v>0</v>
      </c>
      <c r="AG19" s="33">
        <f ca="1" t="shared" si="11"/>
        <v>0</v>
      </c>
      <c r="AH19" s="33">
        <f ca="1" t="shared" si="11"/>
        <v>0</v>
      </c>
      <c r="AI19" s="33">
        <f ca="1" t="shared" si="11"/>
        <v>0</v>
      </c>
      <c r="AJ19" s="33">
        <f ca="1" t="shared" si="11"/>
        <v>0</v>
      </c>
      <c r="AK19" s="33">
        <f ca="1" t="shared" si="11"/>
        <v>0</v>
      </c>
      <c r="AL19" s="33">
        <f ca="1" t="shared" si="11"/>
        <v>0</v>
      </c>
      <c r="AM19" s="33">
        <f ca="1" t="shared" si="11"/>
        <v>0</v>
      </c>
      <c r="AN19" s="33">
        <f ca="1">SUM(AN20:AN28,AN42:AN57)</f>
        <v>0</v>
      </c>
      <c r="AO19" s="33">
        <f ca="1">SUM(AO20:AO28,AO41,AO43:AO57)</f>
        <v>0</v>
      </c>
      <c r="AP19" s="33">
        <f ca="1">SUM(AP20:AP28,AP41:AP42,AP44:AP57)</f>
        <v>0</v>
      </c>
      <c r="AQ19" s="33">
        <f ca="1">SUM(AQ20:AQ28,AQ41:AQ43,AQ45:AQ57)</f>
        <v>0</v>
      </c>
      <c r="AR19" s="33">
        <f ca="1">SUM(AR20:AR28,AR41:AR44,AR46:AR57)</f>
        <v>0</v>
      </c>
      <c r="AS19" s="33">
        <f ca="1">SUM(AS20:AS28,AS41:AS45,AS47:AS57)</f>
        <v>0</v>
      </c>
      <c r="AT19" s="33">
        <f ca="1">SUM(AT20:AT28,AT41:AT46,AT48:AT57)</f>
        <v>0</v>
      </c>
      <c r="AU19" s="33">
        <f ca="1">SUM(AU20:AU28,AU41:AU47,AU49:AU57)</f>
        <v>0</v>
      </c>
      <c r="AV19" s="33">
        <f ca="1">SUM(AV20:AV28,AV41:AV48,AV50:AV57)</f>
        <v>0</v>
      </c>
      <c r="AW19" s="33">
        <f ca="1">SUM(AW20:AW28,AW41:AW49,AW51:AW57)</f>
        <v>0</v>
      </c>
      <c r="AX19" s="33">
        <f ca="1">SUM(AX20:AX28,AX41:AX50,AX52:AX57)</f>
        <v>0</v>
      </c>
      <c r="AY19" s="33">
        <f ca="1">SUM(AY20:AY28,AY41:AY51,AY53:AY57)</f>
        <v>0</v>
      </c>
      <c r="AZ19" s="33">
        <f ca="1">SUM(AZ20:AZ28,AZ41:AZ52,AZ54:AZ57)</f>
        <v>0</v>
      </c>
      <c r="BA19" s="33">
        <f ca="1">SUM(BA20:BA28,BA41:BA53,BA55:BA57)</f>
        <v>0</v>
      </c>
      <c r="BB19" s="33">
        <f ca="1">SUM(BB20:BB28,BB41:BB54,BB56:BB57)</f>
        <v>0</v>
      </c>
      <c r="BC19" s="33">
        <f ca="1">SUM(BC20:BC28,BC41:BC55,BC57)</f>
        <v>0</v>
      </c>
      <c r="BD19" s="33">
        <f ca="1">SUM(BD20:BD28,BD41:BD56,BD58)</f>
        <v>0</v>
      </c>
      <c r="BE19" s="33">
        <f ca="1">SUM(BE20:BE28,BE41:BE57)</f>
        <v>0</v>
      </c>
      <c r="BF19" s="74">
        <f ca="1">SUM(BE19,E19)</f>
        <v>0</v>
      </c>
      <c r="BG19" s="101">
        <f ca="1">R$59-$BF19</f>
        <v>0</v>
      </c>
      <c r="BH19" s="33" t="e">
        <f ca="1">SUM(BH20:BH28,BH41:BH57)</f>
        <v>#REF!</v>
      </c>
      <c r="BI19" s="102"/>
      <c r="BJ19" s="36" t="e">
        <f>SUM(BJ22:BJ54,BJ57:BJ57)</f>
        <v>#REF!</v>
      </c>
      <c r="BK19" s="106" t="e">
        <f ca="1">BH19-BJ19</f>
        <v>#REF!</v>
      </c>
      <c r="BL19" s="106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</row>
    <row r="20" s="2" customFormat="1" ht="15.75" customHeight="1" spans="1:79">
      <c r="A20" s="39" t="s">
        <v>69</v>
      </c>
      <c r="B20" s="39" t="s">
        <v>8360</v>
      </c>
      <c r="C20" s="40" t="s">
        <v>31</v>
      </c>
      <c r="D20" s="41" t="e">
        <f>+#REF!</f>
        <v>#REF!</v>
      </c>
      <c r="E20" s="42">
        <f ca="1">SUM(F20,J20:Q20)</f>
        <v>0</v>
      </c>
      <c r="F20" s="52">
        <f ca="1" t="shared" si="9"/>
        <v>0</v>
      </c>
      <c r="G20" s="22">
        <f ca="1">+GETPIVOTDATA("XBG4",'binhgia (2016)'!$A$3,"MA_HT","CQP","MA_QH","LUC")</f>
        <v>0</v>
      </c>
      <c r="H20" s="22">
        <f ca="1">+GETPIVOTDATA("XBG4",'binhgia (2016)'!$A$3,"MA_HT","CQP","MA_QH","LUK")</f>
        <v>0</v>
      </c>
      <c r="I20" s="22">
        <f ca="1">+GETPIVOTDATA("XBG4",'binhgia (2016)'!$A$3,"MA_HT","CQP","MA_QH","LUN")</f>
        <v>0</v>
      </c>
      <c r="J20" s="22">
        <f ca="1">+GETPIVOTDATA("XBG4",'binhgia (2016)'!$A$3,"MA_HT","CQP","MA_QH","HNK")</f>
        <v>0</v>
      </c>
      <c r="K20" s="22">
        <f ca="1">+GETPIVOTDATA("XBG4",'binhgia (2016)'!$A$3,"MA_HT","CQP","MA_QH","CLN")</f>
        <v>0</v>
      </c>
      <c r="L20" s="22">
        <f ca="1">+GETPIVOTDATA("XBG4",'binhgia (2016)'!$A$3,"MA_HT","CQP","MA_QH","RSX")</f>
        <v>0</v>
      </c>
      <c r="M20" s="22">
        <f ca="1">+GETPIVOTDATA("XBG4",'binhgia (2016)'!$A$3,"MA_HT","CQP","MA_QH","RPH")</f>
        <v>0</v>
      </c>
      <c r="N20" s="22">
        <f ca="1">+GETPIVOTDATA("XBG4",'binhgia (2016)'!$A$3,"MA_HT","CQP","MA_QH","RDD")</f>
        <v>0</v>
      </c>
      <c r="O20" s="22">
        <f ca="1">+GETPIVOTDATA("XBG4",'binhgia (2016)'!$A$3,"MA_HT","CQP","MA_QH","NTS")</f>
        <v>0</v>
      </c>
      <c r="P20" s="22">
        <f ca="1">+GETPIVOTDATA("XBG4",'binhgia (2016)'!$A$3,"MA_HT","CQP","MA_QH","LMU")</f>
        <v>0</v>
      </c>
      <c r="Q20" s="22">
        <f ca="1">+GETPIVOTDATA("XBG4",'binhgia (2016)'!$A$3,"MA_HT","CQP","MA_QH","NKH")</f>
        <v>0</v>
      </c>
      <c r="R20" s="42">
        <f ca="1">SUM(T20:AA20,AN20:BD20)</f>
        <v>0</v>
      </c>
      <c r="S20" s="43" t="e">
        <f ca="1">$D20-$BF20</f>
        <v>#REF!</v>
      </c>
      <c r="T20" s="22">
        <f ca="1">+GETPIVOTDATA("XBG4",'binhgia (2016)'!$A$3,"MA_HT","CQP","MA_QH","CAN")</f>
        <v>0</v>
      </c>
      <c r="U20" s="22">
        <f ca="1">+GETPIVOTDATA("XBG4",'binhgia (2016)'!$A$3,"MA_HT","CQP","MA_QH","SKK")</f>
        <v>0</v>
      </c>
      <c r="V20" s="22">
        <f ca="1">+GETPIVOTDATA("XBG4",'binhgia (2016)'!$A$3,"MA_HT","CQP","MA_QH","SKT")</f>
        <v>0</v>
      </c>
      <c r="W20" s="22">
        <f ca="1">+GETPIVOTDATA("XBG4",'binhgia (2016)'!$A$3,"MA_HT","CQP","MA_QH","SKN")</f>
        <v>0</v>
      </c>
      <c r="X20" s="22">
        <f ca="1">+GETPIVOTDATA("XBG4",'binhgia (2016)'!$A$3,"MA_HT","CQP","MA_QH","TMD")</f>
        <v>0</v>
      </c>
      <c r="Y20" s="22">
        <f ca="1">+GETPIVOTDATA("XBG4",'binhgia (2016)'!$A$3,"MA_HT","CQP","MA_QH","SKC")</f>
        <v>0</v>
      </c>
      <c r="Z20" s="22">
        <f ca="1">+GETPIVOTDATA("XBG4",'binhgia (2016)'!$A$3,"MA_HT","CQP","MA_QH","SKS")</f>
        <v>0</v>
      </c>
      <c r="AA20" s="52">
        <f ca="1" t="shared" ref="AA20:AA27" si="12">+SUM(AB20:AM20)</f>
        <v>0</v>
      </c>
      <c r="AB20" s="22">
        <f ca="1">+GETPIVOTDATA("XBG4",'binhgia (2016)'!$A$3,"MA_HT","CQP","MA_QH","DGT")</f>
        <v>0</v>
      </c>
      <c r="AC20" s="22">
        <f ca="1">+GETPIVOTDATA("XBG4",'binhgia (2016)'!$A$3,"MA_HT","CQP","MA_QH","DTL")</f>
        <v>0</v>
      </c>
      <c r="AD20" s="22">
        <f ca="1">+GETPIVOTDATA("XBG4",'binhgia (2016)'!$A$3,"MA_HT","CQP","MA_QH","DNL")</f>
        <v>0</v>
      </c>
      <c r="AE20" s="22">
        <f ca="1">+GETPIVOTDATA("XBG4",'binhgia (2016)'!$A$3,"MA_HT","CQP","MA_QH","DBV")</f>
        <v>0</v>
      </c>
      <c r="AF20" s="22">
        <f ca="1">+GETPIVOTDATA("XBG4",'binhgia (2016)'!$A$3,"MA_HT","CQP","MA_QH","DVH")</f>
        <v>0</v>
      </c>
      <c r="AG20" s="22">
        <f ca="1">+GETPIVOTDATA("XBG4",'binhgia (2016)'!$A$3,"MA_HT","CQP","MA_QH","DYT")</f>
        <v>0</v>
      </c>
      <c r="AH20" s="22">
        <f ca="1">+GETPIVOTDATA("XBG4",'binhgia (2016)'!$A$3,"MA_HT","CQP","MA_QH","DGD")</f>
        <v>0</v>
      </c>
      <c r="AI20" s="22">
        <f ca="1">+GETPIVOTDATA("XBG4",'binhgia (2016)'!$A$3,"MA_HT","CQP","MA_QH","DTT")</f>
        <v>0</v>
      </c>
      <c r="AJ20" s="22">
        <f ca="1">+GETPIVOTDATA("XBG4",'binhgia (2016)'!$A$3,"MA_HT","CQP","MA_QH","NCK")</f>
        <v>0</v>
      </c>
      <c r="AK20" s="22">
        <f ca="1">+GETPIVOTDATA("XBG4",'binhgia (2016)'!$A$3,"MA_HT","CQP","MA_QH","DXH")</f>
        <v>0</v>
      </c>
      <c r="AL20" s="22">
        <f ca="1">+GETPIVOTDATA("XBG4",'binhgia (2016)'!$A$3,"MA_HT","CQP","MA_QH","DCH")</f>
        <v>0</v>
      </c>
      <c r="AM20" s="22">
        <f ca="1">+GETPIVOTDATA("XBG4",'binhgia (2016)'!$A$3,"MA_HT","CQP","MA_QH","DKG")</f>
        <v>0</v>
      </c>
      <c r="AN20" s="22">
        <f ca="1">+GETPIVOTDATA("XBG4",'binhgia (2016)'!$A$3,"MA_HT","CQP","MA_QH","DDT")</f>
        <v>0</v>
      </c>
      <c r="AO20" s="22">
        <f ca="1">+GETPIVOTDATA("XBG4",'binhgia (2016)'!$A$3,"MA_HT","CQP","MA_QH","DDL")</f>
        <v>0</v>
      </c>
      <c r="AP20" s="22">
        <f ca="1">+GETPIVOTDATA("XBG4",'binhgia (2016)'!$A$3,"MA_HT","CQP","MA_QH","DRA")</f>
        <v>0</v>
      </c>
      <c r="AQ20" s="22">
        <f ca="1">+GETPIVOTDATA("XBG4",'binhgia (2016)'!$A$3,"MA_HT","CQP","MA_QH","ONT")</f>
        <v>0</v>
      </c>
      <c r="AR20" s="22">
        <f ca="1">+GETPIVOTDATA("XBG4",'binhgia (2016)'!$A$3,"MA_HT","CQP","MA_QH","ODT")</f>
        <v>0</v>
      </c>
      <c r="AS20" s="22">
        <f ca="1">+GETPIVOTDATA("XBG4",'binhgia (2016)'!$A$3,"MA_HT","CQP","MA_QH","TSC")</f>
        <v>0</v>
      </c>
      <c r="AT20" s="22">
        <f ca="1">+GETPIVOTDATA("XBG4",'binhgia (2016)'!$A$3,"MA_HT","CQP","MA_QH","DTS")</f>
        <v>0</v>
      </c>
      <c r="AU20" s="22">
        <f ca="1">+GETPIVOTDATA("XBG4",'binhgia (2016)'!$A$3,"MA_HT","CQP","MA_QH","DNG")</f>
        <v>0</v>
      </c>
      <c r="AV20" s="22">
        <f ca="1">+GETPIVOTDATA("XBG4",'binhgia (2016)'!$A$3,"MA_HT","CQP","MA_QH","TON")</f>
        <v>0</v>
      </c>
      <c r="AW20" s="22">
        <f ca="1">+GETPIVOTDATA("XBG4",'binhgia (2016)'!$A$3,"MA_HT","CQP","MA_QH","NTD")</f>
        <v>0</v>
      </c>
      <c r="AX20" s="22">
        <f ca="1">+GETPIVOTDATA("XBG4",'binhgia (2016)'!$A$3,"MA_HT","CQP","MA_QH","SKX")</f>
        <v>0</v>
      </c>
      <c r="AY20" s="22">
        <f ca="1">+GETPIVOTDATA("XBG4",'binhgia (2016)'!$A$3,"MA_HT","CQP","MA_QH","DSH")</f>
        <v>0</v>
      </c>
      <c r="AZ20" s="22">
        <f ca="1">+GETPIVOTDATA("XBG4",'binhgia (2016)'!$A$3,"MA_HT","CQP","MA_QH","DKV")</f>
        <v>0</v>
      </c>
      <c r="BA20" s="89">
        <f ca="1">+GETPIVOTDATA("XBG4",'binhgia (2016)'!$A$3,"MA_HT","CQP","MA_QH","TIN")</f>
        <v>0</v>
      </c>
      <c r="BB20" s="50">
        <f ca="1">+GETPIVOTDATA("XBG4",'binhgia (2016)'!$A$3,"MA_HT","CQP","MA_QH","SON")</f>
        <v>0</v>
      </c>
      <c r="BC20" s="50">
        <f ca="1">+GETPIVOTDATA("XBG4",'binhgia (2016)'!$A$3,"MA_HT","CQP","MA_QH","MNC")</f>
        <v>0</v>
      </c>
      <c r="BD20" s="22">
        <f ca="1">+GETPIVOTDATA("XBG4",'binhgia (2016)'!$A$3,"MA_HT","CQP","MA_QH","PNK")</f>
        <v>0</v>
      </c>
      <c r="BE20" s="71">
        <f ca="1">+GETPIVOTDATA("XBG4",'binhgia (2016)'!$A$3,"MA_HT","CQP","MA_QH","CSD")</f>
        <v>0</v>
      </c>
      <c r="BF20" s="74">
        <f ca="1" t="shared" ref="BF20:BF57" si="13">BE20+R20+E20</f>
        <v>0</v>
      </c>
      <c r="BG20" s="101">
        <f ca="1">S$59-$BF20</f>
        <v>0</v>
      </c>
      <c r="BH20" s="41" t="e">
        <f ca="1" t="shared" ref="BH20:BH58" si="14">BG20+D20</f>
        <v>#REF!</v>
      </c>
      <c r="BI20" s="98"/>
      <c r="BJ20" s="98" t="e">
        <f>#REF!</f>
        <v>#REF!</v>
      </c>
      <c r="BK20" s="107" t="e">
        <f ca="1">BH20-BJ20</f>
        <v>#REF!</v>
      </c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</row>
    <row r="21" s="2" customFormat="1" ht="15.75" customHeight="1" spans="1:79">
      <c r="A21" s="39" t="s">
        <v>232</v>
      </c>
      <c r="B21" s="39" t="s">
        <v>8361</v>
      </c>
      <c r="C21" s="40" t="s">
        <v>8283</v>
      </c>
      <c r="D21" s="41" t="e">
        <f>+#REF!</f>
        <v>#REF!</v>
      </c>
      <c r="E21" s="42">
        <f ca="1" t="shared" ref="E21:E58" si="15">SUM(F21,J21:Q21)</f>
        <v>0</v>
      </c>
      <c r="F21" s="52">
        <f ca="1" t="shared" si="9"/>
        <v>0</v>
      </c>
      <c r="G21" s="22">
        <f ca="1">+GETPIVOTDATA("XBG4",'binhgia (2016)'!$A$3,"MA_HT","CAN","MA_QH","LUC")</f>
        <v>0</v>
      </c>
      <c r="H21" s="22">
        <f ca="1">+GETPIVOTDATA("XBG4",'binhgia (2016)'!$A$3,"MA_HT","CAN","MA_QH","LUK")</f>
        <v>0</v>
      </c>
      <c r="I21" s="22">
        <f ca="1">+GETPIVOTDATA("XBG4",'binhgia (2016)'!$A$3,"MA_HT","CAN","MA_QH","LUN")</f>
        <v>0</v>
      </c>
      <c r="J21" s="22">
        <f ca="1">+GETPIVOTDATA("XBG4",'binhgia (2016)'!$A$3,"MA_HT","CAN","MA_QH","HNK")</f>
        <v>0</v>
      </c>
      <c r="K21" s="22">
        <f ca="1">+GETPIVOTDATA("XBG4",'binhgia (2016)'!$A$3,"MA_HT","CAN","MA_QH","CLN")</f>
        <v>0</v>
      </c>
      <c r="L21" s="22">
        <f ca="1">+GETPIVOTDATA("XBG4",'binhgia (2016)'!$A$3,"MA_HT","CAN","MA_QH","RSX")</f>
        <v>0</v>
      </c>
      <c r="M21" s="22">
        <f ca="1">+GETPIVOTDATA("XBG4",'binhgia (2016)'!$A$3,"MA_HT","CAN","MA_QH","RPH")</f>
        <v>0</v>
      </c>
      <c r="N21" s="22">
        <f ca="1">+GETPIVOTDATA("XBG4",'binhgia (2016)'!$A$3,"MA_HT","CAN","MA_QH","RDD")</f>
        <v>0</v>
      </c>
      <c r="O21" s="22">
        <f ca="1">+GETPIVOTDATA("XBG4",'binhgia (2016)'!$A$3,"MA_HT","CAN","MA_QH","NTS")</f>
        <v>0</v>
      </c>
      <c r="P21" s="22">
        <f ca="1">+GETPIVOTDATA("XBG4",'binhgia (2016)'!$A$3,"MA_HT","CAN","MA_QH","LMU")</f>
        <v>0</v>
      </c>
      <c r="Q21" s="22">
        <f ca="1">+GETPIVOTDATA("XBG4",'binhgia (2016)'!$A$3,"MA_HT","CAN","MA_QH","NKH")</f>
        <v>0</v>
      </c>
      <c r="R21" s="42">
        <f ca="1">SUM(S21,U21:AA21,AN21:BD21)</f>
        <v>0</v>
      </c>
      <c r="S21" s="22">
        <f ca="1">+GETPIVOTDATA("XBG4",'binhgia (2016)'!$A$3,"MA_HT","CAN","MA_QH","CQP")</f>
        <v>0</v>
      </c>
      <c r="T21" s="43" t="e">
        <f ca="1">$D21-$BF21</f>
        <v>#REF!</v>
      </c>
      <c r="U21" s="22">
        <f ca="1">+GETPIVOTDATA("XBG4",'binhgia (2016)'!$A$3,"MA_HT","CAN","MA_QH","SKK")</f>
        <v>0</v>
      </c>
      <c r="V21" s="22">
        <f ca="1">+GETPIVOTDATA("XBG4",'binhgia (2016)'!$A$3,"MA_HT","CAN","MA_QH","SKT")</f>
        <v>0</v>
      </c>
      <c r="W21" s="22">
        <f ca="1">+GETPIVOTDATA("XBG4",'binhgia (2016)'!$A$3,"MA_HT","CAN","MA_QH","SKN")</f>
        <v>0</v>
      </c>
      <c r="X21" s="22">
        <f ca="1">+GETPIVOTDATA("XBG4",'binhgia (2016)'!$A$3,"MA_HT","CAN","MA_QH","TMD")</f>
        <v>0</v>
      </c>
      <c r="Y21" s="22">
        <f ca="1">+GETPIVOTDATA("XBG4",'binhgia (2016)'!$A$3,"MA_HT","CAN","MA_QH","SKC")</f>
        <v>0</v>
      </c>
      <c r="Z21" s="22">
        <f ca="1">+GETPIVOTDATA("XBG4",'binhgia (2016)'!$A$3,"MA_HT","CAN","MA_QH","SKS")</f>
        <v>0</v>
      </c>
      <c r="AA21" s="52">
        <f ca="1" t="shared" si="12"/>
        <v>0</v>
      </c>
      <c r="AB21" s="22">
        <f ca="1">+GETPIVOTDATA("XBG4",'binhgia (2016)'!$A$3,"MA_HT","CAN","MA_QH","DGT")</f>
        <v>0</v>
      </c>
      <c r="AC21" s="22">
        <f ca="1">+GETPIVOTDATA("XBG4",'binhgia (2016)'!$A$3,"MA_HT","CAN","MA_QH","DTL")</f>
        <v>0</v>
      </c>
      <c r="AD21" s="22">
        <f ca="1">+GETPIVOTDATA("XBG4",'binhgia (2016)'!$A$3,"MA_HT","CAN","MA_QH","DNL")</f>
        <v>0</v>
      </c>
      <c r="AE21" s="22">
        <f ca="1">+GETPIVOTDATA("XBG4",'binhgia (2016)'!$A$3,"MA_HT","CAN","MA_QH","DBV")</f>
        <v>0</v>
      </c>
      <c r="AF21" s="22">
        <f ca="1">+GETPIVOTDATA("XBG4",'binhgia (2016)'!$A$3,"MA_HT","CAN","MA_QH","DVH")</f>
        <v>0</v>
      </c>
      <c r="AG21" s="22">
        <f ca="1">+GETPIVOTDATA("XBG4",'binhgia (2016)'!$A$3,"MA_HT","CAN","MA_QH","DYT")</f>
        <v>0</v>
      </c>
      <c r="AH21" s="22">
        <f ca="1">+GETPIVOTDATA("XBG4",'binhgia (2016)'!$A$3,"MA_HT","CAN","MA_QH","DGD")</f>
        <v>0</v>
      </c>
      <c r="AI21" s="22">
        <f ca="1">+GETPIVOTDATA("XBG4",'binhgia (2016)'!$A$3,"MA_HT","CAN","MA_QH","DTT")</f>
        <v>0</v>
      </c>
      <c r="AJ21" s="22">
        <f ca="1">+GETPIVOTDATA("XBG4",'binhgia (2016)'!$A$3,"MA_HT","CAN","MA_QH","NCK")</f>
        <v>0</v>
      </c>
      <c r="AK21" s="22">
        <f ca="1">+GETPIVOTDATA("XBG4",'binhgia (2016)'!$A$3,"MA_HT","CAN","MA_QH","DXH")</f>
        <v>0</v>
      </c>
      <c r="AL21" s="22">
        <f ca="1">+GETPIVOTDATA("XBG4",'binhgia (2016)'!$A$3,"MA_HT","CAN","MA_QH","DCH")</f>
        <v>0</v>
      </c>
      <c r="AM21" s="22">
        <f ca="1">+GETPIVOTDATA("XBG4",'binhgia (2016)'!$A$3,"MA_HT","CAN","MA_QH","DKG")</f>
        <v>0</v>
      </c>
      <c r="AN21" s="22">
        <f ca="1">+GETPIVOTDATA("XBG4",'binhgia (2016)'!$A$3,"MA_HT","CAN","MA_QH","DDT")</f>
        <v>0</v>
      </c>
      <c r="AO21" s="22">
        <f ca="1">+GETPIVOTDATA("XBG4",'binhgia (2016)'!$A$3,"MA_HT","CAN","MA_QH","DDL")</f>
        <v>0</v>
      </c>
      <c r="AP21" s="22">
        <f ca="1">+GETPIVOTDATA("XBG4",'binhgia (2016)'!$A$3,"MA_HT","CAN","MA_QH","DRA")</f>
        <v>0</v>
      </c>
      <c r="AQ21" s="22">
        <f ca="1">+GETPIVOTDATA("XBG4",'binhgia (2016)'!$A$3,"MA_HT","CAN","MA_QH","ONT")</f>
        <v>0</v>
      </c>
      <c r="AR21" s="22">
        <f ca="1">+GETPIVOTDATA("XBG4",'binhgia (2016)'!$A$3,"MA_HT","CAN","MA_QH","ODT")</f>
        <v>0</v>
      </c>
      <c r="AS21" s="22">
        <f ca="1">+GETPIVOTDATA("XBG4",'binhgia (2016)'!$A$3,"MA_HT","CAN","MA_QH","TSC")</f>
        <v>0</v>
      </c>
      <c r="AT21" s="22">
        <f ca="1">+GETPIVOTDATA("XBG4",'binhgia (2016)'!$A$3,"MA_HT","CAN","MA_QH","DTS")</f>
        <v>0</v>
      </c>
      <c r="AU21" s="22">
        <f ca="1">+GETPIVOTDATA("XBG4",'binhgia (2016)'!$A$3,"MA_HT","CAN","MA_QH","DNG")</f>
        <v>0</v>
      </c>
      <c r="AV21" s="22">
        <f ca="1">+GETPIVOTDATA("XBG4",'binhgia (2016)'!$A$3,"MA_HT","CAN","MA_QH","TON")</f>
        <v>0</v>
      </c>
      <c r="AW21" s="22">
        <f ca="1">+GETPIVOTDATA("XBG4",'binhgia (2016)'!$A$3,"MA_HT","CAN","MA_QH","NTD")</f>
        <v>0</v>
      </c>
      <c r="AX21" s="22">
        <f ca="1">+GETPIVOTDATA("XBG4",'binhgia (2016)'!$A$3,"MA_HT","CAN","MA_QH","SKX")</f>
        <v>0</v>
      </c>
      <c r="AY21" s="22">
        <f ca="1">+GETPIVOTDATA("XBG4",'binhgia (2016)'!$A$3,"MA_HT","CAN","MA_QH","DSH")</f>
        <v>0</v>
      </c>
      <c r="AZ21" s="22">
        <f ca="1">+GETPIVOTDATA("XBG4",'binhgia (2016)'!$A$3,"MA_HT","CAN","MA_QH","DKV")</f>
        <v>0</v>
      </c>
      <c r="BA21" s="89">
        <f ca="1">+GETPIVOTDATA("XBG4",'binhgia (2016)'!$A$3,"MA_HT","CAN","MA_QH","TIN")</f>
        <v>0</v>
      </c>
      <c r="BB21" s="50">
        <f ca="1">+GETPIVOTDATA("XBG4",'binhgia (2016)'!$A$3,"MA_HT","CAN","MA_QH","SON")</f>
        <v>0</v>
      </c>
      <c r="BC21" s="50">
        <f ca="1">+GETPIVOTDATA("XBG4",'binhgia (2016)'!$A$3,"MA_HT","CAN","MA_QH","MNC")</f>
        <v>0</v>
      </c>
      <c r="BD21" s="22">
        <f ca="1">+GETPIVOTDATA("XBG4",'binhgia (2016)'!$A$3,"MA_HT","CAN","MA_QH","PNK")</f>
        <v>0</v>
      </c>
      <c r="BE21" s="71">
        <f ca="1">+GETPIVOTDATA("XBG4",'binhgia (2016)'!$A$3,"MA_HT","CAN","MA_QH","CSD")</f>
        <v>0</v>
      </c>
      <c r="BF21" s="74">
        <f ca="1" t="shared" si="13"/>
        <v>0</v>
      </c>
      <c r="BG21" s="101">
        <f ca="1">T$59-$BF21</f>
        <v>0</v>
      </c>
      <c r="BH21" s="41" t="e">
        <f ca="1" t="shared" si="14"/>
        <v>#REF!</v>
      </c>
      <c r="BI21" s="98"/>
      <c r="BJ21" s="98" t="e">
        <f>#REF!</f>
        <v>#REF!</v>
      </c>
      <c r="BK21" s="107" t="e">
        <f ca="1">BH21-BJ21</f>
        <v>#REF!</v>
      </c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</row>
    <row r="22" s="2" customFormat="1" ht="15.75" customHeight="1" spans="1:79">
      <c r="A22" s="39" t="s">
        <v>8362</v>
      </c>
      <c r="B22" s="53" t="s">
        <v>8363</v>
      </c>
      <c r="C22" s="40" t="s">
        <v>47</v>
      </c>
      <c r="D22" s="41" t="e">
        <f>+#REF!</f>
        <v>#REF!</v>
      </c>
      <c r="E22" s="42">
        <f ca="1" t="shared" si="15"/>
        <v>0</v>
      </c>
      <c r="F22" s="52">
        <f ca="1" t="shared" si="9"/>
        <v>0</v>
      </c>
      <c r="G22" s="22">
        <f ca="1">+GETPIVOTDATA("XBG4",'binhgia (2016)'!$A$3,"MA_HT","SKK","MA_QH","LUC")</f>
        <v>0</v>
      </c>
      <c r="H22" s="22">
        <f ca="1">+GETPIVOTDATA("XBG4",'binhgia (2016)'!$A$3,"MA_HT","SKK","MA_QH","LUK")</f>
        <v>0</v>
      </c>
      <c r="I22" s="22">
        <f ca="1">+GETPIVOTDATA("XBG4",'binhgia (2016)'!$A$3,"MA_HT","SKK","MA_QH","LUN")</f>
        <v>0</v>
      </c>
      <c r="J22" s="22">
        <f ca="1">+GETPIVOTDATA("XBG4",'binhgia (2016)'!$A$3,"MA_HT","SKK","MA_QH","HNK")</f>
        <v>0</v>
      </c>
      <c r="K22" s="22">
        <f ca="1">+GETPIVOTDATA("XBG4",'binhgia (2016)'!$A$3,"MA_HT","SKK","MA_QH","CLN")</f>
        <v>0</v>
      </c>
      <c r="L22" s="22">
        <f ca="1">+GETPIVOTDATA("XBG4",'binhgia (2016)'!$A$3,"MA_HT","SKK","MA_QH","RSX")</f>
        <v>0</v>
      </c>
      <c r="M22" s="22">
        <f ca="1">+GETPIVOTDATA("XBG4",'binhgia (2016)'!$A$3,"MA_HT","SKK","MA_QH","RPH")</f>
        <v>0</v>
      </c>
      <c r="N22" s="22">
        <f ca="1">+GETPIVOTDATA("XBG4",'binhgia (2016)'!$A$3,"MA_HT","SKK","MA_QH","RDD")</f>
        <v>0</v>
      </c>
      <c r="O22" s="22">
        <f ca="1">+GETPIVOTDATA("XBG4",'binhgia (2016)'!$A$3,"MA_HT","SKK","MA_QH","NTS")</f>
        <v>0</v>
      </c>
      <c r="P22" s="22">
        <f ca="1">+GETPIVOTDATA("XBG4",'binhgia (2016)'!$A$3,"MA_HT","SKK","MA_QH","LMU")</f>
        <v>0</v>
      </c>
      <c r="Q22" s="22">
        <f ca="1">+GETPIVOTDATA("XBG4",'binhgia (2016)'!$A$3,"MA_HT","SKK","MA_QH","NKH")</f>
        <v>0</v>
      </c>
      <c r="R22" s="42">
        <f ca="1">SUM(S22:T22,V22:AA22,AN22:BD22)</f>
        <v>0</v>
      </c>
      <c r="S22" s="22">
        <f ca="1">+GETPIVOTDATA("XBG4",'binhgia (2016)'!$A$3,"MA_HT","SKK","MA_QH","CQP")</f>
        <v>0</v>
      </c>
      <c r="T22" s="22">
        <f ca="1">+GETPIVOTDATA("XBG4",'binhgia (2016)'!$A$3,"MA_HT","SKK","MA_QH","CAN")</f>
        <v>0</v>
      </c>
      <c r="U22" s="43" t="e">
        <f ca="1">$D22-$BF22</f>
        <v>#REF!</v>
      </c>
      <c r="V22" s="22">
        <f ca="1">+GETPIVOTDATA("XBG4",'binhgia (2016)'!$A$3,"MA_HT","SKK","MA_QH","SKT")</f>
        <v>0</v>
      </c>
      <c r="W22" s="22">
        <f ca="1">+GETPIVOTDATA("XBG4",'binhgia (2016)'!$A$3,"MA_HT","SKK","MA_QH","SKN")</f>
        <v>0</v>
      </c>
      <c r="X22" s="22">
        <f ca="1">+GETPIVOTDATA("XBG4",'binhgia (2016)'!$A$3,"MA_HT","SKK","MA_QH","TMD")</f>
        <v>0</v>
      </c>
      <c r="Y22" s="22">
        <f ca="1">+GETPIVOTDATA("XBG4",'binhgia (2016)'!$A$3,"MA_HT","SKK","MA_QH","SKC")</f>
        <v>0</v>
      </c>
      <c r="Z22" s="22">
        <f ca="1">+GETPIVOTDATA("XBG4",'binhgia (2016)'!$A$3,"MA_HT","SKK","MA_QH","SKS")</f>
        <v>0</v>
      </c>
      <c r="AA22" s="52">
        <f ca="1" t="shared" si="12"/>
        <v>0</v>
      </c>
      <c r="AB22" s="22">
        <f ca="1">+GETPIVOTDATA("XBG4",'binhgia (2016)'!$A$3,"MA_HT","SKK","MA_QH","DGT")</f>
        <v>0</v>
      </c>
      <c r="AC22" s="22">
        <f ca="1">+GETPIVOTDATA("XBG4",'binhgia (2016)'!$A$3,"MA_HT","SKK","MA_QH","DTL")</f>
        <v>0</v>
      </c>
      <c r="AD22" s="22">
        <f ca="1">+GETPIVOTDATA("XBG4",'binhgia (2016)'!$A$3,"MA_HT","SKK","MA_QH","DNL")</f>
        <v>0</v>
      </c>
      <c r="AE22" s="22">
        <f ca="1">+GETPIVOTDATA("XBG4",'binhgia (2016)'!$A$3,"MA_HT","SKK","MA_QH","DBV")</f>
        <v>0</v>
      </c>
      <c r="AF22" s="22">
        <f ca="1">+GETPIVOTDATA("XBG4",'binhgia (2016)'!$A$3,"MA_HT","SKK","MA_QH","DVH")</f>
        <v>0</v>
      </c>
      <c r="AG22" s="22">
        <f ca="1">+GETPIVOTDATA("XBG4",'binhgia (2016)'!$A$3,"MA_HT","SKK","MA_QH","DYT")</f>
        <v>0</v>
      </c>
      <c r="AH22" s="22">
        <f ca="1">+GETPIVOTDATA("XBG4",'binhgia (2016)'!$A$3,"MA_HT","SKK","MA_QH","DGD")</f>
        <v>0</v>
      </c>
      <c r="AI22" s="22">
        <f ca="1">+GETPIVOTDATA("XBG4",'binhgia (2016)'!$A$3,"MA_HT","SKK","MA_QH","DTT")</f>
        <v>0</v>
      </c>
      <c r="AJ22" s="22">
        <f ca="1">+GETPIVOTDATA("XBG4",'binhgia (2016)'!$A$3,"MA_HT","SKK","MA_QH","NCK")</f>
        <v>0</v>
      </c>
      <c r="AK22" s="22">
        <f ca="1">+GETPIVOTDATA("XBG4",'binhgia (2016)'!$A$3,"MA_HT","SKK","MA_QH","DXH")</f>
        <v>0</v>
      </c>
      <c r="AL22" s="22">
        <f ca="1">+GETPIVOTDATA("XBG4",'binhgia (2016)'!$A$3,"MA_HT","SKK","MA_QH","DCH")</f>
        <v>0</v>
      </c>
      <c r="AM22" s="22">
        <f ca="1">+GETPIVOTDATA("XBG4",'binhgia (2016)'!$A$3,"MA_HT","SKK","MA_QH","DKG")</f>
        <v>0</v>
      </c>
      <c r="AN22" s="22">
        <f ca="1">+GETPIVOTDATA("XBG4",'binhgia (2016)'!$A$3,"MA_HT","SKK","MA_QH","DDT")</f>
        <v>0</v>
      </c>
      <c r="AO22" s="22">
        <f ca="1">+GETPIVOTDATA("XBG4",'binhgia (2016)'!$A$3,"MA_HT","SKK","MA_QH","DDL")</f>
        <v>0</v>
      </c>
      <c r="AP22" s="22">
        <f ca="1">+GETPIVOTDATA("XBG4",'binhgia (2016)'!$A$3,"MA_HT","SKK","MA_QH","DRA")</f>
        <v>0</v>
      </c>
      <c r="AQ22" s="22">
        <f ca="1">+GETPIVOTDATA("XBG4",'binhgia (2016)'!$A$3,"MA_HT","SKK","MA_QH","ONT")</f>
        <v>0</v>
      </c>
      <c r="AR22" s="22">
        <f ca="1">+GETPIVOTDATA("XBG4",'binhgia (2016)'!$A$3,"MA_HT","SKK","MA_QH","ODT")</f>
        <v>0</v>
      </c>
      <c r="AS22" s="22">
        <f ca="1">+GETPIVOTDATA("XBG4",'binhgia (2016)'!$A$3,"MA_HT","SKK","MA_QH","TSC")</f>
        <v>0</v>
      </c>
      <c r="AT22" s="22">
        <f ca="1">+GETPIVOTDATA("XBG4",'binhgia (2016)'!$A$3,"MA_HT","SKK","MA_QH","DTS")</f>
        <v>0</v>
      </c>
      <c r="AU22" s="22">
        <f ca="1">+GETPIVOTDATA("XBG4",'binhgia (2016)'!$A$3,"MA_HT","SKK","MA_QH","DNG")</f>
        <v>0</v>
      </c>
      <c r="AV22" s="22">
        <f ca="1">+GETPIVOTDATA("XBG4",'binhgia (2016)'!$A$3,"MA_HT","SKK","MA_QH","TON")</f>
        <v>0</v>
      </c>
      <c r="AW22" s="22">
        <f ca="1">+GETPIVOTDATA("XBG4",'binhgia (2016)'!$A$3,"MA_HT","SKK","MA_QH","NTD")</f>
        <v>0</v>
      </c>
      <c r="AX22" s="22">
        <f ca="1">+GETPIVOTDATA("XBG4",'binhgia (2016)'!$A$3,"MA_HT","SKK","MA_QH","SKX")</f>
        <v>0</v>
      </c>
      <c r="AY22" s="22">
        <f ca="1">+GETPIVOTDATA("XBG4",'binhgia (2016)'!$A$3,"MA_HT","SKK","MA_QH","DSH")</f>
        <v>0</v>
      </c>
      <c r="AZ22" s="22">
        <f ca="1">+GETPIVOTDATA("XBG4",'binhgia (2016)'!$A$3,"MA_HT","SKK","MA_QH","DKV")</f>
        <v>0</v>
      </c>
      <c r="BA22" s="89">
        <f ca="1">+GETPIVOTDATA("XBG4",'binhgia (2016)'!$A$3,"MA_HT","SKK","MA_QH","TIN")</f>
        <v>0</v>
      </c>
      <c r="BB22" s="50">
        <f ca="1">+GETPIVOTDATA("XBG4",'binhgia (2016)'!$A$3,"MA_HT","SKK","MA_QH","SON")</f>
        <v>0</v>
      </c>
      <c r="BC22" s="50">
        <f ca="1">+GETPIVOTDATA("XBG4",'binhgia (2016)'!$A$3,"MA_HT","SKK","MA_QH","MNC")</f>
        <v>0</v>
      </c>
      <c r="BD22" s="22">
        <f ca="1">+GETPIVOTDATA("XBG4",'binhgia (2016)'!$A$3,"MA_HT","SKK","MA_QH","PNK")</f>
        <v>0</v>
      </c>
      <c r="BE22" s="71">
        <f ca="1">+GETPIVOTDATA("XBG4",'binhgia (2016)'!$A$3,"MA_HT","SKK","MA_QH","CSD")</f>
        <v>0</v>
      </c>
      <c r="BF22" s="74">
        <f ca="1" t="shared" si="13"/>
        <v>0</v>
      </c>
      <c r="BG22" s="101">
        <f ca="1">U$59-$BF22</f>
        <v>0</v>
      </c>
      <c r="BH22" s="41" t="e">
        <f ca="1" t="shared" si="14"/>
        <v>#REF!</v>
      </c>
      <c r="BI22" s="98"/>
      <c r="BJ22" s="107" t="e">
        <f>#REF!</f>
        <v>#REF!</v>
      </c>
      <c r="BK22" s="107" t="e">
        <f ca="1">BH22-BJ22</f>
        <v>#REF!</v>
      </c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</row>
    <row r="23" s="2" customFormat="1" ht="15.75" customHeight="1" spans="1:79">
      <c r="A23" s="39" t="s">
        <v>8364</v>
      </c>
      <c r="B23" s="53" t="s">
        <v>8365</v>
      </c>
      <c r="C23" s="40" t="s">
        <v>8308</v>
      </c>
      <c r="D23" s="41" t="e">
        <f>+#REF!</f>
        <v>#REF!</v>
      </c>
      <c r="E23" s="42">
        <f ca="1" t="shared" si="15"/>
        <v>0</v>
      </c>
      <c r="F23" s="52">
        <f ca="1" t="shared" si="9"/>
        <v>0</v>
      </c>
      <c r="G23" s="22">
        <f ca="1">+GETPIVOTDATA("XBG4",'binhgia (2016)'!$A$3,"MA_HT","SKT","MA_QH","LUC")</f>
        <v>0</v>
      </c>
      <c r="H23" s="22">
        <f ca="1">+GETPIVOTDATA("XBG4",'binhgia (2016)'!$A$3,"MA_HT","SKT","MA_QH","LUK")</f>
        <v>0</v>
      </c>
      <c r="I23" s="22">
        <f ca="1">+GETPIVOTDATA("XBG4",'binhgia (2016)'!$A$3,"MA_HT","SKT","MA_QH","LUN")</f>
        <v>0</v>
      </c>
      <c r="J23" s="22">
        <f ca="1">+GETPIVOTDATA("XBG4",'binhgia (2016)'!$A$3,"MA_HT","SKT","MA_QH","HNK")</f>
        <v>0</v>
      </c>
      <c r="K23" s="22">
        <f ca="1">+GETPIVOTDATA("XBG4",'binhgia (2016)'!$A$3,"MA_HT","SKT","MA_QH","CLN")</f>
        <v>0</v>
      </c>
      <c r="L23" s="22">
        <f ca="1">+GETPIVOTDATA("XBG4",'binhgia (2016)'!$A$3,"MA_HT","SKT","MA_QH","RSX")</f>
        <v>0</v>
      </c>
      <c r="M23" s="22">
        <f ca="1">+GETPIVOTDATA("XBG4",'binhgia (2016)'!$A$3,"MA_HT","SKT","MA_QH","RPH")</f>
        <v>0</v>
      </c>
      <c r="N23" s="22">
        <f ca="1">+GETPIVOTDATA("XBG4",'binhgia (2016)'!$A$3,"MA_HT","SKT","MA_QH","RDD")</f>
        <v>0</v>
      </c>
      <c r="O23" s="22">
        <f ca="1">+GETPIVOTDATA("XBG4",'binhgia (2016)'!$A$3,"MA_HT","SKT","MA_QH","NTS")</f>
        <v>0</v>
      </c>
      <c r="P23" s="22">
        <f ca="1">+GETPIVOTDATA("XBG4",'binhgia (2016)'!$A$3,"MA_HT","SKT","MA_QH","LMU")</f>
        <v>0</v>
      </c>
      <c r="Q23" s="22">
        <f ca="1">+GETPIVOTDATA("XBG4",'binhgia (2016)'!$A$3,"MA_HT","SKT","MA_QH","NKH")</f>
        <v>0</v>
      </c>
      <c r="R23" s="42">
        <f ca="1">SUM(S23:U23,W23:AA23,AN23:BD23)</f>
        <v>0</v>
      </c>
      <c r="S23" s="22">
        <f ca="1">+GETPIVOTDATA("XBG4",'binhgia (2016)'!$A$3,"MA_HT","SKT","MA_QH","CQP")</f>
        <v>0</v>
      </c>
      <c r="T23" s="22">
        <f ca="1">+GETPIVOTDATA("XBG4",'binhgia (2016)'!$A$3,"MA_HT","SKT","MA_QH","CAN")</f>
        <v>0</v>
      </c>
      <c r="U23" s="22">
        <f ca="1">+GETPIVOTDATA("XBG4",'binhgia (2016)'!$A$3,"MA_HT","SKT","MA_QH","SKK")</f>
        <v>0</v>
      </c>
      <c r="V23" s="43" t="e">
        <f ca="1">$D23-$BF23</f>
        <v>#REF!</v>
      </c>
      <c r="W23" s="22">
        <f ca="1">+GETPIVOTDATA("XBG4",'binhgia (2016)'!$A$3,"MA_HT","SKT","MA_QH","SKN")</f>
        <v>0</v>
      </c>
      <c r="X23" s="22">
        <f ca="1">+GETPIVOTDATA("XBG4",'binhgia (2016)'!$A$3,"MA_HT","SKT","MA_QH","TMD")</f>
        <v>0</v>
      </c>
      <c r="Y23" s="22">
        <f ca="1">+GETPIVOTDATA("XBG4",'binhgia (2016)'!$A$3,"MA_HT","SKT","MA_QH","SKC")</f>
        <v>0</v>
      </c>
      <c r="Z23" s="22">
        <f ca="1">+GETPIVOTDATA("XBG4",'binhgia (2016)'!$A$3,"MA_HT","SKT","MA_QH","SKS")</f>
        <v>0</v>
      </c>
      <c r="AA23" s="52">
        <f ca="1" t="shared" si="12"/>
        <v>0</v>
      </c>
      <c r="AB23" s="22">
        <f ca="1">+GETPIVOTDATA("XBG4",'binhgia (2016)'!$A$3,"MA_HT","SKT","MA_QH","DGT")</f>
        <v>0</v>
      </c>
      <c r="AC23" s="22">
        <f ca="1">+GETPIVOTDATA("XBG4",'binhgia (2016)'!$A$3,"MA_HT","SKT","MA_QH","DTL")</f>
        <v>0</v>
      </c>
      <c r="AD23" s="22">
        <f ca="1">+GETPIVOTDATA("XBG4",'binhgia (2016)'!$A$3,"MA_HT","SKT","MA_QH","DNL")</f>
        <v>0</v>
      </c>
      <c r="AE23" s="22">
        <f ca="1">+GETPIVOTDATA("XBG4",'binhgia (2016)'!$A$3,"MA_HT","SKT","MA_QH","DBV")</f>
        <v>0</v>
      </c>
      <c r="AF23" s="22">
        <f ca="1">+GETPIVOTDATA("XBG4",'binhgia (2016)'!$A$3,"MA_HT","SKT","MA_QH","DVH")</f>
        <v>0</v>
      </c>
      <c r="AG23" s="22">
        <f ca="1">+GETPIVOTDATA("XBG4",'binhgia (2016)'!$A$3,"MA_HT","SKT","MA_QH","DYT")</f>
        <v>0</v>
      </c>
      <c r="AH23" s="22">
        <f ca="1">+GETPIVOTDATA("XBG4",'binhgia (2016)'!$A$3,"MA_HT","SKT","MA_QH","DGD")</f>
        <v>0</v>
      </c>
      <c r="AI23" s="22">
        <f ca="1">+GETPIVOTDATA("XBG4",'binhgia (2016)'!$A$3,"MA_HT","SKT","MA_QH","DTT")</f>
        <v>0</v>
      </c>
      <c r="AJ23" s="22">
        <f ca="1">+GETPIVOTDATA("XBG4",'binhgia (2016)'!$A$3,"MA_HT","SKT","MA_QH","NCK")</f>
        <v>0</v>
      </c>
      <c r="AK23" s="22">
        <f ca="1">+GETPIVOTDATA("XBG4",'binhgia (2016)'!$A$3,"MA_HT","SKT","MA_QH","DXH")</f>
        <v>0</v>
      </c>
      <c r="AL23" s="22">
        <f ca="1">+GETPIVOTDATA("XBG4",'binhgia (2016)'!$A$3,"MA_HT","SKT","MA_QH","DCH")</f>
        <v>0</v>
      </c>
      <c r="AM23" s="22">
        <f ca="1">+GETPIVOTDATA("XBG4",'binhgia (2016)'!$A$3,"MA_HT","SKT","MA_QH","DKG")</f>
        <v>0</v>
      </c>
      <c r="AN23" s="22">
        <f ca="1">+GETPIVOTDATA("XBG4",'binhgia (2016)'!$A$3,"MA_HT","SKT","MA_QH","DDT")</f>
        <v>0</v>
      </c>
      <c r="AO23" s="22">
        <f ca="1">+GETPIVOTDATA("XBG4",'binhgia (2016)'!$A$3,"MA_HT","SKT","MA_QH","DDL")</f>
        <v>0</v>
      </c>
      <c r="AP23" s="22">
        <f ca="1">+GETPIVOTDATA("XBG4",'binhgia (2016)'!$A$3,"MA_HT","SKT","MA_QH","DRA")</f>
        <v>0</v>
      </c>
      <c r="AQ23" s="22">
        <f ca="1">+GETPIVOTDATA("XBG4",'binhgia (2016)'!$A$3,"MA_HT","SKT","MA_QH","ONT")</f>
        <v>0</v>
      </c>
      <c r="AR23" s="22">
        <f ca="1">+GETPIVOTDATA("XBG4",'binhgia (2016)'!$A$3,"MA_HT","SKT","MA_QH","ODT")</f>
        <v>0</v>
      </c>
      <c r="AS23" s="22">
        <f ca="1">+GETPIVOTDATA("XBG4",'binhgia (2016)'!$A$3,"MA_HT","SKT","MA_QH","TSC")</f>
        <v>0</v>
      </c>
      <c r="AT23" s="22">
        <f ca="1">+GETPIVOTDATA("XBG4",'binhgia (2016)'!$A$3,"MA_HT","SKT","MA_QH","DTS")</f>
        <v>0</v>
      </c>
      <c r="AU23" s="22">
        <f ca="1">+GETPIVOTDATA("XBG4",'binhgia (2016)'!$A$3,"MA_HT","SKT","MA_QH","DNG")</f>
        <v>0</v>
      </c>
      <c r="AV23" s="22">
        <f ca="1">+GETPIVOTDATA("XBG4",'binhgia (2016)'!$A$3,"MA_HT","SKT","MA_QH","TON")</f>
        <v>0</v>
      </c>
      <c r="AW23" s="22">
        <f ca="1">+GETPIVOTDATA("XBG4",'binhgia (2016)'!$A$3,"MA_HT","SKT","MA_QH","NTD")</f>
        <v>0</v>
      </c>
      <c r="AX23" s="22">
        <f ca="1">+GETPIVOTDATA("XBG4",'binhgia (2016)'!$A$3,"MA_HT","SKT","MA_QH","SKX")</f>
        <v>0</v>
      </c>
      <c r="AY23" s="22">
        <f ca="1">+GETPIVOTDATA("XBG4",'binhgia (2016)'!$A$3,"MA_HT","SKT","MA_QH","DSH")</f>
        <v>0</v>
      </c>
      <c r="AZ23" s="22">
        <f ca="1">+GETPIVOTDATA("XBG4",'binhgia (2016)'!$A$3,"MA_HT","SKT","MA_QH","DKV")</f>
        <v>0</v>
      </c>
      <c r="BA23" s="89">
        <f ca="1">+GETPIVOTDATA("XBG4",'binhgia (2016)'!$A$3,"MA_HT","SKT","MA_QH","TIN")</f>
        <v>0</v>
      </c>
      <c r="BB23" s="50">
        <f ca="1">+GETPIVOTDATA("XBG4",'binhgia (2016)'!$A$3,"MA_HT","SKT","MA_QH","SON")</f>
        <v>0</v>
      </c>
      <c r="BC23" s="50">
        <f ca="1">+GETPIVOTDATA("XBG4",'binhgia (2016)'!$A$3,"MA_HT","SKT","MA_QH","MNC")</f>
        <v>0</v>
      </c>
      <c r="BD23" s="22">
        <f ca="1">+GETPIVOTDATA("XBG4",'binhgia (2016)'!$A$3,"MA_HT","SKT","MA_QH","PNK")</f>
        <v>0</v>
      </c>
      <c r="BE23" s="71">
        <f ca="1">+GETPIVOTDATA("XBG4",'binhgia (2016)'!$A$3,"MA_HT","SKT","MA_QH","CSD")</f>
        <v>0</v>
      </c>
      <c r="BF23" s="74">
        <f ca="1" t="shared" si="13"/>
        <v>0</v>
      </c>
      <c r="BG23" s="101">
        <f ca="1">V$59-$BF23</f>
        <v>0</v>
      </c>
      <c r="BH23" s="41" t="e">
        <f ca="1" t="shared" si="14"/>
        <v>#REF!</v>
      </c>
      <c r="BI23" s="98"/>
      <c r="BJ23" s="107"/>
      <c r="BK23" s="107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</row>
    <row r="24" s="2" customFormat="1" ht="15.75" customHeight="1" spans="1:79">
      <c r="A24" s="39" t="s">
        <v>8366</v>
      </c>
      <c r="B24" s="53" t="s">
        <v>8367</v>
      </c>
      <c r="C24" s="40" t="s">
        <v>56</v>
      </c>
      <c r="D24" s="41" t="e">
        <f>+#REF!</f>
        <v>#REF!</v>
      </c>
      <c r="E24" s="42">
        <f ca="1" t="shared" si="15"/>
        <v>0</v>
      </c>
      <c r="F24" s="52">
        <f ca="1" t="shared" si="9"/>
        <v>0</v>
      </c>
      <c r="G24" s="22">
        <f ca="1">+GETPIVOTDATA("XBG4",'binhgia (2016)'!$A$3,"MA_HT","SKN","MA_QH","LUC")</f>
        <v>0</v>
      </c>
      <c r="H24" s="22">
        <f ca="1">+GETPIVOTDATA("XBG4",'binhgia (2016)'!$A$3,"MA_HT","SKN","MA_QH","LUK")</f>
        <v>0</v>
      </c>
      <c r="I24" s="22">
        <f ca="1">+GETPIVOTDATA("XBG4",'binhgia (2016)'!$A$3,"MA_HT","SKN","MA_QH","LUN")</f>
        <v>0</v>
      </c>
      <c r="J24" s="22">
        <f ca="1">+GETPIVOTDATA("XBG4",'binhgia (2016)'!$A$3,"MA_HT","SKN","MA_QH","HNK")</f>
        <v>0</v>
      </c>
      <c r="K24" s="22">
        <f ca="1">+GETPIVOTDATA("XBG4",'binhgia (2016)'!$A$3,"MA_HT","SKN","MA_QH","CLN")</f>
        <v>0</v>
      </c>
      <c r="L24" s="22">
        <f ca="1">+GETPIVOTDATA("XBG4",'binhgia (2016)'!$A$3,"MA_HT","SKN","MA_QH","RSX")</f>
        <v>0</v>
      </c>
      <c r="M24" s="22">
        <f ca="1">+GETPIVOTDATA("XBG4",'binhgia (2016)'!$A$3,"MA_HT","SKN","MA_QH","RPH")</f>
        <v>0</v>
      </c>
      <c r="N24" s="22">
        <f ca="1">+GETPIVOTDATA("XBG4",'binhgia (2016)'!$A$3,"MA_HT","SKN","MA_QH","RDD")</f>
        <v>0</v>
      </c>
      <c r="O24" s="22">
        <f ca="1">+GETPIVOTDATA("XBG4",'binhgia (2016)'!$A$3,"MA_HT","SKN","MA_QH","NTS")</f>
        <v>0</v>
      </c>
      <c r="P24" s="22">
        <f ca="1">+GETPIVOTDATA("XBG4",'binhgia (2016)'!$A$3,"MA_HT","SKN","MA_QH","LMU")</f>
        <v>0</v>
      </c>
      <c r="Q24" s="22">
        <f ca="1">+GETPIVOTDATA("XBG4",'binhgia (2016)'!$A$3,"MA_HT","SKN","MA_QH","NKH")</f>
        <v>0</v>
      </c>
      <c r="R24" s="42">
        <f ca="1">SUM(S24:V24,X24:AA24,AN24:BD24)</f>
        <v>0</v>
      </c>
      <c r="S24" s="22">
        <f ca="1">+GETPIVOTDATA("XBG4",'binhgia (2016)'!$A$3,"MA_HT","SKN","MA_QH","CQP")</f>
        <v>0</v>
      </c>
      <c r="T24" s="22">
        <f ca="1">+GETPIVOTDATA("XBG4",'binhgia (2016)'!$A$3,"MA_HT","SKN","MA_QH","CAN")</f>
        <v>0</v>
      </c>
      <c r="U24" s="22">
        <f ca="1">+GETPIVOTDATA("XBG4",'binhgia (2016)'!$A$3,"MA_HT","SKN","MA_QH","SKK")</f>
        <v>0</v>
      </c>
      <c r="V24" s="22">
        <f ca="1">+GETPIVOTDATA("XBG4",'binhgia (2016)'!$A$3,"MA_HT","SKN","MA_QH","SKT")</f>
        <v>0</v>
      </c>
      <c r="W24" s="43" t="e">
        <f ca="1">$D24-$BF24</f>
        <v>#REF!</v>
      </c>
      <c r="X24" s="22">
        <f ca="1">+GETPIVOTDATA("XBG4",'binhgia (2016)'!$A$3,"MA_HT","SKN","MA_QH","TMD")</f>
        <v>0</v>
      </c>
      <c r="Y24" s="22">
        <f ca="1">+GETPIVOTDATA("XBG4",'binhgia (2016)'!$A$3,"MA_HT","SKN","MA_QH","SKC")</f>
        <v>0</v>
      </c>
      <c r="Z24" s="22">
        <f ca="1">+GETPIVOTDATA("XBG4",'binhgia (2016)'!$A$3,"MA_HT","SKN","MA_QH","SKS")</f>
        <v>0</v>
      </c>
      <c r="AA24" s="52">
        <f ca="1" t="shared" si="12"/>
        <v>0</v>
      </c>
      <c r="AB24" s="22">
        <f ca="1">+GETPIVOTDATA("XBG4",'binhgia (2016)'!$A$3,"MA_HT","SKN","MA_QH","DGT")</f>
        <v>0</v>
      </c>
      <c r="AC24" s="22">
        <f ca="1">+GETPIVOTDATA("XBG4",'binhgia (2016)'!$A$3,"MA_HT","SKN","MA_QH","DTL")</f>
        <v>0</v>
      </c>
      <c r="AD24" s="22">
        <f ca="1">+GETPIVOTDATA("XBG4",'binhgia (2016)'!$A$3,"MA_HT","SKN","MA_QH","DNL")</f>
        <v>0</v>
      </c>
      <c r="AE24" s="22">
        <f ca="1">+GETPIVOTDATA("XBG4",'binhgia (2016)'!$A$3,"MA_HT","SKN","MA_QH","DBV")</f>
        <v>0</v>
      </c>
      <c r="AF24" s="22">
        <f ca="1">+GETPIVOTDATA("XBG4",'binhgia (2016)'!$A$3,"MA_HT","SKN","MA_QH","DVH")</f>
        <v>0</v>
      </c>
      <c r="AG24" s="22">
        <f ca="1">+GETPIVOTDATA("XBG4",'binhgia (2016)'!$A$3,"MA_HT","SKN","MA_QH","DYT")</f>
        <v>0</v>
      </c>
      <c r="AH24" s="22">
        <f ca="1">+GETPIVOTDATA("XBG4",'binhgia (2016)'!$A$3,"MA_HT","SKN","MA_QH","DGD")</f>
        <v>0</v>
      </c>
      <c r="AI24" s="22">
        <f ca="1">+GETPIVOTDATA("XBG4",'binhgia (2016)'!$A$3,"MA_HT","SKN","MA_QH","DTT")</f>
        <v>0</v>
      </c>
      <c r="AJ24" s="22">
        <f ca="1">+GETPIVOTDATA("XBG4",'binhgia (2016)'!$A$3,"MA_HT","SKN","MA_QH","NCK")</f>
        <v>0</v>
      </c>
      <c r="AK24" s="22">
        <f ca="1">+GETPIVOTDATA("XBG4",'binhgia (2016)'!$A$3,"MA_HT","SKN","MA_QH","DXH")</f>
        <v>0</v>
      </c>
      <c r="AL24" s="22">
        <f ca="1">+GETPIVOTDATA("XBG4",'binhgia (2016)'!$A$3,"MA_HT","SKN","MA_QH","DCH")</f>
        <v>0</v>
      </c>
      <c r="AM24" s="22">
        <f ca="1">+GETPIVOTDATA("XBG4",'binhgia (2016)'!$A$3,"MA_HT","SKN","MA_QH","DKG")</f>
        <v>0</v>
      </c>
      <c r="AN24" s="22">
        <f ca="1">+GETPIVOTDATA("XBG4",'binhgia (2016)'!$A$3,"MA_HT","SKN","MA_QH","DDT")</f>
        <v>0</v>
      </c>
      <c r="AO24" s="22">
        <f ca="1">+GETPIVOTDATA("XBG4",'binhgia (2016)'!$A$3,"MA_HT","SKN","MA_QH","DDL")</f>
        <v>0</v>
      </c>
      <c r="AP24" s="22">
        <f ca="1">+GETPIVOTDATA("XBG4",'binhgia (2016)'!$A$3,"MA_HT","SKN","MA_QH","DRA")</f>
        <v>0</v>
      </c>
      <c r="AQ24" s="22">
        <f ca="1">+GETPIVOTDATA("XBG4",'binhgia (2016)'!$A$3,"MA_HT","SKN","MA_QH","ONT")</f>
        <v>0</v>
      </c>
      <c r="AR24" s="22">
        <f ca="1">+GETPIVOTDATA("XBG4",'binhgia (2016)'!$A$3,"MA_HT","SKN","MA_QH","ODT")</f>
        <v>0</v>
      </c>
      <c r="AS24" s="22">
        <f ca="1">+GETPIVOTDATA("XBG4",'binhgia (2016)'!$A$3,"MA_HT","SKN","MA_QH","TSC")</f>
        <v>0</v>
      </c>
      <c r="AT24" s="22">
        <f ca="1">+GETPIVOTDATA("XBG4",'binhgia (2016)'!$A$3,"MA_HT","SKN","MA_QH","DTS")</f>
        <v>0</v>
      </c>
      <c r="AU24" s="22">
        <f ca="1">+GETPIVOTDATA("XBG4",'binhgia (2016)'!$A$3,"MA_HT","SKN","MA_QH","DNG")</f>
        <v>0</v>
      </c>
      <c r="AV24" s="22">
        <f ca="1">+GETPIVOTDATA("XBG4",'binhgia (2016)'!$A$3,"MA_HT","SKN","MA_QH","TON")</f>
        <v>0</v>
      </c>
      <c r="AW24" s="22">
        <f ca="1">+GETPIVOTDATA("XBG4",'binhgia (2016)'!$A$3,"MA_HT","SKN","MA_QH","NTD")</f>
        <v>0</v>
      </c>
      <c r="AX24" s="22">
        <f ca="1">+GETPIVOTDATA("XBG4",'binhgia (2016)'!$A$3,"MA_HT","SKN","MA_QH","SKX")</f>
        <v>0</v>
      </c>
      <c r="AY24" s="22">
        <f ca="1">+GETPIVOTDATA("XBG4",'binhgia (2016)'!$A$3,"MA_HT","SKN","MA_QH","DSH")</f>
        <v>0</v>
      </c>
      <c r="AZ24" s="22">
        <f ca="1">+GETPIVOTDATA("XBG4",'binhgia (2016)'!$A$3,"MA_HT","SKN","MA_QH","DKV")</f>
        <v>0</v>
      </c>
      <c r="BA24" s="89">
        <f ca="1">+GETPIVOTDATA("XBG4",'binhgia (2016)'!$A$3,"MA_HT","SKN","MA_QH","TIN")</f>
        <v>0</v>
      </c>
      <c r="BB24" s="50">
        <f ca="1">+GETPIVOTDATA("XBG4",'binhgia (2016)'!$A$3,"MA_HT","SKN","MA_QH","SON")</f>
        <v>0</v>
      </c>
      <c r="BC24" s="50">
        <f ca="1">+GETPIVOTDATA("XBG4",'binhgia (2016)'!$A$3,"MA_HT","SKN","MA_QH","MNC")</f>
        <v>0</v>
      </c>
      <c r="BD24" s="22">
        <f ca="1">+GETPIVOTDATA("XBG4",'binhgia (2016)'!$A$3,"MA_HT","SKN","MA_QH","PNK")</f>
        <v>0</v>
      </c>
      <c r="BE24" s="71">
        <f ca="1">+GETPIVOTDATA("XBG4",'binhgia (2016)'!$A$3,"MA_HT","SKN","MA_QH","CSD")</f>
        <v>0</v>
      </c>
      <c r="BF24" s="74">
        <f ca="1" t="shared" si="13"/>
        <v>0</v>
      </c>
      <c r="BG24" s="101">
        <f ca="1">W$59-$BF24</f>
        <v>0</v>
      </c>
      <c r="BH24" s="41" t="e">
        <f ca="1" t="shared" si="14"/>
        <v>#REF!</v>
      </c>
      <c r="BI24" s="98"/>
      <c r="BJ24" s="107"/>
      <c r="BK24" s="107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</row>
    <row r="25" s="2" customFormat="1" ht="15.75" customHeight="1" spans="1:79">
      <c r="A25" s="39" t="s">
        <v>8368</v>
      </c>
      <c r="B25" s="39" t="s">
        <v>8369</v>
      </c>
      <c r="C25" s="40" t="s">
        <v>265</v>
      </c>
      <c r="D25" s="41" t="e">
        <f>+#REF!</f>
        <v>#REF!</v>
      </c>
      <c r="E25" s="42">
        <f ca="1" t="shared" si="15"/>
        <v>0</v>
      </c>
      <c r="F25" s="52">
        <f ca="1" t="shared" si="9"/>
        <v>0</v>
      </c>
      <c r="G25" s="22">
        <f ca="1">+GETPIVOTDATA("XBG4",'binhgia (2016)'!$A$3,"MA_HT","TMD","MA_QH","LUC")</f>
        <v>0</v>
      </c>
      <c r="H25" s="22">
        <f ca="1">+GETPIVOTDATA("XBG4",'binhgia (2016)'!$A$3,"MA_HT","TMD","MA_QH","LUK")</f>
        <v>0</v>
      </c>
      <c r="I25" s="22">
        <f ca="1">+GETPIVOTDATA("XBG4",'binhgia (2016)'!$A$3,"MA_HT","TMD","MA_QH","LUN")</f>
        <v>0</v>
      </c>
      <c r="J25" s="22">
        <f ca="1">+GETPIVOTDATA("XBG4",'binhgia (2016)'!$A$3,"MA_HT","TMD","MA_QH","HNK")</f>
        <v>0</v>
      </c>
      <c r="K25" s="22">
        <f ca="1">+GETPIVOTDATA("XBG4",'binhgia (2016)'!$A$3,"MA_HT","TMD","MA_QH","CLN")</f>
        <v>0</v>
      </c>
      <c r="L25" s="22">
        <f ca="1">+GETPIVOTDATA("XBG4",'binhgia (2016)'!$A$3,"MA_HT","TMD","MA_QH","RSX")</f>
        <v>0</v>
      </c>
      <c r="M25" s="22">
        <f ca="1">+GETPIVOTDATA("XBG4",'binhgia (2016)'!$A$3,"MA_HT","TMD","MA_QH","RPH")</f>
        <v>0</v>
      </c>
      <c r="N25" s="22">
        <f ca="1">+GETPIVOTDATA("XBG4",'binhgia (2016)'!$A$3,"MA_HT","TMD","MA_QH","RDD")</f>
        <v>0</v>
      </c>
      <c r="O25" s="22">
        <f ca="1">+GETPIVOTDATA("XBG4",'binhgia (2016)'!$A$3,"MA_HT","TMD","MA_QH","NTS")</f>
        <v>0</v>
      </c>
      <c r="P25" s="22">
        <f ca="1">+GETPIVOTDATA("XBG4",'binhgia (2016)'!$A$3,"MA_HT","TMD","MA_QH","LMU")</f>
        <v>0</v>
      </c>
      <c r="Q25" s="22">
        <f ca="1">+GETPIVOTDATA("XBG4",'binhgia (2016)'!$A$3,"MA_HT","TMD","MA_QH","NKH")</f>
        <v>0</v>
      </c>
      <c r="R25" s="42">
        <f ca="1">SUM(S25:W25,Y25:AA25,AN25:BD25)</f>
        <v>0</v>
      </c>
      <c r="S25" s="22">
        <f ca="1">+GETPIVOTDATA("XBG4",'binhgia (2016)'!$A$3,"MA_HT","TMD","MA_QH","CQP")</f>
        <v>0</v>
      </c>
      <c r="T25" s="22">
        <f ca="1">+GETPIVOTDATA("XBG4",'binhgia (2016)'!$A$3,"MA_HT","TMD","MA_QH","CAN")</f>
        <v>0</v>
      </c>
      <c r="U25" s="22">
        <f ca="1">+GETPIVOTDATA("XBG4",'binhgia (2016)'!$A$3,"MA_HT","TMD","MA_QH","SKK")</f>
        <v>0</v>
      </c>
      <c r="V25" s="22">
        <f ca="1">+GETPIVOTDATA("XBG4",'binhgia (2016)'!$A$3,"MA_HT","TMD","MA_QH","SKT")</f>
        <v>0</v>
      </c>
      <c r="W25" s="22">
        <f ca="1">+GETPIVOTDATA("XBG4",'binhgia (2016)'!$A$3,"MA_HT","TMD","MA_QH","SKN")</f>
        <v>0</v>
      </c>
      <c r="X25" s="43" t="e">
        <f ca="1">$D25-$BF25</f>
        <v>#REF!</v>
      </c>
      <c r="Y25" s="22">
        <f ca="1">+GETPIVOTDATA("XBG4",'binhgia (2016)'!$A$3,"MA_HT","TMD","MA_QH","SKC")</f>
        <v>0</v>
      </c>
      <c r="Z25" s="22">
        <f ca="1">+GETPIVOTDATA("XBG4",'binhgia (2016)'!$A$3,"MA_HT","TMD","MA_QH","SKS")</f>
        <v>0</v>
      </c>
      <c r="AA25" s="52">
        <f ca="1" t="shared" si="12"/>
        <v>0</v>
      </c>
      <c r="AB25" s="22">
        <f ca="1">+GETPIVOTDATA("XBG4",'binhgia (2016)'!$A$3,"MA_HT","TMD","MA_QH","DGT")</f>
        <v>0</v>
      </c>
      <c r="AC25" s="22">
        <f ca="1">+GETPIVOTDATA("XBG4",'binhgia (2016)'!$A$3,"MA_HT","TMD","MA_QH","DTL")</f>
        <v>0</v>
      </c>
      <c r="AD25" s="22">
        <f ca="1">+GETPIVOTDATA("XBG4",'binhgia (2016)'!$A$3,"MA_HT","TMD","MA_QH","DNL")</f>
        <v>0</v>
      </c>
      <c r="AE25" s="22">
        <f ca="1">+GETPIVOTDATA("XBG4",'binhgia (2016)'!$A$3,"MA_HT","TMD","MA_QH","DBV")</f>
        <v>0</v>
      </c>
      <c r="AF25" s="22">
        <f ca="1">+GETPIVOTDATA("XBG4",'binhgia (2016)'!$A$3,"MA_HT","TMD","MA_QH","DVH")</f>
        <v>0</v>
      </c>
      <c r="AG25" s="22">
        <f ca="1">+GETPIVOTDATA("XBG4",'binhgia (2016)'!$A$3,"MA_HT","TMD","MA_QH","DYT")</f>
        <v>0</v>
      </c>
      <c r="AH25" s="22">
        <f ca="1">+GETPIVOTDATA("XBG4",'binhgia (2016)'!$A$3,"MA_HT","TMD","MA_QH","DGD")</f>
        <v>0</v>
      </c>
      <c r="AI25" s="22">
        <f ca="1">+GETPIVOTDATA("XBG4",'binhgia (2016)'!$A$3,"MA_HT","TMD","MA_QH","DTT")</f>
        <v>0</v>
      </c>
      <c r="AJ25" s="22">
        <f ca="1">+GETPIVOTDATA("XBG4",'binhgia (2016)'!$A$3,"MA_HT","TMD","MA_QH","NCK")</f>
        <v>0</v>
      </c>
      <c r="AK25" s="22">
        <f ca="1">+GETPIVOTDATA("XBG4",'binhgia (2016)'!$A$3,"MA_HT","TMD","MA_QH","DXH")</f>
        <v>0</v>
      </c>
      <c r="AL25" s="22">
        <f ca="1">+GETPIVOTDATA("XBG4",'binhgia (2016)'!$A$3,"MA_HT","TMD","MA_QH","DCH")</f>
        <v>0</v>
      </c>
      <c r="AM25" s="22">
        <f ca="1">+GETPIVOTDATA("XBG4",'binhgia (2016)'!$A$3,"MA_HT","TMD","MA_QH","DKG")</f>
        <v>0</v>
      </c>
      <c r="AN25" s="22">
        <f ca="1">+GETPIVOTDATA("XBG4",'binhgia (2016)'!$A$3,"MA_HT","TMD","MA_QH","DDT")</f>
        <v>0</v>
      </c>
      <c r="AO25" s="22">
        <f ca="1">+GETPIVOTDATA("XBG4",'binhgia (2016)'!$A$3,"MA_HT","TMD","MA_QH","DDL")</f>
        <v>0</v>
      </c>
      <c r="AP25" s="22">
        <f ca="1">+GETPIVOTDATA("XBG4",'binhgia (2016)'!$A$3,"MA_HT","TMD","MA_QH","DRA")</f>
        <v>0</v>
      </c>
      <c r="AQ25" s="22">
        <f ca="1">+GETPIVOTDATA("XBG4",'binhgia (2016)'!$A$3,"MA_HT","TMD","MA_QH","ONT")</f>
        <v>0</v>
      </c>
      <c r="AR25" s="22">
        <f ca="1">+GETPIVOTDATA("XBG4",'binhgia (2016)'!$A$3,"MA_HT","TMD","MA_QH","ODT")</f>
        <v>0</v>
      </c>
      <c r="AS25" s="22">
        <f ca="1">+GETPIVOTDATA("XBG4",'binhgia (2016)'!$A$3,"MA_HT","TMD","MA_QH","TSC")</f>
        <v>0</v>
      </c>
      <c r="AT25" s="22">
        <f ca="1">+GETPIVOTDATA("XBG4",'binhgia (2016)'!$A$3,"MA_HT","TMD","MA_QH","DTS")</f>
        <v>0</v>
      </c>
      <c r="AU25" s="22">
        <f ca="1">+GETPIVOTDATA("XBG4",'binhgia (2016)'!$A$3,"MA_HT","TMD","MA_QH","DNG")</f>
        <v>0</v>
      </c>
      <c r="AV25" s="22">
        <f ca="1">+GETPIVOTDATA("XBG4",'binhgia (2016)'!$A$3,"MA_HT","TMD","MA_QH","TON")</f>
        <v>0</v>
      </c>
      <c r="AW25" s="22">
        <f ca="1">+GETPIVOTDATA("XBG4",'binhgia (2016)'!$A$3,"MA_HT","TMD","MA_QH","NTD")</f>
        <v>0</v>
      </c>
      <c r="AX25" s="22">
        <f ca="1">+GETPIVOTDATA("XBG4",'binhgia (2016)'!$A$3,"MA_HT","TMD","MA_QH","SKX")</f>
        <v>0</v>
      </c>
      <c r="AY25" s="22">
        <f ca="1">+GETPIVOTDATA("XBG4",'binhgia (2016)'!$A$3,"MA_HT","TMD","MA_QH","DSH")</f>
        <v>0</v>
      </c>
      <c r="AZ25" s="22">
        <f ca="1">+GETPIVOTDATA("XBG4",'binhgia (2016)'!$A$3,"MA_HT","TMD","MA_QH","DKV")</f>
        <v>0</v>
      </c>
      <c r="BA25" s="89">
        <f ca="1">+GETPIVOTDATA("XBG4",'binhgia (2016)'!$A$3,"MA_HT","TMD","MA_QH","TIN")</f>
        <v>0</v>
      </c>
      <c r="BB25" s="50">
        <f ca="1">+GETPIVOTDATA("XBG4",'binhgia (2016)'!$A$3,"MA_HT","TMD","MA_QH","SON")</f>
        <v>0</v>
      </c>
      <c r="BC25" s="50">
        <f ca="1">+GETPIVOTDATA("XBG4",'binhgia (2016)'!$A$3,"MA_HT","TMD","MA_QH","MNC")</f>
        <v>0</v>
      </c>
      <c r="BD25" s="22">
        <f ca="1">+GETPIVOTDATA("XBG4",'binhgia (2016)'!$A$3,"MA_HT","TMD","MA_QH","PNK")</f>
        <v>0</v>
      </c>
      <c r="BE25" s="71">
        <f ca="1">+GETPIVOTDATA("XBG4",'binhgia (2016)'!$A$3,"MA_HT","TMD","MA_QH","CSD")</f>
        <v>0</v>
      </c>
      <c r="BF25" s="74">
        <f ca="1" t="shared" si="13"/>
        <v>0</v>
      </c>
      <c r="BG25" s="101">
        <f ca="1">X$59-$BF25</f>
        <v>0</v>
      </c>
      <c r="BH25" s="41" t="e">
        <f ca="1" t="shared" si="14"/>
        <v>#REF!</v>
      </c>
      <c r="BI25" s="98"/>
      <c r="BJ25" s="107" t="e">
        <f>#REF!</f>
        <v>#REF!</v>
      </c>
      <c r="BK25" s="107" t="e">
        <f ca="1">BH25-BJ25</f>
        <v>#REF!</v>
      </c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</row>
    <row r="26" s="2" customFormat="1" ht="15.75" customHeight="1" spans="1:79">
      <c r="A26" s="39" t="s">
        <v>8370</v>
      </c>
      <c r="B26" s="39" t="s">
        <v>8371</v>
      </c>
      <c r="C26" s="40" t="s">
        <v>204</v>
      </c>
      <c r="D26" s="41" t="e">
        <f>+#REF!</f>
        <v>#REF!</v>
      </c>
      <c r="E26" s="42">
        <f ca="1" t="shared" si="15"/>
        <v>0</v>
      </c>
      <c r="F26" s="52">
        <f ca="1" t="shared" si="9"/>
        <v>0</v>
      </c>
      <c r="G26" s="22">
        <f ca="1">+GETPIVOTDATA("XBG4",'binhgia (2016)'!$A$3,"MA_HT","SKC","MA_QH","LUC")</f>
        <v>0</v>
      </c>
      <c r="H26" s="22">
        <f ca="1">+GETPIVOTDATA("XBG4",'binhgia (2016)'!$A$3,"MA_HT","SKC","MA_QH","LUK")</f>
        <v>0</v>
      </c>
      <c r="I26" s="22">
        <f ca="1">+GETPIVOTDATA("XBG4",'binhgia (2016)'!$A$3,"MA_HT","SKC","MA_QH","LUN")</f>
        <v>0</v>
      </c>
      <c r="J26" s="22">
        <f ca="1">+GETPIVOTDATA("XBG4",'binhgia (2016)'!$A$3,"MA_HT","SKC","MA_QH","HNK")</f>
        <v>0</v>
      </c>
      <c r="K26" s="22">
        <f ca="1">+GETPIVOTDATA("XBG4",'binhgia (2016)'!$A$3,"MA_HT","SKC","MA_QH","CLN")</f>
        <v>0</v>
      </c>
      <c r="L26" s="22">
        <f ca="1">+GETPIVOTDATA("XBG4",'binhgia (2016)'!$A$3,"MA_HT","SKC","MA_QH","RSX")</f>
        <v>0</v>
      </c>
      <c r="M26" s="22">
        <f ca="1">+GETPIVOTDATA("XBG4",'binhgia (2016)'!$A$3,"MA_HT","SKC","MA_QH","RPH")</f>
        <v>0</v>
      </c>
      <c r="N26" s="22">
        <f ca="1">+GETPIVOTDATA("XBG4",'binhgia (2016)'!$A$3,"MA_HT","SKC","MA_QH","RDD")</f>
        <v>0</v>
      </c>
      <c r="O26" s="22">
        <f ca="1">+GETPIVOTDATA("XBG4",'binhgia (2016)'!$A$3,"MA_HT","SKC","MA_QH","NTS")</f>
        <v>0</v>
      </c>
      <c r="P26" s="22">
        <f ca="1">+GETPIVOTDATA("XBG4",'binhgia (2016)'!$A$3,"MA_HT","SKC","MA_QH","LMU")</f>
        <v>0</v>
      </c>
      <c r="Q26" s="22">
        <f ca="1">+GETPIVOTDATA("XBG4",'binhgia (2016)'!$A$3,"MA_HT","SKC","MA_QH","NKH")</f>
        <v>0</v>
      </c>
      <c r="R26" s="42">
        <f ca="1">SUM(S26:X26,Z26,AN26:BD26)</f>
        <v>0</v>
      </c>
      <c r="S26" s="22">
        <f ca="1">+GETPIVOTDATA("XBG4",'binhgia (2016)'!$A$3,"MA_HT","SKC","MA_QH","CQP")</f>
        <v>0</v>
      </c>
      <c r="T26" s="22">
        <f ca="1">+GETPIVOTDATA("XBG4",'binhgia (2016)'!$A$3,"MA_HT","SKC","MA_QH","CAN")</f>
        <v>0</v>
      </c>
      <c r="U26" s="22">
        <f ca="1">+GETPIVOTDATA("XBG4",'binhgia (2016)'!$A$3,"MA_HT","SKC","MA_QH","SKK")</f>
        <v>0</v>
      </c>
      <c r="V26" s="22">
        <f ca="1">+GETPIVOTDATA("XBG4",'binhgia (2016)'!$A$3,"MA_HT","SKC","MA_QH","SKT")</f>
        <v>0</v>
      </c>
      <c r="W26" s="22">
        <f ca="1">+GETPIVOTDATA("XBG4",'binhgia (2016)'!$A$3,"MA_HT","SKC","MA_QH","SKN")</f>
        <v>0</v>
      </c>
      <c r="X26" s="22">
        <f ca="1">+GETPIVOTDATA("XBG4",'binhgia (2016)'!$A$3,"MA_HT","SKC","MA_QH","TMD")</f>
        <v>0</v>
      </c>
      <c r="Y26" s="43" t="e">
        <f ca="1">$D26-$BF26</f>
        <v>#REF!</v>
      </c>
      <c r="Z26" s="22">
        <f ca="1">+GETPIVOTDATA("XBG4",'binhgia (2016)'!$A$3,"MA_HT","SKC","MA_QH","SKS")</f>
        <v>0</v>
      </c>
      <c r="AA26" s="52">
        <f ca="1" t="shared" si="12"/>
        <v>0</v>
      </c>
      <c r="AB26" s="22">
        <f ca="1">+GETPIVOTDATA("XBG4",'binhgia (2016)'!$A$3,"MA_HT","SKC","MA_QH","DGT")</f>
        <v>0</v>
      </c>
      <c r="AC26" s="22">
        <f ca="1">+GETPIVOTDATA("XBG4",'binhgia (2016)'!$A$3,"MA_HT","SKC","MA_QH","DTL")</f>
        <v>0</v>
      </c>
      <c r="AD26" s="22">
        <f ca="1">+GETPIVOTDATA("XBG4",'binhgia (2016)'!$A$3,"MA_HT","SKC","MA_QH","DNL")</f>
        <v>0</v>
      </c>
      <c r="AE26" s="22">
        <f ca="1">+GETPIVOTDATA("XBG4",'binhgia (2016)'!$A$3,"MA_HT","SKC","MA_QH","DBV")</f>
        <v>0</v>
      </c>
      <c r="AF26" s="22">
        <f ca="1">+GETPIVOTDATA("XBG4",'binhgia (2016)'!$A$3,"MA_HT","SKC","MA_QH","DVH")</f>
        <v>0</v>
      </c>
      <c r="AG26" s="22">
        <f ca="1">+GETPIVOTDATA("XBG4",'binhgia (2016)'!$A$3,"MA_HT","SKC","MA_QH","DYT")</f>
        <v>0</v>
      </c>
      <c r="AH26" s="22">
        <f ca="1">+GETPIVOTDATA("XBG4",'binhgia (2016)'!$A$3,"MA_HT","SKC","MA_QH","DGD")</f>
        <v>0</v>
      </c>
      <c r="AI26" s="22">
        <f ca="1">+GETPIVOTDATA("XBG4",'binhgia (2016)'!$A$3,"MA_HT","SKC","MA_QH","DTT")</f>
        <v>0</v>
      </c>
      <c r="AJ26" s="22">
        <f ca="1">+GETPIVOTDATA("XBG4",'binhgia (2016)'!$A$3,"MA_HT","SKC","MA_QH","NCK")</f>
        <v>0</v>
      </c>
      <c r="AK26" s="22">
        <f ca="1">+GETPIVOTDATA("XBG4",'binhgia (2016)'!$A$3,"MA_HT","SKC","MA_QH","DXH")</f>
        <v>0</v>
      </c>
      <c r="AL26" s="22">
        <f ca="1">+GETPIVOTDATA("XBG4",'binhgia (2016)'!$A$3,"MA_HT","SKC","MA_QH","DCH")</f>
        <v>0</v>
      </c>
      <c r="AM26" s="22">
        <f ca="1">+GETPIVOTDATA("XBG4",'binhgia (2016)'!$A$3,"MA_HT","SKC","MA_QH","DKG")</f>
        <v>0</v>
      </c>
      <c r="AN26" s="22">
        <f ca="1">+GETPIVOTDATA("XBG4",'binhgia (2016)'!$A$3,"MA_HT","SKC","MA_QH","DDT")</f>
        <v>0</v>
      </c>
      <c r="AO26" s="22">
        <f ca="1">+GETPIVOTDATA("XBG4",'binhgia (2016)'!$A$3,"MA_HT","SKC","MA_QH","DDL")</f>
        <v>0</v>
      </c>
      <c r="AP26" s="22">
        <f ca="1">+GETPIVOTDATA("XBG4",'binhgia (2016)'!$A$3,"MA_HT","SKC","MA_QH","DRA")</f>
        <v>0</v>
      </c>
      <c r="AQ26" s="22">
        <f ca="1">+GETPIVOTDATA("XBG4",'binhgia (2016)'!$A$3,"MA_HT","SKC","MA_QH","ONT")</f>
        <v>0</v>
      </c>
      <c r="AR26" s="22">
        <f ca="1">+GETPIVOTDATA("XBG4",'binhgia (2016)'!$A$3,"MA_HT","SKC","MA_QH","ODT")</f>
        <v>0</v>
      </c>
      <c r="AS26" s="22">
        <f ca="1">+GETPIVOTDATA("XBG4",'binhgia (2016)'!$A$3,"MA_HT","SKC","MA_QH","TSC")</f>
        <v>0</v>
      </c>
      <c r="AT26" s="22">
        <f ca="1">+GETPIVOTDATA("XBG4",'binhgia (2016)'!$A$3,"MA_HT","SKC","MA_QH","DTS")</f>
        <v>0</v>
      </c>
      <c r="AU26" s="22">
        <f ca="1">+GETPIVOTDATA("XBG4",'binhgia (2016)'!$A$3,"MA_HT","SKC","MA_QH","DNG")</f>
        <v>0</v>
      </c>
      <c r="AV26" s="22">
        <f ca="1">+GETPIVOTDATA("XBG4",'binhgia (2016)'!$A$3,"MA_HT","SKC","MA_QH","TON")</f>
        <v>0</v>
      </c>
      <c r="AW26" s="22">
        <f ca="1">+GETPIVOTDATA("XBG4",'binhgia (2016)'!$A$3,"MA_HT","SKC","MA_QH","NTD")</f>
        <v>0</v>
      </c>
      <c r="AX26" s="22">
        <f ca="1">+GETPIVOTDATA("XBG4",'binhgia (2016)'!$A$3,"MA_HT","SKC","MA_QH","SKX")</f>
        <v>0</v>
      </c>
      <c r="AY26" s="22">
        <f ca="1">+GETPIVOTDATA("XBG4",'binhgia (2016)'!$A$3,"MA_HT","SKC","MA_QH","DSH")</f>
        <v>0</v>
      </c>
      <c r="AZ26" s="22">
        <f ca="1">+GETPIVOTDATA("XBG4",'binhgia (2016)'!$A$3,"MA_HT","SKC","MA_QH","DKV")</f>
        <v>0</v>
      </c>
      <c r="BA26" s="89">
        <f ca="1">+GETPIVOTDATA("XBG4",'binhgia (2016)'!$A$3,"MA_HT","SKC","MA_QH","TIN")</f>
        <v>0</v>
      </c>
      <c r="BB26" s="50">
        <f ca="1">+GETPIVOTDATA("XBG4",'binhgia (2016)'!$A$3,"MA_HT","SKC","MA_QH","SON")</f>
        <v>0</v>
      </c>
      <c r="BC26" s="50">
        <f ca="1">+GETPIVOTDATA("XBG4",'binhgia (2016)'!$A$3,"MA_HT","SKC","MA_QH","MNC")</f>
        <v>0</v>
      </c>
      <c r="BD26" s="22">
        <f ca="1">+GETPIVOTDATA("XBG4",'binhgia (2016)'!$A$3,"MA_HT","SKC","MA_QH","PNK")</f>
        <v>0</v>
      </c>
      <c r="BE26" s="71">
        <f ca="1">+GETPIVOTDATA("XBG4",'binhgia (2016)'!$A$3,"MA_HT","SKC","MA_QH","CSD")</f>
        <v>0</v>
      </c>
      <c r="BF26" s="74">
        <f ca="1" t="shared" si="13"/>
        <v>0</v>
      </c>
      <c r="BG26" s="101">
        <f ca="1">Y$59-$BF26</f>
        <v>0</v>
      </c>
      <c r="BH26" s="41" t="e">
        <f ca="1" t="shared" si="14"/>
        <v>#REF!</v>
      </c>
      <c r="BI26" s="98"/>
      <c r="BJ26" s="107" t="e">
        <f>#REF!</f>
        <v>#REF!</v>
      </c>
      <c r="BK26" s="107" t="e">
        <f ca="1">BH26-BJ26</f>
        <v>#REF!</v>
      </c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</row>
    <row r="27" s="2" customFormat="1" ht="15.75" customHeight="1" spans="1:79">
      <c r="A27" s="39" t="s">
        <v>8372</v>
      </c>
      <c r="B27" s="53" t="s">
        <v>8373</v>
      </c>
      <c r="C27" s="40" t="s">
        <v>174</v>
      </c>
      <c r="D27" s="41" t="e">
        <f>+#REF!</f>
        <v>#REF!</v>
      </c>
      <c r="E27" s="42">
        <f ca="1" t="shared" si="15"/>
        <v>0</v>
      </c>
      <c r="F27" s="52">
        <f ca="1" t="shared" si="9"/>
        <v>0</v>
      </c>
      <c r="G27" s="22">
        <f ca="1">+GETPIVOTDATA("XBG4",'binhgia (2016)'!$A$3,"MA_HT","SKS","MA_QH","LUC")</f>
        <v>0</v>
      </c>
      <c r="H27" s="22">
        <f ca="1">+GETPIVOTDATA("XBG4",'binhgia (2016)'!$A$3,"MA_HT","SKS","MA_QH","LUK")</f>
        <v>0</v>
      </c>
      <c r="I27" s="22">
        <f ca="1">+GETPIVOTDATA("XBG4",'binhgia (2016)'!$A$3,"MA_HT","SKS","MA_QH","LUN")</f>
        <v>0</v>
      </c>
      <c r="J27" s="22">
        <f ca="1">+GETPIVOTDATA("XBG4",'binhgia (2016)'!$A$3,"MA_HT","SKS","MA_QH","HNK")</f>
        <v>0</v>
      </c>
      <c r="K27" s="22">
        <f ca="1">+GETPIVOTDATA("XBG4",'binhgia (2016)'!$A$3,"MA_HT","SKS","MA_QH","CLN")</f>
        <v>0</v>
      </c>
      <c r="L27" s="22">
        <f ca="1">+GETPIVOTDATA("XBG4",'binhgia (2016)'!$A$3,"MA_HT","SKS","MA_QH","RSX")</f>
        <v>0</v>
      </c>
      <c r="M27" s="22">
        <f ca="1">+GETPIVOTDATA("XBG4",'binhgia (2016)'!$A$3,"MA_HT","SKS","MA_QH","RPH")</f>
        <v>0</v>
      </c>
      <c r="N27" s="22">
        <f ca="1">+GETPIVOTDATA("XBG4",'binhgia (2016)'!$A$3,"MA_HT","SKS","MA_QH","RDD")</f>
        <v>0</v>
      </c>
      <c r="O27" s="22">
        <f ca="1">+GETPIVOTDATA("XBG4",'binhgia (2016)'!$A$3,"MA_HT","SKS","MA_QH","NTS")</f>
        <v>0</v>
      </c>
      <c r="P27" s="22">
        <f ca="1">+GETPIVOTDATA("XBG4",'binhgia (2016)'!$A$3,"MA_HT","SKS","MA_QH","LMU")</f>
        <v>0</v>
      </c>
      <c r="Q27" s="22">
        <f ca="1">+GETPIVOTDATA("XBG4",'binhgia (2016)'!$A$3,"MA_HT","SKS","MA_QH","NKH")</f>
        <v>0</v>
      </c>
      <c r="R27" s="42">
        <f ca="1">SUM(S27:Y27,AA27,AN27:BD27)</f>
        <v>0</v>
      </c>
      <c r="S27" s="22">
        <f ca="1">+GETPIVOTDATA("XBG4",'binhgia (2016)'!$A$3,"MA_HT","SKS","MA_QH","CQP")</f>
        <v>0</v>
      </c>
      <c r="T27" s="22">
        <f ca="1">+GETPIVOTDATA("XBG4",'binhgia (2016)'!$A$3,"MA_HT","SKS","MA_QH","CAN")</f>
        <v>0</v>
      </c>
      <c r="U27" s="22">
        <f ca="1">+GETPIVOTDATA("XBG4",'binhgia (2016)'!$A$3,"MA_HT","SKS","MA_QH","SKK")</f>
        <v>0</v>
      </c>
      <c r="V27" s="22">
        <f ca="1">+GETPIVOTDATA("XBG4",'binhgia (2016)'!$A$3,"MA_HT","SKS","MA_QH","SKT")</f>
        <v>0</v>
      </c>
      <c r="W27" s="22">
        <f ca="1">+GETPIVOTDATA("XBG4",'binhgia (2016)'!$A$3,"MA_HT","SKS","MA_QH","SKN")</f>
        <v>0</v>
      </c>
      <c r="X27" s="22">
        <f ca="1">+GETPIVOTDATA("XBG4",'binhgia (2016)'!$A$3,"MA_HT","SKS","MA_QH","TMD")</f>
        <v>0</v>
      </c>
      <c r="Y27" s="22">
        <f ca="1">+GETPIVOTDATA("XBG4",'binhgia (2016)'!$A$3,"MA_HT","SKS","MA_QH","SKC")</f>
        <v>0</v>
      </c>
      <c r="Z27" s="43" t="e">
        <f ca="1">$D27-$BF27</f>
        <v>#REF!</v>
      </c>
      <c r="AA27" s="52">
        <f ca="1" t="shared" si="12"/>
        <v>0</v>
      </c>
      <c r="AB27" s="22">
        <f ca="1">+GETPIVOTDATA("XBG4",'binhgia (2016)'!$A$3,"MA_HT","SKS","MA_QH","DGT")</f>
        <v>0</v>
      </c>
      <c r="AC27" s="22">
        <f ca="1">+GETPIVOTDATA("XBG4",'binhgia (2016)'!$A$3,"MA_HT","SKS","MA_QH","DTL")</f>
        <v>0</v>
      </c>
      <c r="AD27" s="22">
        <f ca="1">+GETPIVOTDATA("XBG4",'binhgia (2016)'!$A$3,"MA_HT","SKS","MA_QH","DNL")</f>
        <v>0</v>
      </c>
      <c r="AE27" s="22">
        <f ca="1">+GETPIVOTDATA("XBG4",'binhgia (2016)'!$A$3,"MA_HT","SKS","MA_QH","DBV")</f>
        <v>0</v>
      </c>
      <c r="AF27" s="22">
        <f ca="1">+GETPIVOTDATA("XBG4",'binhgia (2016)'!$A$3,"MA_HT","SKS","MA_QH","DVH")</f>
        <v>0</v>
      </c>
      <c r="AG27" s="22">
        <f ca="1">+GETPIVOTDATA("XBG4",'binhgia (2016)'!$A$3,"MA_HT","SKS","MA_QH","DYT")</f>
        <v>0</v>
      </c>
      <c r="AH27" s="22">
        <f ca="1">+GETPIVOTDATA("XBG4",'binhgia (2016)'!$A$3,"MA_HT","SKS","MA_QH","DGD")</f>
        <v>0</v>
      </c>
      <c r="AI27" s="22">
        <f ca="1">+GETPIVOTDATA("XBG4",'binhgia (2016)'!$A$3,"MA_HT","SKS","MA_QH","DTT")</f>
        <v>0</v>
      </c>
      <c r="AJ27" s="22">
        <f ca="1">+GETPIVOTDATA("XBG4",'binhgia (2016)'!$A$3,"MA_HT","SKS","MA_QH","NCK")</f>
        <v>0</v>
      </c>
      <c r="AK27" s="22">
        <f ca="1">+GETPIVOTDATA("XBG4",'binhgia (2016)'!$A$3,"MA_HT","SKS","MA_QH","DXH")</f>
        <v>0</v>
      </c>
      <c r="AL27" s="22">
        <f ca="1">+GETPIVOTDATA("XBG4",'binhgia (2016)'!$A$3,"MA_HT","SKS","MA_QH","DCH")</f>
        <v>0</v>
      </c>
      <c r="AM27" s="22">
        <f ca="1">+GETPIVOTDATA("XBG4",'binhgia (2016)'!$A$3,"MA_HT","SKS","MA_QH","DKG")</f>
        <v>0</v>
      </c>
      <c r="AN27" s="22">
        <f ca="1">+GETPIVOTDATA("XBG4",'binhgia (2016)'!$A$3,"MA_HT","SKS","MA_QH","DDT")</f>
        <v>0</v>
      </c>
      <c r="AO27" s="22">
        <f ca="1">+GETPIVOTDATA("XBG4",'binhgia (2016)'!$A$3,"MA_HT","SKS","MA_QH","DDL")</f>
        <v>0</v>
      </c>
      <c r="AP27" s="22">
        <f ca="1">+GETPIVOTDATA("XBG4",'binhgia (2016)'!$A$3,"MA_HT","SKS","MA_QH","DRA")</f>
        <v>0</v>
      </c>
      <c r="AQ27" s="22">
        <f ca="1">+GETPIVOTDATA("XBG4",'binhgia (2016)'!$A$3,"MA_HT","SKS","MA_QH","ONT")</f>
        <v>0</v>
      </c>
      <c r="AR27" s="22">
        <f ca="1">+GETPIVOTDATA("XBG4",'binhgia (2016)'!$A$3,"MA_HT","SKS","MA_QH","ODT")</f>
        <v>0</v>
      </c>
      <c r="AS27" s="22">
        <f ca="1">+GETPIVOTDATA("XBG4",'binhgia (2016)'!$A$3,"MA_HT","SKS","MA_QH","TSC")</f>
        <v>0</v>
      </c>
      <c r="AT27" s="22">
        <f ca="1">+GETPIVOTDATA("XBG4",'binhgia (2016)'!$A$3,"MA_HT","SKS","MA_QH","DTS")</f>
        <v>0</v>
      </c>
      <c r="AU27" s="22">
        <f ca="1">+GETPIVOTDATA("XBG4",'binhgia (2016)'!$A$3,"MA_HT","SKS","MA_QH","DNG")</f>
        <v>0</v>
      </c>
      <c r="AV27" s="22">
        <f ca="1">+GETPIVOTDATA("XBG4",'binhgia (2016)'!$A$3,"MA_HT","SKS","MA_QH","TON")</f>
        <v>0</v>
      </c>
      <c r="AW27" s="22">
        <f ca="1">+GETPIVOTDATA("XBG4",'binhgia (2016)'!$A$3,"MA_HT","SKS","MA_QH","NTD")</f>
        <v>0</v>
      </c>
      <c r="AX27" s="22">
        <f ca="1">+GETPIVOTDATA("XBG4",'binhgia (2016)'!$A$3,"MA_HT","SKS","MA_QH","SKX")</f>
        <v>0</v>
      </c>
      <c r="AY27" s="22">
        <f ca="1">+GETPIVOTDATA("XBG4",'binhgia (2016)'!$A$3,"MA_HT","SKS","MA_QH","DSH")</f>
        <v>0</v>
      </c>
      <c r="AZ27" s="22">
        <f ca="1">+GETPIVOTDATA("XBG4",'binhgia (2016)'!$A$3,"MA_HT","SKS","MA_QH","DKV")</f>
        <v>0</v>
      </c>
      <c r="BA27" s="89">
        <f ca="1">+GETPIVOTDATA("XBG4",'binhgia (2016)'!$A$3,"MA_HT","SKS","MA_QH","TIN")</f>
        <v>0</v>
      </c>
      <c r="BB27" s="50">
        <f ca="1">+GETPIVOTDATA("XBG4",'binhgia (2016)'!$A$3,"MA_HT","SKS","MA_QH","SON")</f>
        <v>0</v>
      </c>
      <c r="BC27" s="50">
        <f ca="1">+GETPIVOTDATA("XBG4",'binhgia (2016)'!$A$3,"MA_HT","SKS","MA_QH","MNC")</f>
        <v>0</v>
      </c>
      <c r="BD27" s="22">
        <f ca="1">+GETPIVOTDATA("XBG4",'binhgia (2016)'!$A$3,"MA_HT","SKS","MA_QH","PNK")</f>
        <v>0</v>
      </c>
      <c r="BE27" s="71">
        <f ca="1">+GETPIVOTDATA("XBG4",'binhgia (2016)'!$A$3,"MA_HT","SKS","MA_QH","CSD")</f>
        <v>0</v>
      </c>
      <c r="BF27" s="74">
        <f ca="1" t="shared" si="13"/>
        <v>0</v>
      </c>
      <c r="BG27" s="101">
        <f ca="1">Z$59-$BF27</f>
        <v>0</v>
      </c>
      <c r="BH27" s="41" t="e">
        <f ca="1" t="shared" si="14"/>
        <v>#REF!</v>
      </c>
      <c r="BI27" s="98"/>
      <c r="BJ27" s="107" t="e">
        <f>#REF!</f>
        <v>#REF!</v>
      </c>
      <c r="BK27" s="107" t="e">
        <f ca="1">BH27-BJ27</f>
        <v>#REF!</v>
      </c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</row>
    <row r="28" s="2" customFormat="1" ht="15.75" customHeight="1" spans="1:79">
      <c r="A28" s="39" t="s">
        <v>8374</v>
      </c>
      <c r="B28" s="53" t="s">
        <v>8375</v>
      </c>
      <c r="C28" s="40" t="s">
        <v>8288</v>
      </c>
      <c r="D28" s="41" t="e">
        <f>+#REF!</f>
        <v>#REF!</v>
      </c>
      <c r="E28" s="42">
        <f ca="1" t="shared" si="15"/>
        <v>0</v>
      </c>
      <c r="F28" s="52">
        <f ca="1" t="shared" si="9"/>
        <v>0</v>
      </c>
      <c r="G28" s="44">
        <f ca="1">SUM(G29:G39)</f>
        <v>0</v>
      </c>
      <c r="H28" s="44">
        <f ca="1" t="shared" ref="H28:Q28" si="16">SUM(H29:H39)</f>
        <v>0</v>
      </c>
      <c r="I28" s="44">
        <f ca="1" t="shared" si="16"/>
        <v>0</v>
      </c>
      <c r="J28" s="44">
        <f ca="1" t="shared" si="16"/>
        <v>0</v>
      </c>
      <c r="K28" s="44">
        <f ca="1" t="shared" si="16"/>
        <v>0</v>
      </c>
      <c r="L28" s="44">
        <f ca="1" t="shared" si="16"/>
        <v>0</v>
      </c>
      <c r="M28" s="44">
        <f ca="1" t="shared" si="16"/>
        <v>0</v>
      </c>
      <c r="N28" s="44">
        <f ca="1" t="shared" si="16"/>
        <v>0</v>
      </c>
      <c r="O28" s="44">
        <f ca="1" t="shared" si="16"/>
        <v>0</v>
      </c>
      <c r="P28" s="44">
        <f ca="1" t="shared" si="16"/>
        <v>0</v>
      </c>
      <c r="Q28" s="44">
        <f ca="1" t="shared" si="16"/>
        <v>0</v>
      </c>
      <c r="R28" s="44">
        <f ca="1">SUM(S28:Z28,AN28:BD28)</f>
        <v>0</v>
      </c>
      <c r="S28" s="44">
        <f ca="1">SUM(S29:S39)</f>
        <v>0</v>
      </c>
      <c r="T28" s="44">
        <f ca="1" t="shared" ref="T28:Z28" si="17">SUM(T29:T39)</f>
        <v>0</v>
      </c>
      <c r="U28" s="44">
        <f ca="1" t="shared" si="17"/>
        <v>0</v>
      </c>
      <c r="V28" s="44">
        <f ca="1" t="shared" si="17"/>
        <v>0</v>
      </c>
      <c r="W28" s="44">
        <f ca="1" t="shared" si="17"/>
        <v>0</v>
      </c>
      <c r="X28" s="44">
        <f ca="1" t="shared" si="17"/>
        <v>0</v>
      </c>
      <c r="Y28" s="44">
        <f ca="1" t="shared" si="17"/>
        <v>0</v>
      </c>
      <c r="Z28" s="44">
        <f ca="1" t="shared" si="17"/>
        <v>0</v>
      </c>
      <c r="AA28" s="43" t="e">
        <f ca="1">$D28-$BF28</f>
        <v>#REF!</v>
      </c>
      <c r="AB28" s="44">
        <f ca="1">SUM(AB30:AB39)</f>
        <v>0</v>
      </c>
      <c r="AC28" s="44">
        <f ca="1">SUM(AC29,AC31:AC39)</f>
        <v>0</v>
      </c>
      <c r="AD28" s="44">
        <f ca="1">SUM(AD29:AD30,AD32:AD39)</f>
        <v>0</v>
      </c>
      <c r="AE28" s="44">
        <f ca="1">SUM(AE29:AE31,AE33:AE39)</f>
        <v>0</v>
      </c>
      <c r="AF28" s="44">
        <f ca="1">SUM(AF29:AF32,AF34:AF39)</f>
        <v>0</v>
      </c>
      <c r="AG28" s="44">
        <f ca="1">SUM(AG29:AG33,AG35:AG39)</f>
        <v>0</v>
      </c>
      <c r="AH28" s="44">
        <f ca="1">SUM(AH29:AH34,AH36:AH39)</f>
        <v>0</v>
      </c>
      <c r="AI28" s="44">
        <f ca="1">SUM(AI29:AI35,AI37:AI39)</f>
        <v>0</v>
      </c>
      <c r="AJ28" s="44">
        <f ca="1">SUM(AJ29:AJ36,AJ38:AJ39)</f>
        <v>0</v>
      </c>
      <c r="AK28" s="44">
        <f ca="1">SUM(AK29:AK37,AK39)</f>
        <v>0</v>
      </c>
      <c r="AL28" s="44">
        <f ca="1">SUM(AL29:AL38)</f>
        <v>0</v>
      </c>
      <c r="AM28" s="44">
        <f ca="1">SUM(AM29:AM38)</f>
        <v>0</v>
      </c>
      <c r="AN28" s="44">
        <f ca="1" t="shared" ref="AN28:BE28" si="18">SUM(AN29:AN39)</f>
        <v>0</v>
      </c>
      <c r="AO28" s="44">
        <f ca="1" t="shared" si="18"/>
        <v>0</v>
      </c>
      <c r="AP28" s="44">
        <f ca="1" t="shared" si="18"/>
        <v>0</v>
      </c>
      <c r="AQ28" s="44">
        <f ca="1" t="shared" si="18"/>
        <v>0</v>
      </c>
      <c r="AR28" s="44">
        <f ca="1" t="shared" si="18"/>
        <v>0</v>
      </c>
      <c r="AS28" s="44">
        <f ca="1" t="shared" si="18"/>
        <v>0</v>
      </c>
      <c r="AT28" s="44">
        <f ca="1" t="shared" si="18"/>
        <v>0</v>
      </c>
      <c r="AU28" s="44">
        <f ca="1" t="shared" si="18"/>
        <v>0</v>
      </c>
      <c r="AV28" s="44">
        <f ca="1" t="shared" si="18"/>
        <v>0</v>
      </c>
      <c r="AW28" s="44">
        <f ca="1" t="shared" si="18"/>
        <v>0</v>
      </c>
      <c r="AX28" s="44">
        <f ca="1" t="shared" si="18"/>
        <v>0</v>
      </c>
      <c r="AY28" s="44">
        <f ca="1" t="shared" si="18"/>
        <v>0</v>
      </c>
      <c r="AZ28" s="44">
        <f ca="1" t="shared" si="18"/>
        <v>0</v>
      </c>
      <c r="BA28" s="44">
        <f ca="1" t="shared" si="18"/>
        <v>0</v>
      </c>
      <c r="BB28" s="44">
        <f ca="1" t="shared" si="18"/>
        <v>0</v>
      </c>
      <c r="BC28" s="44">
        <f ca="1" t="shared" si="18"/>
        <v>0</v>
      </c>
      <c r="BD28" s="44">
        <f ca="1" t="shared" si="18"/>
        <v>0</v>
      </c>
      <c r="BE28" s="44">
        <f ca="1" t="shared" si="18"/>
        <v>0</v>
      </c>
      <c r="BF28" s="74">
        <f ca="1" t="shared" si="13"/>
        <v>0</v>
      </c>
      <c r="BG28" s="101">
        <f ca="1">AA$59-$BF28</f>
        <v>0</v>
      </c>
      <c r="BH28" s="41" t="e">
        <f ca="1" t="shared" si="14"/>
        <v>#REF!</v>
      </c>
      <c r="BI28" s="98"/>
      <c r="BJ28" s="107"/>
      <c r="BK28" s="107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</row>
    <row r="29" s="4" customFormat="1" ht="16.5" customHeight="1" spans="1:79">
      <c r="A29" s="45" t="s">
        <v>8376</v>
      </c>
      <c r="B29" s="45" t="s">
        <v>8377</v>
      </c>
      <c r="C29" s="46" t="s">
        <v>94</v>
      </c>
      <c r="D29" s="47" t="e">
        <f>+#REF!</f>
        <v>#REF!</v>
      </c>
      <c r="E29" s="42">
        <f ca="1" t="shared" si="15"/>
        <v>0</v>
      </c>
      <c r="F29" s="52">
        <f ca="1" t="shared" si="9"/>
        <v>0</v>
      </c>
      <c r="G29" s="50">
        <f ca="1">+GETPIVOTDATA("XBG4",'binhgia (2016)'!$A$3,"MA_HT","DGT","MA_QH","LUC")</f>
        <v>0</v>
      </c>
      <c r="H29" s="50">
        <f ca="1">+GETPIVOTDATA("XBG4",'binhgia (2016)'!$A$3,"MA_HT","DGT","MA_QH","LUK")</f>
        <v>0</v>
      </c>
      <c r="I29" s="50">
        <f ca="1">+GETPIVOTDATA("XBG4",'binhgia (2016)'!$A$3,"MA_HT","DGT","MA_QH","LUN")</f>
        <v>0</v>
      </c>
      <c r="J29" s="50">
        <f ca="1">+GETPIVOTDATA("XBG4",'binhgia (2016)'!$A$3,"MA_HT","DGT","MA_QH","HNK")</f>
        <v>0</v>
      </c>
      <c r="K29" s="50">
        <f ca="1">+GETPIVOTDATA("XBG4",'binhgia (2016)'!$A$3,"MA_HT","DGT","MA_QH","CLN")</f>
        <v>0</v>
      </c>
      <c r="L29" s="50">
        <f ca="1">+GETPIVOTDATA("XBG4",'binhgia (2016)'!$A$3,"MA_HT","DGT","MA_QH","RSX")</f>
        <v>0</v>
      </c>
      <c r="M29" s="50">
        <f ca="1">+GETPIVOTDATA("XBG4",'binhgia (2016)'!$A$3,"MA_HT","DGT","MA_QH","RPH")</f>
        <v>0</v>
      </c>
      <c r="N29" s="50">
        <f ca="1">+GETPIVOTDATA("XBG4",'binhgia (2016)'!$A$3,"MA_HT","DGT","MA_QH","RDD")</f>
        <v>0</v>
      </c>
      <c r="O29" s="50">
        <f ca="1">+GETPIVOTDATA("XBG4",'binhgia (2016)'!$A$3,"MA_HT","DGT","MA_QH","NTS")</f>
        <v>0</v>
      </c>
      <c r="P29" s="50">
        <f ca="1">+GETPIVOTDATA("XBG4",'binhgia (2016)'!$A$3,"MA_HT","DGT","MA_QH","LMU")</f>
        <v>0</v>
      </c>
      <c r="Q29" s="50">
        <f ca="1">+GETPIVOTDATA("XBG4",'binhgia (2016)'!$A$3,"MA_HT","DGT","MA_QH","NKH")</f>
        <v>0</v>
      </c>
      <c r="R29" s="48">
        <f ca="1">SUM(S29:AA29,AN29:BD29)</f>
        <v>0</v>
      </c>
      <c r="S29" s="50">
        <f ca="1">+GETPIVOTDATA("XBG4",'binhgia (2016)'!$A$3,"MA_HT","DGT","MA_QH","CQP")</f>
        <v>0</v>
      </c>
      <c r="T29" s="50">
        <f ca="1">+GETPIVOTDATA("XBG4",'binhgia (2016)'!$A$3,"MA_HT","DGT","MA_QH","CAN")</f>
        <v>0</v>
      </c>
      <c r="U29" s="50">
        <f ca="1">+GETPIVOTDATA("XBG4",'binhgia (2016)'!$A$3,"MA_HT","DGT","MA_QH","SKK")</f>
        <v>0</v>
      </c>
      <c r="V29" s="50">
        <f ca="1">+GETPIVOTDATA("XBG4",'binhgia (2016)'!$A$3,"MA_HT","DGT","MA_QH","SKT")</f>
        <v>0</v>
      </c>
      <c r="W29" s="50">
        <f ca="1">+GETPIVOTDATA("XBG4",'binhgia (2016)'!$A$3,"MA_HT","DGT","MA_QH","SKN")</f>
        <v>0</v>
      </c>
      <c r="X29" s="50">
        <f ca="1">+GETPIVOTDATA("XBG4",'binhgia (2016)'!$A$3,"MA_HT","DGT","MA_QH","TMD")</f>
        <v>0</v>
      </c>
      <c r="Y29" s="50">
        <f ca="1">+GETPIVOTDATA("XBG4",'binhgia (2016)'!$A$3,"MA_HT","DGT","MA_QH","SKC")</f>
        <v>0</v>
      </c>
      <c r="Z29" s="50">
        <f ca="1">+GETPIVOTDATA("XBG4",'binhgia (2016)'!$A$3,"MA_HT","DGT","MA_QH","SKS")</f>
        <v>0</v>
      </c>
      <c r="AA29" s="52">
        <f ca="1">+SUM(AC29:AM29)</f>
        <v>0</v>
      </c>
      <c r="AB29" s="49" t="e">
        <f ca="1">$D29-$BF29</f>
        <v>#REF!</v>
      </c>
      <c r="AC29" s="50">
        <f ca="1">+GETPIVOTDATA("XBG4",'binhgia (2016)'!$A$3,"MA_HT","DGT","MA_QH","DTL")</f>
        <v>0</v>
      </c>
      <c r="AD29" s="50">
        <f ca="1">+GETPIVOTDATA("XBG4",'binhgia (2016)'!$A$3,"MA_HT","DGT","MA_QH","DNL")</f>
        <v>0</v>
      </c>
      <c r="AE29" s="50">
        <f ca="1">+GETPIVOTDATA("XBG4",'binhgia (2016)'!$A$3,"MA_HT","DGT","MA_QH","DBV")</f>
        <v>0</v>
      </c>
      <c r="AF29" s="50">
        <f ca="1">+GETPIVOTDATA("XBG4",'binhgia (2016)'!$A$3,"MA_HT","DGT","MA_QH","DVH")</f>
        <v>0</v>
      </c>
      <c r="AG29" s="50">
        <f ca="1">+GETPIVOTDATA("XBG4",'binhgia (2016)'!$A$3,"MA_HT","DGT","MA_QH","DYT")</f>
        <v>0</v>
      </c>
      <c r="AH29" s="50">
        <f ca="1">+GETPIVOTDATA("XBG4",'binhgia (2016)'!$A$3,"MA_HT","DGT","MA_QH","DGD")</f>
        <v>0</v>
      </c>
      <c r="AI29" s="50">
        <f ca="1">+GETPIVOTDATA("XBG4",'binhgia (2016)'!$A$3,"MA_HT","DGT","MA_QH","DTT")</f>
        <v>0</v>
      </c>
      <c r="AJ29" s="50">
        <f ca="1">+GETPIVOTDATA("XBG4",'binhgia (2016)'!$A$3,"MA_HT","DGT","MA_QH","NCK")</f>
        <v>0</v>
      </c>
      <c r="AK29" s="50">
        <f ca="1">+GETPIVOTDATA("XBG4",'binhgia (2016)'!$A$3,"MA_HT","DGT","MA_QH","DXH")</f>
        <v>0</v>
      </c>
      <c r="AL29" s="50">
        <f ca="1">+GETPIVOTDATA("XBG4",'binhgia (2016)'!$A$3,"MA_HT","DGT","MA_QH","DCH")</f>
        <v>0</v>
      </c>
      <c r="AM29" s="50">
        <f ca="1">+GETPIVOTDATA("XBG4",'binhgia (2016)'!$A$3,"MA_HT","DGT","MA_QH","DKG")</f>
        <v>0</v>
      </c>
      <c r="AN29" s="50">
        <f ca="1">+GETPIVOTDATA("XBG4",'binhgia (2016)'!$A$3,"MA_HT","DGT","MA_QH","DDT")</f>
        <v>0</v>
      </c>
      <c r="AO29" s="50">
        <f ca="1">+GETPIVOTDATA("XBG4",'binhgia (2016)'!$A$3,"MA_HT","DGT","MA_QH","DDL")</f>
        <v>0</v>
      </c>
      <c r="AP29" s="50">
        <f ca="1">+GETPIVOTDATA("XBG4",'binhgia (2016)'!$A$3,"MA_HT","DGT","MA_QH","DRA")</f>
        <v>0</v>
      </c>
      <c r="AQ29" s="50">
        <f ca="1">+GETPIVOTDATA("XBG4",'binhgia (2016)'!$A$3,"MA_HT","DGT","MA_QH","ONT")</f>
        <v>0</v>
      </c>
      <c r="AR29" s="50">
        <f ca="1">+GETPIVOTDATA("XBG4",'binhgia (2016)'!$A$3,"MA_HT","DGT","MA_QH","ODT")</f>
        <v>0</v>
      </c>
      <c r="AS29" s="50">
        <f ca="1">+GETPIVOTDATA("XBG4",'binhgia (2016)'!$A$3,"MA_HT","DGT","MA_QH","TSC")</f>
        <v>0</v>
      </c>
      <c r="AT29" s="50">
        <f ca="1">+GETPIVOTDATA("XBG4",'binhgia (2016)'!$A$3,"MA_HT","DGT","MA_QH","DTS")</f>
        <v>0</v>
      </c>
      <c r="AU29" s="50">
        <f ca="1">+GETPIVOTDATA("XBG4",'binhgia (2016)'!$A$3,"MA_HT","DGT","MA_QH","DNG")</f>
        <v>0</v>
      </c>
      <c r="AV29" s="50">
        <f ca="1">+GETPIVOTDATA("XBG4",'binhgia (2016)'!$A$3,"MA_HT","DGT","MA_QH","TON")</f>
        <v>0</v>
      </c>
      <c r="AW29" s="50">
        <f ca="1">+GETPIVOTDATA("XBG4",'binhgia (2016)'!$A$3,"MA_HT","DGT","MA_QH","NTD")</f>
        <v>0</v>
      </c>
      <c r="AX29" s="50">
        <f ca="1">+GETPIVOTDATA("XBG4",'binhgia (2016)'!$A$3,"MA_HT","DGT","MA_QH","SKX")</f>
        <v>0</v>
      </c>
      <c r="AY29" s="50">
        <f ca="1">+GETPIVOTDATA("XBG4",'binhgia (2016)'!$A$3,"MA_HT","DGT","MA_QH","DSH")</f>
        <v>0</v>
      </c>
      <c r="AZ29" s="50">
        <f ca="1">+GETPIVOTDATA("XBG4",'binhgia (2016)'!$A$3,"MA_HT","DGT","MA_QH","DKV")</f>
        <v>0</v>
      </c>
      <c r="BA29" s="88">
        <f ca="1">+GETPIVOTDATA("XBG4",'binhgia (2016)'!$A$3,"MA_HT","DGT","MA_QH","TIN")</f>
        <v>0</v>
      </c>
      <c r="BB29" s="50">
        <f ca="1">+GETPIVOTDATA("XBG4",'binhgia (2016)'!$A$3,"MA_HT","DGT","MA_QH","SON")</f>
        <v>0</v>
      </c>
      <c r="BC29" s="50">
        <f ca="1">+GETPIVOTDATA("XBG4",'binhgia (2016)'!$A$3,"MA_HT","DGT","MA_QH","MNC")</f>
        <v>0</v>
      </c>
      <c r="BD29" s="50">
        <f ca="1">+GETPIVOTDATA("XBG4",'binhgia (2016)'!$A$3,"MA_HT","DGT","MA_QH","PNK")</f>
        <v>0</v>
      </c>
      <c r="BE29" s="80">
        <f ca="1">+GETPIVOTDATA("XBG4",'binhgia (2016)'!$A$3,"MA_HT","DGT","MA_QH","CSD")</f>
        <v>0</v>
      </c>
      <c r="BF29" s="103">
        <f ca="1" t="shared" si="13"/>
        <v>0</v>
      </c>
      <c r="BG29" s="104">
        <f ca="1">AB$59-$BF29</f>
        <v>0</v>
      </c>
      <c r="BH29" s="47" t="e">
        <f ca="1" t="shared" si="14"/>
        <v>#REF!</v>
      </c>
      <c r="BI29" s="105"/>
      <c r="BJ29" s="105" t="e">
        <f>#REF!</f>
        <v>#REF!</v>
      </c>
      <c r="BK29" s="108" t="e">
        <f ca="1" t="shared" ref="BK29:BK40" si="19">BH29-BJ29</f>
        <v>#REF!</v>
      </c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</row>
    <row r="30" s="4" customFormat="1" ht="16.5" customHeight="1" spans="1:79">
      <c r="A30" s="45" t="s">
        <v>8378</v>
      </c>
      <c r="B30" s="45" t="s">
        <v>8379</v>
      </c>
      <c r="C30" s="46" t="s">
        <v>216</v>
      </c>
      <c r="D30" s="47" t="e">
        <f>+#REF!</f>
        <v>#REF!</v>
      </c>
      <c r="E30" s="42">
        <f ca="1" t="shared" si="15"/>
        <v>0</v>
      </c>
      <c r="F30" s="52">
        <f ca="1" t="shared" si="9"/>
        <v>0</v>
      </c>
      <c r="G30" s="50">
        <f ca="1">+GETPIVOTDATA("XBG4",'binhgia (2016)'!$A$3,"MA_HT","DTL","MA_QH","LUC")</f>
        <v>0</v>
      </c>
      <c r="H30" s="50">
        <f ca="1">+GETPIVOTDATA("XBG4",'binhgia (2016)'!$A$3,"MA_HT","DTL","MA_QH","LUK")</f>
        <v>0</v>
      </c>
      <c r="I30" s="50">
        <f ca="1">+GETPIVOTDATA("XBG4",'binhgia (2016)'!$A$3,"MA_HT","DTL","MA_QH","LUN")</f>
        <v>0</v>
      </c>
      <c r="J30" s="50">
        <f ca="1">+GETPIVOTDATA("XBG4",'binhgia (2016)'!$A$3,"MA_HT","DTL","MA_QH","HNK")</f>
        <v>0</v>
      </c>
      <c r="K30" s="50">
        <f ca="1">+GETPIVOTDATA("XBG4",'binhgia (2016)'!$A$3,"MA_HT","DTL","MA_QH","CLN")</f>
        <v>0</v>
      </c>
      <c r="L30" s="50">
        <f ca="1">+GETPIVOTDATA("XBG4",'binhgia (2016)'!$A$3,"MA_HT","DTL","MA_QH","RSX")</f>
        <v>0</v>
      </c>
      <c r="M30" s="50">
        <f ca="1">+GETPIVOTDATA("XBG4",'binhgia (2016)'!$A$3,"MA_HT","DTL","MA_QH","RPH")</f>
        <v>0</v>
      </c>
      <c r="N30" s="50">
        <f ca="1">+GETPIVOTDATA("XBG4",'binhgia (2016)'!$A$3,"MA_HT","DTL","MA_QH","RDD")</f>
        <v>0</v>
      </c>
      <c r="O30" s="50">
        <f ca="1">+GETPIVOTDATA("XBG4",'binhgia (2016)'!$A$3,"MA_HT","DTL","MA_QH","NTS")</f>
        <v>0</v>
      </c>
      <c r="P30" s="50">
        <f ca="1">+GETPIVOTDATA("XBG4",'binhgia (2016)'!$A$3,"MA_HT","DTL","MA_QH","LMU")</f>
        <v>0</v>
      </c>
      <c r="Q30" s="50">
        <f ca="1">+GETPIVOTDATA("XBG4",'binhgia (2016)'!$A$3,"MA_HT","DTL","MA_QH","NKH")</f>
        <v>0</v>
      </c>
      <c r="R30" s="48">
        <f ca="1" t="shared" ref="R30:R40" si="20">SUM(S30:AA30,AN30:BD30)</f>
        <v>0</v>
      </c>
      <c r="S30" s="50">
        <f ca="1">+GETPIVOTDATA("XBG4",'binhgia (2016)'!$A$3,"MA_HT","DTL","MA_QH","CQP")</f>
        <v>0</v>
      </c>
      <c r="T30" s="50">
        <f ca="1">+GETPIVOTDATA("XBG4",'binhgia (2016)'!$A$3,"MA_HT","DTL","MA_QH","CAN")</f>
        <v>0</v>
      </c>
      <c r="U30" s="50">
        <f ca="1">+GETPIVOTDATA("XBG4",'binhgia (2016)'!$A$3,"MA_HT","DTL","MA_QH","SKK")</f>
        <v>0</v>
      </c>
      <c r="V30" s="50">
        <f ca="1">+GETPIVOTDATA("XBG4",'binhgia (2016)'!$A$3,"MA_HT","DTL","MA_QH","SKT")</f>
        <v>0</v>
      </c>
      <c r="W30" s="50">
        <f ca="1">+GETPIVOTDATA("XBG4",'binhgia (2016)'!$A$3,"MA_HT","DTL","MA_QH","SKN")</f>
        <v>0</v>
      </c>
      <c r="X30" s="50">
        <f ca="1">+GETPIVOTDATA("XBG4",'binhgia (2016)'!$A$3,"MA_HT","DTL","MA_QH","TMD")</f>
        <v>0</v>
      </c>
      <c r="Y30" s="50">
        <f ca="1">+GETPIVOTDATA("XBG4",'binhgia (2016)'!$A$3,"MA_HT","DTL","MA_QH","SKC")</f>
        <v>0</v>
      </c>
      <c r="Z30" s="50">
        <f ca="1">+GETPIVOTDATA("XBG4",'binhgia (2016)'!$A$3,"MA_HT","DTL","MA_QH","SKS")</f>
        <v>0</v>
      </c>
      <c r="AA30" s="52">
        <f ca="1">+SUM(AB30,AD30:AM30)</f>
        <v>0</v>
      </c>
      <c r="AB30" s="50">
        <f ca="1">+GETPIVOTDATA("XBG4",'binhgia (2016)'!$A$3,"MA_HT","DTL","MA_QH","DGT")</f>
        <v>0</v>
      </c>
      <c r="AC30" s="49" t="e">
        <f ca="1">$D30-$BF30</f>
        <v>#REF!</v>
      </c>
      <c r="AD30" s="50">
        <f ca="1">+GETPIVOTDATA("XBG4",'binhgia (2016)'!$A$3,"MA_HT","DTL","MA_QH","DNL")</f>
        <v>0</v>
      </c>
      <c r="AE30" s="50">
        <f ca="1">+GETPIVOTDATA("XBG4",'binhgia (2016)'!$A$3,"MA_HT","DTL","MA_QH","DBV")</f>
        <v>0</v>
      </c>
      <c r="AF30" s="50">
        <f ca="1">+GETPIVOTDATA("XBG4",'binhgia (2016)'!$A$3,"MA_HT","DTL","MA_QH","DVH")</f>
        <v>0</v>
      </c>
      <c r="AG30" s="50">
        <f ca="1">+GETPIVOTDATA("XBG4",'binhgia (2016)'!$A$3,"MA_HT","DTL","MA_QH","DYT")</f>
        <v>0</v>
      </c>
      <c r="AH30" s="50">
        <f ca="1">+GETPIVOTDATA("XBG4",'binhgia (2016)'!$A$3,"MA_HT","DTL","MA_QH","DGD")</f>
        <v>0</v>
      </c>
      <c r="AI30" s="50">
        <f ca="1">+GETPIVOTDATA("XBG4",'binhgia (2016)'!$A$3,"MA_HT","DTL","MA_QH","DTT")</f>
        <v>0</v>
      </c>
      <c r="AJ30" s="50">
        <f ca="1">+GETPIVOTDATA("XBG4",'binhgia (2016)'!$A$3,"MA_HT","DTL","MA_QH","NCK")</f>
        <v>0</v>
      </c>
      <c r="AK30" s="50">
        <f ca="1">+GETPIVOTDATA("XBG4",'binhgia (2016)'!$A$3,"MA_HT","DTL","MA_QH","DXH")</f>
        <v>0</v>
      </c>
      <c r="AL30" s="50">
        <f ca="1">+GETPIVOTDATA("XBG4",'binhgia (2016)'!$A$3,"MA_HT","DTL","MA_QH","DCH")</f>
        <v>0</v>
      </c>
      <c r="AM30" s="50">
        <f ca="1">+GETPIVOTDATA("XBG4",'binhgia (2016)'!$A$3,"MA_HT","DTL","MA_QH","DKG")</f>
        <v>0</v>
      </c>
      <c r="AN30" s="50">
        <f ca="1">+GETPIVOTDATA("XBG4",'binhgia (2016)'!$A$3,"MA_HT","DTL","MA_QH","DDT")</f>
        <v>0</v>
      </c>
      <c r="AO30" s="50">
        <f ca="1">+GETPIVOTDATA("XBG4",'binhgia (2016)'!$A$3,"MA_HT","DTL","MA_QH","DDL")</f>
        <v>0</v>
      </c>
      <c r="AP30" s="50">
        <f ca="1">+GETPIVOTDATA("XBG4",'binhgia (2016)'!$A$3,"MA_HT","DTL","MA_QH","DRA")</f>
        <v>0</v>
      </c>
      <c r="AQ30" s="50">
        <f ca="1">+GETPIVOTDATA("XBG4",'binhgia (2016)'!$A$3,"MA_HT","DTL","MA_QH","ONT")</f>
        <v>0</v>
      </c>
      <c r="AR30" s="50">
        <f ca="1">+GETPIVOTDATA("XBG4",'binhgia (2016)'!$A$3,"MA_HT","DTL","MA_QH","ODT")</f>
        <v>0</v>
      </c>
      <c r="AS30" s="50">
        <f ca="1">+GETPIVOTDATA("XBG4",'binhgia (2016)'!$A$3,"MA_HT","DTL","MA_QH","TSC")</f>
        <v>0</v>
      </c>
      <c r="AT30" s="50">
        <f ca="1">+GETPIVOTDATA("XBG4",'binhgia (2016)'!$A$3,"MA_HT","DTL","MA_QH","DTS")</f>
        <v>0</v>
      </c>
      <c r="AU30" s="50">
        <f ca="1">+GETPIVOTDATA("XBG4",'binhgia (2016)'!$A$3,"MA_HT","DTL","MA_QH","DNG")</f>
        <v>0</v>
      </c>
      <c r="AV30" s="50">
        <f ca="1">+GETPIVOTDATA("XBG4",'binhgia (2016)'!$A$3,"MA_HT","DTL","MA_QH","TON")</f>
        <v>0</v>
      </c>
      <c r="AW30" s="50">
        <f ca="1">+GETPIVOTDATA("XBG4",'binhgia (2016)'!$A$3,"MA_HT","DTL","MA_QH","NTD")</f>
        <v>0</v>
      </c>
      <c r="AX30" s="50">
        <f ca="1">+GETPIVOTDATA("XBG4",'binhgia (2016)'!$A$3,"MA_HT","DTL","MA_QH","SKX")</f>
        <v>0</v>
      </c>
      <c r="AY30" s="50">
        <f ca="1">+GETPIVOTDATA("XBG4",'binhgia (2016)'!$A$3,"MA_HT","DTL","MA_QH","DSH")</f>
        <v>0</v>
      </c>
      <c r="AZ30" s="50">
        <f ca="1">+GETPIVOTDATA("XBG4",'binhgia (2016)'!$A$3,"MA_HT","DTL","MA_QH","DKV")</f>
        <v>0</v>
      </c>
      <c r="BA30" s="88">
        <f ca="1">+GETPIVOTDATA("XBG4",'binhgia (2016)'!$A$3,"MA_HT","DTL","MA_QH","TIN")</f>
        <v>0</v>
      </c>
      <c r="BB30" s="50">
        <f ca="1">+GETPIVOTDATA("XBG4",'binhgia (2016)'!$A$3,"MA_HT","DTL","MA_QH","SON")</f>
        <v>0</v>
      </c>
      <c r="BC30" s="50">
        <f ca="1">+GETPIVOTDATA("XBG4",'binhgia (2016)'!$A$3,"MA_HT","DTL","MA_QH","MNC")</f>
        <v>0</v>
      </c>
      <c r="BD30" s="50">
        <f ca="1">+GETPIVOTDATA("XBG4",'binhgia (2016)'!$A$3,"MA_HT","DTL","MA_QH","PNK")</f>
        <v>0</v>
      </c>
      <c r="BE30" s="80">
        <f ca="1">+GETPIVOTDATA("XBG4",'binhgia (2016)'!$A$3,"MA_HT","DTL","MA_QH","CSD")</f>
        <v>0</v>
      </c>
      <c r="BF30" s="103">
        <f ca="1" t="shared" si="13"/>
        <v>0</v>
      </c>
      <c r="BG30" s="104">
        <f ca="1">AC$59-$BF30</f>
        <v>0</v>
      </c>
      <c r="BH30" s="47" t="e">
        <f ca="1" t="shared" si="14"/>
        <v>#REF!</v>
      </c>
      <c r="BI30" s="105"/>
      <c r="BJ30" s="105" t="e">
        <f>#REF!</f>
        <v>#REF!</v>
      </c>
      <c r="BK30" s="108" t="e">
        <f ca="1" t="shared" si="19"/>
        <v>#REF!</v>
      </c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</row>
    <row r="31" s="4" customFormat="1" ht="16.5" customHeight="1" spans="1:79">
      <c r="A31" s="45" t="s">
        <v>8380</v>
      </c>
      <c r="B31" s="45" t="s">
        <v>8381</v>
      </c>
      <c r="C31" s="46" t="s">
        <v>71</v>
      </c>
      <c r="D31" s="47" t="e">
        <f>+#REF!</f>
        <v>#REF!</v>
      </c>
      <c r="E31" s="42">
        <f ca="1" t="shared" si="15"/>
        <v>0</v>
      </c>
      <c r="F31" s="52">
        <f ca="1" t="shared" si="9"/>
        <v>0</v>
      </c>
      <c r="G31" s="50">
        <f ca="1">+GETPIVOTDATA("XBG4",'binhgia (2016)'!$A$3,"MA_HT","DNL","MA_QH","LUC")</f>
        <v>0</v>
      </c>
      <c r="H31" s="50">
        <f ca="1">+GETPIVOTDATA("XBG4",'binhgia (2016)'!$A$3,"MA_HT","DNL","MA_QH","LUK")</f>
        <v>0</v>
      </c>
      <c r="I31" s="50">
        <f ca="1">+GETPIVOTDATA("XBG4",'binhgia (2016)'!$A$3,"MA_HT","DNL","MA_QH","LUN")</f>
        <v>0</v>
      </c>
      <c r="J31" s="50">
        <f ca="1">+GETPIVOTDATA("XBG4",'binhgia (2016)'!$A$3,"MA_HT","DNL","MA_QH","HNK")</f>
        <v>0</v>
      </c>
      <c r="K31" s="50">
        <f ca="1">+GETPIVOTDATA("XBG4",'binhgia (2016)'!$A$3,"MA_HT","DNL","MA_QH","CLN")</f>
        <v>0</v>
      </c>
      <c r="L31" s="50">
        <f ca="1">+GETPIVOTDATA("XBG4",'binhgia (2016)'!$A$3,"MA_HT","DNL","MA_QH","RSX")</f>
        <v>0</v>
      </c>
      <c r="M31" s="50">
        <f ca="1">+GETPIVOTDATA("XBG4",'binhgia (2016)'!$A$3,"MA_HT","DNL","MA_QH","RPH")</f>
        <v>0</v>
      </c>
      <c r="N31" s="50">
        <f ca="1">+GETPIVOTDATA("XBG4",'binhgia (2016)'!$A$3,"MA_HT","DNL","MA_QH","RDD")</f>
        <v>0</v>
      </c>
      <c r="O31" s="50">
        <f ca="1">+GETPIVOTDATA("XBG4",'binhgia (2016)'!$A$3,"MA_HT","DNL","MA_QH","NTS")</f>
        <v>0</v>
      </c>
      <c r="P31" s="50">
        <f ca="1">+GETPIVOTDATA("XBG4",'binhgia (2016)'!$A$3,"MA_HT","DNL","MA_QH","LMU")</f>
        <v>0</v>
      </c>
      <c r="Q31" s="50">
        <f ca="1">+GETPIVOTDATA("XBG4",'binhgia (2016)'!$A$3,"MA_HT","DNL","MA_QH","NKH")</f>
        <v>0</v>
      </c>
      <c r="R31" s="48">
        <f ca="1" t="shared" si="20"/>
        <v>0</v>
      </c>
      <c r="S31" s="50">
        <f ca="1">+GETPIVOTDATA("XBG4",'binhgia (2016)'!$A$3,"MA_HT","DNL","MA_QH","CQP")</f>
        <v>0</v>
      </c>
      <c r="T31" s="50">
        <f ca="1">+GETPIVOTDATA("XBG4",'binhgia (2016)'!$A$3,"MA_HT","DNL","MA_QH","CAN")</f>
        <v>0</v>
      </c>
      <c r="U31" s="50">
        <f ca="1">+GETPIVOTDATA("XBG4",'binhgia (2016)'!$A$3,"MA_HT","DNL","MA_QH","SKK")</f>
        <v>0</v>
      </c>
      <c r="V31" s="50">
        <f ca="1">+GETPIVOTDATA("XBG4",'binhgia (2016)'!$A$3,"MA_HT","DNL","MA_QH","SKT")</f>
        <v>0</v>
      </c>
      <c r="W31" s="50">
        <f ca="1">+GETPIVOTDATA("XBG4",'binhgia (2016)'!$A$3,"MA_HT","DNL","MA_QH","SKN")</f>
        <v>0</v>
      </c>
      <c r="X31" s="50">
        <f ca="1">+GETPIVOTDATA("XBG4",'binhgia (2016)'!$A$3,"MA_HT","DNL","MA_QH","TMD")</f>
        <v>0</v>
      </c>
      <c r="Y31" s="50">
        <f ca="1">+GETPIVOTDATA("XBG4",'binhgia (2016)'!$A$3,"MA_HT","DNL","MA_QH","SKC")</f>
        <v>0</v>
      </c>
      <c r="Z31" s="50">
        <f ca="1">+GETPIVOTDATA("XBG4",'binhgia (2016)'!$A$3,"MA_HT","DNL","MA_QH","SKS")</f>
        <v>0</v>
      </c>
      <c r="AA31" s="52">
        <f ca="1">+SUM(AB31:AC31,AE31:AM31)</f>
        <v>0</v>
      </c>
      <c r="AB31" s="50">
        <f ca="1">+GETPIVOTDATA("XBG4",'binhgia (2016)'!$A$3,"MA_HT","DNL","MA_QH","DGT")</f>
        <v>0</v>
      </c>
      <c r="AC31" s="50">
        <f ca="1">+GETPIVOTDATA("XBG4",'binhgia (2016)'!$A$3,"MA_HT","DNL","MA_QH","DTL")</f>
        <v>0</v>
      </c>
      <c r="AD31" s="49" t="e">
        <f ca="1">$D31-$BF31</f>
        <v>#REF!</v>
      </c>
      <c r="AE31" s="50">
        <f ca="1">+GETPIVOTDATA("XBG4",'binhgia (2016)'!$A$3,"MA_HT","DNL","MA_QH","DBV")</f>
        <v>0</v>
      </c>
      <c r="AF31" s="50">
        <f ca="1">+GETPIVOTDATA("XBG4",'binhgia (2016)'!$A$3,"MA_HT","DNL","MA_QH","DVH")</f>
        <v>0</v>
      </c>
      <c r="AG31" s="50">
        <f ca="1">+GETPIVOTDATA("XBG4",'binhgia (2016)'!$A$3,"MA_HT","DNL","MA_QH","DYT")</f>
        <v>0</v>
      </c>
      <c r="AH31" s="50">
        <f ca="1">+GETPIVOTDATA("XBG4",'binhgia (2016)'!$A$3,"MA_HT","DNL","MA_QH","DGD")</f>
        <v>0</v>
      </c>
      <c r="AI31" s="50">
        <f ca="1">+GETPIVOTDATA("XBG4",'binhgia (2016)'!$A$3,"MA_HT","DNL","MA_QH","DTT")</f>
        <v>0</v>
      </c>
      <c r="AJ31" s="50">
        <f ca="1">+GETPIVOTDATA("XBG4",'binhgia (2016)'!$A$3,"MA_HT","DNL","MA_QH","NCK")</f>
        <v>0</v>
      </c>
      <c r="AK31" s="50">
        <f ca="1">+GETPIVOTDATA("XBG4",'binhgia (2016)'!$A$3,"MA_HT","DNL","MA_QH","DXH")</f>
        <v>0</v>
      </c>
      <c r="AL31" s="50">
        <f ca="1">+GETPIVOTDATA("XBG4",'binhgia (2016)'!$A$3,"MA_HT","DNL","MA_QH","DCH")</f>
        <v>0</v>
      </c>
      <c r="AM31" s="50">
        <f ca="1">+GETPIVOTDATA("XBG4",'binhgia (2016)'!$A$3,"MA_HT","DNL","MA_QH","DKG")</f>
        <v>0</v>
      </c>
      <c r="AN31" s="50">
        <f ca="1">+GETPIVOTDATA("XBG4",'binhgia (2016)'!$A$3,"MA_HT","DNL","MA_QH","DDT")</f>
        <v>0</v>
      </c>
      <c r="AO31" s="50">
        <f ca="1">+GETPIVOTDATA("XBG4",'binhgia (2016)'!$A$3,"MA_HT","DNL","MA_QH","DDL")</f>
        <v>0</v>
      </c>
      <c r="AP31" s="50">
        <f ca="1">+GETPIVOTDATA("XBG4",'binhgia (2016)'!$A$3,"MA_HT","DNL","MA_QH","DRA")</f>
        <v>0</v>
      </c>
      <c r="AQ31" s="50">
        <f ca="1">+GETPIVOTDATA("XBG4",'binhgia (2016)'!$A$3,"MA_HT","DNL","MA_QH","ONT")</f>
        <v>0</v>
      </c>
      <c r="AR31" s="50">
        <f ca="1">+GETPIVOTDATA("XBG4",'binhgia (2016)'!$A$3,"MA_HT","DNL","MA_QH","ODT")</f>
        <v>0</v>
      </c>
      <c r="AS31" s="50">
        <f ca="1">+GETPIVOTDATA("XBG4",'binhgia (2016)'!$A$3,"MA_HT","DNL","MA_QH","TSC")</f>
        <v>0</v>
      </c>
      <c r="AT31" s="50">
        <f ca="1">+GETPIVOTDATA("XBG4",'binhgia (2016)'!$A$3,"MA_HT","DNL","MA_QH","DTS")</f>
        <v>0</v>
      </c>
      <c r="AU31" s="50">
        <f ca="1">+GETPIVOTDATA("XBG4",'binhgia (2016)'!$A$3,"MA_HT","DNL","MA_QH","DNG")</f>
        <v>0</v>
      </c>
      <c r="AV31" s="50">
        <f ca="1">+GETPIVOTDATA("XBG4",'binhgia (2016)'!$A$3,"MA_HT","DNL","MA_QH","TON")</f>
        <v>0</v>
      </c>
      <c r="AW31" s="50">
        <f ca="1">+GETPIVOTDATA("XBG4",'binhgia (2016)'!$A$3,"MA_HT","DNL","MA_QH","NTD")</f>
        <v>0</v>
      </c>
      <c r="AX31" s="50">
        <f ca="1">+GETPIVOTDATA("XBG4",'binhgia (2016)'!$A$3,"MA_HT","DNL","MA_QH","SKX")</f>
        <v>0</v>
      </c>
      <c r="AY31" s="50">
        <f ca="1">+GETPIVOTDATA("XBG4",'binhgia (2016)'!$A$3,"MA_HT","DNL","MA_QH","DSH")</f>
        <v>0</v>
      </c>
      <c r="AZ31" s="50">
        <f ca="1">+GETPIVOTDATA("XBG4",'binhgia (2016)'!$A$3,"MA_HT","DNL","MA_QH","DKV")</f>
        <v>0</v>
      </c>
      <c r="BA31" s="88">
        <f ca="1">+GETPIVOTDATA("XBG4",'binhgia (2016)'!$A$3,"MA_HT","DNL","MA_QH","TIN")</f>
        <v>0</v>
      </c>
      <c r="BB31" s="50">
        <f ca="1">+GETPIVOTDATA("XBG4",'binhgia (2016)'!$A$3,"MA_HT","DNL","MA_QH","SON")</f>
        <v>0</v>
      </c>
      <c r="BC31" s="50">
        <f ca="1">+GETPIVOTDATA("XBG4",'binhgia (2016)'!$A$3,"MA_HT","DNL","MA_QH","MNC")</f>
        <v>0</v>
      </c>
      <c r="BD31" s="50">
        <f ca="1">+GETPIVOTDATA("XBG4",'binhgia (2016)'!$A$3,"MA_HT","DNL","MA_QH","PNK")</f>
        <v>0</v>
      </c>
      <c r="BE31" s="80">
        <f ca="1">+GETPIVOTDATA("XBG4",'binhgia (2016)'!$A$3,"MA_HT","DNL","MA_QH","CSD")</f>
        <v>0</v>
      </c>
      <c r="BF31" s="103">
        <f ca="1" t="shared" si="13"/>
        <v>0</v>
      </c>
      <c r="BG31" s="104">
        <f ca="1">AD$59-$BF31</f>
        <v>0</v>
      </c>
      <c r="BH31" s="47" t="e">
        <f ca="1" t="shared" si="14"/>
        <v>#REF!</v>
      </c>
      <c r="BI31" s="105"/>
      <c r="BJ31" s="105" t="e">
        <f>#REF!</f>
        <v>#REF!</v>
      </c>
      <c r="BK31" s="108" t="e">
        <f ca="1" t="shared" si="19"/>
        <v>#REF!</v>
      </c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</row>
    <row r="32" s="4" customFormat="1" ht="16.5" customHeight="1" spans="1:79">
      <c r="A32" s="45" t="s">
        <v>8382</v>
      </c>
      <c r="B32" s="45" t="s">
        <v>8383</v>
      </c>
      <c r="C32" s="46" t="s">
        <v>8285</v>
      </c>
      <c r="D32" s="47" t="e">
        <f>+#REF!</f>
        <v>#REF!</v>
      </c>
      <c r="E32" s="42">
        <f ca="1" t="shared" si="15"/>
        <v>0</v>
      </c>
      <c r="F32" s="52">
        <f ca="1" t="shared" si="9"/>
        <v>0</v>
      </c>
      <c r="G32" s="50">
        <f ca="1">+GETPIVOTDATA("XBG4",'binhgia (2016)'!$A$3,"MA_HT","DBV","MA_QH","LUC")</f>
        <v>0</v>
      </c>
      <c r="H32" s="50">
        <f ca="1">+GETPIVOTDATA("XBG4",'binhgia (2016)'!$A$3,"MA_HT","DBV","MA_QH","LUK")</f>
        <v>0</v>
      </c>
      <c r="I32" s="50">
        <f ca="1">+GETPIVOTDATA("XBG4",'binhgia (2016)'!$A$3,"MA_HT","DBV","MA_QH","LUN")</f>
        <v>0</v>
      </c>
      <c r="J32" s="50">
        <f ca="1">+GETPIVOTDATA("XBG4",'binhgia (2016)'!$A$3,"MA_HT","DBV","MA_QH","HNK")</f>
        <v>0</v>
      </c>
      <c r="K32" s="50">
        <f ca="1">+GETPIVOTDATA("XBG4",'binhgia (2016)'!$A$3,"MA_HT","DBV","MA_QH","CLN")</f>
        <v>0</v>
      </c>
      <c r="L32" s="50">
        <f ca="1">+GETPIVOTDATA("XBG4",'binhgia (2016)'!$A$3,"MA_HT","DBV","MA_QH","RSX")</f>
        <v>0</v>
      </c>
      <c r="M32" s="50">
        <f ca="1">+GETPIVOTDATA("XBG4",'binhgia (2016)'!$A$3,"MA_HT","DBV","MA_QH","RPH")</f>
        <v>0</v>
      </c>
      <c r="N32" s="50">
        <f ca="1">+GETPIVOTDATA("XBG4",'binhgia (2016)'!$A$3,"MA_HT","DBV","MA_QH","RDD")</f>
        <v>0</v>
      </c>
      <c r="O32" s="50">
        <f ca="1">+GETPIVOTDATA("XBG4",'binhgia (2016)'!$A$3,"MA_HT","DBV","MA_QH","NTS")</f>
        <v>0</v>
      </c>
      <c r="P32" s="50">
        <f ca="1">+GETPIVOTDATA("XBG4",'binhgia (2016)'!$A$3,"MA_HT","DBV","MA_QH","LMU")</f>
        <v>0</v>
      </c>
      <c r="Q32" s="50">
        <f ca="1">+GETPIVOTDATA("XBG4",'binhgia (2016)'!$A$3,"MA_HT","DBV","MA_QH","NKH")</f>
        <v>0</v>
      </c>
      <c r="R32" s="48">
        <f ca="1" t="shared" si="20"/>
        <v>0</v>
      </c>
      <c r="S32" s="50">
        <f ca="1">+GETPIVOTDATA("XBG4",'binhgia (2016)'!$A$3,"MA_HT","DBV","MA_QH","CQP")</f>
        <v>0</v>
      </c>
      <c r="T32" s="50">
        <f ca="1">+GETPIVOTDATA("XBG4",'binhgia (2016)'!$A$3,"MA_HT","DBV","MA_QH","CAN")</f>
        <v>0</v>
      </c>
      <c r="U32" s="50">
        <f ca="1">+GETPIVOTDATA("XBG4",'binhgia (2016)'!$A$3,"MA_HT","DBV","MA_QH","SKK")</f>
        <v>0</v>
      </c>
      <c r="V32" s="50">
        <f ca="1">+GETPIVOTDATA("XBG4",'binhgia (2016)'!$A$3,"MA_HT","DBV","MA_QH","SKT")</f>
        <v>0</v>
      </c>
      <c r="W32" s="50">
        <f ca="1">+GETPIVOTDATA("XBG4",'binhgia (2016)'!$A$3,"MA_HT","DBV","MA_QH","SKN")</f>
        <v>0</v>
      </c>
      <c r="X32" s="50">
        <f ca="1">+GETPIVOTDATA("XBG4",'binhgia (2016)'!$A$3,"MA_HT","DBV","MA_QH","TMD")</f>
        <v>0</v>
      </c>
      <c r="Y32" s="50">
        <f ca="1">+GETPIVOTDATA("XBG4",'binhgia (2016)'!$A$3,"MA_HT","DBV","MA_QH","SKC")</f>
        <v>0</v>
      </c>
      <c r="Z32" s="50">
        <f ca="1">+GETPIVOTDATA("XBG4",'binhgia (2016)'!$A$3,"MA_HT","DBV","MA_QH","SKS")</f>
        <v>0</v>
      </c>
      <c r="AA32" s="52">
        <f ca="1">+SUM(AB32:AD32,AF32:AM32)</f>
        <v>0</v>
      </c>
      <c r="AB32" s="50">
        <f ca="1">+GETPIVOTDATA("XBG4",'binhgia (2016)'!$A$3,"MA_HT","DBV","MA_QH","DGT")</f>
        <v>0</v>
      </c>
      <c r="AC32" s="50">
        <f ca="1">+GETPIVOTDATA("XBG4",'binhgia (2016)'!$A$3,"MA_HT","DBV","MA_QH","DTL")</f>
        <v>0</v>
      </c>
      <c r="AD32" s="50">
        <f ca="1">+GETPIVOTDATA("XBG4",'binhgia (2016)'!$A$3,"MA_HT","DBV","MA_QH","DNL")</f>
        <v>0</v>
      </c>
      <c r="AE32" s="49" t="e">
        <f ca="1">$D32-$BF32</f>
        <v>#REF!</v>
      </c>
      <c r="AF32" s="50">
        <f ca="1">+GETPIVOTDATA("XBG4",'binhgia (2016)'!$A$3,"MA_HT","DBV","MA_QH","DVH")</f>
        <v>0</v>
      </c>
      <c r="AG32" s="50">
        <f ca="1">+GETPIVOTDATA("XBG4",'binhgia (2016)'!$A$3,"MA_HT","DBV","MA_QH","DYT")</f>
        <v>0</v>
      </c>
      <c r="AH32" s="50">
        <f ca="1">+GETPIVOTDATA("XBG4",'binhgia (2016)'!$A$3,"MA_HT","DBV","MA_QH","DGD")</f>
        <v>0</v>
      </c>
      <c r="AI32" s="50">
        <f ca="1">+GETPIVOTDATA("XBG4",'binhgia (2016)'!$A$3,"MA_HT","DBV","MA_QH","DTT")</f>
        <v>0</v>
      </c>
      <c r="AJ32" s="50">
        <f ca="1">+GETPIVOTDATA("XBG4",'binhgia (2016)'!$A$3,"MA_HT","DBV","MA_QH","NCK")</f>
        <v>0</v>
      </c>
      <c r="AK32" s="50">
        <f ca="1">+GETPIVOTDATA("XBG4",'binhgia (2016)'!$A$3,"MA_HT","DBV","MA_QH","DXH")</f>
        <v>0</v>
      </c>
      <c r="AL32" s="50">
        <f ca="1">+GETPIVOTDATA("XBG4",'binhgia (2016)'!$A$3,"MA_HT","DBV","MA_QH","DCH")</f>
        <v>0</v>
      </c>
      <c r="AM32" s="50">
        <f ca="1">+GETPIVOTDATA("XBG4",'binhgia (2016)'!$A$3,"MA_HT","DBV","MA_QH","DKG")</f>
        <v>0</v>
      </c>
      <c r="AN32" s="50">
        <f ca="1">+GETPIVOTDATA("XBG4",'binhgia (2016)'!$A$3,"MA_HT","DBV","MA_QH","DDT")</f>
        <v>0</v>
      </c>
      <c r="AO32" s="50">
        <f ca="1">+GETPIVOTDATA("XBG4",'binhgia (2016)'!$A$3,"MA_HT","DBV","MA_QH","DDL")</f>
        <v>0</v>
      </c>
      <c r="AP32" s="50">
        <f ca="1">+GETPIVOTDATA("XBG4",'binhgia (2016)'!$A$3,"MA_HT","DBV","MA_QH","DRA")</f>
        <v>0</v>
      </c>
      <c r="AQ32" s="50">
        <f ca="1">+GETPIVOTDATA("XBG4",'binhgia (2016)'!$A$3,"MA_HT","DBV","MA_QH","ONT")</f>
        <v>0</v>
      </c>
      <c r="AR32" s="50">
        <f ca="1">+GETPIVOTDATA("XBG4",'binhgia (2016)'!$A$3,"MA_HT","DBV","MA_QH","ODT")</f>
        <v>0</v>
      </c>
      <c r="AS32" s="50">
        <f ca="1">+GETPIVOTDATA("XBG4",'binhgia (2016)'!$A$3,"MA_HT","DBV","MA_QH","TSC")</f>
        <v>0</v>
      </c>
      <c r="AT32" s="50">
        <f ca="1">+GETPIVOTDATA("XBG4",'binhgia (2016)'!$A$3,"MA_HT","DBV","MA_QH","DTS")</f>
        <v>0</v>
      </c>
      <c r="AU32" s="50">
        <f ca="1">+GETPIVOTDATA("XBG4",'binhgia (2016)'!$A$3,"MA_HT","DBV","MA_QH","DNG")</f>
        <v>0</v>
      </c>
      <c r="AV32" s="50">
        <f ca="1">+GETPIVOTDATA("XBG4",'binhgia (2016)'!$A$3,"MA_HT","DBV","MA_QH","TON")</f>
        <v>0</v>
      </c>
      <c r="AW32" s="50">
        <f ca="1">+GETPIVOTDATA("XBG4",'binhgia (2016)'!$A$3,"MA_HT","DBV","MA_QH","NTD")</f>
        <v>0</v>
      </c>
      <c r="AX32" s="50">
        <f ca="1">+GETPIVOTDATA("XBG4",'binhgia (2016)'!$A$3,"MA_HT","DBV","MA_QH","SKX")</f>
        <v>0</v>
      </c>
      <c r="AY32" s="50">
        <f ca="1">+GETPIVOTDATA("XBG4",'binhgia (2016)'!$A$3,"MA_HT","DBV","MA_QH","DSH")</f>
        <v>0</v>
      </c>
      <c r="AZ32" s="50">
        <f ca="1">+GETPIVOTDATA("XBG4",'binhgia (2016)'!$A$3,"MA_HT","DBV","MA_QH","DKV")</f>
        <v>0</v>
      </c>
      <c r="BA32" s="88">
        <f ca="1">+GETPIVOTDATA("XBG4",'binhgia (2016)'!$A$3,"MA_HT","DBV","MA_QH","TIN")</f>
        <v>0</v>
      </c>
      <c r="BB32" s="50">
        <f ca="1">+GETPIVOTDATA("XBG4",'binhgia (2016)'!$A$3,"MA_HT","DBV","MA_QH","SON")</f>
        <v>0</v>
      </c>
      <c r="BC32" s="50">
        <f ca="1">+GETPIVOTDATA("XBG4",'binhgia (2016)'!$A$3,"MA_HT","DBV","MA_QH","MNC")</f>
        <v>0</v>
      </c>
      <c r="BD32" s="50">
        <f ca="1">+GETPIVOTDATA("XBG4",'binhgia (2016)'!$A$3,"MA_HT","DBV","MA_QH","PNK")</f>
        <v>0</v>
      </c>
      <c r="BE32" s="80">
        <f ca="1">+GETPIVOTDATA("XBG4",'binhgia (2016)'!$A$3,"MA_HT","DBV","MA_QH","CSD")</f>
        <v>0</v>
      </c>
      <c r="BF32" s="103">
        <f ca="1" t="shared" si="13"/>
        <v>0</v>
      </c>
      <c r="BG32" s="104">
        <f ca="1">AE$59-$BF32</f>
        <v>0</v>
      </c>
      <c r="BH32" s="47" t="e">
        <f ca="1" t="shared" si="14"/>
        <v>#REF!</v>
      </c>
      <c r="BI32" s="105"/>
      <c r="BJ32" s="105" t="e">
        <f>#REF!</f>
        <v>#REF!</v>
      </c>
      <c r="BK32" s="108" t="e">
        <f ca="1" t="shared" si="19"/>
        <v>#REF!</v>
      </c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</row>
    <row r="33" s="4" customFormat="1" ht="16.5" customHeight="1" spans="1:79">
      <c r="A33" s="45" t="s">
        <v>8384</v>
      </c>
      <c r="B33" s="45" t="s">
        <v>8385</v>
      </c>
      <c r="C33" s="46" t="s">
        <v>212</v>
      </c>
      <c r="D33" s="47" t="e">
        <f>+#REF!</f>
        <v>#REF!</v>
      </c>
      <c r="E33" s="42">
        <f ca="1" t="shared" si="15"/>
        <v>0</v>
      </c>
      <c r="F33" s="52">
        <f ca="1" t="shared" si="9"/>
        <v>0</v>
      </c>
      <c r="G33" s="50">
        <f ca="1">+GETPIVOTDATA("XBG4",'binhgia (2016)'!$A$3,"MA_HT","DVH","MA_QH","LUC")</f>
        <v>0</v>
      </c>
      <c r="H33" s="50">
        <f ca="1">+GETPIVOTDATA("XBG4",'binhgia (2016)'!$A$3,"MA_HT","DVH","MA_QH","LUK")</f>
        <v>0</v>
      </c>
      <c r="I33" s="50">
        <f ca="1">+GETPIVOTDATA("XBG4",'binhgia (2016)'!$A$3,"MA_HT","DVH","MA_QH","LUN")</f>
        <v>0</v>
      </c>
      <c r="J33" s="50">
        <f ca="1">+GETPIVOTDATA("XBG4",'binhgia (2016)'!$A$3,"MA_HT","DVH","MA_QH","HNK")</f>
        <v>0</v>
      </c>
      <c r="K33" s="50">
        <f ca="1">+GETPIVOTDATA("XBG4",'binhgia (2016)'!$A$3,"MA_HT","DVH","MA_QH","CLN")</f>
        <v>0</v>
      </c>
      <c r="L33" s="50">
        <f ca="1">+GETPIVOTDATA("XBG4",'binhgia (2016)'!$A$3,"MA_HT","DVH","MA_QH","RSX")</f>
        <v>0</v>
      </c>
      <c r="M33" s="50">
        <f ca="1">+GETPIVOTDATA("XBG4",'binhgia (2016)'!$A$3,"MA_HT","DVH","MA_QH","RPH")</f>
        <v>0</v>
      </c>
      <c r="N33" s="50">
        <f ca="1">+GETPIVOTDATA("XBG4",'binhgia (2016)'!$A$3,"MA_HT","DVH","MA_QH","RDD")</f>
        <v>0</v>
      </c>
      <c r="O33" s="50">
        <f ca="1">+GETPIVOTDATA("XBG4",'binhgia (2016)'!$A$3,"MA_HT","DVH","MA_QH","NTS")</f>
        <v>0</v>
      </c>
      <c r="P33" s="50">
        <f ca="1">+GETPIVOTDATA("XBG4",'binhgia (2016)'!$A$3,"MA_HT","DVH","MA_QH","LMU")</f>
        <v>0</v>
      </c>
      <c r="Q33" s="50">
        <f ca="1">+GETPIVOTDATA("XBG4",'binhgia (2016)'!$A$3,"MA_HT","DVH","MA_QH","NKH")</f>
        <v>0</v>
      </c>
      <c r="R33" s="48">
        <f ca="1" t="shared" si="20"/>
        <v>0</v>
      </c>
      <c r="S33" s="50">
        <f ca="1">+GETPIVOTDATA("XBG4",'binhgia (2016)'!$A$3,"MA_HT","DVH","MA_QH","CQP")</f>
        <v>0</v>
      </c>
      <c r="T33" s="50">
        <f ca="1">+GETPIVOTDATA("XBG4",'binhgia (2016)'!$A$3,"MA_HT","DVH","MA_QH","CAN")</f>
        <v>0</v>
      </c>
      <c r="U33" s="50">
        <f ca="1">+GETPIVOTDATA("XBG4",'binhgia (2016)'!$A$3,"MA_HT","DVH","MA_QH","SKK")</f>
        <v>0</v>
      </c>
      <c r="V33" s="50">
        <f ca="1">+GETPIVOTDATA("XBG4",'binhgia (2016)'!$A$3,"MA_HT","DVH","MA_QH","SKT")</f>
        <v>0</v>
      </c>
      <c r="W33" s="50">
        <f ca="1">+GETPIVOTDATA("XBG4",'binhgia (2016)'!$A$3,"MA_HT","DVH","MA_QH","SKN")</f>
        <v>0</v>
      </c>
      <c r="X33" s="50">
        <f ca="1">+GETPIVOTDATA("XBG4",'binhgia (2016)'!$A$3,"MA_HT","DVH","MA_QH","TMD")</f>
        <v>0</v>
      </c>
      <c r="Y33" s="50">
        <f ca="1">+GETPIVOTDATA("XBG4",'binhgia (2016)'!$A$3,"MA_HT","DVH","MA_QH","SKC")</f>
        <v>0</v>
      </c>
      <c r="Z33" s="50">
        <f ca="1">+GETPIVOTDATA("XBG4",'binhgia (2016)'!$A$3,"MA_HT","DVH","MA_QH","SKS")</f>
        <v>0</v>
      </c>
      <c r="AA33" s="52">
        <f ca="1">+SUM(AB33:AE33,AG33:AM33)</f>
        <v>0</v>
      </c>
      <c r="AB33" s="50">
        <f ca="1">+GETPIVOTDATA("XBG4",'binhgia (2016)'!$A$3,"MA_HT","DVH","MA_QH","DGT")</f>
        <v>0</v>
      </c>
      <c r="AC33" s="50">
        <f ca="1">+GETPIVOTDATA("XBG4",'binhgia (2016)'!$A$3,"MA_HT","DVH","MA_QH","DTL")</f>
        <v>0</v>
      </c>
      <c r="AD33" s="50">
        <f ca="1">+GETPIVOTDATA("XBG4",'binhgia (2016)'!$A$3,"MA_HT","DVH","MA_QH","DNL")</f>
        <v>0</v>
      </c>
      <c r="AE33" s="50">
        <f ca="1">+GETPIVOTDATA("XBG4",'binhgia (2016)'!$A$3,"MA_HT","DVH","MA_QH","DBV")</f>
        <v>0</v>
      </c>
      <c r="AF33" s="49" t="e">
        <f ca="1">$D33-$BF33</f>
        <v>#REF!</v>
      </c>
      <c r="AG33" s="50">
        <f ca="1">+GETPIVOTDATA("XBG4",'binhgia (2016)'!$A$3,"MA_HT","DVH","MA_QH","DYT")</f>
        <v>0</v>
      </c>
      <c r="AH33" s="50">
        <f ca="1">+GETPIVOTDATA("XBG4",'binhgia (2016)'!$A$3,"MA_HT","DVH","MA_QH","DGD")</f>
        <v>0</v>
      </c>
      <c r="AI33" s="50">
        <f ca="1">+GETPIVOTDATA("XBG4",'binhgia (2016)'!$A$3,"MA_HT","DVH","MA_QH","DTT")</f>
        <v>0</v>
      </c>
      <c r="AJ33" s="50">
        <f ca="1">+GETPIVOTDATA("XBG4",'binhgia (2016)'!$A$3,"MA_HT","DVH","MA_QH","NCK")</f>
        <v>0</v>
      </c>
      <c r="AK33" s="50">
        <f ca="1">+GETPIVOTDATA("XBG4",'binhgia (2016)'!$A$3,"MA_HT","DVH","MA_QH","DXH")</f>
        <v>0</v>
      </c>
      <c r="AL33" s="50">
        <f ca="1">+GETPIVOTDATA("XBG4",'binhgia (2016)'!$A$3,"MA_HT","DVH","MA_QH","DCH")</f>
        <v>0</v>
      </c>
      <c r="AM33" s="50">
        <f ca="1">+GETPIVOTDATA("XBG4",'binhgia (2016)'!$A$3,"MA_HT","DVH","MA_QH","DKG")</f>
        <v>0</v>
      </c>
      <c r="AN33" s="50">
        <f ca="1">+GETPIVOTDATA("XBG4",'binhgia (2016)'!$A$3,"MA_HT","DVH","MA_QH","DDT")</f>
        <v>0</v>
      </c>
      <c r="AO33" s="50">
        <f ca="1">+GETPIVOTDATA("XBG4",'binhgia (2016)'!$A$3,"MA_HT","DVH","MA_QH","DDL")</f>
        <v>0</v>
      </c>
      <c r="AP33" s="50">
        <f ca="1">+GETPIVOTDATA("XBG4",'binhgia (2016)'!$A$3,"MA_HT","DVH","MA_QH","DRA")</f>
        <v>0</v>
      </c>
      <c r="AQ33" s="50">
        <f ca="1">+GETPIVOTDATA("XBG4",'binhgia (2016)'!$A$3,"MA_HT","DVH","MA_QH","ONT")</f>
        <v>0</v>
      </c>
      <c r="AR33" s="50">
        <f ca="1">+GETPIVOTDATA("XBG4",'binhgia (2016)'!$A$3,"MA_HT","DVH","MA_QH","ODT")</f>
        <v>0</v>
      </c>
      <c r="AS33" s="50">
        <f ca="1">+GETPIVOTDATA("XBG4",'binhgia (2016)'!$A$3,"MA_HT","DVH","MA_QH","TSC")</f>
        <v>0</v>
      </c>
      <c r="AT33" s="50">
        <f ca="1">+GETPIVOTDATA("XBG4",'binhgia (2016)'!$A$3,"MA_HT","DVH","MA_QH","DTS")</f>
        <v>0</v>
      </c>
      <c r="AU33" s="50">
        <f ca="1">+GETPIVOTDATA("XBG4",'binhgia (2016)'!$A$3,"MA_HT","DVH","MA_QH","DNG")</f>
        <v>0</v>
      </c>
      <c r="AV33" s="50">
        <f ca="1">+GETPIVOTDATA("XBG4",'binhgia (2016)'!$A$3,"MA_HT","DVH","MA_QH","TON")</f>
        <v>0</v>
      </c>
      <c r="AW33" s="50">
        <f ca="1">+GETPIVOTDATA("XBG4",'binhgia (2016)'!$A$3,"MA_HT","DVH","MA_QH","NTD")</f>
        <v>0</v>
      </c>
      <c r="AX33" s="50">
        <f ca="1">+GETPIVOTDATA("XBG4",'binhgia (2016)'!$A$3,"MA_HT","DVH","MA_QH","SKX")</f>
        <v>0</v>
      </c>
      <c r="AY33" s="50">
        <f ca="1">+GETPIVOTDATA("XBG4",'binhgia (2016)'!$A$3,"MA_HT","DVH","MA_QH","DSH")</f>
        <v>0</v>
      </c>
      <c r="AZ33" s="50">
        <f ca="1">+GETPIVOTDATA("XBG4",'binhgia (2016)'!$A$3,"MA_HT","DVH","MA_QH","DKV")</f>
        <v>0</v>
      </c>
      <c r="BA33" s="88">
        <f ca="1">+GETPIVOTDATA("XBG4",'binhgia (2016)'!$A$3,"MA_HT","DVH","MA_QH","TIN")</f>
        <v>0</v>
      </c>
      <c r="BB33" s="50">
        <f ca="1">+GETPIVOTDATA("XBG4",'binhgia (2016)'!$A$3,"MA_HT","DVH","MA_QH","SON")</f>
        <v>0</v>
      </c>
      <c r="BC33" s="50">
        <f ca="1">+GETPIVOTDATA("XBG4",'binhgia (2016)'!$A$3,"MA_HT","DVH","MA_QH","MNC")</f>
        <v>0</v>
      </c>
      <c r="BD33" s="50">
        <f ca="1">+GETPIVOTDATA("XBG4",'binhgia (2016)'!$A$3,"MA_HT","DVH","MA_QH","PNK")</f>
        <v>0</v>
      </c>
      <c r="BE33" s="80">
        <f ca="1">+GETPIVOTDATA("XBG4",'binhgia (2016)'!$A$3,"MA_HT","DVH","MA_QH","CSD")</f>
        <v>0</v>
      </c>
      <c r="BF33" s="103">
        <f ca="1" t="shared" si="13"/>
        <v>0</v>
      </c>
      <c r="BG33" s="104">
        <f ca="1">AF$59-$BF33</f>
        <v>0</v>
      </c>
      <c r="BH33" s="47" t="e">
        <f ca="1" t="shared" si="14"/>
        <v>#REF!</v>
      </c>
      <c r="BI33" s="105"/>
      <c r="BJ33" s="105" t="e">
        <f>#REF!</f>
        <v>#REF!</v>
      </c>
      <c r="BK33" s="108" t="e">
        <f ca="1" t="shared" si="19"/>
        <v>#REF!</v>
      </c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</row>
    <row r="34" s="4" customFormat="1" ht="16.5" customHeight="1" spans="1:79">
      <c r="A34" s="45" t="s">
        <v>8386</v>
      </c>
      <c r="B34" s="45" t="s">
        <v>8387</v>
      </c>
      <c r="C34" s="46" t="s">
        <v>8296</v>
      </c>
      <c r="D34" s="47" t="e">
        <f>+#REF!</f>
        <v>#REF!</v>
      </c>
      <c r="E34" s="42">
        <f ca="1" t="shared" si="15"/>
        <v>0</v>
      </c>
      <c r="F34" s="52">
        <f ca="1" t="shared" si="9"/>
        <v>0</v>
      </c>
      <c r="G34" s="50">
        <f ca="1">+GETPIVOTDATA("XBG4",'binhgia (2016)'!$A$3,"MA_HT","DYT","MA_QH","LUC")</f>
        <v>0</v>
      </c>
      <c r="H34" s="50">
        <f ca="1">+GETPIVOTDATA("XBG4",'binhgia (2016)'!$A$3,"MA_HT","DYT","MA_QH","LUK")</f>
        <v>0</v>
      </c>
      <c r="I34" s="50">
        <f ca="1">+GETPIVOTDATA("XBG4",'binhgia (2016)'!$A$3,"MA_HT","DYT","MA_QH","LUN")</f>
        <v>0</v>
      </c>
      <c r="J34" s="50">
        <f ca="1">+GETPIVOTDATA("XBG4",'binhgia (2016)'!$A$3,"MA_HT","DYT","MA_QH","HNK")</f>
        <v>0</v>
      </c>
      <c r="K34" s="50">
        <f ca="1">+GETPIVOTDATA("XBG4",'binhgia (2016)'!$A$3,"MA_HT","DYT","MA_QH","CLN")</f>
        <v>0</v>
      </c>
      <c r="L34" s="50">
        <f ca="1">+GETPIVOTDATA("XBG4",'binhgia (2016)'!$A$3,"MA_HT","DYT","MA_QH","RSX")</f>
        <v>0</v>
      </c>
      <c r="M34" s="50">
        <f ca="1">+GETPIVOTDATA("XBG4",'binhgia (2016)'!$A$3,"MA_HT","DYT","MA_QH","RPH")</f>
        <v>0</v>
      </c>
      <c r="N34" s="50">
        <f ca="1">+GETPIVOTDATA("XBG4",'binhgia (2016)'!$A$3,"MA_HT","DYT","MA_QH","RDD")</f>
        <v>0</v>
      </c>
      <c r="O34" s="50">
        <f ca="1">+GETPIVOTDATA("XBG4",'binhgia (2016)'!$A$3,"MA_HT","DYT","MA_QH","NTS")</f>
        <v>0</v>
      </c>
      <c r="P34" s="50">
        <f ca="1">+GETPIVOTDATA("XBG4",'binhgia (2016)'!$A$3,"MA_HT","DYT","MA_QH","LMU")</f>
        <v>0</v>
      </c>
      <c r="Q34" s="50">
        <f ca="1">+GETPIVOTDATA("XBG4",'binhgia (2016)'!$A$3,"MA_HT","DYT","MA_QH","NKH")</f>
        <v>0</v>
      </c>
      <c r="R34" s="48">
        <f ca="1" t="shared" si="20"/>
        <v>0</v>
      </c>
      <c r="S34" s="50">
        <f ca="1">+GETPIVOTDATA("XBG4",'binhgia (2016)'!$A$3,"MA_HT","DYT","MA_QH","CQP")</f>
        <v>0</v>
      </c>
      <c r="T34" s="50">
        <f ca="1">+GETPIVOTDATA("XBG4",'binhgia (2016)'!$A$3,"MA_HT","DYT","MA_QH","CAN")</f>
        <v>0</v>
      </c>
      <c r="U34" s="50">
        <f ca="1">+GETPIVOTDATA("XBG4",'binhgia (2016)'!$A$3,"MA_HT","DYT","MA_QH","SKK")</f>
        <v>0</v>
      </c>
      <c r="V34" s="50">
        <f ca="1">+GETPIVOTDATA("XBG4",'binhgia (2016)'!$A$3,"MA_HT","DYT","MA_QH","SKT")</f>
        <v>0</v>
      </c>
      <c r="W34" s="50">
        <f ca="1">+GETPIVOTDATA("XBG4",'binhgia (2016)'!$A$3,"MA_HT","DYT","MA_QH","SKN")</f>
        <v>0</v>
      </c>
      <c r="X34" s="50">
        <f ca="1">+GETPIVOTDATA("XBG4",'binhgia (2016)'!$A$3,"MA_HT","DYT","MA_QH","TMD")</f>
        <v>0</v>
      </c>
      <c r="Y34" s="50">
        <f ca="1">+GETPIVOTDATA("XBG4",'binhgia (2016)'!$A$3,"MA_HT","DYT","MA_QH","SKC")</f>
        <v>0</v>
      </c>
      <c r="Z34" s="50">
        <f ca="1">+GETPIVOTDATA("XBG4",'binhgia (2016)'!$A$3,"MA_HT","DYT","MA_QH","SKS")</f>
        <v>0</v>
      </c>
      <c r="AA34" s="52">
        <f ca="1">+SUM(AB34:AF34,AH34:AM34)</f>
        <v>0</v>
      </c>
      <c r="AB34" s="50">
        <f ca="1">+GETPIVOTDATA("XBG4",'binhgia (2016)'!$A$3,"MA_HT","DYT","MA_QH","DGT")</f>
        <v>0</v>
      </c>
      <c r="AC34" s="50">
        <f ca="1">+GETPIVOTDATA("XBG4",'binhgia (2016)'!$A$3,"MA_HT","DYT","MA_QH","DTL")</f>
        <v>0</v>
      </c>
      <c r="AD34" s="50">
        <f ca="1">+GETPIVOTDATA("XBG4",'binhgia (2016)'!$A$3,"MA_HT","DYT","MA_QH","DNL")</f>
        <v>0</v>
      </c>
      <c r="AE34" s="50">
        <f ca="1">+GETPIVOTDATA("XBG4",'binhgia (2016)'!$A$3,"MA_HT","DYT","MA_QH","DBV")</f>
        <v>0</v>
      </c>
      <c r="AF34" s="50">
        <f ca="1">+GETPIVOTDATA("XBG4",'binhgia (2016)'!$A$3,"MA_HT","DYT","MA_QH","DVH")</f>
        <v>0</v>
      </c>
      <c r="AG34" s="49" t="e">
        <f ca="1">$D34-$BF34</f>
        <v>#REF!</v>
      </c>
      <c r="AH34" s="50">
        <f ca="1">+GETPIVOTDATA("XBG4",'binhgia (2016)'!$A$3,"MA_HT","DYT","MA_QH","DGD")</f>
        <v>0</v>
      </c>
      <c r="AI34" s="50">
        <f ca="1">+GETPIVOTDATA("XBG4",'binhgia (2016)'!$A$3,"MA_HT","DYT","MA_QH","DTT")</f>
        <v>0</v>
      </c>
      <c r="AJ34" s="50">
        <f ca="1">+GETPIVOTDATA("XBG4",'binhgia (2016)'!$A$3,"MA_HT","DYT","MA_QH","NCK")</f>
        <v>0</v>
      </c>
      <c r="AK34" s="50">
        <f ca="1">+GETPIVOTDATA("XBG4",'binhgia (2016)'!$A$3,"MA_HT","DYT","MA_QH","DXH")</f>
        <v>0</v>
      </c>
      <c r="AL34" s="50">
        <f ca="1">+GETPIVOTDATA("XBG4",'binhgia (2016)'!$A$3,"MA_HT","DYT","MA_QH","DCH")</f>
        <v>0</v>
      </c>
      <c r="AM34" s="50">
        <f ca="1">+GETPIVOTDATA("XBG4",'binhgia (2016)'!$A$3,"MA_HT","DYT","MA_QH","DKG")</f>
        <v>0</v>
      </c>
      <c r="AN34" s="50">
        <f ca="1">+GETPIVOTDATA("XBG4",'binhgia (2016)'!$A$3,"MA_HT","DYT","MA_QH","DDT")</f>
        <v>0</v>
      </c>
      <c r="AO34" s="50">
        <f ca="1">+GETPIVOTDATA("XBG4",'binhgia (2016)'!$A$3,"MA_HT","DYT","MA_QH","DDL")</f>
        <v>0</v>
      </c>
      <c r="AP34" s="50">
        <f ca="1">+GETPIVOTDATA("XBG4",'binhgia (2016)'!$A$3,"MA_HT","DYT","MA_QH","DRA")</f>
        <v>0</v>
      </c>
      <c r="AQ34" s="50">
        <f ca="1">+GETPIVOTDATA("XBG4",'binhgia (2016)'!$A$3,"MA_HT","DYT","MA_QH","ONT")</f>
        <v>0</v>
      </c>
      <c r="AR34" s="50">
        <f ca="1">+GETPIVOTDATA("XBG4",'binhgia (2016)'!$A$3,"MA_HT","DYT","MA_QH","ODT")</f>
        <v>0</v>
      </c>
      <c r="AS34" s="50">
        <f ca="1">+GETPIVOTDATA("XBG4",'binhgia (2016)'!$A$3,"MA_HT","DYT","MA_QH","TSC")</f>
        <v>0</v>
      </c>
      <c r="AT34" s="50">
        <f ca="1">+GETPIVOTDATA("XBG4",'binhgia (2016)'!$A$3,"MA_HT","DYT","MA_QH","DTS")</f>
        <v>0</v>
      </c>
      <c r="AU34" s="50">
        <f ca="1">+GETPIVOTDATA("XBG4",'binhgia (2016)'!$A$3,"MA_HT","DYT","MA_QH","DNG")</f>
        <v>0</v>
      </c>
      <c r="AV34" s="50">
        <f ca="1">+GETPIVOTDATA("XBG4",'binhgia (2016)'!$A$3,"MA_HT","DYT","MA_QH","TON")</f>
        <v>0</v>
      </c>
      <c r="AW34" s="50">
        <f ca="1">+GETPIVOTDATA("XBG4",'binhgia (2016)'!$A$3,"MA_HT","DYT","MA_QH","NTD")</f>
        <v>0</v>
      </c>
      <c r="AX34" s="50">
        <f ca="1">+GETPIVOTDATA("XBG4",'binhgia (2016)'!$A$3,"MA_HT","DYT","MA_QH","SKX")</f>
        <v>0</v>
      </c>
      <c r="AY34" s="50">
        <f ca="1">+GETPIVOTDATA("XBG4",'binhgia (2016)'!$A$3,"MA_HT","DYT","MA_QH","DSH")</f>
        <v>0</v>
      </c>
      <c r="AZ34" s="50">
        <f ca="1">+GETPIVOTDATA("XBG4",'binhgia (2016)'!$A$3,"MA_HT","DYT","MA_QH","DKV")</f>
        <v>0</v>
      </c>
      <c r="BA34" s="88">
        <f ca="1">+GETPIVOTDATA("XBG4",'binhgia (2016)'!$A$3,"MA_HT","DYT","MA_QH","TIN")</f>
        <v>0</v>
      </c>
      <c r="BB34" s="50">
        <f ca="1">+GETPIVOTDATA("XBG4",'binhgia (2016)'!$A$3,"MA_HT","DYT","MA_QH","SON")</f>
        <v>0</v>
      </c>
      <c r="BC34" s="50">
        <f ca="1">+GETPIVOTDATA("XBG4",'binhgia (2016)'!$A$3,"MA_HT","DYT","MA_QH","MNC")</f>
        <v>0</v>
      </c>
      <c r="BD34" s="50">
        <f ca="1">+GETPIVOTDATA("XBG4",'binhgia (2016)'!$A$3,"MA_HT","DYT","MA_QH","PNK")</f>
        <v>0</v>
      </c>
      <c r="BE34" s="80">
        <f ca="1">+GETPIVOTDATA("XBG4",'binhgia (2016)'!$A$3,"MA_HT","DYT","MA_QH","CSD")</f>
        <v>0</v>
      </c>
      <c r="BF34" s="103">
        <f ca="1" t="shared" si="13"/>
        <v>0</v>
      </c>
      <c r="BG34" s="104">
        <f ca="1">AG$59-$BF34</f>
        <v>0</v>
      </c>
      <c r="BH34" s="47" t="e">
        <f ca="1" t="shared" si="14"/>
        <v>#REF!</v>
      </c>
      <c r="BI34" s="105"/>
      <c r="BJ34" s="105" t="e">
        <f>#REF!</f>
        <v>#REF!</v>
      </c>
      <c r="BK34" s="108" t="e">
        <f ca="1" t="shared" si="19"/>
        <v>#REF!</v>
      </c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</row>
    <row r="35" s="4" customFormat="1" ht="16.5" customHeight="1" spans="1:79">
      <c r="A35" s="45" t="s">
        <v>8388</v>
      </c>
      <c r="B35" s="45" t="s">
        <v>8389</v>
      </c>
      <c r="C35" s="46" t="s">
        <v>165</v>
      </c>
      <c r="D35" s="47" t="e">
        <f>+#REF!</f>
        <v>#REF!</v>
      </c>
      <c r="E35" s="42">
        <f ca="1" t="shared" si="15"/>
        <v>0</v>
      </c>
      <c r="F35" s="52">
        <f ca="1" t="shared" si="9"/>
        <v>0</v>
      </c>
      <c r="G35" s="50">
        <f ca="1">+GETPIVOTDATA("XBG4",'binhgia (2016)'!$A$3,"MA_HT","DGD","MA_QH","LUC")</f>
        <v>0</v>
      </c>
      <c r="H35" s="50">
        <f ca="1">+GETPIVOTDATA("XBG4",'binhgia (2016)'!$A$3,"MA_HT","DGD","MA_QH","LUK")</f>
        <v>0</v>
      </c>
      <c r="I35" s="50">
        <f ca="1">+GETPIVOTDATA("XBG4",'binhgia (2016)'!$A$3,"MA_HT","DGD","MA_QH","LUN")</f>
        <v>0</v>
      </c>
      <c r="J35" s="50">
        <f ca="1">+GETPIVOTDATA("XBG4",'binhgia (2016)'!$A$3,"MA_HT","DGD","MA_QH","HNK")</f>
        <v>0</v>
      </c>
      <c r="K35" s="50">
        <f ca="1">+GETPIVOTDATA("XBG4",'binhgia (2016)'!$A$3,"MA_HT","DGD","MA_QH","CLN")</f>
        <v>0</v>
      </c>
      <c r="L35" s="50">
        <f ca="1">+GETPIVOTDATA("XBG4",'binhgia (2016)'!$A$3,"MA_HT","DGD","MA_QH","RSX")</f>
        <v>0</v>
      </c>
      <c r="M35" s="50">
        <f ca="1">+GETPIVOTDATA("XBG4",'binhgia (2016)'!$A$3,"MA_HT","DGD","MA_QH","RPH")</f>
        <v>0</v>
      </c>
      <c r="N35" s="50">
        <f ca="1">+GETPIVOTDATA("XBG4",'binhgia (2016)'!$A$3,"MA_HT","DGD","MA_QH","RDD")</f>
        <v>0</v>
      </c>
      <c r="O35" s="50">
        <f ca="1">+GETPIVOTDATA("XBG4",'binhgia (2016)'!$A$3,"MA_HT","DGD","MA_QH","NTS")</f>
        <v>0</v>
      </c>
      <c r="P35" s="50">
        <f ca="1">+GETPIVOTDATA("XBG4",'binhgia (2016)'!$A$3,"MA_HT","DGD","MA_QH","LMU")</f>
        <v>0</v>
      </c>
      <c r="Q35" s="50">
        <f ca="1">+GETPIVOTDATA("XBG4",'binhgia (2016)'!$A$3,"MA_HT","DGD","MA_QH","NKH")</f>
        <v>0</v>
      </c>
      <c r="R35" s="48">
        <f ca="1" t="shared" si="20"/>
        <v>0</v>
      </c>
      <c r="S35" s="50">
        <f ca="1">+GETPIVOTDATA("XBG4",'binhgia (2016)'!$A$3,"MA_HT","DGD","MA_QH","CQP")</f>
        <v>0</v>
      </c>
      <c r="T35" s="50">
        <f ca="1">+GETPIVOTDATA("XBG4",'binhgia (2016)'!$A$3,"MA_HT","DGD","MA_QH","CAN")</f>
        <v>0</v>
      </c>
      <c r="U35" s="50">
        <f ca="1">+GETPIVOTDATA("XBG4",'binhgia (2016)'!$A$3,"MA_HT","DGD","MA_QH","SKK")</f>
        <v>0</v>
      </c>
      <c r="V35" s="50">
        <f ca="1">+GETPIVOTDATA("XBG4",'binhgia (2016)'!$A$3,"MA_HT","DGD","MA_QH","SKT")</f>
        <v>0</v>
      </c>
      <c r="W35" s="50">
        <f ca="1">+GETPIVOTDATA("XBG4",'binhgia (2016)'!$A$3,"MA_HT","DGD","MA_QH","SKN")</f>
        <v>0</v>
      </c>
      <c r="X35" s="50">
        <f ca="1">+GETPIVOTDATA("XBG4",'binhgia (2016)'!$A$3,"MA_HT","DGD","MA_QH","TMD")</f>
        <v>0</v>
      </c>
      <c r="Y35" s="50">
        <f ca="1">+GETPIVOTDATA("XBG4",'binhgia (2016)'!$A$3,"MA_HT","DGD","MA_QH","SKC")</f>
        <v>0</v>
      </c>
      <c r="Z35" s="50">
        <f ca="1">+GETPIVOTDATA("XBG4",'binhgia (2016)'!$A$3,"MA_HT","DGD","MA_QH","SKS")</f>
        <v>0</v>
      </c>
      <c r="AA35" s="52">
        <f ca="1">+SUM(AB35:AG35,AI35:AM35)</f>
        <v>0</v>
      </c>
      <c r="AB35" s="50">
        <f ca="1">+GETPIVOTDATA("XBG4",'binhgia (2016)'!$A$3,"MA_HT","DGD","MA_QH","DGT")</f>
        <v>0</v>
      </c>
      <c r="AC35" s="50">
        <f ca="1">+GETPIVOTDATA("XBG4",'binhgia (2016)'!$A$3,"MA_HT","DGD","MA_QH","DTL")</f>
        <v>0</v>
      </c>
      <c r="AD35" s="50">
        <f ca="1">+GETPIVOTDATA("XBG4",'binhgia (2016)'!$A$3,"MA_HT","DGD","MA_QH","DNL")</f>
        <v>0</v>
      </c>
      <c r="AE35" s="50">
        <f ca="1">+GETPIVOTDATA("XBG4",'binhgia (2016)'!$A$3,"MA_HT","DGD","MA_QH","DBV")</f>
        <v>0</v>
      </c>
      <c r="AF35" s="50">
        <f ca="1">+GETPIVOTDATA("XBG4",'binhgia (2016)'!$A$3,"MA_HT","DGD","MA_QH","DVH")</f>
        <v>0</v>
      </c>
      <c r="AG35" s="50">
        <f ca="1">+GETPIVOTDATA("XBG4",'binhgia (2016)'!$A$3,"MA_HT","DGD","MA_QH","DYT")</f>
        <v>0</v>
      </c>
      <c r="AH35" s="49" t="e">
        <f ca="1">$D35-$BF35</f>
        <v>#REF!</v>
      </c>
      <c r="AI35" s="50">
        <f ca="1">+GETPIVOTDATA("XBG4",'binhgia (2016)'!$A$3,"MA_HT","DGD","MA_QH","DTT")</f>
        <v>0</v>
      </c>
      <c r="AJ35" s="50">
        <f ca="1">+GETPIVOTDATA("XBG4",'binhgia (2016)'!$A$3,"MA_HT","DGD","MA_QH","NCK")</f>
        <v>0</v>
      </c>
      <c r="AK35" s="50">
        <f ca="1">+GETPIVOTDATA("XBG4",'binhgia (2016)'!$A$3,"MA_HT","DGD","MA_QH","DXH")</f>
        <v>0</v>
      </c>
      <c r="AL35" s="50">
        <f ca="1">+GETPIVOTDATA("XBG4",'binhgia (2016)'!$A$3,"MA_HT","DGD","MA_QH","DCH")</f>
        <v>0</v>
      </c>
      <c r="AM35" s="50">
        <f ca="1">+GETPIVOTDATA("XBG4",'binhgia (2016)'!$A$3,"MA_HT","DGD","MA_QH","DKG")</f>
        <v>0</v>
      </c>
      <c r="AN35" s="50">
        <f ca="1">+GETPIVOTDATA("XBG4",'binhgia (2016)'!$A$3,"MA_HT","DGD","MA_QH","DDT")</f>
        <v>0</v>
      </c>
      <c r="AO35" s="50">
        <f ca="1">+GETPIVOTDATA("XBG4",'binhgia (2016)'!$A$3,"MA_HT","DGD","MA_QH","DDL")</f>
        <v>0</v>
      </c>
      <c r="AP35" s="50">
        <f ca="1">+GETPIVOTDATA("XBG4",'binhgia (2016)'!$A$3,"MA_HT","DGD","MA_QH","DRA")</f>
        <v>0</v>
      </c>
      <c r="AQ35" s="50">
        <f ca="1">+GETPIVOTDATA("XBG4",'binhgia (2016)'!$A$3,"MA_HT","DGD","MA_QH","ONT")</f>
        <v>0</v>
      </c>
      <c r="AR35" s="50">
        <f ca="1">+GETPIVOTDATA("XBG4",'binhgia (2016)'!$A$3,"MA_HT","DGD","MA_QH","ODT")</f>
        <v>0</v>
      </c>
      <c r="AS35" s="50">
        <f ca="1">+GETPIVOTDATA("XBG4",'binhgia (2016)'!$A$3,"MA_HT","DGD","MA_QH","TSC")</f>
        <v>0</v>
      </c>
      <c r="AT35" s="50">
        <f ca="1">+GETPIVOTDATA("XBG4",'binhgia (2016)'!$A$3,"MA_HT","DGD","MA_QH","DTS")</f>
        <v>0</v>
      </c>
      <c r="AU35" s="50">
        <f ca="1">+GETPIVOTDATA("XBG4",'binhgia (2016)'!$A$3,"MA_HT","DGD","MA_QH","DNG")</f>
        <v>0</v>
      </c>
      <c r="AV35" s="50">
        <f ca="1">+GETPIVOTDATA("XBG4",'binhgia (2016)'!$A$3,"MA_HT","DGD","MA_QH","TON")</f>
        <v>0</v>
      </c>
      <c r="AW35" s="50">
        <f ca="1">+GETPIVOTDATA("XBG4",'binhgia (2016)'!$A$3,"MA_HT","DGD","MA_QH","NTD")</f>
        <v>0</v>
      </c>
      <c r="AX35" s="50">
        <f ca="1">+GETPIVOTDATA("XBG4",'binhgia (2016)'!$A$3,"MA_HT","DGD","MA_QH","SKX")</f>
        <v>0</v>
      </c>
      <c r="AY35" s="50">
        <f ca="1">+GETPIVOTDATA("XBG4",'binhgia (2016)'!$A$3,"MA_HT","DGD","MA_QH","DSH")</f>
        <v>0</v>
      </c>
      <c r="AZ35" s="50">
        <f ca="1">+GETPIVOTDATA("XBG4",'binhgia (2016)'!$A$3,"MA_HT","DGD","MA_QH","DKV")</f>
        <v>0</v>
      </c>
      <c r="BA35" s="88">
        <f ca="1">+GETPIVOTDATA("XBG4",'binhgia (2016)'!$A$3,"MA_HT","DGD","MA_QH","TIN")</f>
        <v>0</v>
      </c>
      <c r="BB35" s="50">
        <f ca="1">+GETPIVOTDATA("XBG4",'binhgia (2016)'!$A$3,"MA_HT","DGD","MA_QH","SON")</f>
        <v>0</v>
      </c>
      <c r="BC35" s="50">
        <f ca="1">+GETPIVOTDATA("XBG4",'binhgia (2016)'!$A$3,"MA_HT","DGD","MA_QH","MNC")</f>
        <v>0</v>
      </c>
      <c r="BD35" s="50">
        <f ca="1">+GETPIVOTDATA("XBG4",'binhgia (2016)'!$A$3,"MA_HT","DGD","MA_QH","PNK")</f>
        <v>0</v>
      </c>
      <c r="BE35" s="80">
        <f ca="1">+GETPIVOTDATA("XBG4",'binhgia (2016)'!$A$3,"MA_HT","DGD","MA_QH","CSD")</f>
        <v>0</v>
      </c>
      <c r="BF35" s="103">
        <f ca="1" t="shared" si="13"/>
        <v>0</v>
      </c>
      <c r="BG35" s="104">
        <f ca="1">AH$59-$BF35</f>
        <v>0</v>
      </c>
      <c r="BH35" s="47" t="e">
        <f ca="1" t="shared" si="14"/>
        <v>#REF!</v>
      </c>
      <c r="BI35" s="105"/>
      <c r="BJ35" s="105" t="e">
        <f>#REF!</f>
        <v>#REF!</v>
      </c>
      <c r="BK35" s="108" t="e">
        <f ca="1" t="shared" si="19"/>
        <v>#REF!</v>
      </c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</row>
    <row r="36" s="4" customFormat="1" ht="16.5" customHeight="1" spans="1:79">
      <c r="A36" s="45" t="s">
        <v>8390</v>
      </c>
      <c r="B36" s="45" t="s">
        <v>8391</v>
      </c>
      <c r="C36" s="46" t="s">
        <v>8294</v>
      </c>
      <c r="D36" s="47" t="e">
        <f>+#REF!</f>
        <v>#REF!</v>
      </c>
      <c r="E36" s="42">
        <f ca="1" t="shared" si="15"/>
        <v>0</v>
      </c>
      <c r="F36" s="52">
        <f ca="1" t="shared" si="9"/>
        <v>0</v>
      </c>
      <c r="G36" s="50">
        <f ca="1">+GETPIVOTDATA("XBG4",'binhgia (2016)'!$A$3,"MA_HT","DTT","MA_QH","LUC")</f>
        <v>0</v>
      </c>
      <c r="H36" s="50">
        <f ca="1">+GETPIVOTDATA("XBG4",'binhgia (2016)'!$A$3,"MA_HT","DTT","MA_QH","LUK")</f>
        <v>0</v>
      </c>
      <c r="I36" s="50">
        <f ca="1">+GETPIVOTDATA("XBG4",'binhgia (2016)'!$A$3,"MA_HT","DTT","MA_QH","LUN")</f>
        <v>0</v>
      </c>
      <c r="J36" s="50">
        <f ca="1">+GETPIVOTDATA("XBG4",'binhgia (2016)'!$A$3,"MA_HT","DTT","MA_QH","HNK")</f>
        <v>0</v>
      </c>
      <c r="K36" s="50">
        <f ca="1">+GETPIVOTDATA("XBG4",'binhgia (2016)'!$A$3,"MA_HT","DTT","MA_QH","CLN")</f>
        <v>0</v>
      </c>
      <c r="L36" s="50">
        <f ca="1">+GETPIVOTDATA("XBG4",'binhgia (2016)'!$A$3,"MA_HT","DTT","MA_QH","RSX")</f>
        <v>0</v>
      </c>
      <c r="M36" s="50">
        <f ca="1">+GETPIVOTDATA("XBG4",'binhgia (2016)'!$A$3,"MA_HT","DTT","MA_QH","RPH")</f>
        <v>0</v>
      </c>
      <c r="N36" s="50">
        <f ca="1">+GETPIVOTDATA("XBG4",'binhgia (2016)'!$A$3,"MA_HT","DTT","MA_QH","RDD")</f>
        <v>0</v>
      </c>
      <c r="O36" s="50">
        <f ca="1">+GETPIVOTDATA("XBG4",'binhgia (2016)'!$A$3,"MA_HT","DTT","MA_QH","NTS")</f>
        <v>0</v>
      </c>
      <c r="P36" s="50">
        <f ca="1">+GETPIVOTDATA("XBG4",'binhgia (2016)'!$A$3,"MA_HT","DTT","MA_QH","LMU")</f>
        <v>0</v>
      </c>
      <c r="Q36" s="50">
        <f ca="1">+GETPIVOTDATA("XBG4",'binhgia (2016)'!$A$3,"MA_HT","DTT","MA_QH","NKH")</f>
        <v>0</v>
      </c>
      <c r="R36" s="48">
        <f ca="1" t="shared" si="20"/>
        <v>0</v>
      </c>
      <c r="S36" s="50">
        <f ca="1">+GETPIVOTDATA("XBG4",'binhgia (2016)'!$A$3,"MA_HT","DTT","MA_QH","CQP")</f>
        <v>0</v>
      </c>
      <c r="T36" s="50">
        <f ca="1">+GETPIVOTDATA("XBG4",'binhgia (2016)'!$A$3,"MA_HT","DTT","MA_QH","CAN")</f>
        <v>0</v>
      </c>
      <c r="U36" s="50">
        <f ca="1">+GETPIVOTDATA("XBG4",'binhgia (2016)'!$A$3,"MA_HT","DTT","MA_QH","SKK")</f>
        <v>0</v>
      </c>
      <c r="V36" s="50">
        <f ca="1">+GETPIVOTDATA("XBG4",'binhgia (2016)'!$A$3,"MA_HT","DTT","MA_QH","SKT")</f>
        <v>0</v>
      </c>
      <c r="W36" s="50">
        <f ca="1">+GETPIVOTDATA("XBG4",'binhgia (2016)'!$A$3,"MA_HT","DTT","MA_QH","SKN")</f>
        <v>0</v>
      </c>
      <c r="X36" s="50">
        <f ca="1">+GETPIVOTDATA("XBG4",'binhgia (2016)'!$A$3,"MA_HT","DTT","MA_QH","TMD")</f>
        <v>0</v>
      </c>
      <c r="Y36" s="50">
        <f ca="1">+GETPIVOTDATA("XBG4",'binhgia (2016)'!$A$3,"MA_HT","DTT","MA_QH","SKC")</f>
        <v>0</v>
      </c>
      <c r="Z36" s="50">
        <f ca="1">+GETPIVOTDATA("XBG4",'binhgia (2016)'!$A$3,"MA_HT","DTT","MA_QH","SKS")</f>
        <v>0</v>
      </c>
      <c r="AA36" s="52">
        <f ca="1">+SUM(AB36:AH36,AJ36:AM36)</f>
        <v>0</v>
      </c>
      <c r="AB36" s="50">
        <f ca="1">+GETPIVOTDATA("XBG4",'binhgia (2016)'!$A$3,"MA_HT","DTT","MA_QH","DGT")</f>
        <v>0</v>
      </c>
      <c r="AC36" s="50">
        <f ca="1">+GETPIVOTDATA("XBG4",'binhgia (2016)'!$A$3,"MA_HT","DTT","MA_QH","DTL")</f>
        <v>0</v>
      </c>
      <c r="AD36" s="50">
        <f ca="1">+GETPIVOTDATA("XBG4",'binhgia (2016)'!$A$3,"MA_HT","DTT","MA_QH","DNL")</f>
        <v>0</v>
      </c>
      <c r="AE36" s="50">
        <f ca="1">+GETPIVOTDATA("XBG4",'binhgia (2016)'!$A$3,"MA_HT","DTT","MA_QH","DBV")</f>
        <v>0</v>
      </c>
      <c r="AF36" s="50">
        <f ca="1">+GETPIVOTDATA("XBG4",'binhgia (2016)'!$A$3,"MA_HT","DTT","MA_QH","DVH")</f>
        <v>0</v>
      </c>
      <c r="AG36" s="50">
        <f ca="1">+GETPIVOTDATA("XBG4",'binhgia (2016)'!$A$3,"MA_HT","DTT","MA_QH","DYT")</f>
        <v>0</v>
      </c>
      <c r="AH36" s="50">
        <f ca="1">+GETPIVOTDATA("XBG4",'binhgia (2016)'!$A$3,"MA_HT","DTT","MA_QH","DGD")</f>
        <v>0</v>
      </c>
      <c r="AI36" s="49" t="e">
        <f ca="1">$D36-$BF36</f>
        <v>#REF!</v>
      </c>
      <c r="AJ36" s="50">
        <f ca="1">+GETPIVOTDATA("XBG4",'binhgia (2016)'!$A$3,"MA_HT","DTT","MA_QH","NCK")</f>
        <v>0</v>
      </c>
      <c r="AK36" s="50">
        <f ca="1">+GETPIVOTDATA("XBG4",'binhgia (2016)'!$A$3,"MA_HT","DTT","MA_QH","DXH")</f>
        <v>0</v>
      </c>
      <c r="AL36" s="50">
        <f ca="1">+GETPIVOTDATA("XBG4",'binhgia (2016)'!$A$3,"MA_HT","DTT","MA_QH","DCH")</f>
        <v>0</v>
      </c>
      <c r="AM36" s="50">
        <f ca="1">+GETPIVOTDATA("XBG4",'binhgia (2016)'!$A$3,"MA_HT","DTT","MA_QH","DKG")</f>
        <v>0</v>
      </c>
      <c r="AN36" s="50">
        <f ca="1">+GETPIVOTDATA("XBG4",'binhgia (2016)'!$A$3,"MA_HT","DTT","MA_QH","DDT")</f>
        <v>0</v>
      </c>
      <c r="AO36" s="50">
        <f ca="1">+GETPIVOTDATA("XBG4",'binhgia (2016)'!$A$3,"MA_HT","DTT","MA_QH","DDL")</f>
        <v>0</v>
      </c>
      <c r="AP36" s="50">
        <f ca="1">+GETPIVOTDATA("XBG4",'binhgia (2016)'!$A$3,"MA_HT","DTT","MA_QH","DRA")</f>
        <v>0</v>
      </c>
      <c r="AQ36" s="50">
        <f ca="1">+GETPIVOTDATA("XBG4",'binhgia (2016)'!$A$3,"MA_HT","DTT","MA_QH","ONT")</f>
        <v>0</v>
      </c>
      <c r="AR36" s="50">
        <f ca="1">+GETPIVOTDATA("XBG4",'binhgia (2016)'!$A$3,"MA_HT","DTT","MA_QH","ODT")</f>
        <v>0</v>
      </c>
      <c r="AS36" s="50">
        <f ca="1">+GETPIVOTDATA("XBG4",'binhgia (2016)'!$A$3,"MA_HT","DTT","MA_QH","TSC")</f>
        <v>0</v>
      </c>
      <c r="AT36" s="50">
        <f ca="1">+GETPIVOTDATA("XBG4",'binhgia (2016)'!$A$3,"MA_HT","DTT","MA_QH","DTS")</f>
        <v>0</v>
      </c>
      <c r="AU36" s="50">
        <f ca="1">+GETPIVOTDATA("XBG4",'binhgia (2016)'!$A$3,"MA_HT","DTT","MA_QH","DNG")</f>
        <v>0</v>
      </c>
      <c r="AV36" s="50">
        <f ca="1">+GETPIVOTDATA("XBG4",'binhgia (2016)'!$A$3,"MA_HT","DTT","MA_QH","TON")</f>
        <v>0</v>
      </c>
      <c r="AW36" s="50">
        <f ca="1">+GETPIVOTDATA("XBG4",'binhgia (2016)'!$A$3,"MA_HT","DTT","MA_QH","NTD")</f>
        <v>0</v>
      </c>
      <c r="AX36" s="50">
        <f ca="1">+GETPIVOTDATA("XBG4",'binhgia (2016)'!$A$3,"MA_HT","DTT","MA_QH","SKX")</f>
        <v>0</v>
      </c>
      <c r="AY36" s="50">
        <f ca="1">+GETPIVOTDATA("XBG4",'binhgia (2016)'!$A$3,"MA_HT","DTT","MA_QH","DSH")</f>
        <v>0</v>
      </c>
      <c r="AZ36" s="50">
        <f ca="1">+GETPIVOTDATA("XBG4",'binhgia (2016)'!$A$3,"MA_HT","DTT","MA_QH","DKV")</f>
        <v>0</v>
      </c>
      <c r="BA36" s="88">
        <f ca="1">+GETPIVOTDATA("XBG4",'binhgia (2016)'!$A$3,"MA_HT","DTT","MA_QH","TIN")</f>
        <v>0</v>
      </c>
      <c r="BB36" s="50">
        <f ca="1">+GETPIVOTDATA("XBG4",'binhgia (2016)'!$A$3,"MA_HT","DTT","MA_QH","SON")</f>
        <v>0</v>
      </c>
      <c r="BC36" s="50">
        <f ca="1">+GETPIVOTDATA("XBG4",'binhgia (2016)'!$A$3,"MA_HT","DTT","MA_QH","MNC")</f>
        <v>0</v>
      </c>
      <c r="BD36" s="50">
        <f ca="1">+GETPIVOTDATA("XBG4",'binhgia (2016)'!$A$3,"MA_HT","DTT","MA_QH","PNK")</f>
        <v>0</v>
      </c>
      <c r="BE36" s="80">
        <f ca="1">+GETPIVOTDATA("XBG4",'binhgia (2016)'!$A$3,"MA_HT","DTT","MA_QH","CSD")</f>
        <v>0</v>
      </c>
      <c r="BF36" s="103">
        <f ca="1" t="shared" si="13"/>
        <v>0</v>
      </c>
      <c r="BG36" s="104">
        <f ca="1">AI$59-$BF36</f>
        <v>0</v>
      </c>
      <c r="BH36" s="47" t="e">
        <f ca="1" t="shared" si="14"/>
        <v>#REF!</v>
      </c>
      <c r="BI36" s="105"/>
      <c r="BJ36" s="105" t="e">
        <f>#REF!</f>
        <v>#REF!</v>
      </c>
      <c r="BK36" s="108" t="e">
        <f ca="1" t="shared" si="19"/>
        <v>#REF!</v>
      </c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</row>
    <row r="37" s="4" customFormat="1" ht="16.5" customHeight="1" spans="1:79">
      <c r="A37" s="45" t="s">
        <v>8392</v>
      </c>
      <c r="B37" s="45" t="s">
        <v>8393</v>
      </c>
      <c r="C37" s="46" t="s">
        <v>8302</v>
      </c>
      <c r="D37" s="47" t="e">
        <f>+#REF!</f>
        <v>#REF!</v>
      </c>
      <c r="E37" s="42">
        <f ca="1" t="shared" si="15"/>
        <v>0</v>
      </c>
      <c r="F37" s="52">
        <f ca="1" t="shared" si="9"/>
        <v>0</v>
      </c>
      <c r="G37" s="50">
        <f ca="1">+GETPIVOTDATA("XBG4",'binhgia (2016)'!$A$3,"MA_HT","NCK","MA_QH","LUC")</f>
        <v>0</v>
      </c>
      <c r="H37" s="50">
        <f ca="1">+GETPIVOTDATA("XBG4",'binhgia (2016)'!$A$3,"MA_HT","NCK","MA_QH","LUK")</f>
        <v>0</v>
      </c>
      <c r="I37" s="50">
        <f ca="1">+GETPIVOTDATA("XBG4",'binhgia (2016)'!$A$3,"MA_HT","NCK","MA_QH","LUN")</f>
        <v>0</v>
      </c>
      <c r="J37" s="50">
        <f ca="1">+GETPIVOTDATA("XBG4",'binhgia (2016)'!$A$3,"MA_HT","NCK","MA_QH","HNK")</f>
        <v>0</v>
      </c>
      <c r="K37" s="50">
        <f ca="1">+GETPIVOTDATA("XBG4",'binhgia (2016)'!$A$3,"MA_HT","NCK","MA_QH","CLN")</f>
        <v>0</v>
      </c>
      <c r="L37" s="50">
        <f ca="1">+GETPIVOTDATA("XBG4",'binhgia (2016)'!$A$3,"MA_HT","NCK","MA_QH","RSX")</f>
        <v>0</v>
      </c>
      <c r="M37" s="50">
        <f ca="1">+GETPIVOTDATA("XBG4",'binhgia (2016)'!$A$3,"MA_HT","NCK","MA_QH","RPH")</f>
        <v>0</v>
      </c>
      <c r="N37" s="50">
        <f ca="1">+GETPIVOTDATA("XBG4",'binhgia (2016)'!$A$3,"MA_HT","NCK","MA_QH","RDD")</f>
        <v>0</v>
      </c>
      <c r="O37" s="50">
        <f ca="1">+GETPIVOTDATA("XBG4",'binhgia (2016)'!$A$3,"MA_HT","NCK","MA_QH","NTS")</f>
        <v>0</v>
      </c>
      <c r="P37" s="50">
        <f ca="1">+GETPIVOTDATA("XBG4",'binhgia (2016)'!$A$3,"MA_HT","NCK","MA_QH","LMU")</f>
        <v>0</v>
      </c>
      <c r="Q37" s="50">
        <f ca="1">+GETPIVOTDATA("XBG4",'binhgia (2016)'!$A$3,"MA_HT","NCK","MA_QH","NKH")</f>
        <v>0</v>
      </c>
      <c r="R37" s="48">
        <f ca="1" t="shared" si="20"/>
        <v>0</v>
      </c>
      <c r="S37" s="50">
        <f ca="1">+GETPIVOTDATA("XBG4",'binhgia (2016)'!$A$3,"MA_HT","NCK","MA_QH","CQP")</f>
        <v>0</v>
      </c>
      <c r="T37" s="50">
        <f ca="1">+GETPIVOTDATA("XBG4",'binhgia (2016)'!$A$3,"MA_HT","NCK","MA_QH","CAN")</f>
        <v>0</v>
      </c>
      <c r="U37" s="50">
        <f ca="1">+GETPIVOTDATA("XBG4",'binhgia (2016)'!$A$3,"MA_HT","NCK","MA_QH","SKK")</f>
        <v>0</v>
      </c>
      <c r="V37" s="50">
        <f ca="1">+GETPIVOTDATA("XBG4",'binhgia (2016)'!$A$3,"MA_HT","NCK","MA_QH","SKT")</f>
        <v>0</v>
      </c>
      <c r="W37" s="50">
        <f ca="1">+GETPIVOTDATA("XBG4",'binhgia (2016)'!$A$3,"MA_HT","NCK","MA_QH","SKN")</f>
        <v>0</v>
      </c>
      <c r="X37" s="50">
        <f ca="1">+GETPIVOTDATA("XBG4",'binhgia (2016)'!$A$3,"MA_HT","NCK","MA_QH","TMD")</f>
        <v>0</v>
      </c>
      <c r="Y37" s="50">
        <f ca="1">+GETPIVOTDATA("XBG4",'binhgia (2016)'!$A$3,"MA_HT","NCK","MA_QH","SKC")</f>
        <v>0</v>
      </c>
      <c r="Z37" s="50">
        <f ca="1">+GETPIVOTDATA("XBG4",'binhgia (2016)'!$A$3,"MA_HT","NCK","MA_QH","SKS")</f>
        <v>0</v>
      </c>
      <c r="AA37" s="52">
        <f ca="1">+SUM(AB37:AI37,AK37:AM37)</f>
        <v>0</v>
      </c>
      <c r="AB37" s="50">
        <f ca="1">+GETPIVOTDATA("XBG4",'binhgia (2016)'!$A$3,"MA_HT","NCK","MA_QH","DGT")</f>
        <v>0</v>
      </c>
      <c r="AC37" s="50">
        <f ca="1">+GETPIVOTDATA("XBG4",'binhgia (2016)'!$A$3,"MA_HT","NCK","MA_QH","DTL")</f>
        <v>0</v>
      </c>
      <c r="AD37" s="50">
        <f ca="1">+GETPIVOTDATA("XBG4",'binhgia (2016)'!$A$3,"MA_HT","NCK","MA_QH","DNL")</f>
        <v>0</v>
      </c>
      <c r="AE37" s="50">
        <f ca="1">+GETPIVOTDATA("XBG4",'binhgia (2016)'!$A$3,"MA_HT","NCK","MA_QH","DBV")</f>
        <v>0</v>
      </c>
      <c r="AF37" s="50">
        <f ca="1">+GETPIVOTDATA("XBG4",'binhgia (2016)'!$A$3,"MA_HT","NCK","MA_QH","DVH")</f>
        <v>0</v>
      </c>
      <c r="AG37" s="50">
        <f ca="1">+GETPIVOTDATA("XBG4",'binhgia (2016)'!$A$3,"MA_HT","NCK","MA_QH","DYT")</f>
        <v>0</v>
      </c>
      <c r="AH37" s="50">
        <f ca="1">+GETPIVOTDATA("XBG4",'binhgia (2016)'!$A$3,"MA_HT","NCK","MA_QH","DGD")</f>
        <v>0</v>
      </c>
      <c r="AI37" s="50">
        <f ca="1">+GETPIVOTDATA("XBG4",'binhgia (2016)'!$A$3,"MA_HT","NCK","MA_QH","DTT")</f>
        <v>0</v>
      </c>
      <c r="AJ37" s="49" t="e">
        <f ca="1">$D37-$BF37</f>
        <v>#REF!</v>
      </c>
      <c r="AK37" s="50">
        <f ca="1">+GETPIVOTDATA("XBG4",'binhgia (2016)'!$A$3,"MA_HT","NCK","MA_QH","DXH")</f>
        <v>0</v>
      </c>
      <c r="AL37" s="50">
        <f ca="1">+GETPIVOTDATA("XBG4",'binhgia (2016)'!$A$3,"MA_HT","NCK","MA_QH","DCH")</f>
        <v>0</v>
      </c>
      <c r="AM37" s="50">
        <f ca="1">+GETPIVOTDATA("XBG4",'binhgia (2016)'!$A$3,"MA_HT","NCK","MA_QH","DKG")</f>
        <v>0</v>
      </c>
      <c r="AN37" s="50">
        <f ca="1">+GETPIVOTDATA("XBG4",'binhgia (2016)'!$A$3,"MA_HT","NCK","MA_QH","DDT")</f>
        <v>0</v>
      </c>
      <c r="AO37" s="50">
        <f ca="1">+GETPIVOTDATA("XBG4",'binhgia (2016)'!$A$3,"MA_HT","NCK","MA_QH","DDL")</f>
        <v>0</v>
      </c>
      <c r="AP37" s="50">
        <f ca="1">+GETPIVOTDATA("XBG4",'binhgia (2016)'!$A$3,"MA_HT","NCK","MA_QH","DRA")</f>
        <v>0</v>
      </c>
      <c r="AQ37" s="50">
        <f ca="1">+GETPIVOTDATA("XBG4",'binhgia (2016)'!$A$3,"MA_HT","NCK","MA_QH","ONT")</f>
        <v>0</v>
      </c>
      <c r="AR37" s="50">
        <f ca="1">+GETPIVOTDATA("XBG4",'binhgia (2016)'!$A$3,"MA_HT","NCK","MA_QH","ODT")</f>
        <v>0</v>
      </c>
      <c r="AS37" s="50">
        <f ca="1">+GETPIVOTDATA("XBG4",'binhgia (2016)'!$A$3,"MA_HT","NCK","MA_QH","TSC")</f>
        <v>0</v>
      </c>
      <c r="AT37" s="50">
        <f ca="1">+GETPIVOTDATA("XBG4",'binhgia (2016)'!$A$3,"MA_HT","NCK","MA_QH","DTS")</f>
        <v>0</v>
      </c>
      <c r="AU37" s="50">
        <f ca="1">+GETPIVOTDATA("XBG4",'binhgia (2016)'!$A$3,"MA_HT","NCK","MA_QH","DNG")</f>
        <v>0</v>
      </c>
      <c r="AV37" s="50">
        <f ca="1">+GETPIVOTDATA("XBG4",'binhgia (2016)'!$A$3,"MA_HT","NCK","MA_QH","TON")</f>
        <v>0</v>
      </c>
      <c r="AW37" s="50">
        <f ca="1">+GETPIVOTDATA("XBG4",'binhgia (2016)'!$A$3,"MA_HT","NCK","MA_QH","NTD")</f>
        <v>0</v>
      </c>
      <c r="AX37" s="50">
        <f ca="1">+GETPIVOTDATA("XBG4",'binhgia (2016)'!$A$3,"MA_HT","NCK","MA_QH","SKX")</f>
        <v>0</v>
      </c>
      <c r="AY37" s="50">
        <f ca="1">+GETPIVOTDATA("XBG4",'binhgia (2016)'!$A$3,"MA_HT","NCK","MA_QH","DSH")</f>
        <v>0</v>
      </c>
      <c r="AZ37" s="50">
        <f ca="1">+GETPIVOTDATA("XBG4",'binhgia (2016)'!$A$3,"MA_HT","NCK","MA_QH","DKV")</f>
        <v>0</v>
      </c>
      <c r="BA37" s="88">
        <f ca="1">+GETPIVOTDATA("XBG4",'binhgia (2016)'!$A$3,"MA_HT","NCK","MA_QH","TIN")</f>
        <v>0</v>
      </c>
      <c r="BB37" s="50">
        <f ca="1">+GETPIVOTDATA("XBG4",'binhgia (2016)'!$A$3,"MA_HT","NCK","MA_QH","SON")</f>
        <v>0</v>
      </c>
      <c r="BC37" s="50">
        <f ca="1">+GETPIVOTDATA("XBG4",'binhgia (2016)'!$A$3,"MA_HT","NCK","MA_QH","MNC")</f>
        <v>0</v>
      </c>
      <c r="BD37" s="50">
        <f ca="1">+GETPIVOTDATA("XBG4",'binhgia (2016)'!$A$3,"MA_HT","NCK","MA_QH","PNK")</f>
        <v>0</v>
      </c>
      <c r="BE37" s="80">
        <f ca="1">+GETPIVOTDATA("XBG4",'binhgia (2016)'!$A$3,"MA_HT","NCK","MA_QH","CSD")</f>
        <v>0</v>
      </c>
      <c r="BF37" s="103">
        <f ca="1" t="shared" si="13"/>
        <v>0</v>
      </c>
      <c r="BG37" s="104">
        <f ca="1">AJ$59-$BF37</f>
        <v>0</v>
      </c>
      <c r="BH37" s="47" t="e">
        <f ca="1" t="shared" si="14"/>
        <v>#REF!</v>
      </c>
      <c r="BI37" s="105"/>
      <c r="BJ37" s="105" t="e">
        <f>#REF!</f>
        <v>#REF!</v>
      </c>
      <c r="BK37" s="108" t="e">
        <f ca="1" t="shared" si="19"/>
        <v>#REF!</v>
      </c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</row>
    <row r="38" s="4" customFormat="1" ht="16.5" customHeight="1" spans="1:79">
      <c r="A38" s="45" t="s">
        <v>8394</v>
      </c>
      <c r="B38" s="45" t="s">
        <v>8395</v>
      </c>
      <c r="C38" s="46" t="s">
        <v>8295</v>
      </c>
      <c r="D38" s="47" t="e">
        <f>+#REF!</f>
        <v>#REF!</v>
      </c>
      <c r="E38" s="42">
        <f ca="1" t="shared" si="15"/>
        <v>0</v>
      </c>
      <c r="F38" s="52">
        <f ca="1" t="shared" si="9"/>
        <v>0</v>
      </c>
      <c r="G38" s="50">
        <f ca="1">+GETPIVOTDATA("XBG4",'binhgia (2016)'!$A$3,"MA_HT","DXH","MA_QH","LUC")</f>
        <v>0</v>
      </c>
      <c r="H38" s="50">
        <f ca="1">+GETPIVOTDATA("XBG4",'binhgia (2016)'!$A$3,"MA_HT","DXH","MA_QH","LUK")</f>
        <v>0</v>
      </c>
      <c r="I38" s="50">
        <f ca="1">+GETPIVOTDATA("XBG4",'binhgia (2016)'!$A$3,"MA_HT","DXH","MA_QH","LUN")</f>
        <v>0</v>
      </c>
      <c r="J38" s="50">
        <f ca="1">+GETPIVOTDATA("XBG4",'binhgia (2016)'!$A$3,"MA_HT","DXH","MA_QH","HNK")</f>
        <v>0</v>
      </c>
      <c r="K38" s="50">
        <f ca="1">+GETPIVOTDATA("XBG4",'binhgia (2016)'!$A$3,"MA_HT","DXH","MA_QH","CLN")</f>
        <v>0</v>
      </c>
      <c r="L38" s="50">
        <f ca="1">+GETPIVOTDATA("XBG4",'binhgia (2016)'!$A$3,"MA_HT","DXH","MA_QH","RSX")</f>
        <v>0</v>
      </c>
      <c r="M38" s="50">
        <f ca="1">+GETPIVOTDATA("XBG4",'binhgia (2016)'!$A$3,"MA_HT","DXH","MA_QH","RPH")</f>
        <v>0</v>
      </c>
      <c r="N38" s="50">
        <f ca="1">+GETPIVOTDATA("XBG4",'binhgia (2016)'!$A$3,"MA_HT","DXH","MA_QH","RDD")</f>
        <v>0</v>
      </c>
      <c r="O38" s="50">
        <f ca="1">+GETPIVOTDATA("XBG4",'binhgia (2016)'!$A$3,"MA_HT","DXH","MA_QH","NTS")</f>
        <v>0</v>
      </c>
      <c r="P38" s="50">
        <f ca="1">+GETPIVOTDATA("XBG4",'binhgia (2016)'!$A$3,"MA_HT","DXH","MA_QH","LMU")</f>
        <v>0</v>
      </c>
      <c r="Q38" s="50">
        <f ca="1">+GETPIVOTDATA("XBG4",'binhgia (2016)'!$A$3,"MA_HT","DXH","MA_QH","NKH")</f>
        <v>0</v>
      </c>
      <c r="R38" s="48">
        <f ca="1" t="shared" si="20"/>
        <v>0</v>
      </c>
      <c r="S38" s="50">
        <f ca="1">+GETPIVOTDATA("XBG4",'binhgia (2016)'!$A$3,"MA_HT","DXH","MA_QH","CQP")</f>
        <v>0</v>
      </c>
      <c r="T38" s="50">
        <f ca="1">+GETPIVOTDATA("XBG4",'binhgia (2016)'!$A$3,"MA_HT","DXH","MA_QH","CAN")</f>
        <v>0</v>
      </c>
      <c r="U38" s="50">
        <f ca="1">+GETPIVOTDATA("XBG4",'binhgia (2016)'!$A$3,"MA_HT","DXH","MA_QH","SKK")</f>
        <v>0</v>
      </c>
      <c r="V38" s="50">
        <f ca="1">+GETPIVOTDATA("XBG4",'binhgia (2016)'!$A$3,"MA_HT","DXH","MA_QH","SKT")</f>
        <v>0</v>
      </c>
      <c r="W38" s="50">
        <f ca="1">+GETPIVOTDATA("XBG4",'binhgia (2016)'!$A$3,"MA_HT","DXH","MA_QH","SKN")</f>
        <v>0</v>
      </c>
      <c r="X38" s="50">
        <f ca="1">+GETPIVOTDATA("XBG4",'binhgia (2016)'!$A$3,"MA_HT","DXH","MA_QH","TMD")</f>
        <v>0</v>
      </c>
      <c r="Y38" s="50">
        <f ca="1">+GETPIVOTDATA("XBG4",'binhgia (2016)'!$A$3,"MA_HT","DXH","MA_QH","SKC")</f>
        <v>0</v>
      </c>
      <c r="Z38" s="50">
        <f ca="1">+GETPIVOTDATA("XBG4",'binhgia (2016)'!$A$3,"MA_HT","DXH","MA_QH","SKS")</f>
        <v>0</v>
      </c>
      <c r="AA38" s="52">
        <f ca="1">+SUM(AB38:AJ38,AL38:AM38)</f>
        <v>0</v>
      </c>
      <c r="AB38" s="50">
        <f ca="1">+GETPIVOTDATA("XBG4",'binhgia (2016)'!$A$3,"MA_HT","DXH","MA_QH","DGT")</f>
        <v>0</v>
      </c>
      <c r="AC38" s="50">
        <f ca="1">+GETPIVOTDATA("XBG4",'binhgia (2016)'!$A$3,"MA_HT","DXH","MA_QH","DTL")</f>
        <v>0</v>
      </c>
      <c r="AD38" s="50">
        <f ca="1">+GETPIVOTDATA("XBG4",'binhgia (2016)'!$A$3,"MA_HT","DXH","MA_QH","DNL")</f>
        <v>0</v>
      </c>
      <c r="AE38" s="50">
        <f ca="1">+GETPIVOTDATA("XBG4",'binhgia (2016)'!$A$3,"MA_HT","DXH","MA_QH","DBV")</f>
        <v>0</v>
      </c>
      <c r="AF38" s="50">
        <f ca="1">+GETPIVOTDATA("XBG4",'binhgia (2016)'!$A$3,"MA_HT","DXH","MA_QH","DVH")</f>
        <v>0</v>
      </c>
      <c r="AG38" s="50">
        <f ca="1">+GETPIVOTDATA("XBG4",'binhgia (2016)'!$A$3,"MA_HT","DXH","MA_QH","DYT")</f>
        <v>0</v>
      </c>
      <c r="AH38" s="50">
        <f ca="1">+GETPIVOTDATA("XBG4",'binhgia (2016)'!$A$3,"MA_HT","DXH","MA_QH","DGD")</f>
        <v>0</v>
      </c>
      <c r="AI38" s="50">
        <f ca="1">+GETPIVOTDATA("XBG4",'binhgia (2016)'!$A$3,"MA_HT","DXH","MA_QH","DTT")</f>
        <v>0</v>
      </c>
      <c r="AJ38" s="50">
        <f ca="1">+GETPIVOTDATA("XBG4",'binhgia (2016)'!$A$3,"MA_HT","DXH","MA_QH","NCK")</f>
        <v>0</v>
      </c>
      <c r="AK38" s="49" t="e">
        <f ca="1">$D38-$BF38</f>
        <v>#REF!</v>
      </c>
      <c r="AL38" s="50">
        <f ca="1">+GETPIVOTDATA("XBG4",'binhgia (2016)'!$A$3,"MA_HT","DXH","MA_QH","DCH")</f>
        <v>0</v>
      </c>
      <c r="AM38" s="50">
        <f ca="1">+GETPIVOTDATA("XBG4",'binhgia (2016)'!$A$3,"MA_HT","DXH","MA_QH","DKG")</f>
        <v>0</v>
      </c>
      <c r="AN38" s="50">
        <f ca="1">+GETPIVOTDATA("XBG4",'binhgia (2016)'!$A$3,"MA_HT","DXH","MA_QH","DDT")</f>
        <v>0</v>
      </c>
      <c r="AO38" s="50">
        <f ca="1">+GETPIVOTDATA("XBG4",'binhgia (2016)'!$A$3,"MA_HT","DXH","MA_QH","DDL")</f>
        <v>0</v>
      </c>
      <c r="AP38" s="50">
        <f ca="1">+GETPIVOTDATA("XBG4",'binhgia (2016)'!$A$3,"MA_HT","DXH","MA_QH","DRA")</f>
        <v>0</v>
      </c>
      <c r="AQ38" s="50">
        <f ca="1">+GETPIVOTDATA("XBG4",'binhgia (2016)'!$A$3,"MA_HT","DXH","MA_QH","ONT")</f>
        <v>0</v>
      </c>
      <c r="AR38" s="50">
        <f ca="1">+GETPIVOTDATA("XBG4",'binhgia (2016)'!$A$3,"MA_HT","DXH","MA_QH","ODT")</f>
        <v>0</v>
      </c>
      <c r="AS38" s="50">
        <f ca="1">+GETPIVOTDATA("XBG4",'binhgia (2016)'!$A$3,"MA_HT","DXH","MA_QH","TSC")</f>
        <v>0</v>
      </c>
      <c r="AT38" s="50">
        <f ca="1">+GETPIVOTDATA("XBG4",'binhgia (2016)'!$A$3,"MA_HT","DXH","MA_QH","DTS")</f>
        <v>0</v>
      </c>
      <c r="AU38" s="50">
        <f ca="1">+GETPIVOTDATA("XBG4",'binhgia (2016)'!$A$3,"MA_HT","DXH","MA_QH","DNG")</f>
        <v>0</v>
      </c>
      <c r="AV38" s="50">
        <f ca="1">+GETPIVOTDATA("XBG4",'binhgia (2016)'!$A$3,"MA_HT","DXH","MA_QH","TON")</f>
        <v>0</v>
      </c>
      <c r="AW38" s="50">
        <f ca="1">+GETPIVOTDATA("XBG4",'binhgia (2016)'!$A$3,"MA_HT","DXH","MA_QH","NTD")</f>
        <v>0</v>
      </c>
      <c r="AX38" s="50">
        <f ca="1">+GETPIVOTDATA("XBG4",'binhgia (2016)'!$A$3,"MA_HT","DXH","MA_QH","SKX")</f>
        <v>0</v>
      </c>
      <c r="AY38" s="50">
        <f ca="1">+GETPIVOTDATA("XBG4",'binhgia (2016)'!$A$3,"MA_HT","DXH","MA_QH","DSH")</f>
        <v>0</v>
      </c>
      <c r="AZ38" s="50">
        <f ca="1">+GETPIVOTDATA("XBG4",'binhgia (2016)'!$A$3,"MA_HT","DXH","MA_QH","DKV")</f>
        <v>0</v>
      </c>
      <c r="BA38" s="88">
        <f ca="1">+GETPIVOTDATA("XBG4",'binhgia (2016)'!$A$3,"MA_HT","DXH","MA_QH","TIN")</f>
        <v>0</v>
      </c>
      <c r="BB38" s="50">
        <f ca="1">+GETPIVOTDATA("XBG4",'binhgia (2016)'!$A$3,"MA_HT","DXH","MA_QH","SON")</f>
        <v>0</v>
      </c>
      <c r="BC38" s="50">
        <f ca="1">+GETPIVOTDATA("XBG4",'binhgia (2016)'!$A$3,"MA_HT","DXH","MA_QH","MNC")</f>
        <v>0</v>
      </c>
      <c r="BD38" s="50">
        <f ca="1">+GETPIVOTDATA("XBG4",'binhgia (2016)'!$A$3,"MA_HT","DXH","MA_QH","PNK")</f>
        <v>0</v>
      </c>
      <c r="BE38" s="80">
        <f ca="1">+GETPIVOTDATA("XBG4",'binhgia (2016)'!$A$3,"MA_HT","DXH","MA_QH","CSD")</f>
        <v>0</v>
      </c>
      <c r="BF38" s="103">
        <f ca="1" t="shared" si="13"/>
        <v>0</v>
      </c>
      <c r="BG38" s="104">
        <f ca="1">AK$59-$BF38</f>
        <v>0</v>
      </c>
      <c r="BH38" s="47" t="e">
        <f ca="1" t="shared" si="14"/>
        <v>#REF!</v>
      </c>
      <c r="BI38" s="105"/>
      <c r="BJ38" s="105" t="e">
        <f>#REF!</f>
        <v>#REF!</v>
      </c>
      <c r="BK38" s="108" t="e">
        <f ca="1" t="shared" si="19"/>
        <v>#REF!</v>
      </c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</row>
    <row r="39" s="5" customFormat="1" ht="16.5" customHeight="1" spans="1:79">
      <c r="A39" s="45" t="s">
        <v>8396</v>
      </c>
      <c r="B39" s="45" t="s">
        <v>8397</v>
      </c>
      <c r="C39" s="46" t="s">
        <v>178</v>
      </c>
      <c r="D39" s="47" t="e">
        <f>+#REF!</f>
        <v>#REF!</v>
      </c>
      <c r="E39" s="42">
        <f ca="1" t="shared" si="15"/>
        <v>0</v>
      </c>
      <c r="F39" s="52">
        <f ca="1" t="shared" si="9"/>
        <v>0</v>
      </c>
      <c r="G39" s="50">
        <f ca="1">+GETPIVOTDATA("XBG4",'binhgia (2016)'!$A$3,"MA_HT","DCH","MA_QH","LUC")</f>
        <v>0</v>
      </c>
      <c r="H39" s="50">
        <f ca="1">+GETPIVOTDATA("XBG4",'binhgia (2016)'!$A$3,"MA_HT","DCH","MA_QH","LUK")</f>
        <v>0</v>
      </c>
      <c r="I39" s="50">
        <f ca="1">+GETPIVOTDATA("XBG4",'binhgia (2016)'!$A$3,"MA_HT","DCH","MA_QH","LUN")</f>
        <v>0</v>
      </c>
      <c r="J39" s="50">
        <f ca="1">+GETPIVOTDATA("XBG4",'binhgia (2016)'!$A$3,"MA_HT","DCH","MA_QH","HNK")</f>
        <v>0</v>
      </c>
      <c r="K39" s="50">
        <f ca="1">+GETPIVOTDATA("XBG4",'binhgia (2016)'!$A$3,"MA_HT","DCH","MA_QH","CLN")</f>
        <v>0</v>
      </c>
      <c r="L39" s="50">
        <f ca="1">+GETPIVOTDATA("XBG4",'binhgia (2016)'!$A$3,"MA_HT","DCH","MA_QH","RSX")</f>
        <v>0</v>
      </c>
      <c r="M39" s="50">
        <f ca="1">+GETPIVOTDATA("XBG4",'binhgia (2016)'!$A$3,"MA_HT","DCH","MA_QH","RPH")</f>
        <v>0</v>
      </c>
      <c r="N39" s="50">
        <f ca="1">+GETPIVOTDATA("XBG4",'binhgia (2016)'!$A$3,"MA_HT","DCH","MA_QH","RDD")</f>
        <v>0</v>
      </c>
      <c r="O39" s="50">
        <f ca="1">+GETPIVOTDATA("XBG4",'binhgia (2016)'!$A$3,"MA_HT","DCH","MA_QH","NTS")</f>
        <v>0</v>
      </c>
      <c r="P39" s="50">
        <f ca="1">+GETPIVOTDATA("XBG4",'binhgia (2016)'!$A$3,"MA_HT","DCH","MA_QH","LMU")</f>
        <v>0</v>
      </c>
      <c r="Q39" s="50">
        <f ca="1">+GETPIVOTDATA("XBG4",'binhgia (2016)'!$A$3,"MA_HT","DCH","MA_QH","NKH")</f>
        <v>0</v>
      </c>
      <c r="R39" s="48">
        <f ca="1" t="shared" si="20"/>
        <v>0</v>
      </c>
      <c r="S39" s="50">
        <f ca="1">+GETPIVOTDATA("XBG4",'binhgia (2016)'!$A$3,"MA_HT","DCH","MA_QH","CQP")</f>
        <v>0</v>
      </c>
      <c r="T39" s="50">
        <f ca="1">+GETPIVOTDATA("XBG4",'binhgia (2016)'!$A$3,"MA_HT","DCH","MA_QH","CAN")</f>
        <v>0</v>
      </c>
      <c r="U39" s="50">
        <f ca="1">+GETPIVOTDATA("XBG4",'binhgia (2016)'!$A$3,"MA_HT","DCH","MA_QH","SKK")</f>
        <v>0</v>
      </c>
      <c r="V39" s="50">
        <f ca="1">+GETPIVOTDATA("XBG4",'binhgia (2016)'!$A$3,"MA_HT","DCH","MA_QH","SKT")</f>
        <v>0</v>
      </c>
      <c r="W39" s="50">
        <f ca="1">+GETPIVOTDATA("XBG4",'binhgia (2016)'!$A$3,"MA_HT","DCH","MA_QH","SKN")</f>
        <v>0</v>
      </c>
      <c r="X39" s="50">
        <f ca="1">+GETPIVOTDATA("XBG4",'binhgia (2016)'!$A$3,"MA_HT","DCH","MA_QH","TMD")</f>
        <v>0</v>
      </c>
      <c r="Y39" s="50">
        <f ca="1">+GETPIVOTDATA("XBG4",'binhgia (2016)'!$A$3,"MA_HT","DCH","MA_QH","SKC")</f>
        <v>0</v>
      </c>
      <c r="Z39" s="50">
        <f ca="1">+GETPIVOTDATA("XBG4",'binhgia (2016)'!$A$3,"MA_HT","DCH","MA_QH","SKS")</f>
        <v>0</v>
      </c>
      <c r="AA39" s="52">
        <f ca="1">+SUM(AB39:AK39,AM39)</f>
        <v>0</v>
      </c>
      <c r="AB39" s="50">
        <f ca="1">+GETPIVOTDATA("XBG4",'binhgia (2016)'!$A$3,"MA_HT","DCH","MA_QH","DGT")</f>
        <v>0</v>
      </c>
      <c r="AC39" s="50">
        <f ca="1">+GETPIVOTDATA("XBG4",'binhgia (2016)'!$A$3,"MA_HT","DCH","MA_QH","DTL")</f>
        <v>0</v>
      </c>
      <c r="AD39" s="50">
        <f ca="1">+GETPIVOTDATA("XBG4",'binhgia (2016)'!$A$3,"MA_HT","DCH","MA_QH","DNL")</f>
        <v>0</v>
      </c>
      <c r="AE39" s="50">
        <f ca="1">+GETPIVOTDATA("XBG4",'binhgia (2016)'!$A$3,"MA_HT","DCH","MA_QH","DBV")</f>
        <v>0</v>
      </c>
      <c r="AF39" s="50">
        <f ca="1">+GETPIVOTDATA("XBG4",'binhgia (2016)'!$A$3,"MA_HT","DCH","MA_QH","DVH")</f>
        <v>0</v>
      </c>
      <c r="AG39" s="50">
        <f ca="1">+GETPIVOTDATA("XBG4",'binhgia (2016)'!$A$3,"MA_HT","DCH","MA_QH","DYT")</f>
        <v>0</v>
      </c>
      <c r="AH39" s="50">
        <f ca="1">+GETPIVOTDATA("XBG4",'binhgia (2016)'!$A$3,"MA_HT","DCH","MA_QH","DGD")</f>
        <v>0</v>
      </c>
      <c r="AI39" s="50">
        <f ca="1">+GETPIVOTDATA("XBG4",'binhgia (2016)'!$A$3,"MA_HT","DCH","MA_QH","DTT")</f>
        <v>0</v>
      </c>
      <c r="AJ39" s="50">
        <f ca="1">+GETPIVOTDATA("XBG4",'binhgia (2016)'!$A$3,"MA_HT","DCH","MA_QH","NCK")</f>
        <v>0</v>
      </c>
      <c r="AK39" s="50">
        <f ca="1">+GETPIVOTDATA("XBG4",'binhgia (2016)'!$A$3,"MA_HT","DCH","MA_QH","DXH")</f>
        <v>0</v>
      </c>
      <c r="AL39" s="49" t="e">
        <f ca="1">$D39-$BF39</f>
        <v>#REF!</v>
      </c>
      <c r="AM39" s="50">
        <f ca="1">+GETPIVOTDATA("XBG4",'binhgia (2016)'!$A$3,"MA_HT","DXH","MA_QH","DKG")</f>
        <v>0</v>
      </c>
      <c r="AN39" s="50">
        <f ca="1">+GETPIVOTDATA("XBG4",'binhgia (2016)'!$A$3,"MA_HT","DCH","MA_QH","DDT")</f>
        <v>0</v>
      </c>
      <c r="AO39" s="50">
        <f ca="1">+GETPIVOTDATA("XBG4",'binhgia (2016)'!$A$3,"MA_HT","DCH","MA_QH","DDL")</f>
        <v>0</v>
      </c>
      <c r="AP39" s="50">
        <f ca="1">+GETPIVOTDATA("XBG4",'binhgia (2016)'!$A$3,"MA_HT","DCH","MA_QH","DRA")</f>
        <v>0</v>
      </c>
      <c r="AQ39" s="50">
        <f ca="1">+GETPIVOTDATA("XBG4",'binhgia (2016)'!$A$3,"MA_HT","DCH","MA_QH","ONT")</f>
        <v>0</v>
      </c>
      <c r="AR39" s="50">
        <f ca="1">+GETPIVOTDATA("XBG4",'binhgia (2016)'!$A$3,"MA_HT","DCH","MA_QH","ODT")</f>
        <v>0</v>
      </c>
      <c r="AS39" s="50">
        <f ca="1">+GETPIVOTDATA("XBG4",'binhgia (2016)'!$A$3,"MA_HT","DCH","MA_QH","TSC")</f>
        <v>0</v>
      </c>
      <c r="AT39" s="50">
        <f ca="1">+GETPIVOTDATA("XBG4",'binhgia (2016)'!$A$3,"MA_HT","DCH","MA_QH","DTS")</f>
        <v>0</v>
      </c>
      <c r="AU39" s="50">
        <f ca="1">+GETPIVOTDATA("XBG4",'binhgia (2016)'!$A$3,"MA_HT","DCH","MA_QH","DNG")</f>
        <v>0</v>
      </c>
      <c r="AV39" s="50">
        <f ca="1">+GETPIVOTDATA("XBG4",'binhgia (2016)'!$A$3,"MA_HT","DCH","MA_QH","TON")</f>
        <v>0</v>
      </c>
      <c r="AW39" s="50">
        <f ca="1">+GETPIVOTDATA("XBG4",'binhgia (2016)'!$A$3,"MA_HT","DCH","MA_QH","NTD")</f>
        <v>0</v>
      </c>
      <c r="AX39" s="50">
        <f ca="1">+GETPIVOTDATA("XBG4",'binhgia (2016)'!$A$3,"MA_HT","DCH","MA_QH","SKX")</f>
        <v>0</v>
      </c>
      <c r="AY39" s="50">
        <f ca="1">+GETPIVOTDATA("XBG4",'binhgia (2016)'!$A$3,"MA_HT","DCH","MA_QH","DSH")</f>
        <v>0</v>
      </c>
      <c r="AZ39" s="50">
        <f ca="1">+GETPIVOTDATA("XBG4",'binhgia (2016)'!$A$3,"MA_HT","DCH","MA_QH","DKV")</f>
        <v>0</v>
      </c>
      <c r="BA39" s="88">
        <f ca="1">+GETPIVOTDATA("XBG4",'binhgia (2016)'!$A$3,"MA_HT","DCH","MA_QH","TIN")</f>
        <v>0</v>
      </c>
      <c r="BB39" s="50">
        <f ca="1">+GETPIVOTDATA("XBG4",'binhgia (2016)'!$A$3,"MA_HT","DCH","MA_QH","SON")</f>
        <v>0</v>
      </c>
      <c r="BC39" s="50">
        <f ca="1">+GETPIVOTDATA("XBG4",'binhgia (2016)'!$A$3,"MA_HT","DCH","MA_QH","MNC")</f>
        <v>0</v>
      </c>
      <c r="BD39" s="50">
        <f ca="1">+GETPIVOTDATA("XBG4",'binhgia (2016)'!$A$3,"MA_HT","DCH","MA_QH","PNK")</f>
        <v>0</v>
      </c>
      <c r="BE39" s="80">
        <f ca="1">+GETPIVOTDATA("XBG4",'binhgia (2016)'!$A$3,"MA_HT","DCH","MA_QH","CSD")</f>
        <v>0</v>
      </c>
      <c r="BF39" s="103">
        <f ca="1" t="shared" si="13"/>
        <v>0</v>
      </c>
      <c r="BG39" s="104">
        <f ca="1">AL$59-$BF39</f>
        <v>0</v>
      </c>
      <c r="BH39" s="47" t="e">
        <f ca="1" t="shared" si="14"/>
        <v>#REF!</v>
      </c>
      <c r="BI39" s="109"/>
      <c r="BJ39" s="109" t="e">
        <f>#REF!</f>
        <v>#REF!</v>
      </c>
      <c r="BK39" s="110" t="e">
        <f ca="1" t="shared" si="19"/>
        <v>#REF!</v>
      </c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</row>
    <row r="40" s="5" customFormat="1" ht="16.5" customHeight="1" spans="1:79">
      <c r="A40" s="45" t="s">
        <v>8398</v>
      </c>
      <c r="B40" s="45" t="s">
        <v>8399</v>
      </c>
      <c r="C40" s="46" t="s">
        <v>8312</v>
      </c>
      <c r="D40" s="47" t="e">
        <f>+#REF!</f>
        <v>#REF!</v>
      </c>
      <c r="E40" s="42">
        <f ca="1" t="shared" si="15"/>
        <v>0</v>
      </c>
      <c r="F40" s="52">
        <f ca="1" t="shared" si="9"/>
        <v>0</v>
      </c>
      <c r="G40" s="50">
        <f ca="1">+GETPIVOTDATA("XBG4",'binhgia (2016)'!$A$3,"MA_HT","DKG","MA_QH","LUC")</f>
        <v>0</v>
      </c>
      <c r="H40" s="50">
        <f ca="1">+GETPIVOTDATA("XBG4",'binhgia (2016)'!$A$3,"MA_HT","DKG","MA_QH","LUK")</f>
        <v>0</v>
      </c>
      <c r="I40" s="50">
        <f ca="1">+GETPIVOTDATA("XBG4",'binhgia (2016)'!$A$3,"MA_HT","DKG","MA_QH","LUN")</f>
        <v>0</v>
      </c>
      <c r="J40" s="50">
        <f ca="1">+GETPIVOTDATA("XBG4",'binhgia (2016)'!$A$3,"MA_HT","DKG","MA_QH","HNK")</f>
        <v>0</v>
      </c>
      <c r="K40" s="50">
        <f ca="1">+GETPIVOTDATA("XBG4",'binhgia (2016)'!$A$3,"MA_HT","DKG","MA_QH","CLN")</f>
        <v>0</v>
      </c>
      <c r="L40" s="50">
        <f ca="1">+GETPIVOTDATA("XBG4",'binhgia (2016)'!$A$3,"MA_HT","DKG","MA_QH","RSX")</f>
        <v>0</v>
      </c>
      <c r="M40" s="50">
        <f ca="1">+GETPIVOTDATA("XBG4",'binhgia (2016)'!$A$3,"MA_HT","DKG","MA_QH","RPH")</f>
        <v>0</v>
      </c>
      <c r="N40" s="50">
        <f ca="1">+GETPIVOTDATA("XBG4",'binhgia (2016)'!$A$3,"MA_HT","DKG","MA_QH","RDD")</f>
        <v>0</v>
      </c>
      <c r="O40" s="50">
        <f ca="1">+GETPIVOTDATA("XBG4",'binhgia (2016)'!$A$3,"MA_HT","DKG","MA_QH","NTS")</f>
        <v>0</v>
      </c>
      <c r="P40" s="50">
        <f ca="1">+GETPIVOTDATA("XBG4",'binhgia (2016)'!$A$3,"MA_HT","DKG","MA_QH","LMU")</f>
        <v>0</v>
      </c>
      <c r="Q40" s="50">
        <f ca="1">+GETPIVOTDATA("XBG4",'binhgia (2016)'!$A$3,"MA_HT","DKG","MA_QH","NKH")</f>
        <v>0</v>
      </c>
      <c r="R40" s="48">
        <f ca="1" t="shared" si="20"/>
        <v>0</v>
      </c>
      <c r="S40" s="50">
        <f ca="1">+GETPIVOTDATA("XBG4",'binhgia (2016)'!$A$3,"MA_HT","DKG","MA_QH","CQP")</f>
        <v>0</v>
      </c>
      <c r="T40" s="50">
        <f ca="1">+GETPIVOTDATA("XBG4",'binhgia (2016)'!$A$3,"MA_HT","DKG","MA_QH","CAN")</f>
        <v>0</v>
      </c>
      <c r="U40" s="50">
        <f ca="1">+GETPIVOTDATA("XBG4",'binhgia (2016)'!$A$3,"MA_HT","DKG","MA_QH","SKK")</f>
        <v>0</v>
      </c>
      <c r="V40" s="50">
        <f ca="1">+GETPIVOTDATA("XBG4",'binhgia (2016)'!$A$3,"MA_HT","DKG","MA_QH","SKT")</f>
        <v>0</v>
      </c>
      <c r="W40" s="50">
        <f ca="1">+GETPIVOTDATA("XBG4",'binhgia (2016)'!$A$3,"MA_HT","DKG","MA_QH","SKN")</f>
        <v>0</v>
      </c>
      <c r="X40" s="50">
        <f ca="1">+GETPIVOTDATA("XBG4",'binhgia (2016)'!$A$3,"MA_HT","DKG","MA_QH","TMD")</f>
        <v>0</v>
      </c>
      <c r="Y40" s="50">
        <f ca="1">+GETPIVOTDATA("XBG4",'binhgia (2016)'!$A$3,"MA_HT","DKG","MA_QH","SKC")</f>
        <v>0</v>
      </c>
      <c r="Z40" s="50">
        <f ca="1">+GETPIVOTDATA("XBG4",'binhgia (2016)'!$A$3,"MA_HT","DKG","MA_QH","SKS")</f>
        <v>0</v>
      </c>
      <c r="AA40" s="52">
        <f ca="1">+SUM(AB40:AL40)</f>
        <v>0</v>
      </c>
      <c r="AB40" s="50">
        <f ca="1">+GETPIVOTDATA("XBG4",'binhgia (2016)'!$A$3,"MA_HT","DKG","MA_QH","DGT")</f>
        <v>0</v>
      </c>
      <c r="AC40" s="50">
        <f ca="1">+GETPIVOTDATA("XBG4",'binhgia (2016)'!$A$3,"MA_HT","DKG","MA_QH","DTL")</f>
        <v>0</v>
      </c>
      <c r="AD40" s="50">
        <f ca="1">+GETPIVOTDATA("XBG4",'binhgia (2016)'!$A$3,"MA_HT","DKG","MA_QH","DNL")</f>
        <v>0</v>
      </c>
      <c r="AE40" s="50">
        <f ca="1">+GETPIVOTDATA("XBG4",'binhgia (2016)'!$A$3,"MA_HT","DKG","MA_QH","DBV")</f>
        <v>0</v>
      </c>
      <c r="AF40" s="50">
        <f ca="1">+GETPIVOTDATA("XBG4",'binhgia (2016)'!$A$3,"MA_HT","DKG","MA_QH","DVH")</f>
        <v>0</v>
      </c>
      <c r="AG40" s="50">
        <f ca="1">+GETPIVOTDATA("XBG4",'binhgia (2016)'!$A$3,"MA_HT","DKG","MA_QH","DYT")</f>
        <v>0</v>
      </c>
      <c r="AH40" s="50">
        <f ca="1">+GETPIVOTDATA("XBG4",'binhgia (2016)'!$A$3,"MA_HT","DKG","MA_QH","DGD")</f>
        <v>0</v>
      </c>
      <c r="AI40" s="50">
        <f ca="1">+GETPIVOTDATA("XBG4",'binhgia (2016)'!$A$3,"MA_HT","DKG","MA_QH","DTT")</f>
        <v>0</v>
      </c>
      <c r="AJ40" s="50">
        <f ca="1">+GETPIVOTDATA("XBG4",'binhgia (2016)'!$A$3,"MA_HT","DKG","MA_QH","NCK")</f>
        <v>0</v>
      </c>
      <c r="AK40" s="50">
        <f ca="1">+GETPIVOTDATA("XBG4",'binhgia (2016)'!$A$3,"MA_HT","DKG","MA_QH","DXH")</f>
        <v>0</v>
      </c>
      <c r="AL40" s="60">
        <f ca="1">+GETPIVOTDATA("XBG4",'binhgia (2016)'!$A$3,"MA_HT","DDT","MA_QH","DKG")</f>
        <v>0</v>
      </c>
      <c r="AM40" s="49" t="e">
        <f ca="1">$D40-$BF40</f>
        <v>#REF!</v>
      </c>
      <c r="AN40" s="50">
        <f ca="1">+GETPIVOTDATA("XBG4",'binhgia (2016)'!$A$3,"MA_HT","DKG","MA_QH","DDT")</f>
        <v>0</v>
      </c>
      <c r="AO40" s="50">
        <f ca="1">+GETPIVOTDATA("XBG4",'binhgia (2016)'!$A$3,"MA_HT","DKG","MA_QH","DDL")</f>
        <v>0</v>
      </c>
      <c r="AP40" s="50">
        <f ca="1">+GETPIVOTDATA("XBG4",'binhgia (2016)'!$A$3,"MA_HT","DKG","MA_QH","DRA")</f>
        <v>0</v>
      </c>
      <c r="AQ40" s="50">
        <f ca="1">+GETPIVOTDATA("XBG4",'binhgia (2016)'!$A$3,"MA_HT","DKG","MA_QH","ONT")</f>
        <v>0</v>
      </c>
      <c r="AR40" s="50">
        <f ca="1">+GETPIVOTDATA("XBG4",'binhgia (2016)'!$A$3,"MA_HT","DKG","MA_QH","ODT")</f>
        <v>0</v>
      </c>
      <c r="AS40" s="50">
        <f ca="1">+GETPIVOTDATA("XBG4",'binhgia (2016)'!$A$3,"MA_HT","DKG","MA_QH","TSC")</f>
        <v>0</v>
      </c>
      <c r="AT40" s="50">
        <f ca="1">+GETPIVOTDATA("XBG4",'binhgia (2016)'!$A$3,"MA_HT","DKG","MA_QH","DTS")</f>
        <v>0</v>
      </c>
      <c r="AU40" s="50">
        <f ca="1">+GETPIVOTDATA("XBG4",'binhgia (2016)'!$A$3,"MA_HT","DKG","MA_QH","DNG")</f>
        <v>0</v>
      </c>
      <c r="AV40" s="50">
        <f ca="1">+GETPIVOTDATA("XBG4",'binhgia (2016)'!$A$3,"MA_HT","DKG","MA_QH","TON")</f>
        <v>0</v>
      </c>
      <c r="AW40" s="50">
        <f ca="1">+GETPIVOTDATA("XBG4",'binhgia (2016)'!$A$3,"MA_HT","DKG","MA_QH","NTD")</f>
        <v>0</v>
      </c>
      <c r="AX40" s="50">
        <f ca="1">+GETPIVOTDATA("XBG4",'binhgia (2016)'!$A$3,"MA_HT","DKG","MA_QH","SKX")</f>
        <v>0</v>
      </c>
      <c r="AY40" s="50">
        <f ca="1">+GETPIVOTDATA("XBG4",'binhgia (2016)'!$A$3,"MA_HT","DKG","MA_QH","DSH")</f>
        <v>0</v>
      </c>
      <c r="AZ40" s="50">
        <f ca="1">+GETPIVOTDATA("XBG4",'binhgia (2016)'!$A$3,"MA_HT","DKG","MA_QH","DKV")</f>
        <v>0</v>
      </c>
      <c r="BA40" s="88">
        <f ca="1">+GETPIVOTDATA("XBG4",'binhgia (2016)'!$A$3,"MA_HT","DKG","MA_QH","TIN")</f>
        <v>0</v>
      </c>
      <c r="BB40" s="50">
        <f ca="1">+GETPIVOTDATA("XBG4",'binhgia (2016)'!$A$3,"MA_HT","DKG","MA_QH","SON")</f>
        <v>0</v>
      </c>
      <c r="BC40" s="50">
        <f ca="1">+GETPIVOTDATA("XBG4",'binhgia (2016)'!$A$3,"MA_HT","DKG","MA_QH","MNC")</f>
        <v>0</v>
      </c>
      <c r="BD40" s="50">
        <f ca="1">+GETPIVOTDATA("XBG4",'binhgia (2016)'!$A$3,"MA_HT","DKG","MA_QH","PNK")</f>
        <v>0</v>
      </c>
      <c r="BE40" s="80">
        <f ca="1">+GETPIVOTDATA("XBG4",'binhgia (2016)'!$A$3,"MA_HT","DKG","MA_QH","CSD")</f>
        <v>0</v>
      </c>
      <c r="BF40" s="103">
        <f ca="1" t="shared" si="13"/>
        <v>0</v>
      </c>
      <c r="BG40" s="104">
        <f ca="1">AM$59-$BF40</f>
        <v>0</v>
      </c>
      <c r="BH40" s="47" t="e">
        <f ca="1" t="shared" si="14"/>
        <v>#REF!</v>
      </c>
      <c r="BI40" s="109"/>
      <c r="BJ40" s="109" t="e">
        <f>#REF!</f>
        <v>#REF!</v>
      </c>
      <c r="BK40" s="110" t="e">
        <f ca="1" t="shared" si="19"/>
        <v>#REF!</v>
      </c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</row>
    <row r="41" s="6" customFormat="1" ht="15.75" customHeight="1" spans="1:79">
      <c r="A41" s="54" t="s">
        <v>8400</v>
      </c>
      <c r="B41" s="55" t="s">
        <v>8401</v>
      </c>
      <c r="C41" s="56" t="s">
        <v>8287</v>
      </c>
      <c r="D41" s="57" t="e">
        <f>+#REF!</f>
        <v>#REF!</v>
      </c>
      <c r="E41" s="58">
        <f ca="1" t="shared" si="15"/>
        <v>0</v>
      </c>
      <c r="F41" s="59">
        <f ca="1" t="shared" si="9"/>
        <v>0</v>
      </c>
      <c r="G41" s="60">
        <f ca="1">+GETPIVOTDATA("XBG4",'binhgia (2016)'!$A$3,"MA_HT","DDT","MA_QH","LUC")</f>
        <v>0</v>
      </c>
      <c r="H41" s="60">
        <f ca="1">+GETPIVOTDATA("XBG4",'binhgia (2016)'!$A$3,"MA_HT","DDT","MA_QH","LUK")</f>
        <v>0</v>
      </c>
      <c r="I41" s="60">
        <f ca="1">+GETPIVOTDATA("XBG4",'binhgia (2016)'!$A$3,"MA_HT","DDT","MA_QH","LUN")</f>
        <v>0</v>
      </c>
      <c r="J41" s="60">
        <f ca="1">+GETPIVOTDATA("XBG4",'binhgia (2016)'!$A$3,"MA_HT","DDT","MA_QH","HNK")</f>
        <v>0</v>
      </c>
      <c r="K41" s="60">
        <f ca="1">+GETPIVOTDATA("XBG4",'binhgia (2016)'!$A$3,"MA_HT","DDT","MA_QH","CLN")</f>
        <v>0</v>
      </c>
      <c r="L41" s="60">
        <f ca="1">+GETPIVOTDATA("XBG4",'binhgia (2016)'!$A$3,"MA_HT","DDT","MA_QH","RSX")</f>
        <v>0</v>
      </c>
      <c r="M41" s="60">
        <f ca="1">+GETPIVOTDATA("XBG4",'binhgia (2016)'!$A$3,"MA_HT","DDT","MA_QH","RPH")</f>
        <v>0</v>
      </c>
      <c r="N41" s="60">
        <f ca="1">+GETPIVOTDATA("XBG4",'binhgia (2016)'!$A$3,"MA_HT","DDT","MA_QH","RDD")</f>
        <v>0</v>
      </c>
      <c r="O41" s="60">
        <f ca="1">+GETPIVOTDATA("XBG4",'binhgia (2016)'!$A$3,"MA_HT","DDT","MA_QH","NTS")</f>
        <v>0</v>
      </c>
      <c r="P41" s="60">
        <f ca="1">+GETPIVOTDATA("XBG4",'binhgia (2016)'!$A$3,"MA_HT","DDT","MA_QH","LMU")</f>
        <v>0</v>
      </c>
      <c r="Q41" s="60">
        <f ca="1">+GETPIVOTDATA("XBG4",'binhgia (2016)'!$A$3,"MA_HT","DDT","MA_QH","NKH")</f>
        <v>0</v>
      </c>
      <c r="R41" s="78">
        <f ca="1">SUM(S41:AA41,AO41:BD41)</f>
        <v>0</v>
      </c>
      <c r="S41" s="60">
        <f ca="1">+GETPIVOTDATA("XBG4",'binhgia (2016)'!$A$3,"MA_HT","DDT","MA_QH","CQP")</f>
        <v>0</v>
      </c>
      <c r="T41" s="60">
        <f ca="1">+GETPIVOTDATA("XBG4",'binhgia (2016)'!$A$3,"MA_HT","DDT","MA_QH","CAN")</f>
        <v>0</v>
      </c>
      <c r="U41" s="60">
        <f ca="1">+GETPIVOTDATA("XBG4",'binhgia (2016)'!$A$3,"MA_HT","DDT","MA_QH","SKK")</f>
        <v>0</v>
      </c>
      <c r="V41" s="60">
        <f ca="1">+GETPIVOTDATA("XBG4",'binhgia (2016)'!$A$3,"MA_HT","DDT","MA_QH","SKT")</f>
        <v>0</v>
      </c>
      <c r="W41" s="60">
        <f ca="1">+GETPIVOTDATA("XBG4",'binhgia (2016)'!$A$3,"MA_HT","DDT","MA_QH","SKN")</f>
        <v>0</v>
      </c>
      <c r="X41" s="60">
        <f ca="1">+GETPIVOTDATA("XBG4",'binhgia (2016)'!$A$3,"MA_HT","DDT","MA_QH","TMD")</f>
        <v>0</v>
      </c>
      <c r="Y41" s="60">
        <f ca="1">+GETPIVOTDATA("XBG4",'binhgia (2016)'!$A$3,"MA_HT","DDT","MA_QH","SKC")</f>
        <v>0</v>
      </c>
      <c r="Z41" s="60">
        <f ca="1">+GETPIVOTDATA("XBG4",'binhgia (2016)'!$A$3,"MA_HT","DDT","MA_QH","SKS")</f>
        <v>0</v>
      </c>
      <c r="AA41" s="59">
        <f ca="1" t="shared" ref="AA41:AA58" si="21">+SUM(AB41:AM41)</f>
        <v>0</v>
      </c>
      <c r="AB41" s="60">
        <f ca="1">+GETPIVOTDATA("XBG4",'binhgia (2016)'!$A$3,"MA_HT","DDT","MA_QH","DGT")</f>
        <v>0</v>
      </c>
      <c r="AC41" s="60">
        <f ca="1">+GETPIVOTDATA("XBG4",'binhgia (2016)'!$A$3,"MA_HT","DDT","MA_QH","DTL")</f>
        <v>0</v>
      </c>
      <c r="AD41" s="60">
        <f ca="1">+GETPIVOTDATA("XBG4",'binhgia (2016)'!$A$3,"MA_HT","DDT","MA_QH","DNL")</f>
        <v>0</v>
      </c>
      <c r="AE41" s="60">
        <f ca="1">+GETPIVOTDATA("XBG4",'binhgia (2016)'!$A$3,"MA_HT","DDT","MA_QH","DBV")</f>
        <v>0</v>
      </c>
      <c r="AF41" s="60">
        <f ca="1">+GETPIVOTDATA("XBG4",'binhgia (2016)'!$A$3,"MA_HT","DDT","MA_QH","DVH")</f>
        <v>0</v>
      </c>
      <c r="AG41" s="60">
        <f ca="1">+GETPIVOTDATA("XBG4",'binhgia (2016)'!$A$3,"MA_HT","DDT","MA_QH","DYT")</f>
        <v>0</v>
      </c>
      <c r="AH41" s="60">
        <f ca="1">+GETPIVOTDATA("XBG4",'binhgia (2016)'!$A$3,"MA_HT","DDT","MA_QH","DGD")</f>
        <v>0</v>
      </c>
      <c r="AI41" s="60">
        <f ca="1">+GETPIVOTDATA("XBG4",'binhgia (2016)'!$A$3,"MA_HT","DDT","MA_QH","DTT")</f>
        <v>0</v>
      </c>
      <c r="AJ41" s="60">
        <f ca="1">+GETPIVOTDATA("XBG4",'binhgia (2016)'!$A$3,"MA_HT","DDT","MA_QH","NCK")</f>
        <v>0</v>
      </c>
      <c r="AK41" s="60">
        <f ca="1">+GETPIVOTDATA("XBG4",'binhgia (2016)'!$A$3,"MA_HT","DDT","MA_QH","DXH")</f>
        <v>0</v>
      </c>
      <c r="AL41" s="60">
        <f ca="1">+GETPIVOTDATA("XBG4",'binhgia (2016)'!$A$3,"MA_HT","DDT","MA_QH","DCH")</f>
        <v>0</v>
      </c>
      <c r="AM41" s="60">
        <f ca="1">+GETPIVOTDATA("XBG4",'binhgia (2016)'!$A$3,"MA_HT","DDT","MA_QH","DKG")</f>
        <v>0</v>
      </c>
      <c r="AN41" s="81" t="e">
        <f ca="1">$D41-$BF41</f>
        <v>#REF!</v>
      </c>
      <c r="AO41" s="60">
        <f ca="1">+GETPIVOTDATA("XBG4",'binhgia (2016)'!$A$3,"MA_HT","DDT","MA_QH","DDL")</f>
        <v>0</v>
      </c>
      <c r="AP41" s="60">
        <f ca="1">+GETPIVOTDATA("XBG4",'binhgia (2016)'!$A$3,"MA_HT","DDT","MA_QH","DRA")</f>
        <v>0</v>
      </c>
      <c r="AQ41" s="60">
        <f ca="1">+GETPIVOTDATA("XBG4",'binhgia (2016)'!$A$3,"MA_HT","DDT","MA_QH","ONT")</f>
        <v>0</v>
      </c>
      <c r="AR41" s="60">
        <f ca="1">+GETPIVOTDATA("XBG4",'binhgia (2016)'!$A$3,"MA_HT","DDT","MA_QH","ODT")</f>
        <v>0</v>
      </c>
      <c r="AS41" s="60">
        <f ca="1">+GETPIVOTDATA("XBG4",'binhgia (2016)'!$A$3,"MA_HT","DDT","MA_QH","TSC")</f>
        <v>0</v>
      </c>
      <c r="AT41" s="60">
        <f ca="1">+GETPIVOTDATA("XBG4",'binhgia (2016)'!$A$3,"MA_HT","DDT","MA_QH","DTS")</f>
        <v>0</v>
      </c>
      <c r="AU41" s="60">
        <f ca="1">+GETPIVOTDATA("XBG4",'binhgia (2016)'!$A$3,"MA_HT","DDT","MA_QH","DNG")</f>
        <v>0</v>
      </c>
      <c r="AV41" s="60">
        <f ca="1">+GETPIVOTDATA("XBG4",'binhgia (2016)'!$A$3,"MA_HT","DDT","MA_QH","TON")</f>
        <v>0</v>
      </c>
      <c r="AW41" s="60">
        <f ca="1">+GETPIVOTDATA("XBG4",'binhgia (2016)'!$A$3,"MA_HT","DDT","MA_QH","NTD")</f>
        <v>0</v>
      </c>
      <c r="AX41" s="60">
        <f ca="1">+GETPIVOTDATA("XBG4",'binhgia (2016)'!$A$3,"MA_HT","DDT","MA_QH","SKX")</f>
        <v>0</v>
      </c>
      <c r="AY41" s="60">
        <f ca="1">+GETPIVOTDATA("XBG4",'binhgia (2016)'!$A$3,"MA_HT","DDT","MA_QH","DSH")</f>
        <v>0</v>
      </c>
      <c r="AZ41" s="60">
        <f ca="1">+GETPIVOTDATA("XBG4",'binhgia (2016)'!$A$3,"MA_HT","DDT","MA_QH","DKV")</f>
        <v>0</v>
      </c>
      <c r="BA41" s="90">
        <f ca="1">+GETPIVOTDATA("XBG4",'binhgia (2016)'!$A$3,"MA_HT","DDT","MA_QH","TIN")</f>
        <v>0</v>
      </c>
      <c r="BB41" s="91">
        <f ca="1">+GETPIVOTDATA("XBG4",'binhgia (2016)'!$A$3,"MA_HT","DDT","MA_QH","SON")</f>
        <v>0</v>
      </c>
      <c r="BC41" s="91">
        <f ca="1">+GETPIVOTDATA("XBG4",'binhgia (2016)'!$A$3,"MA_HT","DDT","MA_QH","MNC")</f>
        <v>0</v>
      </c>
      <c r="BD41" s="60">
        <f ca="1">+GETPIVOTDATA("XBG4",'binhgia (2016)'!$A$3,"MA_HT","DDT","MA_QH","PNK")</f>
        <v>0</v>
      </c>
      <c r="BE41" s="111">
        <f ca="1">+GETPIVOTDATA("XBG4",'binhgia (2016)'!$A$3,"MA_HT","DDT","MA_QH","CSD")</f>
        <v>0</v>
      </c>
      <c r="BF41" s="112">
        <f ca="1" t="shared" si="13"/>
        <v>0</v>
      </c>
      <c r="BG41" s="113">
        <f ca="1">AN$59-$BF41</f>
        <v>0</v>
      </c>
      <c r="BH41" s="57" t="e">
        <f ca="1" t="shared" si="14"/>
        <v>#REF!</v>
      </c>
      <c r="BI41" s="114"/>
      <c r="BJ41" s="115"/>
      <c r="BK41" s="115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</row>
    <row r="42" s="2" customFormat="1" ht="15.75" customHeight="1" spans="1:79">
      <c r="A42" s="39" t="s">
        <v>8402</v>
      </c>
      <c r="B42" s="53" t="s">
        <v>8403</v>
      </c>
      <c r="C42" s="40" t="s">
        <v>8286</v>
      </c>
      <c r="D42" s="41" t="e">
        <f>+#REF!</f>
        <v>#REF!</v>
      </c>
      <c r="E42" s="42">
        <f ca="1" t="shared" si="15"/>
        <v>0</v>
      </c>
      <c r="F42" s="52">
        <f ca="1" t="shared" si="9"/>
        <v>0</v>
      </c>
      <c r="G42" s="22">
        <f ca="1">+GETPIVOTDATA("XBG4",'binhgia (2016)'!$A$3,"MA_HT","DDL","MA_QH","LUC")</f>
        <v>0</v>
      </c>
      <c r="H42" s="22">
        <f ca="1">+GETPIVOTDATA("XBG4",'binhgia (2016)'!$A$3,"MA_HT","DDL","MA_QH","LUK")</f>
        <v>0</v>
      </c>
      <c r="I42" s="22">
        <f ca="1">+GETPIVOTDATA("XBG4",'binhgia (2016)'!$A$3,"MA_HT","DDL","MA_QH","LUN")</f>
        <v>0</v>
      </c>
      <c r="J42" s="22">
        <f ca="1">+GETPIVOTDATA("XBG4",'binhgia (2016)'!$A$3,"MA_HT","DDL","MA_QH","HNK")</f>
        <v>0</v>
      </c>
      <c r="K42" s="22">
        <f ca="1">+GETPIVOTDATA("XBG4",'binhgia (2016)'!$A$3,"MA_HT","DDL","MA_QH","CLN")</f>
        <v>0</v>
      </c>
      <c r="L42" s="22">
        <f ca="1">+GETPIVOTDATA("XBG4",'binhgia (2016)'!$A$3,"MA_HT","DDL","MA_QH","RSX")</f>
        <v>0</v>
      </c>
      <c r="M42" s="22">
        <f ca="1">+GETPIVOTDATA("XBG4",'binhgia (2016)'!$A$3,"MA_HT","DDL","MA_QH","RPH")</f>
        <v>0</v>
      </c>
      <c r="N42" s="22">
        <f ca="1">+GETPIVOTDATA("XBG4",'binhgia (2016)'!$A$3,"MA_HT","DDL","MA_QH","RDD")</f>
        <v>0</v>
      </c>
      <c r="O42" s="22">
        <f ca="1">+GETPIVOTDATA("XBG4",'binhgia (2016)'!$A$3,"MA_HT","DDL","MA_QH","NTS")</f>
        <v>0</v>
      </c>
      <c r="P42" s="22">
        <f ca="1">+GETPIVOTDATA("XBG4",'binhgia (2016)'!$A$3,"MA_HT","DDL","MA_QH","LMU")</f>
        <v>0</v>
      </c>
      <c r="Q42" s="22">
        <f ca="1">+GETPIVOTDATA("XBG4",'binhgia (2016)'!$A$3,"MA_HT","DDL","MA_QH","NKH")</f>
        <v>0</v>
      </c>
      <c r="R42" s="79">
        <f ca="1">SUM(S42:AA42,AN42,AP42:BD42)</f>
        <v>0</v>
      </c>
      <c r="S42" s="22">
        <f ca="1">+GETPIVOTDATA("XBG4",'binhgia (2016)'!$A$3,"MA_HT","DDL","MA_QH","CQP")</f>
        <v>0</v>
      </c>
      <c r="T42" s="22">
        <f ca="1">+GETPIVOTDATA("XBG4",'binhgia (2016)'!$A$3,"MA_HT","DDL","MA_QH","CAN")</f>
        <v>0</v>
      </c>
      <c r="U42" s="22">
        <f ca="1">+GETPIVOTDATA("XBG4",'binhgia (2016)'!$A$3,"MA_HT","DDL","MA_QH","SKK")</f>
        <v>0</v>
      </c>
      <c r="V42" s="22">
        <f ca="1">+GETPIVOTDATA("XBG4",'binhgia (2016)'!$A$3,"MA_HT","DDL","MA_QH","SKT")</f>
        <v>0</v>
      </c>
      <c r="W42" s="22">
        <f ca="1">+GETPIVOTDATA("XBG4",'binhgia (2016)'!$A$3,"MA_HT","DDL","MA_QH","SKN")</f>
        <v>0</v>
      </c>
      <c r="X42" s="22">
        <f ca="1">+GETPIVOTDATA("XBG4",'binhgia (2016)'!$A$3,"MA_HT","DDL","MA_QH","TMD")</f>
        <v>0</v>
      </c>
      <c r="Y42" s="22">
        <f ca="1">+GETPIVOTDATA("XBG4",'binhgia (2016)'!$A$3,"MA_HT","DDL","MA_QH","SKC")</f>
        <v>0</v>
      </c>
      <c r="Z42" s="22">
        <f ca="1">+GETPIVOTDATA("XBG4",'binhgia (2016)'!$A$3,"MA_HT","DDL","MA_QH","SKS")</f>
        <v>0</v>
      </c>
      <c r="AA42" s="52">
        <f ca="1" t="shared" si="21"/>
        <v>0</v>
      </c>
      <c r="AB42" s="22">
        <f ca="1">+GETPIVOTDATA("XBG4",'binhgia (2016)'!$A$3,"MA_HT","DDL","MA_QH","DGT")</f>
        <v>0</v>
      </c>
      <c r="AC42" s="22">
        <f ca="1">+GETPIVOTDATA("XBG4",'binhgia (2016)'!$A$3,"MA_HT","DDL","MA_QH","DTL")</f>
        <v>0</v>
      </c>
      <c r="AD42" s="22">
        <f ca="1">+GETPIVOTDATA("XBG4",'binhgia (2016)'!$A$3,"MA_HT","DDL","MA_QH","DNL")</f>
        <v>0</v>
      </c>
      <c r="AE42" s="22">
        <f ca="1">+GETPIVOTDATA("XBG4",'binhgia (2016)'!$A$3,"MA_HT","DDL","MA_QH","DBV")</f>
        <v>0</v>
      </c>
      <c r="AF42" s="22">
        <f ca="1">+GETPIVOTDATA("XBG4",'binhgia (2016)'!$A$3,"MA_HT","DDL","MA_QH","DVH")</f>
        <v>0</v>
      </c>
      <c r="AG42" s="22">
        <f ca="1">+GETPIVOTDATA("XBG4",'binhgia (2016)'!$A$3,"MA_HT","DDL","MA_QH","DYT")</f>
        <v>0</v>
      </c>
      <c r="AH42" s="22">
        <f ca="1">+GETPIVOTDATA("XBG4",'binhgia (2016)'!$A$3,"MA_HT","DDL","MA_QH","DGD")</f>
        <v>0</v>
      </c>
      <c r="AI42" s="22">
        <f ca="1">+GETPIVOTDATA("XBG4",'binhgia (2016)'!$A$3,"MA_HT","DDL","MA_QH","DTT")</f>
        <v>0</v>
      </c>
      <c r="AJ42" s="22">
        <f ca="1">+GETPIVOTDATA("XBG4",'binhgia (2016)'!$A$3,"MA_HT","DDL","MA_QH","NCK")</f>
        <v>0</v>
      </c>
      <c r="AK42" s="22">
        <f ca="1">+GETPIVOTDATA("XBG4",'binhgia (2016)'!$A$3,"MA_HT","DDL","MA_QH","DXH")</f>
        <v>0</v>
      </c>
      <c r="AL42" s="22">
        <f ca="1">+GETPIVOTDATA("XBG4",'binhgia (2016)'!$A$3,"MA_HT","DDL","MA_QH","DCH")</f>
        <v>0</v>
      </c>
      <c r="AM42" s="22">
        <f ca="1">+GETPIVOTDATA("XBG4",'binhgia (2016)'!$A$3,"MA_HT","DDL","MA_QH","DKG")</f>
        <v>0</v>
      </c>
      <c r="AN42" s="22">
        <f ca="1">+GETPIVOTDATA("XBG4",'binhgia (2016)'!$A$3,"MA_HT","DDL","MA_QH","DDT")</f>
        <v>0</v>
      </c>
      <c r="AO42" s="43" t="e">
        <f ca="1">$D42-$BF42</f>
        <v>#REF!</v>
      </c>
      <c r="AP42" s="22">
        <f ca="1">+GETPIVOTDATA("XBG4",'binhgia (2016)'!$A$3,"MA_HT","DDL","MA_QH","DRA")</f>
        <v>0</v>
      </c>
      <c r="AQ42" s="22">
        <f ca="1">+GETPIVOTDATA("XBG4",'binhgia (2016)'!$A$3,"MA_HT","DDL","MA_QH","ONT")</f>
        <v>0</v>
      </c>
      <c r="AR42" s="22">
        <f ca="1">+GETPIVOTDATA("XBG4",'binhgia (2016)'!$A$3,"MA_HT","DDL","MA_QH","ODT")</f>
        <v>0</v>
      </c>
      <c r="AS42" s="22">
        <f ca="1">+GETPIVOTDATA("XBG4",'binhgia (2016)'!$A$3,"MA_HT","DDL","MA_QH","TSC")</f>
        <v>0</v>
      </c>
      <c r="AT42" s="22">
        <f ca="1">+GETPIVOTDATA("XBG4",'binhgia (2016)'!$A$3,"MA_HT","DDL","MA_QH","DTS")</f>
        <v>0</v>
      </c>
      <c r="AU42" s="22">
        <f ca="1">+GETPIVOTDATA("XBG4",'binhgia (2016)'!$A$3,"MA_HT","DDL","MA_QH","DNG")</f>
        <v>0</v>
      </c>
      <c r="AV42" s="22">
        <f ca="1">+GETPIVOTDATA("XBG4",'binhgia (2016)'!$A$3,"MA_HT","DDL","MA_QH","TON")</f>
        <v>0</v>
      </c>
      <c r="AW42" s="22">
        <f ca="1">+GETPIVOTDATA("XBG4",'binhgia (2016)'!$A$3,"MA_HT","DDL","MA_QH","NTD")</f>
        <v>0</v>
      </c>
      <c r="AX42" s="22">
        <f ca="1">+GETPIVOTDATA("XBG4",'binhgia (2016)'!$A$3,"MA_HT","DDL","MA_QH","SKX")</f>
        <v>0</v>
      </c>
      <c r="AY42" s="22">
        <f ca="1">+GETPIVOTDATA("XBG4",'binhgia (2016)'!$A$3,"MA_HT","DDL","MA_QH","DSH")</f>
        <v>0</v>
      </c>
      <c r="AZ42" s="22">
        <f ca="1">+GETPIVOTDATA("XBG4",'binhgia (2016)'!$A$3,"MA_HT","DDL","MA_QH","DKV")</f>
        <v>0</v>
      </c>
      <c r="BA42" s="89">
        <f ca="1">+GETPIVOTDATA("XBG4",'binhgia (2016)'!$A$3,"MA_HT","DDL","MA_QH","TIN")</f>
        <v>0</v>
      </c>
      <c r="BB42" s="50">
        <f ca="1">+GETPIVOTDATA("XBG4",'binhgia (2016)'!$A$3,"MA_HT","DDL","MA_QH","SON")</f>
        <v>0</v>
      </c>
      <c r="BC42" s="50">
        <f ca="1">+GETPIVOTDATA("XBG4",'binhgia (2016)'!$A$3,"MA_HT","DDL","MA_QH","MNC")</f>
        <v>0</v>
      </c>
      <c r="BD42" s="22">
        <f ca="1">+GETPIVOTDATA("XBG4",'binhgia (2016)'!$A$3,"MA_HT","DDL","MA_QH","PNK")</f>
        <v>0</v>
      </c>
      <c r="BE42" s="71">
        <f ca="1">+GETPIVOTDATA("XBG4",'binhgia (2016)'!$A$3,"MA_HT","DDL","MA_QH","CSD")</f>
        <v>0</v>
      </c>
      <c r="BF42" s="74">
        <f ca="1" t="shared" si="13"/>
        <v>0</v>
      </c>
      <c r="BG42" s="101">
        <f ca="1">AO$59-$BF42</f>
        <v>0</v>
      </c>
      <c r="BH42" s="41" t="e">
        <f ca="1" t="shared" si="14"/>
        <v>#REF!</v>
      </c>
      <c r="BI42" s="98"/>
      <c r="BJ42" s="107"/>
      <c r="BK42" s="10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</row>
    <row r="43" s="2" customFormat="1" ht="15.75" customHeight="1" spans="1:79">
      <c r="A43" s="39" t="s">
        <v>8404</v>
      </c>
      <c r="B43" s="53" t="s">
        <v>8405</v>
      </c>
      <c r="C43" s="40" t="s">
        <v>8291</v>
      </c>
      <c r="D43" s="41" t="e">
        <f>+#REF!</f>
        <v>#REF!</v>
      </c>
      <c r="E43" s="42">
        <f ca="1" t="shared" si="15"/>
        <v>0</v>
      </c>
      <c r="F43" s="52">
        <f ca="1" t="shared" si="9"/>
        <v>0</v>
      </c>
      <c r="G43" s="22">
        <f ca="1">+GETPIVOTDATA("XBG4",'binhgia (2016)'!$A$3,"MA_HT","DRA","MA_QH","LUC")</f>
        <v>0</v>
      </c>
      <c r="H43" s="22">
        <f ca="1">+GETPIVOTDATA("XBG4",'binhgia (2016)'!$A$3,"MA_HT","DRA","MA_QH","LUK")</f>
        <v>0</v>
      </c>
      <c r="I43" s="22">
        <f ca="1">+GETPIVOTDATA("XBG4",'binhgia (2016)'!$A$3,"MA_HT","DRA","MA_QH","LUN")</f>
        <v>0</v>
      </c>
      <c r="J43" s="22">
        <f ca="1">+GETPIVOTDATA("XBG4",'binhgia (2016)'!$A$3,"MA_HT","DRA","MA_QH","HNK")</f>
        <v>0</v>
      </c>
      <c r="K43" s="22">
        <f ca="1">+GETPIVOTDATA("XBG4",'binhgia (2016)'!$A$3,"MA_HT","DRA","MA_QH","CLN")</f>
        <v>0</v>
      </c>
      <c r="L43" s="22">
        <f ca="1">+GETPIVOTDATA("XBG4",'binhgia (2016)'!$A$3,"MA_HT","DRA","MA_QH","RSX")</f>
        <v>0</v>
      </c>
      <c r="M43" s="22">
        <f ca="1">+GETPIVOTDATA("XBG4",'binhgia (2016)'!$A$3,"MA_HT","DRA","MA_QH","RPH")</f>
        <v>0</v>
      </c>
      <c r="N43" s="22">
        <f ca="1">+GETPIVOTDATA("XBG4",'binhgia (2016)'!$A$3,"MA_HT","DRA","MA_QH","RDD")</f>
        <v>0</v>
      </c>
      <c r="O43" s="22">
        <f ca="1">+GETPIVOTDATA("XBG4",'binhgia (2016)'!$A$3,"MA_HT","DRA","MA_QH","NTS")</f>
        <v>0</v>
      </c>
      <c r="P43" s="22">
        <f ca="1">+GETPIVOTDATA("XBG4",'binhgia (2016)'!$A$3,"MA_HT","DRA","MA_QH","LMU")</f>
        <v>0</v>
      </c>
      <c r="Q43" s="22">
        <f ca="1">+GETPIVOTDATA("XBG4",'binhgia (2016)'!$A$3,"MA_HT","DRA","MA_QH","NKH")</f>
        <v>0</v>
      </c>
      <c r="R43" s="79">
        <f ca="1">SUM(S43:AA43,AN43:AO43,AQ43:BD43)</f>
        <v>0</v>
      </c>
      <c r="S43" s="22">
        <f ca="1">+GETPIVOTDATA("XBG4",'binhgia (2016)'!$A$3,"MA_HT","DRA","MA_QH","CQP")</f>
        <v>0</v>
      </c>
      <c r="T43" s="22">
        <f ca="1">+GETPIVOTDATA("XBG4",'binhgia (2016)'!$A$3,"MA_HT","DRA","MA_QH","CAN")</f>
        <v>0</v>
      </c>
      <c r="U43" s="22">
        <f ca="1">+GETPIVOTDATA("XBG4",'binhgia (2016)'!$A$3,"MA_HT","DRA","MA_QH","SKK")</f>
        <v>0</v>
      </c>
      <c r="V43" s="22">
        <f ca="1">+GETPIVOTDATA("XBG4",'binhgia (2016)'!$A$3,"MA_HT","DRA","MA_QH","SKT")</f>
        <v>0</v>
      </c>
      <c r="W43" s="22">
        <f ca="1">+GETPIVOTDATA("XBG4",'binhgia (2016)'!$A$3,"MA_HT","DRA","MA_QH","SKN")</f>
        <v>0</v>
      </c>
      <c r="X43" s="22">
        <f ca="1">+GETPIVOTDATA("XBG4",'binhgia (2016)'!$A$3,"MA_HT","DRA","MA_QH","TMD")</f>
        <v>0</v>
      </c>
      <c r="Y43" s="22">
        <f ca="1">+GETPIVOTDATA("XBG4",'binhgia (2016)'!$A$3,"MA_HT","DRA","MA_QH","SKC")</f>
        <v>0</v>
      </c>
      <c r="Z43" s="22">
        <f ca="1">+GETPIVOTDATA("XBG4",'binhgia (2016)'!$A$3,"MA_HT","DRA","MA_QH","SKS")</f>
        <v>0</v>
      </c>
      <c r="AA43" s="52">
        <f ca="1" t="shared" si="21"/>
        <v>0</v>
      </c>
      <c r="AB43" s="22">
        <f ca="1">+GETPIVOTDATA("XBG4",'binhgia (2016)'!$A$3,"MA_HT","DRA","MA_QH","DGT")</f>
        <v>0</v>
      </c>
      <c r="AC43" s="22">
        <f ca="1">+GETPIVOTDATA("XBG4",'binhgia (2016)'!$A$3,"MA_HT","DRA","MA_QH","DTL")</f>
        <v>0</v>
      </c>
      <c r="AD43" s="22">
        <f ca="1">+GETPIVOTDATA("XBG4",'binhgia (2016)'!$A$3,"MA_HT","DRA","MA_QH","DNL")</f>
        <v>0</v>
      </c>
      <c r="AE43" s="22">
        <f ca="1">+GETPIVOTDATA("XBG4",'binhgia (2016)'!$A$3,"MA_HT","DRA","MA_QH","DBV")</f>
        <v>0</v>
      </c>
      <c r="AF43" s="22">
        <f ca="1">+GETPIVOTDATA("XBG4",'binhgia (2016)'!$A$3,"MA_HT","DRA","MA_QH","DVH")</f>
        <v>0</v>
      </c>
      <c r="AG43" s="22">
        <f ca="1">+GETPIVOTDATA("XBG4",'binhgia (2016)'!$A$3,"MA_HT","DRA","MA_QH","DYT")</f>
        <v>0</v>
      </c>
      <c r="AH43" s="22">
        <f ca="1">+GETPIVOTDATA("XBG4",'binhgia (2016)'!$A$3,"MA_HT","DRA","MA_QH","DGD")</f>
        <v>0</v>
      </c>
      <c r="AI43" s="22">
        <f ca="1">+GETPIVOTDATA("XBG4",'binhgia (2016)'!$A$3,"MA_HT","DRA","MA_QH","DTT")</f>
        <v>0</v>
      </c>
      <c r="AJ43" s="22">
        <f ca="1">+GETPIVOTDATA("XBG4",'binhgia (2016)'!$A$3,"MA_HT","DRA","MA_QH","NCK")</f>
        <v>0</v>
      </c>
      <c r="AK43" s="22">
        <f ca="1">+GETPIVOTDATA("XBG4",'binhgia (2016)'!$A$3,"MA_HT","DRA","MA_QH","DXH")</f>
        <v>0</v>
      </c>
      <c r="AL43" s="22">
        <f ca="1">+GETPIVOTDATA("XBG4",'binhgia (2016)'!$A$3,"MA_HT","DRA","MA_QH","DCH")</f>
        <v>0</v>
      </c>
      <c r="AM43" s="22">
        <f ca="1">+GETPIVOTDATA("XBG4",'binhgia (2016)'!$A$3,"MA_HT","DRA","MA_QH","DKG")</f>
        <v>0</v>
      </c>
      <c r="AN43" s="22">
        <f ca="1">+GETPIVOTDATA("XBG4",'binhgia (2016)'!$A$3,"MA_HT","DRA","MA_QH","DDT")</f>
        <v>0</v>
      </c>
      <c r="AO43" s="22">
        <f ca="1">+GETPIVOTDATA("XBG4",'binhgia (2016)'!$A$3,"MA_HT","DRA","MA_QH","DDL")</f>
        <v>0</v>
      </c>
      <c r="AP43" s="43" t="e">
        <f ca="1">$D43-$BF43</f>
        <v>#REF!</v>
      </c>
      <c r="AQ43" s="22">
        <f ca="1">+GETPIVOTDATA("XBG4",'binhgia (2016)'!$A$3,"MA_HT","DRA","MA_QH","ONT")</f>
        <v>0</v>
      </c>
      <c r="AR43" s="22">
        <f ca="1">+GETPIVOTDATA("XBG4",'binhgia (2016)'!$A$3,"MA_HT","DRA","MA_QH","ODT")</f>
        <v>0</v>
      </c>
      <c r="AS43" s="22">
        <f ca="1">+GETPIVOTDATA("XBG4",'binhgia (2016)'!$A$3,"MA_HT","DRA","MA_QH","TSC")</f>
        <v>0</v>
      </c>
      <c r="AT43" s="22">
        <f ca="1">+GETPIVOTDATA("XBG4",'binhgia (2016)'!$A$3,"MA_HT","DRA","MA_QH","DTS")</f>
        <v>0</v>
      </c>
      <c r="AU43" s="22">
        <f ca="1">+GETPIVOTDATA("XBG4",'binhgia (2016)'!$A$3,"MA_HT","DRA","MA_QH","DNG")</f>
        <v>0</v>
      </c>
      <c r="AV43" s="22">
        <f ca="1">+GETPIVOTDATA("XBG4",'binhgia (2016)'!$A$3,"MA_HT","DRA","MA_QH","TON")</f>
        <v>0</v>
      </c>
      <c r="AW43" s="22">
        <f ca="1">+GETPIVOTDATA("XBG4",'binhgia (2016)'!$A$3,"MA_HT","DRA","MA_QH","NTD")</f>
        <v>0</v>
      </c>
      <c r="AX43" s="22">
        <f ca="1">+GETPIVOTDATA("XBG4",'binhgia (2016)'!$A$3,"MA_HT","DRA","MA_QH","SKX")</f>
        <v>0</v>
      </c>
      <c r="AY43" s="22">
        <f ca="1">+GETPIVOTDATA("XBG4",'binhgia (2016)'!$A$3,"MA_HT","DRA","MA_QH","DSH")</f>
        <v>0</v>
      </c>
      <c r="AZ43" s="22">
        <f ca="1">+GETPIVOTDATA("XBG4",'binhgia (2016)'!$A$3,"MA_HT","DRA","MA_QH","DKV")</f>
        <v>0</v>
      </c>
      <c r="BA43" s="89">
        <f ca="1">+GETPIVOTDATA("XBG4",'binhgia (2016)'!$A$3,"MA_HT","DRA","MA_QH","TIN")</f>
        <v>0</v>
      </c>
      <c r="BB43" s="50">
        <f ca="1">+GETPIVOTDATA("XBG4",'binhgia (2016)'!$A$3,"MA_HT","DRA","MA_QH","SON")</f>
        <v>0</v>
      </c>
      <c r="BC43" s="50">
        <f ca="1">+GETPIVOTDATA("XBG4",'binhgia (2016)'!$A$3,"MA_HT","DRA","MA_QH","MNC")</f>
        <v>0</v>
      </c>
      <c r="BD43" s="22">
        <f ca="1">+GETPIVOTDATA("XBG4",'binhgia (2016)'!$A$3,"MA_HT","DRA","MA_QH","PNK")</f>
        <v>0</v>
      </c>
      <c r="BE43" s="71">
        <f ca="1">+GETPIVOTDATA("XBG4",'binhgia (2016)'!$A$3,"MA_HT","DRA","MA_QH","CSD")</f>
        <v>0</v>
      </c>
      <c r="BF43" s="74">
        <f ca="1" t="shared" si="13"/>
        <v>0</v>
      </c>
      <c r="BG43" s="101">
        <f ca="1">AP$59-$BF43</f>
        <v>0</v>
      </c>
      <c r="BH43" s="41" t="e">
        <f ca="1" t="shared" si="14"/>
        <v>#REF!</v>
      </c>
      <c r="BI43" s="98"/>
      <c r="BJ43" s="107" t="e">
        <f>#REF!</f>
        <v>#REF!</v>
      </c>
      <c r="BK43" s="107" t="e">
        <f ca="1">BH43-BJ43</f>
        <v>#REF!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</row>
    <row r="44" s="2" customFormat="1" ht="15.75" customHeight="1" spans="1:79">
      <c r="A44" s="39" t="s">
        <v>8406</v>
      </c>
      <c r="B44" s="53" t="s">
        <v>8407</v>
      </c>
      <c r="C44" s="40" t="s">
        <v>188</v>
      </c>
      <c r="D44" s="41" t="e">
        <f>+#REF!</f>
        <v>#REF!</v>
      </c>
      <c r="E44" s="42">
        <f ca="1" t="shared" si="15"/>
        <v>0</v>
      </c>
      <c r="F44" s="52">
        <f ca="1" t="shared" si="9"/>
        <v>0</v>
      </c>
      <c r="G44" s="22">
        <f ca="1">+GETPIVOTDATA("XBG4",'binhgia (2016)'!$A$3,"MA_HT","ONT","MA_QH","LUC")</f>
        <v>0</v>
      </c>
      <c r="H44" s="22">
        <f ca="1">+GETPIVOTDATA("XBG4",'binhgia (2016)'!$A$3,"MA_HT","ONT","MA_QH","LUK")</f>
        <v>0</v>
      </c>
      <c r="I44" s="22">
        <f ca="1">+GETPIVOTDATA("XBG4",'binhgia (2016)'!$A$3,"MA_HT","ONT","MA_QH","LUN")</f>
        <v>0</v>
      </c>
      <c r="J44" s="22">
        <f ca="1">+GETPIVOTDATA("XBG4",'binhgia (2016)'!$A$3,"MA_HT","ONT","MA_QH","HNK")</f>
        <v>0</v>
      </c>
      <c r="K44" s="22">
        <f ca="1">+GETPIVOTDATA("XBG4",'binhgia (2016)'!$A$3,"MA_HT","ONT","MA_QH","CLN")</f>
        <v>0</v>
      </c>
      <c r="L44" s="22">
        <f ca="1">+GETPIVOTDATA("XBG4",'binhgia (2016)'!$A$3,"MA_HT","ONT","MA_QH","RSX")</f>
        <v>0</v>
      </c>
      <c r="M44" s="22">
        <f ca="1">+GETPIVOTDATA("XBG4",'binhgia (2016)'!$A$3,"MA_HT","ONT","MA_QH","RPH")</f>
        <v>0</v>
      </c>
      <c r="N44" s="22">
        <f ca="1">+GETPIVOTDATA("XBG4",'binhgia (2016)'!$A$3,"MA_HT","ONT","MA_QH","RDD")</f>
        <v>0</v>
      </c>
      <c r="O44" s="22">
        <f ca="1">+GETPIVOTDATA("XBG4",'binhgia (2016)'!$A$3,"MA_HT","ONT","MA_QH","NTS")</f>
        <v>0</v>
      </c>
      <c r="P44" s="22">
        <f ca="1">+GETPIVOTDATA("XBG4",'binhgia (2016)'!$A$3,"MA_HT","ONT","MA_QH","LMU")</f>
        <v>0</v>
      </c>
      <c r="Q44" s="22">
        <f ca="1">+GETPIVOTDATA("XBG4",'binhgia (2016)'!$A$3,"MA_HT","ONT","MA_QH","NKH")</f>
        <v>0</v>
      </c>
      <c r="R44" s="79">
        <f ca="1">SUM(S44:AA44,AN44:AP44,AR44:BD44)</f>
        <v>0</v>
      </c>
      <c r="S44" s="22">
        <f ca="1">+GETPIVOTDATA("XBG4",'binhgia (2016)'!$A$3,"MA_HT","ONT","MA_QH","CQP")</f>
        <v>0</v>
      </c>
      <c r="T44" s="22">
        <f ca="1">+GETPIVOTDATA("XBG4",'binhgia (2016)'!$A$3,"MA_HT","ONT","MA_QH","CAN")</f>
        <v>0</v>
      </c>
      <c r="U44" s="22">
        <f ca="1">+GETPIVOTDATA("XBG4",'binhgia (2016)'!$A$3,"MA_HT","ONT","MA_QH","SKK")</f>
        <v>0</v>
      </c>
      <c r="V44" s="22">
        <f ca="1">+GETPIVOTDATA("XBG4",'binhgia (2016)'!$A$3,"MA_HT","ONT","MA_QH","SKT")</f>
        <v>0</v>
      </c>
      <c r="W44" s="22">
        <f ca="1">+GETPIVOTDATA("XBG4",'binhgia (2016)'!$A$3,"MA_HT","ONT","MA_QH","SKN")</f>
        <v>0</v>
      </c>
      <c r="X44" s="22">
        <f ca="1">+GETPIVOTDATA("XBG4",'binhgia (2016)'!$A$3,"MA_HT","ONT","MA_QH","TMD")</f>
        <v>0</v>
      </c>
      <c r="Y44" s="22">
        <f ca="1">+GETPIVOTDATA("XBG4",'binhgia (2016)'!$A$3,"MA_HT","ONT","MA_QH","SKC")</f>
        <v>0</v>
      </c>
      <c r="Z44" s="22">
        <f ca="1">+GETPIVOTDATA("XBG4",'binhgia (2016)'!$A$3,"MA_HT","ONT","MA_QH","SKS")</f>
        <v>0</v>
      </c>
      <c r="AA44" s="52">
        <f ca="1" t="shared" si="21"/>
        <v>0</v>
      </c>
      <c r="AB44" s="22">
        <f ca="1">+GETPIVOTDATA("XBG4",'binhgia (2016)'!$A$3,"MA_HT","ONT","MA_QH","DGT")</f>
        <v>0</v>
      </c>
      <c r="AC44" s="22">
        <f ca="1">+GETPIVOTDATA("XBG4",'binhgia (2016)'!$A$3,"MA_HT","ONT","MA_QH","DTL")</f>
        <v>0</v>
      </c>
      <c r="AD44" s="22">
        <f ca="1">+GETPIVOTDATA("XBG4",'binhgia (2016)'!$A$3,"MA_HT","ONT","MA_QH","DNL")</f>
        <v>0</v>
      </c>
      <c r="AE44" s="22">
        <f ca="1">+GETPIVOTDATA("XBG4",'binhgia (2016)'!$A$3,"MA_HT","ONT","MA_QH","DBV")</f>
        <v>0</v>
      </c>
      <c r="AF44" s="22">
        <f ca="1">+GETPIVOTDATA("XBG4",'binhgia (2016)'!$A$3,"MA_HT","ONT","MA_QH","DVH")</f>
        <v>0</v>
      </c>
      <c r="AG44" s="22">
        <f ca="1">+GETPIVOTDATA("XBG4",'binhgia (2016)'!$A$3,"MA_HT","ONT","MA_QH","DYT")</f>
        <v>0</v>
      </c>
      <c r="AH44" s="22">
        <f ca="1">+GETPIVOTDATA("XBG4",'binhgia (2016)'!$A$3,"MA_HT","ONT","MA_QH","DGD")</f>
        <v>0</v>
      </c>
      <c r="AI44" s="22">
        <f ca="1">+GETPIVOTDATA("XBG4",'binhgia (2016)'!$A$3,"MA_HT","ONT","MA_QH","DTT")</f>
        <v>0</v>
      </c>
      <c r="AJ44" s="22">
        <f ca="1">+GETPIVOTDATA("XBG4",'binhgia (2016)'!$A$3,"MA_HT","ONT","MA_QH","NCK")</f>
        <v>0</v>
      </c>
      <c r="AK44" s="22">
        <f ca="1">+GETPIVOTDATA("XBG4",'binhgia (2016)'!$A$3,"MA_HT","ONT","MA_QH","DXH")</f>
        <v>0</v>
      </c>
      <c r="AL44" s="22">
        <f ca="1">+GETPIVOTDATA("XBG4",'binhgia (2016)'!$A$3,"MA_HT","ONT","MA_QH","DCH")</f>
        <v>0</v>
      </c>
      <c r="AM44" s="22">
        <f ca="1">+GETPIVOTDATA("XBG4",'binhgia (2016)'!$A$3,"MA_HT","ONT","MA_QH","DKG")</f>
        <v>0</v>
      </c>
      <c r="AN44" s="22">
        <f ca="1">+GETPIVOTDATA("XBG4",'binhgia (2016)'!$A$3,"MA_HT","ONT","MA_QH","DDT")</f>
        <v>0</v>
      </c>
      <c r="AO44" s="22">
        <f ca="1">+GETPIVOTDATA("XBG4",'binhgia (2016)'!$A$3,"MA_HT","ONT","MA_QH","DDL")</f>
        <v>0</v>
      </c>
      <c r="AP44" s="22">
        <f ca="1">+GETPIVOTDATA("XBG4",'binhgia (2016)'!$A$3,"MA_HT","ONT","MA_QH","DRA")</f>
        <v>0</v>
      </c>
      <c r="AQ44" s="43" t="e">
        <f ca="1">$D44-$BF44</f>
        <v>#REF!</v>
      </c>
      <c r="AR44" s="22">
        <f ca="1">+GETPIVOTDATA("XBG4",'binhgia (2016)'!$A$3,"MA_HT","ONT","MA_QH","ODT")</f>
        <v>0</v>
      </c>
      <c r="AS44" s="22">
        <f ca="1">+GETPIVOTDATA("XBG4",'binhgia (2016)'!$A$3,"MA_HT","ONT","MA_QH","TSC")</f>
        <v>0</v>
      </c>
      <c r="AT44" s="22">
        <f ca="1">+GETPIVOTDATA("XBG4",'binhgia (2016)'!$A$3,"MA_HT","ONT","MA_QH","DTS")</f>
        <v>0</v>
      </c>
      <c r="AU44" s="22">
        <f ca="1">+GETPIVOTDATA("XBG4",'binhgia (2016)'!$A$3,"MA_HT","ONT","MA_QH","DNG")</f>
        <v>0</v>
      </c>
      <c r="AV44" s="22">
        <f ca="1">+GETPIVOTDATA("XBG4",'binhgia (2016)'!$A$3,"MA_HT","ONT","MA_QH","TON")</f>
        <v>0</v>
      </c>
      <c r="AW44" s="22">
        <f ca="1">+GETPIVOTDATA("XBG4",'binhgia (2016)'!$A$3,"MA_HT","ONT","MA_QH","NTD")</f>
        <v>0</v>
      </c>
      <c r="AX44" s="22">
        <f ca="1">+GETPIVOTDATA("XBG4",'binhgia (2016)'!$A$3,"MA_HT","ONT","MA_QH","SKX")</f>
        <v>0</v>
      </c>
      <c r="AY44" s="22">
        <f ca="1">+GETPIVOTDATA("XBG4",'binhgia (2016)'!$A$3,"MA_HT","ONT","MA_QH","DSH")</f>
        <v>0</v>
      </c>
      <c r="AZ44" s="22">
        <f ca="1">+GETPIVOTDATA("XBG4",'binhgia (2016)'!$A$3,"MA_HT","ONT","MA_QH","DKV")</f>
        <v>0</v>
      </c>
      <c r="BA44" s="89">
        <f ca="1">+GETPIVOTDATA("XBG4",'binhgia (2016)'!$A$3,"MA_HT","ONT","MA_QH","TIN")</f>
        <v>0</v>
      </c>
      <c r="BB44" s="50">
        <f ca="1">+GETPIVOTDATA("XBG4",'binhgia (2016)'!$A$3,"MA_HT","ONT","MA_QH","SON")</f>
        <v>0</v>
      </c>
      <c r="BC44" s="50">
        <f ca="1">+GETPIVOTDATA("XBG4",'binhgia (2016)'!$A$3,"MA_HT","ONT","MA_QH","MNC")</f>
        <v>0</v>
      </c>
      <c r="BD44" s="22">
        <f ca="1">+GETPIVOTDATA("XBG4",'binhgia (2016)'!$A$3,"MA_HT","ONT","MA_QH","PNK")</f>
        <v>0</v>
      </c>
      <c r="BE44" s="71">
        <f ca="1">+GETPIVOTDATA("XBG4",'binhgia (2016)'!$A$3,"MA_HT","ONT","MA_QH","CSD")</f>
        <v>0</v>
      </c>
      <c r="BF44" s="74">
        <f ca="1" t="shared" si="13"/>
        <v>0</v>
      </c>
      <c r="BG44" s="101">
        <f ca="1">AQ$59-$BF44</f>
        <v>0</v>
      </c>
      <c r="BH44" s="41" t="e">
        <f ca="1" t="shared" si="14"/>
        <v>#REF!</v>
      </c>
      <c r="BI44" s="98"/>
      <c r="BJ44" s="107" t="e">
        <f>#REF!</f>
        <v>#REF!</v>
      </c>
      <c r="BK44" s="107" t="e">
        <f ca="1">BH44-BJ44</f>
        <v>#REF!</v>
      </c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</row>
    <row r="45" s="2" customFormat="1" ht="15.75" customHeight="1" spans="1:79">
      <c r="A45" s="61" t="s">
        <v>8408</v>
      </c>
      <c r="B45" s="62" t="s">
        <v>8409</v>
      </c>
      <c r="C45" s="63" t="s">
        <v>201</v>
      </c>
      <c r="D45" s="64" t="e">
        <f>+#REF!</f>
        <v>#REF!</v>
      </c>
      <c r="E45" s="65">
        <f ca="1" t="shared" si="15"/>
        <v>0</v>
      </c>
      <c r="F45" s="66">
        <f ca="1" t="shared" si="9"/>
        <v>0</v>
      </c>
      <c r="G45" s="67">
        <f ca="1">+GETPIVOTDATA("XBG4",'binhgia (2016)'!$A$3,"MA_HT","ODT","MA_QH","LUC")</f>
        <v>0</v>
      </c>
      <c r="H45" s="67">
        <f ca="1">+GETPIVOTDATA("XBG4",'binhgia (2016)'!$A$3,"MA_HT","ODT","MA_QH","LUK")</f>
        <v>0</v>
      </c>
      <c r="I45" s="67">
        <f ca="1">+GETPIVOTDATA("XBG4",'binhgia (2016)'!$A$3,"MA_HT","ODT","MA_QH","LUN")</f>
        <v>0</v>
      </c>
      <c r="J45" s="67">
        <f ca="1">+GETPIVOTDATA("XBG4",'binhgia (2016)'!$A$3,"MA_HT","ODT","MA_QH","HNK")</f>
        <v>0</v>
      </c>
      <c r="K45" s="67">
        <f ca="1">+GETPIVOTDATA("XBG4",'binhgia (2016)'!$A$3,"MA_HT","ODT","MA_QH","CLN")</f>
        <v>0</v>
      </c>
      <c r="L45" s="67">
        <f ca="1">+GETPIVOTDATA("XBG4",'binhgia (2016)'!$A$3,"MA_HT","ODT","MA_QH","RSX")</f>
        <v>0</v>
      </c>
      <c r="M45" s="67">
        <f ca="1">+GETPIVOTDATA("XBG4",'binhgia (2016)'!$A$3,"MA_HT","ODT","MA_QH","RPH")</f>
        <v>0</v>
      </c>
      <c r="N45" s="67">
        <f ca="1">+GETPIVOTDATA("XBG4",'binhgia (2016)'!$A$3,"MA_HT","ODT","MA_QH","RDD")</f>
        <v>0</v>
      </c>
      <c r="O45" s="67">
        <f ca="1">+GETPIVOTDATA("XBG4",'binhgia (2016)'!$A$3,"MA_HT","ODT","MA_QH","NTS")</f>
        <v>0</v>
      </c>
      <c r="P45" s="67">
        <f ca="1">+GETPIVOTDATA("XBG4",'binhgia (2016)'!$A$3,"MA_HT","ODT","MA_QH","LMU")</f>
        <v>0</v>
      </c>
      <c r="Q45" s="67">
        <f ca="1">+GETPIVOTDATA("XBG4",'binhgia (2016)'!$A$3,"MA_HT","ODT","MA_QH","NKH")</f>
        <v>0</v>
      </c>
      <c r="R45" s="79">
        <f ca="1">SUM(S45:AA45,AN45:AQ45,AS45:BD45)</f>
        <v>0</v>
      </c>
      <c r="S45" s="67">
        <f ca="1">+GETPIVOTDATA("XBG4",'binhgia (2016)'!$A$3,"MA_HT","ODT","MA_QH","CQP")</f>
        <v>0</v>
      </c>
      <c r="T45" s="67">
        <f ca="1">+GETPIVOTDATA("XBG4",'binhgia (2016)'!$A$3,"MA_HT","ODT","MA_QH","CAN")</f>
        <v>0</v>
      </c>
      <c r="U45" s="67">
        <f ca="1">+GETPIVOTDATA("XBG4",'binhgia (2016)'!$A$3,"MA_HT","ODT","MA_QH","SKK")</f>
        <v>0</v>
      </c>
      <c r="V45" s="67">
        <f ca="1">+GETPIVOTDATA("XBG4",'binhgia (2016)'!$A$3,"MA_HT","ODT","MA_QH","SKT")</f>
        <v>0</v>
      </c>
      <c r="W45" s="67">
        <f ca="1">+GETPIVOTDATA("XBG4",'binhgia (2016)'!$A$3,"MA_HT","ODT","MA_QH","SKN")</f>
        <v>0</v>
      </c>
      <c r="X45" s="67">
        <f ca="1">+GETPIVOTDATA("XBG4",'binhgia (2016)'!$A$3,"MA_HT","ODT","MA_QH","TMD")</f>
        <v>0</v>
      </c>
      <c r="Y45" s="67">
        <f ca="1">+GETPIVOTDATA("XBG4",'binhgia (2016)'!$A$3,"MA_HT","ODT","MA_QH","SKC")</f>
        <v>0</v>
      </c>
      <c r="Z45" s="67">
        <f ca="1">+GETPIVOTDATA("XBG4",'binhgia (2016)'!$A$3,"MA_HT","ODT","MA_QH","SKS")</f>
        <v>0</v>
      </c>
      <c r="AA45" s="66">
        <f ca="1" t="shared" si="21"/>
        <v>0</v>
      </c>
      <c r="AB45" s="67">
        <f ca="1">+GETPIVOTDATA("XBG4",'binhgia (2016)'!$A$3,"MA_HT","ODT","MA_QH","DGT")</f>
        <v>0</v>
      </c>
      <c r="AC45" s="67">
        <f ca="1">+GETPIVOTDATA("XBG4",'binhgia (2016)'!$A$3,"MA_HT","ODT","MA_QH","DTL")</f>
        <v>0</v>
      </c>
      <c r="AD45" s="67">
        <f ca="1">+GETPIVOTDATA("XBG4",'binhgia (2016)'!$A$3,"MA_HT","ODT","MA_QH","DNL")</f>
        <v>0</v>
      </c>
      <c r="AE45" s="67">
        <f ca="1">+GETPIVOTDATA("XBG4",'binhgia (2016)'!$A$3,"MA_HT","ODT","MA_QH","DBV")</f>
        <v>0</v>
      </c>
      <c r="AF45" s="67">
        <f ca="1">+GETPIVOTDATA("XBG4",'binhgia (2016)'!$A$3,"MA_HT","ODT","MA_QH","DVH")</f>
        <v>0</v>
      </c>
      <c r="AG45" s="67">
        <f ca="1">+GETPIVOTDATA("XBG4",'binhgia (2016)'!$A$3,"MA_HT","ODT","MA_QH","DYT")</f>
        <v>0</v>
      </c>
      <c r="AH45" s="67">
        <f ca="1">+GETPIVOTDATA("XBG4",'binhgia (2016)'!$A$3,"MA_HT","ODT","MA_QH","DGD")</f>
        <v>0</v>
      </c>
      <c r="AI45" s="67">
        <f ca="1">+GETPIVOTDATA("XBG4",'binhgia (2016)'!$A$3,"MA_HT","ODT","MA_QH","DTT")</f>
        <v>0</v>
      </c>
      <c r="AJ45" s="67">
        <f ca="1">+GETPIVOTDATA("XBG4",'binhgia (2016)'!$A$3,"MA_HT","ODT","MA_QH","NCK")</f>
        <v>0</v>
      </c>
      <c r="AK45" s="67">
        <f ca="1">+GETPIVOTDATA("XBG4",'binhgia (2016)'!$A$3,"MA_HT","ODT","MA_QH","DXH")</f>
        <v>0</v>
      </c>
      <c r="AL45" s="67">
        <f ca="1">+GETPIVOTDATA("XBG4",'binhgia (2016)'!$A$3,"MA_HT","ODT","MA_QH","DCH")</f>
        <v>0</v>
      </c>
      <c r="AM45" s="67">
        <f ca="1">+GETPIVOTDATA("XBG4",'binhgia (2016)'!$A$3,"MA_HT","ODT","MA_QH","DKG")</f>
        <v>0</v>
      </c>
      <c r="AN45" s="67">
        <f ca="1">+GETPIVOTDATA("XBG4",'binhgia (2016)'!$A$3,"MA_HT","ODT","MA_QH","DDT")</f>
        <v>0</v>
      </c>
      <c r="AO45" s="67">
        <f ca="1">+GETPIVOTDATA("XBG4",'binhgia (2016)'!$A$3,"MA_HT","ODT","MA_QH","DDL")</f>
        <v>0</v>
      </c>
      <c r="AP45" s="67">
        <f ca="1">+GETPIVOTDATA("XBG4",'binhgia (2016)'!$A$3,"MA_HT","ODT","MA_QH","DRA")</f>
        <v>0</v>
      </c>
      <c r="AQ45" s="67">
        <f ca="1">+GETPIVOTDATA("XBG4",'binhgia (2016)'!$A$3,"MA_HT","ODT","MA_QH","ONT")</f>
        <v>0</v>
      </c>
      <c r="AR45" s="82" t="e">
        <f ca="1">$D45-$BF45</f>
        <v>#REF!</v>
      </c>
      <c r="AS45" s="67">
        <f ca="1">+GETPIVOTDATA("XBG4",'binhgia (2016)'!$A$3,"MA_HT","ODT","MA_QH","TSC")</f>
        <v>0</v>
      </c>
      <c r="AT45" s="67">
        <f ca="1">+GETPIVOTDATA("XBG4",'binhgia (2016)'!$A$3,"MA_HT","ODT","MA_QH","DTS")</f>
        <v>0</v>
      </c>
      <c r="AU45" s="67">
        <f ca="1">+GETPIVOTDATA("XBG4",'binhgia (2016)'!$A$3,"MA_HT","ODT","MA_QH","DNG")</f>
        <v>0</v>
      </c>
      <c r="AV45" s="67">
        <f ca="1">+GETPIVOTDATA("XBG4",'binhgia (2016)'!$A$3,"MA_HT","ODT","MA_QH","TON")</f>
        <v>0</v>
      </c>
      <c r="AW45" s="67">
        <f ca="1">+GETPIVOTDATA("XBG4",'binhgia (2016)'!$A$3,"MA_HT","ODT","MA_QH","NTD")</f>
        <v>0</v>
      </c>
      <c r="AX45" s="67">
        <f ca="1">+GETPIVOTDATA("XBG4",'binhgia (2016)'!$A$3,"MA_HT","ODT","MA_QH","SKX")</f>
        <v>0</v>
      </c>
      <c r="AY45" s="67">
        <f ca="1">+GETPIVOTDATA("XBG4",'binhgia (2016)'!$A$3,"MA_HT","ODT","MA_QH","DSH")</f>
        <v>0</v>
      </c>
      <c r="AZ45" s="67">
        <f ca="1">+GETPIVOTDATA("XBG4",'binhgia (2016)'!$A$3,"MA_HT","ODT","MA_QH","DKV")</f>
        <v>0</v>
      </c>
      <c r="BA45" s="92">
        <f ca="1">+GETPIVOTDATA("XBG4",'binhgia (2016)'!$A$3,"MA_HT","ODT","MA_QH","TIN")</f>
        <v>0</v>
      </c>
      <c r="BB45" s="93">
        <f ca="1">+GETPIVOTDATA("XBG4",'binhgia (2016)'!$A$3,"MA_HT","ODT","MA_QH","SON")</f>
        <v>0</v>
      </c>
      <c r="BC45" s="93">
        <f ca="1">+GETPIVOTDATA("XBG4",'binhgia (2016)'!$A$3,"MA_HT","ODT","MA_QH","MNC")</f>
        <v>0</v>
      </c>
      <c r="BD45" s="67">
        <f ca="1">+GETPIVOTDATA("XBG4",'binhgia (2016)'!$A$3,"MA_HT","ODT","MA_QH","PNK")</f>
        <v>0</v>
      </c>
      <c r="BE45" s="116">
        <f ca="1">+GETPIVOTDATA("XBG4",'binhgia (2016)'!$A$3,"MA_HT","ODT","MA_QH","CSD")</f>
        <v>0</v>
      </c>
      <c r="BF45" s="117">
        <f ca="1" t="shared" si="13"/>
        <v>0</v>
      </c>
      <c r="BG45" s="118">
        <f ca="1">AR$59-$BF45</f>
        <v>0</v>
      </c>
      <c r="BH45" s="64" t="e">
        <f ca="1" t="shared" si="14"/>
        <v>#REF!</v>
      </c>
      <c r="BI45" s="98"/>
      <c r="BJ45" s="107" t="e">
        <f>#REF!</f>
        <v>#REF!</v>
      </c>
      <c r="BK45" s="107" t="e">
        <f ca="1">BH45-BJ45</f>
        <v>#REF!</v>
      </c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</row>
    <row r="46" s="6" customFormat="1" ht="15.75" customHeight="1" spans="1:79">
      <c r="A46" s="39" t="s">
        <v>8410</v>
      </c>
      <c r="B46" s="53" t="s">
        <v>8411</v>
      </c>
      <c r="C46" s="40" t="s">
        <v>336</v>
      </c>
      <c r="D46" s="41" t="e">
        <f>+#REF!</f>
        <v>#REF!</v>
      </c>
      <c r="E46" s="42">
        <f ca="1" t="shared" si="15"/>
        <v>0</v>
      </c>
      <c r="F46" s="52">
        <f ca="1" t="shared" si="9"/>
        <v>0</v>
      </c>
      <c r="G46" s="22">
        <f ca="1">+GETPIVOTDATA("XBG4",'binhgia (2016)'!$A$3,"MA_HT","TSC","MA_QH","LUC")</f>
        <v>0</v>
      </c>
      <c r="H46" s="22">
        <f ca="1">+GETPIVOTDATA("XBG4",'binhgia (2016)'!$A$3,"MA_HT","TSC","MA_QH","LUK")</f>
        <v>0</v>
      </c>
      <c r="I46" s="22">
        <f ca="1">+GETPIVOTDATA("XBG4",'binhgia (2016)'!$A$3,"MA_HT","TSC","MA_QH","LUN")</f>
        <v>0</v>
      </c>
      <c r="J46" s="22">
        <f ca="1">+GETPIVOTDATA("XBG4",'binhgia (2016)'!$A$3,"MA_HT","TSC","MA_QH","HNK")</f>
        <v>0</v>
      </c>
      <c r="K46" s="22">
        <f ca="1">+GETPIVOTDATA("XBG4",'binhgia (2016)'!$A$3,"MA_HT","TSC","MA_QH","CLN")</f>
        <v>0</v>
      </c>
      <c r="L46" s="22">
        <f ca="1">+GETPIVOTDATA("XBG4",'binhgia (2016)'!$A$3,"MA_HT","TSC","MA_QH","RSX")</f>
        <v>0</v>
      </c>
      <c r="M46" s="22">
        <f ca="1">+GETPIVOTDATA("XBG4",'binhgia (2016)'!$A$3,"MA_HT","TSC","MA_QH","RPH")</f>
        <v>0</v>
      </c>
      <c r="N46" s="22">
        <f ca="1">+GETPIVOTDATA("XBG4",'binhgia (2016)'!$A$3,"MA_HT","TSC","MA_QH","RDD")</f>
        <v>0</v>
      </c>
      <c r="O46" s="22">
        <f ca="1">+GETPIVOTDATA("XBG4",'binhgia (2016)'!$A$3,"MA_HT","TSC","MA_QH","NTS")</f>
        <v>0</v>
      </c>
      <c r="P46" s="22">
        <f ca="1">+GETPIVOTDATA("XBG4",'binhgia (2016)'!$A$3,"MA_HT","TSC","MA_QH","LMU")</f>
        <v>0</v>
      </c>
      <c r="Q46" s="22">
        <f ca="1">+GETPIVOTDATA("XBG4",'binhgia (2016)'!$A$3,"MA_HT","TSC","MA_QH","NKH")</f>
        <v>0</v>
      </c>
      <c r="R46" s="48">
        <f ca="1">SUM(S46:AA46,AN46:AR46,AT46:BD46)</f>
        <v>0</v>
      </c>
      <c r="S46" s="22">
        <f ca="1">+GETPIVOTDATA("XBG4",'binhgia (2016)'!$A$3,"MA_HT","TSC","MA_QH","CQP")</f>
        <v>0</v>
      </c>
      <c r="T46" s="22">
        <f ca="1">+GETPIVOTDATA("XBG4",'binhgia (2016)'!$A$3,"MA_HT","TSC","MA_QH","CAN")</f>
        <v>0</v>
      </c>
      <c r="U46" s="22">
        <f ca="1">+GETPIVOTDATA("XBG4",'binhgia (2016)'!$A$3,"MA_HT","TSC","MA_QH","SKK")</f>
        <v>0</v>
      </c>
      <c r="V46" s="22">
        <f ca="1">+GETPIVOTDATA("XBG4",'binhgia (2016)'!$A$3,"MA_HT","TSC","MA_QH","SKT")</f>
        <v>0</v>
      </c>
      <c r="W46" s="22">
        <f ca="1">+GETPIVOTDATA("XBG4",'binhgia (2016)'!$A$3,"MA_HT","TSC","MA_QH","SKN")</f>
        <v>0</v>
      </c>
      <c r="X46" s="22">
        <f ca="1">+GETPIVOTDATA("XBG4",'binhgia (2016)'!$A$3,"MA_HT","TSC","MA_QH","TMD")</f>
        <v>0</v>
      </c>
      <c r="Y46" s="22">
        <f ca="1">+GETPIVOTDATA("XBG4",'binhgia (2016)'!$A$3,"MA_HT","TSC","MA_QH","SKC")</f>
        <v>0</v>
      </c>
      <c r="Z46" s="22">
        <f ca="1">+GETPIVOTDATA("XBG4",'binhgia (2016)'!$A$3,"MA_HT","TSC","MA_QH","SKS")</f>
        <v>0</v>
      </c>
      <c r="AA46" s="52">
        <f ca="1" t="shared" si="21"/>
        <v>0</v>
      </c>
      <c r="AB46" s="22">
        <f ca="1">+GETPIVOTDATA("XBG4",'binhgia (2016)'!$A$3,"MA_HT","TSC","MA_QH","DGT")</f>
        <v>0</v>
      </c>
      <c r="AC46" s="22">
        <f ca="1">+GETPIVOTDATA("XBG4",'binhgia (2016)'!$A$3,"MA_HT","TSC","MA_QH","DTL")</f>
        <v>0</v>
      </c>
      <c r="AD46" s="22">
        <f ca="1">+GETPIVOTDATA("XBG4",'binhgia (2016)'!$A$3,"MA_HT","TSC","MA_QH","DNL")</f>
        <v>0</v>
      </c>
      <c r="AE46" s="22">
        <f ca="1">+GETPIVOTDATA("XBG4",'binhgia (2016)'!$A$3,"MA_HT","TSC","MA_QH","DBV")</f>
        <v>0</v>
      </c>
      <c r="AF46" s="22">
        <f ca="1">+GETPIVOTDATA("XBG4",'binhgia (2016)'!$A$3,"MA_HT","TSC","MA_QH","DVH")</f>
        <v>0</v>
      </c>
      <c r="AG46" s="22">
        <f ca="1">+GETPIVOTDATA("XBG4",'binhgia (2016)'!$A$3,"MA_HT","TSC","MA_QH","DYT")</f>
        <v>0</v>
      </c>
      <c r="AH46" s="22">
        <f ca="1">+GETPIVOTDATA("XBG4",'binhgia (2016)'!$A$3,"MA_HT","TSC","MA_QH","DGD")</f>
        <v>0</v>
      </c>
      <c r="AI46" s="22">
        <f ca="1">+GETPIVOTDATA("XBG4",'binhgia (2016)'!$A$3,"MA_HT","TSC","MA_QH","DTT")</f>
        <v>0</v>
      </c>
      <c r="AJ46" s="22">
        <f ca="1">+GETPIVOTDATA("XBG4",'binhgia (2016)'!$A$3,"MA_HT","TSC","MA_QH","NCK")</f>
        <v>0</v>
      </c>
      <c r="AK46" s="22">
        <f ca="1">+GETPIVOTDATA("XBG4",'binhgia (2016)'!$A$3,"MA_HT","TSC","MA_QH","DXH")</f>
        <v>0</v>
      </c>
      <c r="AL46" s="22">
        <f ca="1">+GETPIVOTDATA("XBG4",'binhgia (2016)'!$A$3,"MA_HT","TSC","MA_QH","DCH")</f>
        <v>0</v>
      </c>
      <c r="AM46" s="22">
        <f ca="1">+GETPIVOTDATA("XBG4",'binhgia (2016)'!$A$3,"MA_HT","TSC","MA_QH","DKG")</f>
        <v>0</v>
      </c>
      <c r="AN46" s="22">
        <f ca="1">+GETPIVOTDATA("XBG4",'binhgia (2016)'!$A$3,"MA_HT","TSC","MA_QH","DDT")</f>
        <v>0</v>
      </c>
      <c r="AO46" s="22">
        <f ca="1">+GETPIVOTDATA("XBG4",'binhgia (2016)'!$A$3,"MA_HT","TSC","MA_QH","DDL")</f>
        <v>0</v>
      </c>
      <c r="AP46" s="22">
        <f ca="1">+GETPIVOTDATA("XBG4",'binhgia (2016)'!$A$3,"MA_HT","TSC","MA_QH","DRA")</f>
        <v>0</v>
      </c>
      <c r="AQ46" s="22">
        <f ca="1">+GETPIVOTDATA("XBG4",'binhgia (2016)'!$A$3,"MA_HT","TSC","MA_QH","ONT")</f>
        <v>0</v>
      </c>
      <c r="AR46" s="22">
        <f ca="1">+GETPIVOTDATA("XBG4",'binhgia (2016)'!$A$3,"MA_HT","TSC","MA_QH","ODT")</f>
        <v>0</v>
      </c>
      <c r="AS46" s="43" t="e">
        <f ca="1">$D46-$BF46</f>
        <v>#REF!</v>
      </c>
      <c r="AT46" s="22">
        <f ca="1">+GETPIVOTDATA("XBG4",'binhgia (2016)'!$A$3,"MA_HT","TSC","MA_QH","DTS")</f>
        <v>0</v>
      </c>
      <c r="AU46" s="22">
        <f ca="1">+GETPIVOTDATA("XBG4",'binhgia (2016)'!$A$3,"MA_HT","TSC","MA_QH","DNG")</f>
        <v>0</v>
      </c>
      <c r="AV46" s="22">
        <f ca="1">+GETPIVOTDATA("XBG4",'binhgia (2016)'!$A$3,"MA_HT","TSC","MA_QH","TON")</f>
        <v>0</v>
      </c>
      <c r="AW46" s="22">
        <f ca="1">+GETPIVOTDATA("XBG4",'binhgia (2016)'!$A$3,"MA_HT","TSC","MA_QH","NTD")</f>
        <v>0</v>
      </c>
      <c r="AX46" s="22">
        <f ca="1">+GETPIVOTDATA("XBG4",'binhgia (2016)'!$A$3,"MA_HT","TSC","MA_QH","SKX")</f>
        <v>0</v>
      </c>
      <c r="AY46" s="22">
        <f ca="1">+GETPIVOTDATA("XBG4",'binhgia (2016)'!$A$3,"MA_HT","TSC","MA_QH","DSH")</f>
        <v>0</v>
      </c>
      <c r="AZ46" s="22">
        <f ca="1">+GETPIVOTDATA("XBG4",'binhgia (2016)'!$A$3,"MA_HT","TSC","MA_QH","DKV")</f>
        <v>0</v>
      </c>
      <c r="BA46" s="89">
        <f ca="1">+GETPIVOTDATA("XBG4",'binhgia (2016)'!$A$3,"MA_HT","TSC","MA_QH","TIN")</f>
        <v>0</v>
      </c>
      <c r="BB46" s="50">
        <f ca="1">+GETPIVOTDATA("XBG4",'binhgia (2016)'!$A$3,"MA_HT","TSC","MA_QH","SON")</f>
        <v>0</v>
      </c>
      <c r="BC46" s="50">
        <f ca="1">+GETPIVOTDATA("XBG4",'binhgia (2016)'!$A$3,"MA_HT","TSC","MA_QH","MNC")</f>
        <v>0</v>
      </c>
      <c r="BD46" s="22">
        <f ca="1">+GETPIVOTDATA("XBG4",'binhgia (2016)'!$A$3,"MA_HT","TSC","MA_QH","PNK")</f>
        <v>0</v>
      </c>
      <c r="BE46" s="71">
        <f ca="1">+GETPIVOTDATA("XBG4",'binhgia (2016)'!$A$3,"MA_HT","TSC","MA_QH","CSD")</f>
        <v>0</v>
      </c>
      <c r="BF46" s="74">
        <f ca="1" t="shared" si="13"/>
        <v>0</v>
      </c>
      <c r="BG46" s="101">
        <f ca="1">AS$59-$BF46</f>
        <v>0</v>
      </c>
      <c r="BH46" s="41" t="e">
        <f ca="1" t="shared" si="14"/>
        <v>#REF!</v>
      </c>
      <c r="BI46" s="114"/>
      <c r="BJ46" s="114" t="e">
        <f>#REF!</f>
        <v>#REF!</v>
      </c>
      <c r="BK46" s="115" t="e">
        <f ca="1">BH46-BJ46</f>
        <v>#REF!</v>
      </c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</row>
    <row r="47" s="2" customFormat="1" ht="15.75" customHeight="1" spans="1:79">
      <c r="A47" s="54" t="s">
        <v>8412</v>
      </c>
      <c r="B47" s="55" t="s">
        <v>8413</v>
      </c>
      <c r="C47" s="56" t="s">
        <v>8293</v>
      </c>
      <c r="D47" s="57" t="e">
        <f>+#REF!</f>
        <v>#REF!</v>
      </c>
      <c r="E47" s="58">
        <f ca="1" t="shared" si="15"/>
        <v>0</v>
      </c>
      <c r="F47" s="59">
        <f ca="1" t="shared" si="9"/>
        <v>0</v>
      </c>
      <c r="G47" s="60">
        <f ca="1">+GETPIVOTDATA("XBG4",'binhgia (2016)'!$A$3,"MA_HT","DTS","MA_QH","LUC")</f>
        <v>0</v>
      </c>
      <c r="H47" s="60">
        <f ca="1">+GETPIVOTDATA("XBG4",'binhgia (2016)'!$A$3,"MA_HT","DTS","MA_QH","LUK")</f>
        <v>0</v>
      </c>
      <c r="I47" s="60">
        <f ca="1">+GETPIVOTDATA("XBG4",'binhgia (2016)'!$A$3,"MA_HT","DTS","MA_QH","LUN")</f>
        <v>0</v>
      </c>
      <c r="J47" s="60">
        <f ca="1">+GETPIVOTDATA("XBG4",'binhgia (2016)'!$A$3,"MA_HT","DTS","MA_QH","HNK")</f>
        <v>0</v>
      </c>
      <c r="K47" s="60">
        <f ca="1">+GETPIVOTDATA("XBG4",'binhgia (2016)'!$A$3,"MA_HT","DTS","MA_QH","CLN")</f>
        <v>0</v>
      </c>
      <c r="L47" s="60">
        <f ca="1">+GETPIVOTDATA("XBG4",'binhgia (2016)'!$A$3,"MA_HT","DTS","MA_QH","RSX")</f>
        <v>0</v>
      </c>
      <c r="M47" s="60">
        <f ca="1">+GETPIVOTDATA("XBG4",'binhgia (2016)'!$A$3,"MA_HT","DTS","MA_QH","RPH")</f>
        <v>0</v>
      </c>
      <c r="N47" s="60">
        <f ca="1">+GETPIVOTDATA("XBG4",'binhgia (2016)'!$A$3,"MA_HT","DTS","MA_QH","RDD")</f>
        <v>0</v>
      </c>
      <c r="O47" s="60">
        <f ca="1">+GETPIVOTDATA("XBG4",'binhgia (2016)'!$A$3,"MA_HT","DTS","MA_QH","NTS")</f>
        <v>0</v>
      </c>
      <c r="P47" s="60">
        <f ca="1">+GETPIVOTDATA("XBG4",'binhgia (2016)'!$A$3,"MA_HT","DTS","MA_QH","LMU")</f>
        <v>0</v>
      </c>
      <c r="Q47" s="60">
        <f ca="1">+GETPIVOTDATA("XBG4",'binhgia (2016)'!$A$3,"MA_HT","DTS","MA_QH","NKH")</f>
        <v>0</v>
      </c>
      <c r="R47" s="78">
        <f ca="1">SUM(S47:AA47,AN47:AS47,AU47:BD47)</f>
        <v>0</v>
      </c>
      <c r="S47" s="60">
        <f ca="1">+GETPIVOTDATA("XBG4",'binhgia (2016)'!$A$3,"MA_HT","DTS","MA_QH","CQP")</f>
        <v>0</v>
      </c>
      <c r="T47" s="60">
        <f ca="1">+GETPIVOTDATA("XBG4",'binhgia (2016)'!$A$3,"MA_HT","DTS","MA_QH","CAN")</f>
        <v>0</v>
      </c>
      <c r="U47" s="60">
        <f ca="1">+GETPIVOTDATA("XBG4",'binhgia (2016)'!$A$3,"MA_HT","DTS","MA_QH","SKK")</f>
        <v>0</v>
      </c>
      <c r="V47" s="60">
        <f ca="1">+GETPIVOTDATA("XBG4",'binhgia (2016)'!$A$3,"MA_HT","DTS","MA_QH","SKT")</f>
        <v>0</v>
      </c>
      <c r="W47" s="60">
        <f ca="1">+GETPIVOTDATA("XBG4",'binhgia (2016)'!$A$3,"MA_HT","DTS","MA_QH","SKN")</f>
        <v>0</v>
      </c>
      <c r="X47" s="60">
        <f ca="1">+GETPIVOTDATA("XBG4",'binhgia (2016)'!$A$3,"MA_HT","DTS","MA_QH","TMD")</f>
        <v>0</v>
      </c>
      <c r="Y47" s="60">
        <f ca="1">+GETPIVOTDATA("XBG4",'binhgia (2016)'!$A$3,"MA_HT","DTS","MA_QH","SKC")</f>
        <v>0</v>
      </c>
      <c r="Z47" s="60">
        <f ca="1">+GETPIVOTDATA("XBG4",'binhgia (2016)'!$A$3,"MA_HT","DTS","MA_QH","SKS")</f>
        <v>0</v>
      </c>
      <c r="AA47" s="59">
        <f ca="1" t="shared" si="21"/>
        <v>0</v>
      </c>
      <c r="AB47" s="60">
        <f ca="1">+GETPIVOTDATA("XBG4",'binhgia (2016)'!$A$3,"MA_HT","DTS","MA_QH","DGT")</f>
        <v>0</v>
      </c>
      <c r="AC47" s="60">
        <f ca="1">+GETPIVOTDATA("XBG4",'binhgia (2016)'!$A$3,"MA_HT","DTS","MA_QH","DTL")</f>
        <v>0</v>
      </c>
      <c r="AD47" s="60">
        <f ca="1">+GETPIVOTDATA("XBG4",'binhgia (2016)'!$A$3,"MA_HT","DTS","MA_QH","DNL")</f>
        <v>0</v>
      </c>
      <c r="AE47" s="60">
        <f ca="1">+GETPIVOTDATA("XBG4",'binhgia (2016)'!$A$3,"MA_HT","DTS","MA_QH","DBV")</f>
        <v>0</v>
      </c>
      <c r="AF47" s="60">
        <f ca="1">+GETPIVOTDATA("XBG4",'binhgia (2016)'!$A$3,"MA_HT","DTS","MA_QH","DVH")</f>
        <v>0</v>
      </c>
      <c r="AG47" s="60">
        <f ca="1">+GETPIVOTDATA("XBG4",'binhgia (2016)'!$A$3,"MA_HT","DTS","MA_QH","DYT")</f>
        <v>0</v>
      </c>
      <c r="AH47" s="60">
        <f ca="1">+GETPIVOTDATA("XBG4",'binhgia (2016)'!$A$3,"MA_HT","DTS","MA_QH","DGD")</f>
        <v>0</v>
      </c>
      <c r="AI47" s="60">
        <f ca="1">+GETPIVOTDATA("XBG4",'binhgia (2016)'!$A$3,"MA_HT","DTS","MA_QH","DTT")</f>
        <v>0</v>
      </c>
      <c r="AJ47" s="60">
        <f ca="1">+GETPIVOTDATA("XBG4",'binhgia (2016)'!$A$3,"MA_HT","DTS","MA_QH","NCK")</f>
        <v>0</v>
      </c>
      <c r="AK47" s="60">
        <f ca="1">+GETPIVOTDATA("XBG4",'binhgia (2016)'!$A$3,"MA_HT","DTS","MA_QH","DXH")</f>
        <v>0</v>
      </c>
      <c r="AL47" s="60">
        <f ca="1">+GETPIVOTDATA("XBG4",'binhgia (2016)'!$A$3,"MA_HT","DTS","MA_QH","DCH")</f>
        <v>0</v>
      </c>
      <c r="AM47" s="60">
        <f ca="1">+GETPIVOTDATA("XBG4",'binhgia (2016)'!$A$3,"MA_HT","DTS","MA_QH","DKG")</f>
        <v>0</v>
      </c>
      <c r="AN47" s="60">
        <f ca="1">+GETPIVOTDATA("XBG4",'binhgia (2016)'!$A$3,"MA_HT","DTS","MA_QH","DDT")</f>
        <v>0</v>
      </c>
      <c r="AO47" s="60">
        <f ca="1">+GETPIVOTDATA("XBG4",'binhgia (2016)'!$A$3,"MA_HT","DTS","MA_QH","DDL")</f>
        <v>0</v>
      </c>
      <c r="AP47" s="60">
        <f ca="1">+GETPIVOTDATA("XBG4",'binhgia (2016)'!$A$3,"MA_HT","DTS","MA_QH","DRA")</f>
        <v>0</v>
      </c>
      <c r="AQ47" s="60">
        <f ca="1">+GETPIVOTDATA("XBG4",'binhgia (2016)'!$A$3,"MA_HT","DTS","MA_QH","ONT")</f>
        <v>0</v>
      </c>
      <c r="AR47" s="60">
        <f ca="1">+GETPIVOTDATA("XBG4",'binhgia (2016)'!$A$3,"MA_HT","DTS","MA_QH","ODT")</f>
        <v>0</v>
      </c>
      <c r="AS47" s="60">
        <f ca="1">+GETPIVOTDATA("XBG4",'binhgia (2016)'!$A$3,"MA_HT","DTS","MA_QH","TSC")</f>
        <v>0</v>
      </c>
      <c r="AT47" s="81" t="e">
        <f ca="1">$D47-$BF47</f>
        <v>#REF!</v>
      </c>
      <c r="AU47" s="60">
        <f ca="1">+GETPIVOTDATA("XBG4",'binhgia (2016)'!$A$3,"MA_HT","DTS","MA_QH","DNG")</f>
        <v>0</v>
      </c>
      <c r="AV47" s="60">
        <f ca="1">+GETPIVOTDATA("XBG4",'binhgia (2016)'!$A$3,"MA_HT","DTS","MA_QH","TON")</f>
        <v>0</v>
      </c>
      <c r="AW47" s="60">
        <f ca="1">+GETPIVOTDATA("XBG4",'binhgia (2016)'!$A$3,"MA_HT","DTS","MA_QH","NTD")</f>
        <v>0</v>
      </c>
      <c r="AX47" s="60">
        <f ca="1">+GETPIVOTDATA("XBG4",'binhgia (2016)'!$A$3,"MA_HT","DTS","MA_QH","SKX")</f>
        <v>0</v>
      </c>
      <c r="AY47" s="60">
        <f ca="1">+GETPIVOTDATA("XBG4",'binhgia (2016)'!$A$3,"MA_HT","DTS","MA_QH","DSH")</f>
        <v>0</v>
      </c>
      <c r="AZ47" s="60">
        <f ca="1">+GETPIVOTDATA("XBG4",'binhgia (2016)'!$A$3,"MA_HT","DTS","MA_QH","DKV")</f>
        <v>0</v>
      </c>
      <c r="BA47" s="90">
        <f ca="1">+GETPIVOTDATA("XBG4",'binhgia (2016)'!$A$3,"MA_HT","DTS","MA_QH","TIN")</f>
        <v>0</v>
      </c>
      <c r="BB47" s="91">
        <f ca="1">+GETPIVOTDATA("XBG4",'binhgia (2016)'!$A$3,"MA_HT","DTS","MA_QH","SON")</f>
        <v>0</v>
      </c>
      <c r="BC47" s="91">
        <f ca="1">+GETPIVOTDATA("XBG4",'binhgia (2016)'!$A$3,"MA_HT","DTS","MA_QH","MNC")</f>
        <v>0</v>
      </c>
      <c r="BD47" s="60">
        <f ca="1">+GETPIVOTDATA("XBG4",'binhgia (2016)'!$A$3,"MA_HT","DTS","MA_QH","PNK")</f>
        <v>0</v>
      </c>
      <c r="BE47" s="111">
        <f ca="1">+GETPIVOTDATA("XBG4",'binhgia (2016)'!$A$3,"MA_HT","DTS","MA_QH","CSD")</f>
        <v>0</v>
      </c>
      <c r="BF47" s="112">
        <f ca="1" t="shared" si="13"/>
        <v>0</v>
      </c>
      <c r="BG47" s="113">
        <f ca="1">AT$59-$BF47</f>
        <v>0</v>
      </c>
      <c r="BH47" s="57" t="e">
        <f ca="1" t="shared" si="14"/>
        <v>#REF!</v>
      </c>
      <c r="BI47" s="98"/>
      <c r="BJ47" s="98"/>
      <c r="BK47" s="107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</row>
    <row r="48" s="2" customFormat="1" ht="15.75" customHeight="1" spans="1:79">
      <c r="A48" s="39" t="s">
        <v>8414</v>
      </c>
      <c r="B48" s="53" t="s">
        <v>8415</v>
      </c>
      <c r="C48" s="40" t="s">
        <v>8290</v>
      </c>
      <c r="D48" s="41" t="e">
        <f>+#REF!</f>
        <v>#REF!</v>
      </c>
      <c r="E48" s="42">
        <f ca="1" t="shared" si="15"/>
        <v>0</v>
      </c>
      <c r="F48" s="52">
        <f ca="1" t="shared" si="9"/>
        <v>0</v>
      </c>
      <c r="G48" s="22">
        <f ca="1">+GETPIVOTDATA("XBG4",'binhgia (2016)'!$A$3,"MA_HT","DNG","MA_QH","LUC")</f>
        <v>0</v>
      </c>
      <c r="H48" s="22">
        <f ca="1">+GETPIVOTDATA("XBG4",'binhgia (2016)'!$A$3,"MA_HT","DNG","MA_QH","LUK")</f>
        <v>0</v>
      </c>
      <c r="I48" s="22">
        <f ca="1">+GETPIVOTDATA("XBG4",'binhgia (2016)'!$A$3,"MA_HT","DNG","MA_QH","LUN")</f>
        <v>0</v>
      </c>
      <c r="J48" s="22">
        <f ca="1">+GETPIVOTDATA("XBG4",'binhgia (2016)'!$A$3,"MA_HT","DNG","MA_QH","HNK")</f>
        <v>0</v>
      </c>
      <c r="K48" s="22">
        <f ca="1">+GETPIVOTDATA("XBG4",'binhgia (2016)'!$A$3,"MA_HT","DNG","MA_QH","CLN")</f>
        <v>0</v>
      </c>
      <c r="L48" s="22">
        <f ca="1">+GETPIVOTDATA("XBG4",'binhgia (2016)'!$A$3,"MA_HT","DNG","MA_QH","RSX")</f>
        <v>0</v>
      </c>
      <c r="M48" s="22">
        <f ca="1">+GETPIVOTDATA("XBG4",'binhgia (2016)'!$A$3,"MA_HT","DNG","MA_QH","RPH")</f>
        <v>0</v>
      </c>
      <c r="N48" s="22">
        <f ca="1">+GETPIVOTDATA("XBG4",'binhgia (2016)'!$A$3,"MA_HT","DNG","MA_QH","RDD")</f>
        <v>0</v>
      </c>
      <c r="O48" s="22">
        <f ca="1">+GETPIVOTDATA("XBG4",'binhgia (2016)'!$A$3,"MA_HT","DNG","MA_QH","NTS")</f>
        <v>0</v>
      </c>
      <c r="P48" s="22">
        <f ca="1">+GETPIVOTDATA("XBG4",'binhgia (2016)'!$A$3,"MA_HT","DNG","MA_QH","LMU")</f>
        <v>0</v>
      </c>
      <c r="Q48" s="22">
        <f ca="1">+GETPIVOTDATA("XBG4",'binhgia (2016)'!$A$3,"MA_HT","DNG","MA_QH","NKH")</f>
        <v>0</v>
      </c>
      <c r="R48" s="79">
        <f ca="1">SUM(S48:AA48,AN48:AT48,AV48:BD48)</f>
        <v>0</v>
      </c>
      <c r="S48" s="22">
        <f ca="1">+GETPIVOTDATA("XBG4",'binhgia (2016)'!$A$3,"MA_HT","DNG","MA_QH","CQP")</f>
        <v>0</v>
      </c>
      <c r="T48" s="22">
        <f ca="1">+GETPIVOTDATA("XBG4",'binhgia (2016)'!$A$3,"MA_HT","DNG","MA_QH","CAN")</f>
        <v>0</v>
      </c>
      <c r="U48" s="22">
        <f ca="1">+GETPIVOTDATA("XBG4",'binhgia (2016)'!$A$3,"MA_HT","DNG","MA_QH","SKK")</f>
        <v>0</v>
      </c>
      <c r="V48" s="22">
        <f ca="1">+GETPIVOTDATA("XBG4",'binhgia (2016)'!$A$3,"MA_HT","DNG","MA_QH","SKT")</f>
        <v>0</v>
      </c>
      <c r="W48" s="22">
        <f ca="1">+GETPIVOTDATA("XBG4",'binhgia (2016)'!$A$3,"MA_HT","DNG","MA_QH","SKN")</f>
        <v>0</v>
      </c>
      <c r="X48" s="22">
        <f ca="1">+GETPIVOTDATA("XBG4",'binhgia (2016)'!$A$3,"MA_HT","DNG","MA_QH","TMD")</f>
        <v>0</v>
      </c>
      <c r="Y48" s="22">
        <f ca="1">+GETPIVOTDATA("XBG4",'binhgia (2016)'!$A$3,"MA_HT","DNG","MA_QH","SKC")</f>
        <v>0</v>
      </c>
      <c r="Z48" s="22">
        <f ca="1">+GETPIVOTDATA("XBG4",'binhgia (2016)'!$A$3,"MA_HT","DNG","MA_QH","SKS")</f>
        <v>0</v>
      </c>
      <c r="AA48" s="52">
        <f ca="1" t="shared" si="21"/>
        <v>0</v>
      </c>
      <c r="AB48" s="22">
        <f ca="1">+GETPIVOTDATA("XBG4",'binhgia (2016)'!$A$3,"MA_HT","DNG","MA_QH","DGT")</f>
        <v>0</v>
      </c>
      <c r="AC48" s="22">
        <f ca="1">+GETPIVOTDATA("XBG4",'binhgia (2016)'!$A$3,"MA_HT","DNG","MA_QH","DTL")</f>
        <v>0</v>
      </c>
      <c r="AD48" s="22">
        <f ca="1">+GETPIVOTDATA("XBG4",'binhgia (2016)'!$A$3,"MA_HT","DNG","MA_QH","DNL")</f>
        <v>0</v>
      </c>
      <c r="AE48" s="22">
        <f ca="1">+GETPIVOTDATA("XBG4",'binhgia (2016)'!$A$3,"MA_HT","DNG","MA_QH","DBV")</f>
        <v>0</v>
      </c>
      <c r="AF48" s="22">
        <f ca="1">+GETPIVOTDATA("XBG4",'binhgia (2016)'!$A$3,"MA_HT","DNG","MA_QH","DVH")</f>
        <v>0</v>
      </c>
      <c r="AG48" s="22">
        <f ca="1">+GETPIVOTDATA("XBG4",'binhgia (2016)'!$A$3,"MA_HT","DNG","MA_QH","DYT")</f>
        <v>0</v>
      </c>
      <c r="AH48" s="22">
        <f ca="1">+GETPIVOTDATA("XBG4",'binhgia (2016)'!$A$3,"MA_HT","DNG","MA_QH","DGD")</f>
        <v>0</v>
      </c>
      <c r="AI48" s="22">
        <f ca="1">+GETPIVOTDATA("XBG4",'binhgia (2016)'!$A$3,"MA_HT","DNG","MA_QH","DTT")</f>
        <v>0</v>
      </c>
      <c r="AJ48" s="22">
        <f ca="1">+GETPIVOTDATA("XBG4",'binhgia (2016)'!$A$3,"MA_HT","DNG","MA_QH","NCK")</f>
        <v>0</v>
      </c>
      <c r="AK48" s="22">
        <f ca="1">+GETPIVOTDATA("XBG4",'binhgia (2016)'!$A$3,"MA_HT","DNG","MA_QH","DXH")</f>
        <v>0</v>
      </c>
      <c r="AL48" s="22">
        <f ca="1">+GETPIVOTDATA("XBG4",'binhgia (2016)'!$A$3,"MA_HT","DNG","MA_QH","DCH")</f>
        <v>0</v>
      </c>
      <c r="AM48" s="22">
        <f ca="1">+GETPIVOTDATA("XBG4",'binhgia (2016)'!$A$3,"MA_HT","DNG","MA_QH","DKG")</f>
        <v>0</v>
      </c>
      <c r="AN48" s="22">
        <f ca="1">+GETPIVOTDATA("XBG4",'binhgia (2016)'!$A$3,"MA_HT","DNG","MA_QH","DDT")</f>
        <v>0</v>
      </c>
      <c r="AO48" s="22">
        <f ca="1">+GETPIVOTDATA("XBG4",'binhgia (2016)'!$A$3,"MA_HT","DNG","MA_QH","DDL")</f>
        <v>0</v>
      </c>
      <c r="AP48" s="22">
        <f ca="1">+GETPIVOTDATA("XBG4",'binhgia (2016)'!$A$3,"MA_HT","DNG","MA_QH","DRA")</f>
        <v>0</v>
      </c>
      <c r="AQ48" s="22">
        <f ca="1">+GETPIVOTDATA("XBG4",'binhgia (2016)'!$A$3,"MA_HT","DNG","MA_QH","ONT")</f>
        <v>0</v>
      </c>
      <c r="AR48" s="22">
        <f ca="1">+GETPIVOTDATA("XBG4",'binhgia (2016)'!$A$3,"MA_HT","DNG","MA_QH","ODT")</f>
        <v>0</v>
      </c>
      <c r="AS48" s="22">
        <f ca="1">+GETPIVOTDATA("XBG4",'binhgia (2016)'!$A$3,"MA_HT","DNG","MA_QH","TSC")</f>
        <v>0</v>
      </c>
      <c r="AT48" s="22">
        <f ca="1">+GETPIVOTDATA("XBG4",'binhgia (2016)'!$A$3,"MA_HT","DNG","MA_QH","DTS")</f>
        <v>0</v>
      </c>
      <c r="AU48" s="43" t="e">
        <f ca="1">$D48-$BF48</f>
        <v>#REF!</v>
      </c>
      <c r="AV48" s="22">
        <f ca="1">+GETPIVOTDATA("XBG4",'binhgia (2016)'!$A$3,"MA_HT","DNG","MA_QH","TON")</f>
        <v>0</v>
      </c>
      <c r="AW48" s="22">
        <f ca="1">+GETPIVOTDATA("XBG4",'binhgia (2016)'!$A$3,"MA_HT","DNG","MA_QH","NTD")</f>
        <v>0</v>
      </c>
      <c r="AX48" s="22">
        <f ca="1">+GETPIVOTDATA("XBG4",'binhgia (2016)'!$A$3,"MA_HT","DNG","MA_QH","SKX")</f>
        <v>0</v>
      </c>
      <c r="AY48" s="22">
        <f ca="1">+GETPIVOTDATA("XBG4",'binhgia (2016)'!$A$3,"MA_HT","DNG","MA_QH","DSH")</f>
        <v>0</v>
      </c>
      <c r="AZ48" s="22">
        <f ca="1">+GETPIVOTDATA("XBG4",'binhgia (2016)'!$A$3,"MA_HT","DNG","MA_QH","DKV")</f>
        <v>0</v>
      </c>
      <c r="BA48" s="89">
        <f ca="1">+GETPIVOTDATA("XBG4",'binhgia (2016)'!$A$3,"MA_HT","DNG","MA_QH","TIN")</f>
        <v>0</v>
      </c>
      <c r="BB48" s="50">
        <f ca="1">+GETPIVOTDATA("XBG4",'binhgia (2016)'!$A$3,"MA_HT","DNG","MA_QH","SON")</f>
        <v>0</v>
      </c>
      <c r="BC48" s="50">
        <f ca="1">+GETPIVOTDATA("XBG4",'binhgia (2016)'!$A$3,"MA_HT","DNG","MA_QH","MNC")</f>
        <v>0</v>
      </c>
      <c r="BD48" s="22">
        <f ca="1">+GETPIVOTDATA("XBG4",'binhgia (2016)'!$A$3,"MA_HT","DNG","MA_QH","PNK")</f>
        <v>0</v>
      </c>
      <c r="BE48" s="71">
        <f ca="1">+GETPIVOTDATA("XBG4",'binhgia (2016)'!$A$3,"MA_HT","DNG","MA_QH","CSD")</f>
        <v>0</v>
      </c>
      <c r="BF48" s="74">
        <f ca="1" t="shared" si="13"/>
        <v>0</v>
      </c>
      <c r="BG48" s="101">
        <f ca="1">AU$59-$BF48</f>
        <v>0</v>
      </c>
      <c r="BH48" s="41" t="e">
        <f ca="1" t="shared" si="14"/>
        <v>#REF!</v>
      </c>
      <c r="BI48" s="98"/>
      <c r="BJ48" s="98" t="e">
        <f>#REF!</f>
        <v>#REF!</v>
      </c>
      <c r="BK48" s="107" t="e">
        <f ca="1">BH48-BJ48</f>
        <v>#REF!</v>
      </c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</row>
    <row r="49" s="2" customFormat="1" ht="15.75" customHeight="1" spans="1:79">
      <c r="A49" s="39" t="s">
        <v>8416</v>
      </c>
      <c r="B49" s="53" t="s">
        <v>8417</v>
      </c>
      <c r="C49" s="40" t="s">
        <v>324</v>
      </c>
      <c r="D49" s="41" t="e">
        <f>+#REF!</f>
        <v>#REF!</v>
      </c>
      <c r="E49" s="42">
        <f ca="1" t="shared" si="15"/>
        <v>0</v>
      </c>
      <c r="F49" s="52">
        <f ca="1" t="shared" si="9"/>
        <v>0</v>
      </c>
      <c r="G49" s="22">
        <f ca="1">+GETPIVOTDATA("XBG4",'binhgia (2016)'!$A$3,"MA_HT","TON","MA_QH","LUC")</f>
        <v>0</v>
      </c>
      <c r="H49" s="22">
        <f ca="1">+GETPIVOTDATA("XBG4",'binhgia (2016)'!$A$3,"MA_HT","TON","MA_QH","LUK")</f>
        <v>0</v>
      </c>
      <c r="I49" s="22">
        <f ca="1">+GETPIVOTDATA("XBG4",'binhgia (2016)'!$A$3,"MA_HT","TON","MA_QH","LUN")</f>
        <v>0</v>
      </c>
      <c r="J49" s="22">
        <f ca="1">+GETPIVOTDATA("XBG4",'binhgia (2016)'!$A$3,"MA_HT","TON","MA_QH","HNK")</f>
        <v>0</v>
      </c>
      <c r="K49" s="22">
        <f ca="1">+GETPIVOTDATA("XBG4",'binhgia (2016)'!$A$3,"MA_HT","TON","MA_QH","CLN")</f>
        <v>0</v>
      </c>
      <c r="L49" s="22">
        <f ca="1">+GETPIVOTDATA("XBG4",'binhgia (2016)'!$A$3,"MA_HT","TON","MA_QH","RSX")</f>
        <v>0</v>
      </c>
      <c r="M49" s="22">
        <f ca="1">+GETPIVOTDATA("XBG4",'binhgia (2016)'!$A$3,"MA_HT","TON","MA_QH","RPH")</f>
        <v>0</v>
      </c>
      <c r="N49" s="22">
        <f ca="1">+GETPIVOTDATA("XBG4",'binhgia (2016)'!$A$3,"MA_HT","TON","MA_QH","RDD")</f>
        <v>0</v>
      </c>
      <c r="O49" s="22">
        <f ca="1">+GETPIVOTDATA("XBG4",'binhgia (2016)'!$A$3,"MA_HT","TON","MA_QH","NTS")</f>
        <v>0</v>
      </c>
      <c r="P49" s="22">
        <f ca="1">+GETPIVOTDATA("XBG4",'binhgia (2016)'!$A$3,"MA_HT","TON","MA_QH","LMU")</f>
        <v>0</v>
      </c>
      <c r="Q49" s="22">
        <f ca="1">+GETPIVOTDATA("XBG4",'binhgia (2016)'!$A$3,"MA_HT","TON","MA_QH","NKH")</f>
        <v>0</v>
      </c>
      <c r="R49" s="79">
        <f ca="1">SUM(S49:AA49,AN49:AU49,AW49:BD49)</f>
        <v>0</v>
      </c>
      <c r="S49" s="22">
        <f ca="1">+GETPIVOTDATA("XBG4",'binhgia (2016)'!$A$3,"MA_HT","TON","MA_QH","CQP")</f>
        <v>0</v>
      </c>
      <c r="T49" s="22">
        <f ca="1">+GETPIVOTDATA("XBG4",'binhgia (2016)'!$A$3,"MA_HT","TON","MA_QH","CAN")</f>
        <v>0</v>
      </c>
      <c r="U49" s="22">
        <f ca="1">+GETPIVOTDATA("XBG4",'binhgia (2016)'!$A$3,"MA_HT","TON","MA_QH","SKK")</f>
        <v>0</v>
      </c>
      <c r="V49" s="22">
        <f ca="1">+GETPIVOTDATA("XBG4",'binhgia (2016)'!$A$3,"MA_HT","TON","MA_QH","SKT")</f>
        <v>0</v>
      </c>
      <c r="W49" s="22">
        <f ca="1">+GETPIVOTDATA("XBG4",'binhgia (2016)'!$A$3,"MA_HT","TON","MA_QH","SKN")</f>
        <v>0</v>
      </c>
      <c r="X49" s="22">
        <f ca="1">+GETPIVOTDATA("XBG4",'binhgia (2016)'!$A$3,"MA_HT","TON","MA_QH","TMD")</f>
        <v>0</v>
      </c>
      <c r="Y49" s="22">
        <f ca="1">+GETPIVOTDATA("XBG4",'binhgia (2016)'!$A$3,"MA_HT","TON","MA_QH","SKC")</f>
        <v>0</v>
      </c>
      <c r="Z49" s="22">
        <f ca="1">+GETPIVOTDATA("XBG4",'binhgia (2016)'!$A$3,"MA_HT","TON","MA_QH","SKS")</f>
        <v>0</v>
      </c>
      <c r="AA49" s="52">
        <f ca="1" t="shared" si="21"/>
        <v>0</v>
      </c>
      <c r="AB49" s="22">
        <f ca="1">+GETPIVOTDATA("XBG4",'binhgia (2016)'!$A$3,"MA_HT","TON","MA_QH","DGT")</f>
        <v>0</v>
      </c>
      <c r="AC49" s="22">
        <f ca="1">+GETPIVOTDATA("XBG4",'binhgia (2016)'!$A$3,"MA_HT","TON","MA_QH","DTL")</f>
        <v>0</v>
      </c>
      <c r="AD49" s="22">
        <f ca="1">+GETPIVOTDATA("XBG4",'binhgia (2016)'!$A$3,"MA_HT","TON","MA_QH","DNL")</f>
        <v>0</v>
      </c>
      <c r="AE49" s="22">
        <f ca="1">+GETPIVOTDATA("XBG4",'binhgia (2016)'!$A$3,"MA_HT","TON","MA_QH","DBV")</f>
        <v>0</v>
      </c>
      <c r="AF49" s="22">
        <f ca="1">+GETPIVOTDATA("XBG4",'binhgia (2016)'!$A$3,"MA_HT","TON","MA_QH","DVH")</f>
        <v>0</v>
      </c>
      <c r="AG49" s="22">
        <f ca="1">+GETPIVOTDATA("XBG4",'binhgia (2016)'!$A$3,"MA_HT","TON","MA_QH","DYT")</f>
        <v>0</v>
      </c>
      <c r="AH49" s="22">
        <f ca="1">+GETPIVOTDATA("XBG4",'binhgia (2016)'!$A$3,"MA_HT","TON","MA_QH","DGD")</f>
        <v>0</v>
      </c>
      <c r="AI49" s="22">
        <f ca="1">+GETPIVOTDATA("XBG4",'binhgia (2016)'!$A$3,"MA_HT","TON","MA_QH","DTT")</f>
        <v>0</v>
      </c>
      <c r="AJ49" s="22">
        <f ca="1">+GETPIVOTDATA("XBG4",'binhgia (2016)'!$A$3,"MA_HT","TON","MA_QH","NCK")</f>
        <v>0</v>
      </c>
      <c r="AK49" s="22">
        <f ca="1">+GETPIVOTDATA("XBG4",'binhgia (2016)'!$A$3,"MA_HT","TON","MA_QH","DXH")</f>
        <v>0</v>
      </c>
      <c r="AL49" s="22">
        <f ca="1">+GETPIVOTDATA("XBG4",'binhgia (2016)'!$A$3,"MA_HT","TON","MA_QH","DCH")</f>
        <v>0</v>
      </c>
      <c r="AM49" s="22">
        <f ca="1">+GETPIVOTDATA("XBG4",'binhgia (2016)'!$A$3,"MA_HT","TON","MA_QH","DKG")</f>
        <v>0</v>
      </c>
      <c r="AN49" s="22">
        <f ca="1">+GETPIVOTDATA("XBG4",'binhgia (2016)'!$A$3,"MA_HT","TON","MA_QH","DDT")</f>
        <v>0</v>
      </c>
      <c r="AO49" s="22">
        <f ca="1">+GETPIVOTDATA("XBG4",'binhgia (2016)'!$A$3,"MA_HT","TON","MA_QH","DDL")</f>
        <v>0</v>
      </c>
      <c r="AP49" s="22">
        <f ca="1">+GETPIVOTDATA("XBG4",'binhgia (2016)'!$A$3,"MA_HT","TON","MA_QH","DRA")</f>
        <v>0</v>
      </c>
      <c r="AQ49" s="22">
        <f ca="1">+GETPIVOTDATA("XBG4",'binhgia (2016)'!$A$3,"MA_HT","TON","MA_QH","ONT")</f>
        <v>0</v>
      </c>
      <c r="AR49" s="22">
        <f ca="1">+GETPIVOTDATA("XBG4",'binhgia (2016)'!$A$3,"MA_HT","TON","MA_QH","ODT")</f>
        <v>0</v>
      </c>
      <c r="AS49" s="22">
        <f ca="1">+GETPIVOTDATA("XBG4",'binhgia (2016)'!$A$3,"MA_HT","TON","MA_QH","TSC")</f>
        <v>0</v>
      </c>
      <c r="AT49" s="22">
        <f ca="1">+GETPIVOTDATA("XBG4",'binhgia (2016)'!$A$3,"MA_HT","TON","MA_QH","DTS")</f>
        <v>0</v>
      </c>
      <c r="AU49" s="22">
        <f ca="1">+GETPIVOTDATA("XBG4",'binhgia (2016)'!$A$3,"MA_HT","TON","MA_QH","DNG")</f>
        <v>0</v>
      </c>
      <c r="AV49" s="43" t="e">
        <f ca="1">$D49-$BF49</f>
        <v>#REF!</v>
      </c>
      <c r="AW49" s="22">
        <f ca="1">+GETPIVOTDATA("XBG4",'binhgia (2016)'!$A$3,"MA_HT","TON","MA_QH","NTD")</f>
        <v>0</v>
      </c>
      <c r="AX49" s="22">
        <f ca="1">+GETPIVOTDATA("XBG4",'binhgia (2016)'!$A$3,"MA_HT","TON","MA_QH","SKX")</f>
        <v>0</v>
      </c>
      <c r="AY49" s="22">
        <f ca="1">+GETPIVOTDATA("XBG4",'binhgia (2016)'!$A$3,"MA_HT","TON","MA_QH","DSH")</f>
        <v>0</v>
      </c>
      <c r="AZ49" s="22">
        <f ca="1">+GETPIVOTDATA("XBG4",'binhgia (2016)'!$A$3,"MA_HT","TON","MA_QH","DKV")</f>
        <v>0</v>
      </c>
      <c r="BA49" s="89">
        <f ca="1">+GETPIVOTDATA("XBG4",'binhgia (2016)'!$A$3,"MA_HT","TON","MA_QH","TIN")</f>
        <v>0</v>
      </c>
      <c r="BB49" s="50">
        <f ca="1">+GETPIVOTDATA("XBG4",'binhgia (2016)'!$A$3,"MA_HT","TON","MA_QH","SON")</f>
        <v>0</v>
      </c>
      <c r="BC49" s="50">
        <f ca="1">+GETPIVOTDATA("XBG4",'binhgia (2016)'!$A$3,"MA_HT","TON","MA_QH","MNC")</f>
        <v>0</v>
      </c>
      <c r="BD49" s="22">
        <f ca="1">+GETPIVOTDATA("XBG4",'binhgia (2016)'!$A$3,"MA_HT","TON","MA_QH","PNK")</f>
        <v>0</v>
      </c>
      <c r="BE49" s="71">
        <f ca="1">+GETPIVOTDATA("XBG4",'binhgia (2016)'!$A$3,"MA_HT","TON","MA_QH","CSD")</f>
        <v>0</v>
      </c>
      <c r="BF49" s="74">
        <f ca="1" t="shared" si="13"/>
        <v>0</v>
      </c>
      <c r="BG49" s="101">
        <f ca="1">AV$59-$BF49</f>
        <v>0</v>
      </c>
      <c r="BH49" s="41" t="e">
        <f ca="1" t="shared" si="14"/>
        <v>#REF!</v>
      </c>
      <c r="BI49" s="98"/>
      <c r="BJ49" s="98" t="e">
        <f>#REF!</f>
        <v>#REF!</v>
      </c>
      <c r="BK49" s="107" t="e">
        <f ca="1">BH49-BJ49</f>
        <v>#REF!</v>
      </c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</row>
    <row r="50" s="2" customFormat="1" ht="15.75" customHeight="1" spans="1:79">
      <c r="A50" s="39" t="s">
        <v>8418</v>
      </c>
      <c r="B50" s="53" t="s">
        <v>8419</v>
      </c>
      <c r="C50" s="40" t="s">
        <v>182</v>
      </c>
      <c r="D50" s="41" t="e">
        <f>+#REF!</f>
        <v>#REF!</v>
      </c>
      <c r="E50" s="42">
        <f ca="1" t="shared" si="15"/>
        <v>0</v>
      </c>
      <c r="F50" s="52">
        <f ca="1" t="shared" si="9"/>
        <v>0</v>
      </c>
      <c r="G50" s="22">
        <f ca="1">+GETPIVOTDATA("XBG4",'binhgia (2016)'!$A$3,"MA_HT","NTD","MA_QH","LUC")</f>
        <v>0</v>
      </c>
      <c r="H50" s="22">
        <f ca="1">+GETPIVOTDATA("XBG4",'binhgia (2016)'!$A$3,"MA_HT","NTD","MA_QH","LUK")</f>
        <v>0</v>
      </c>
      <c r="I50" s="22">
        <f ca="1">+GETPIVOTDATA("XBG4",'binhgia (2016)'!$A$3,"MA_HT","NTD","MA_QH","LUN")</f>
        <v>0</v>
      </c>
      <c r="J50" s="22">
        <f ca="1">+GETPIVOTDATA("XBG4",'binhgia (2016)'!$A$3,"MA_HT","NTD","MA_QH","HNK")</f>
        <v>0</v>
      </c>
      <c r="K50" s="22">
        <f ca="1">+GETPIVOTDATA("XBG4",'binhgia (2016)'!$A$3,"MA_HT","NTD","MA_QH","CLN")</f>
        <v>0</v>
      </c>
      <c r="L50" s="22">
        <f ca="1">+GETPIVOTDATA("XBG4",'binhgia (2016)'!$A$3,"MA_HT","NTD","MA_QH","RSX")</f>
        <v>0</v>
      </c>
      <c r="M50" s="22">
        <f ca="1">+GETPIVOTDATA("XBG4",'binhgia (2016)'!$A$3,"MA_HT","NTD","MA_QH","RPH")</f>
        <v>0</v>
      </c>
      <c r="N50" s="22">
        <f ca="1">+GETPIVOTDATA("XBG4",'binhgia (2016)'!$A$3,"MA_HT","NTD","MA_QH","RDD")</f>
        <v>0</v>
      </c>
      <c r="O50" s="22">
        <f ca="1">+GETPIVOTDATA("XBG4",'binhgia (2016)'!$A$3,"MA_HT","NTD","MA_QH","NTS")</f>
        <v>0</v>
      </c>
      <c r="P50" s="22">
        <f ca="1">+GETPIVOTDATA("XBG4",'binhgia (2016)'!$A$3,"MA_HT","NTD","MA_QH","LMU")</f>
        <v>0</v>
      </c>
      <c r="Q50" s="22">
        <f ca="1">+GETPIVOTDATA("XBG4",'binhgia (2016)'!$A$3,"MA_HT","NTD","MA_QH","NKH")</f>
        <v>0</v>
      </c>
      <c r="R50" s="79">
        <f ca="1">SUM(S50:AA50,AN50:AV50,AX50:BD50)</f>
        <v>0</v>
      </c>
      <c r="S50" s="22">
        <f ca="1">+GETPIVOTDATA("XBG4",'binhgia (2016)'!$A$3,"MA_HT","NTD","MA_QH","CQP")</f>
        <v>0</v>
      </c>
      <c r="T50" s="22">
        <f ca="1">+GETPIVOTDATA("XBG4",'binhgia (2016)'!$A$3,"MA_HT","NTD","MA_QH","CAN")</f>
        <v>0</v>
      </c>
      <c r="U50" s="22">
        <f ca="1">+GETPIVOTDATA("XBG4",'binhgia (2016)'!$A$3,"MA_HT","NTD","MA_QH","SKK")</f>
        <v>0</v>
      </c>
      <c r="V50" s="22">
        <f ca="1">+GETPIVOTDATA("XBG4",'binhgia (2016)'!$A$3,"MA_HT","NTD","MA_QH","SKT")</f>
        <v>0</v>
      </c>
      <c r="W50" s="22">
        <f ca="1">+GETPIVOTDATA("XBG4",'binhgia (2016)'!$A$3,"MA_HT","NTD","MA_QH","SKN")</f>
        <v>0</v>
      </c>
      <c r="X50" s="22">
        <f ca="1">+GETPIVOTDATA("XBG4",'binhgia (2016)'!$A$3,"MA_HT","NTD","MA_QH","TMD")</f>
        <v>0</v>
      </c>
      <c r="Y50" s="22">
        <f ca="1">+GETPIVOTDATA("XBG4",'binhgia (2016)'!$A$3,"MA_HT","NTD","MA_QH","SKC")</f>
        <v>0</v>
      </c>
      <c r="Z50" s="22">
        <f ca="1">+GETPIVOTDATA("XBG4",'binhgia (2016)'!$A$3,"MA_HT","NTD","MA_QH","SKS")</f>
        <v>0</v>
      </c>
      <c r="AA50" s="52">
        <f ca="1" t="shared" si="21"/>
        <v>0</v>
      </c>
      <c r="AB50" s="22">
        <f ca="1">+GETPIVOTDATA("XBG4",'binhgia (2016)'!$A$3,"MA_HT","NTD","MA_QH","DGT")</f>
        <v>0</v>
      </c>
      <c r="AC50" s="22">
        <f ca="1">+GETPIVOTDATA("XBG4",'binhgia (2016)'!$A$3,"MA_HT","NTD","MA_QH","DTL")</f>
        <v>0</v>
      </c>
      <c r="AD50" s="22">
        <f ca="1">+GETPIVOTDATA("XBG4",'binhgia (2016)'!$A$3,"MA_HT","NTD","MA_QH","DNL")</f>
        <v>0</v>
      </c>
      <c r="AE50" s="22">
        <f ca="1">+GETPIVOTDATA("XBG4",'binhgia (2016)'!$A$3,"MA_HT","NTD","MA_QH","DBV")</f>
        <v>0</v>
      </c>
      <c r="AF50" s="22">
        <f ca="1">+GETPIVOTDATA("XBG4",'binhgia (2016)'!$A$3,"MA_HT","NTD","MA_QH","DVH")</f>
        <v>0</v>
      </c>
      <c r="AG50" s="22">
        <f ca="1">+GETPIVOTDATA("XBG4",'binhgia (2016)'!$A$3,"MA_HT","NTD","MA_QH","DYT")</f>
        <v>0</v>
      </c>
      <c r="AH50" s="22">
        <f ca="1">+GETPIVOTDATA("XBG4",'binhgia (2016)'!$A$3,"MA_HT","NTD","MA_QH","DGD")</f>
        <v>0</v>
      </c>
      <c r="AI50" s="22">
        <f ca="1">+GETPIVOTDATA("XBG4",'binhgia (2016)'!$A$3,"MA_HT","NTD","MA_QH","DTT")</f>
        <v>0</v>
      </c>
      <c r="AJ50" s="22">
        <f ca="1">+GETPIVOTDATA("XBG4",'binhgia (2016)'!$A$3,"MA_HT","NTD","MA_QH","NCK")</f>
        <v>0</v>
      </c>
      <c r="AK50" s="22">
        <f ca="1">+GETPIVOTDATA("XBG4",'binhgia (2016)'!$A$3,"MA_HT","NTD","MA_QH","DXH")</f>
        <v>0</v>
      </c>
      <c r="AL50" s="22">
        <f ca="1">+GETPIVOTDATA("XBG4",'binhgia (2016)'!$A$3,"MA_HT","NTD","MA_QH","DCH")</f>
        <v>0</v>
      </c>
      <c r="AM50" s="22">
        <f ca="1">+GETPIVOTDATA("XBG4",'binhgia (2016)'!$A$3,"MA_HT","NTD","MA_QH","DKG")</f>
        <v>0</v>
      </c>
      <c r="AN50" s="22">
        <f ca="1">+GETPIVOTDATA("XBG4",'binhgia (2016)'!$A$3,"MA_HT","NTD","MA_QH","DDT")</f>
        <v>0</v>
      </c>
      <c r="AO50" s="22">
        <f ca="1">+GETPIVOTDATA("XBG4",'binhgia (2016)'!$A$3,"MA_HT","NTD","MA_QH","DDL")</f>
        <v>0</v>
      </c>
      <c r="AP50" s="22">
        <f ca="1">+GETPIVOTDATA("XBG4",'binhgia (2016)'!$A$3,"MA_HT","NTD","MA_QH","DRA")</f>
        <v>0</v>
      </c>
      <c r="AQ50" s="22">
        <f ca="1">+GETPIVOTDATA("XBG4",'binhgia (2016)'!$A$3,"MA_HT","NTD","MA_QH","ONT")</f>
        <v>0</v>
      </c>
      <c r="AR50" s="22">
        <f ca="1">+GETPIVOTDATA("XBG4",'binhgia (2016)'!$A$3,"MA_HT","NTD","MA_QH","ODT")</f>
        <v>0</v>
      </c>
      <c r="AS50" s="22">
        <f ca="1">+GETPIVOTDATA("XBG4",'binhgia (2016)'!$A$3,"MA_HT","NTD","MA_QH","TSC")</f>
        <v>0</v>
      </c>
      <c r="AT50" s="22">
        <f ca="1">+GETPIVOTDATA("XBG4",'binhgia (2016)'!$A$3,"MA_HT","NTD","MA_QH","DTS")</f>
        <v>0</v>
      </c>
      <c r="AU50" s="22">
        <f ca="1">+GETPIVOTDATA("XBG4",'binhgia (2016)'!$A$3,"MA_HT","NTD","MA_QH","DNG")</f>
        <v>0</v>
      </c>
      <c r="AV50" s="22">
        <f ca="1">+GETPIVOTDATA("XBG4",'binhgia (2016)'!$A$3,"MA_HT","NTD","MA_QH","TON")</f>
        <v>0</v>
      </c>
      <c r="AW50" s="43" t="e">
        <f ca="1">$D50-$BF50</f>
        <v>#REF!</v>
      </c>
      <c r="AX50" s="22">
        <f ca="1">+GETPIVOTDATA("XBG4",'binhgia (2016)'!$A$3,"MA_HT","NTD","MA_QH","SKX")</f>
        <v>0</v>
      </c>
      <c r="AY50" s="22">
        <f ca="1">+GETPIVOTDATA("XBG4",'binhgia (2016)'!$A$3,"MA_HT","NTD","MA_QH","DSH")</f>
        <v>0</v>
      </c>
      <c r="AZ50" s="22">
        <f ca="1">+GETPIVOTDATA("XBG4",'binhgia (2016)'!$A$3,"MA_HT","NTD","MA_QH","DKV")</f>
        <v>0</v>
      </c>
      <c r="BA50" s="89">
        <f ca="1">+GETPIVOTDATA("XBG4",'binhgia (2016)'!$A$3,"MA_HT","NTD","MA_QH","TIN")</f>
        <v>0</v>
      </c>
      <c r="BB50" s="50">
        <f ca="1">+GETPIVOTDATA("XBG4",'binhgia (2016)'!$A$3,"MA_HT","NTD","MA_QH","SON")</f>
        <v>0</v>
      </c>
      <c r="BC50" s="50">
        <f ca="1">+GETPIVOTDATA("XBG4",'binhgia (2016)'!$A$3,"MA_HT","NTD","MA_QH","MNC")</f>
        <v>0</v>
      </c>
      <c r="BD50" s="22">
        <f ca="1">+GETPIVOTDATA("XBG4",'binhgia (2016)'!$A$3,"MA_HT","NTD","MA_QH","PNK")</f>
        <v>0</v>
      </c>
      <c r="BE50" s="71">
        <f ca="1">+GETPIVOTDATA("XBG4",'binhgia (2016)'!$A$3,"MA_HT","NTD","MA_QH","CSD")</f>
        <v>0</v>
      </c>
      <c r="BF50" s="74">
        <f ca="1" t="shared" si="13"/>
        <v>0</v>
      </c>
      <c r="BG50" s="101">
        <f ca="1">AW$59-$BF50</f>
        <v>0</v>
      </c>
      <c r="BH50" s="41" t="e">
        <f ca="1" t="shared" si="14"/>
        <v>#REF!</v>
      </c>
      <c r="BI50" s="98"/>
      <c r="BJ50" s="98"/>
      <c r="BK50" s="107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</row>
    <row r="51" s="2" customFormat="1" ht="15.75" customHeight="1" spans="1:79">
      <c r="A51" s="39" t="s">
        <v>8420</v>
      </c>
      <c r="B51" s="39" t="s">
        <v>8421</v>
      </c>
      <c r="C51" s="40" t="s">
        <v>236</v>
      </c>
      <c r="D51" s="41" t="e">
        <f>+#REF!</f>
        <v>#REF!</v>
      </c>
      <c r="E51" s="42">
        <f ca="1" t="shared" si="15"/>
        <v>0</v>
      </c>
      <c r="F51" s="52">
        <f ca="1" t="shared" si="9"/>
        <v>0</v>
      </c>
      <c r="G51" s="22">
        <f ca="1">+GETPIVOTDATA("XBG4",'binhgia (2016)'!$A$3,"MA_HT","SKX","MA_QH","LUC")</f>
        <v>0</v>
      </c>
      <c r="H51" s="22">
        <f ca="1">+GETPIVOTDATA("XBG4",'binhgia (2016)'!$A$3,"MA_HT","SKX","MA_QH","LUK")</f>
        <v>0</v>
      </c>
      <c r="I51" s="22">
        <f ca="1">+GETPIVOTDATA("XBG4",'binhgia (2016)'!$A$3,"MA_HT","SKX","MA_QH","LUN")</f>
        <v>0</v>
      </c>
      <c r="J51" s="22">
        <f ca="1">+GETPIVOTDATA("XBG4",'binhgia (2016)'!$A$3,"MA_HT","SKX","MA_QH","HNK")</f>
        <v>0</v>
      </c>
      <c r="K51" s="22">
        <f ca="1">+GETPIVOTDATA("XBG4",'binhgia (2016)'!$A$3,"MA_HT","SKX","MA_QH","CLN")</f>
        <v>0</v>
      </c>
      <c r="L51" s="22">
        <f ca="1">+GETPIVOTDATA("XBG4",'binhgia (2016)'!$A$3,"MA_HT","SKX","MA_QH","RSX")</f>
        <v>0</v>
      </c>
      <c r="M51" s="22">
        <f ca="1">+GETPIVOTDATA("XBG4",'binhgia (2016)'!$A$3,"MA_HT","SKX","MA_QH","RPH")</f>
        <v>0</v>
      </c>
      <c r="N51" s="22">
        <f ca="1">+GETPIVOTDATA("XBG4",'binhgia (2016)'!$A$3,"MA_HT","SKX","MA_QH","RDD")</f>
        <v>0</v>
      </c>
      <c r="O51" s="22">
        <f ca="1">+GETPIVOTDATA("XBG4",'binhgia (2016)'!$A$3,"MA_HT","SKX","MA_QH","NTS")</f>
        <v>0</v>
      </c>
      <c r="P51" s="22">
        <f ca="1">+GETPIVOTDATA("XBG4",'binhgia (2016)'!$A$3,"MA_HT","SKX","MA_QH","LMU")</f>
        <v>0</v>
      </c>
      <c r="Q51" s="22">
        <f ca="1">+GETPIVOTDATA("XBG4",'binhgia (2016)'!$A$3,"MA_HT","SKX","MA_QH","NKH")</f>
        <v>0</v>
      </c>
      <c r="R51" s="79">
        <f ca="1">SUM(S51:AA51,AN51:AW51,AY51:BD51)</f>
        <v>0</v>
      </c>
      <c r="S51" s="22">
        <f ca="1">+GETPIVOTDATA("XBG4",'binhgia (2016)'!$A$3,"MA_HT","SKX","MA_QH","CQP")</f>
        <v>0</v>
      </c>
      <c r="T51" s="22">
        <f ca="1">+GETPIVOTDATA("XBG4",'binhgia (2016)'!$A$3,"MA_HT","SKX","MA_QH","CAN")</f>
        <v>0</v>
      </c>
      <c r="U51" s="22">
        <f ca="1">+GETPIVOTDATA("XBG4",'binhgia (2016)'!$A$3,"MA_HT","SKX","MA_QH","SKK")</f>
        <v>0</v>
      </c>
      <c r="V51" s="22">
        <f ca="1">+GETPIVOTDATA("XBG4",'binhgia (2016)'!$A$3,"MA_HT","SKX","MA_QH","SKT")</f>
        <v>0</v>
      </c>
      <c r="W51" s="22">
        <f ca="1">+GETPIVOTDATA("XBG4",'binhgia (2016)'!$A$3,"MA_HT","SKX","MA_QH","SKN")</f>
        <v>0</v>
      </c>
      <c r="X51" s="22">
        <f ca="1">+GETPIVOTDATA("XBG4",'binhgia (2016)'!$A$3,"MA_HT","SKX","MA_QH","TMD")</f>
        <v>0</v>
      </c>
      <c r="Y51" s="22">
        <f ca="1">+GETPIVOTDATA("XBG4",'binhgia (2016)'!$A$3,"MA_HT","SKX","MA_QH","SKC")</f>
        <v>0</v>
      </c>
      <c r="Z51" s="22">
        <f ca="1">+GETPIVOTDATA("XBG4",'binhgia (2016)'!$A$3,"MA_HT","SKX","MA_QH","SKS")</f>
        <v>0</v>
      </c>
      <c r="AA51" s="52">
        <f ca="1" t="shared" si="21"/>
        <v>0</v>
      </c>
      <c r="AB51" s="22">
        <f ca="1">+GETPIVOTDATA("XBG4",'binhgia (2016)'!$A$3,"MA_HT","SKX","MA_QH","DGT")</f>
        <v>0</v>
      </c>
      <c r="AC51" s="22">
        <f ca="1">+GETPIVOTDATA("XBG4",'binhgia (2016)'!$A$3,"MA_HT","SKX","MA_QH","DTL")</f>
        <v>0</v>
      </c>
      <c r="AD51" s="22">
        <f ca="1">+GETPIVOTDATA("XBG4",'binhgia (2016)'!$A$3,"MA_HT","SKX","MA_QH","DNL")</f>
        <v>0</v>
      </c>
      <c r="AE51" s="22">
        <f ca="1">+GETPIVOTDATA("XBG4",'binhgia (2016)'!$A$3,"MA_HT","SKX","MA_QH","DBV")</f>
        <v>0</v>
      </c>
      <c r="AF51" s="22">
        <f ca="1">+GETPIVOTDATA("XBG4",'binhgia (2016)'!$A$3,"MA_HT","SKX","MA_QH","DVH")</f>
        <v>0</v>
      </c>
      <c r="AG51" s="22">
        <f ca="1">+GETPIVOTDATA("XBG4",'binhgia (2016)'!$A$3,"MA_HT","SKX","MA_QH","DYT")</f>
        <v>0</v>
      </c>
      <c r="AH51" s="22">
        <f ca="1">+GETPIVOTDATA("XBG4",'binhgia (2016)'!$A$3,"MA_HT","SKX","MA_QH","DGD")</f>
        <v>0</v>
      </c>
      <c r="AI51" s="22">
        <f ca="1">+GETPIVOTDATA("XBG4",'binhgia (2016)'!$A$3,"MA_HT","SKX","MA_QH","DTT")</f>
        <v>0</v>
      </c>
      <c r="AJ51" s="22">
        <f ca="1">+GETPIVOTDATA("XBG4",'binhgia (2016)'!$A$3,"MA_HT","SKX","MA_QH","NCK")</f>
        <v>0</v>
      </c>
      <c r="AK51" s="22">
        <f ca="1">+GETPIVOTDATA("XBG4",'binhgia (2016)'!$A$3,"MA_HT","SKX","MA_QH","DXH")</f>
        <v>0</v>
      </c>
      <c r="AL51" s="22">
        <f ca="1">+GETPIVOTDATA("XBG4",'binhgia (2016)'!$A$3,"MA_HT","SKX","MA_QH","DCH")</f>
        <v>0</v>
      </c>
      <c r="AM51" s="22">
        <f ca="1">+GETPIVOTDATA("XBG4",'binhgia (2016)'!$A$3,"MA_HT","SKX","MA_QH","DKG")</f>
        <v>0</v>
      </c>
      <c r="AN51" s="22">
        <f ca="1">+GETPIVOTDATA("XBG4",'binhgia (2016)'!$A$3,"MA_HT","SKX","MA_QH","DDT")</f>
        <v>0</v>
      </c>
      <c r="AO51" s="22">
        <f ca="1">+GETPIVOTDATA("XBG4",'binhgia (2016)'!$A$3,"MA_HT","SKX","MA_QH","DDL")</f>
        <v>0</v>
      </c>
      <c r="AP51" s="22">
        <f ca="1">+GETPIVOTDATA("XBG4",'binhgia (2016)'!$A$3,"MA_HT","SKX","MA_QH","DRA")</f>
        <v>0</v>
      </c>
      <c r="AQ51" s="22">
        <f ca="1">+GETPIVOTDATA("XBG4",'binhgia (2016)'!$A$3,"MA_HT","SKX","MA_QH","ONT")</f>
        <v>0</v>
      </c>
      <c r="AR51" s="22">
        <f ca="1">+GETPIVOTDATA("XBG4",'binhgia (2016)'!$A$3,"MA_HT","SKX","MA_QH","ODT")</f>
        <v>0</v>
      </c>
      <c r="AS51" s="22">
        <f ca="1">+GETPIVOTDATA("XBG4",'binhgia (2016)'!$A$3,"MA_HT","SKX","MA_QH","TSC")</f>
        <v>0</v>
      </c>
      <c r="AT51" s="22">
        <f ca="1">+GETPIVOTDATA("XBG4",'binhgia (2016)'!$A$3,"MA_HT","SKX","MA_QH","DTS")</f>
        <v>0</v>
      </c>
      <c r="AU51" s="22">
        <f ca="1">+GETPIVOTDATA("XBG4",'binhgia (2016)'!$A$3,"MA_HT","SKX","MA_QH","DNG")</f>
        <v>0</v>
      </c>
      <c r="AV51" s="22">
        <f ca="1">+GETPIVOTDATA("XBG4",'binhgia (2016)'!$A$3,"MA_HT","SKX","MA_QH","TON")</f>
        <v>0</v>
      </c>
      <c r="AW51" s="22">
        <f ca="1">+GETPIVOTDATA("XBG4",'binhgia (2016)'!$A$3,"MA_HT","SKX","MA_QH","NTD")</f>
        <v>0</v>
      </c>
      <c r="AX51" s="43" t="e">
        <f ca="1">$D51-$BF51</f>
        <v>#REF!</v>
      </c>
      <c r="AY51" s="22">
        <f ca="1">+GETPIVOTDATA("XBG4",'binhgia (2016)'!$A$3,"MA_HT","SKX","MA_QH","DSH")</f>
        <v>0</v>
      </c>
      <c r="AZ51" s="22">
        <f ca="1">+GETPIVOTDATA("XBG4",'binhgia (2016)'!$A$3,"MA_HT","SKX","MA_QH","DKV")</f>
        <v>0</v>
      </c>
      <c r="BA51" s="89">
        <f ca="1">+GETPIVOTDATA("XBG4",'binhgia (2016)'!$A$3,"MA_HT","SKX","MA_QH","TIN")</f>
        <v>0</v>
      </c>
      <c r="BB51" s="50">
        <f ca="1">+GETPIVOTDATA("XBG4",'binhgia (2016)'!$A$3,"MA_HT","SKX","MA_QH","SON")</f>
        <v>0</v>
      </c>
      <c r="BC51" s="50">
        <f ca="1">+GETPIVOTDATA("XBG4",'binhgia (2016)'!$A$3,"MA_HT","SKX","MA_QH","MNC")</f>
        <v>0</v>
      </c>
      <c r="BD51" s="22">
        <f ca="1">+GETPIVOTDATA("XBG4",'binhgia (2016)'!$A$3,"MA_HT","SKX","MA_QH","PNK")</f>
        <v>0</v>
      </c>
      <c r="BE51" s="71">
        <f ca="1">+GETPIVOTDATA("XBG4",'binhgia (2016)'!$A$3,"MA_HT","SKX","MA_QH","CSD")</f>
        <v>0</v>
      </c>
      <c r="BF51" s="74">
        <f ca="1" t="shared" si="13"/>
        <v>0</v>
      </c>
      <c r="BG51" s="101">
        <f ca="1">AX$59-$BF51</f>
        <v>0</v>
      </c>
      <c r="BH51" s="41" t="e">
        <f ca="1" t="shared" si="14"/>
        <v>#REF!</v>
      </c>
      <c r="BI51" s="98"/>
      <c r="BJ51" s="98" t="e">
        <f>#REF!</f>
        <v>#REF!</v>
      </c>
      <c r="BK51" s="107" t="e">
        <f ca="1">BH51-BJ51</f>
        <v>#REF!</v>
      </c>
      <c r="BL51" s="98"/>
      <c r="BM51" s="122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</row>
    <row r="52" s="2" customFormat="1" ht="15.75" customHeight="1" spans="1:79">
      <c r="A52" s="39" t="s">
        <v>8422</v>
      </c>
      <c r="B52" s="39" t="s">
        <v>8423</v>
      </c>
      <c r="C52" s="40" t="s">
        <v>8292</v>
      </c>
      <c r="D52" s="41" t="e">
        <f>+#REF!</f>
        <v>#REF!</v>
      </c>
      <c r="E52" s="42">
        <f ca="1" t="shared" si="15"/>
        <v>0</v>
      </c>
      <c r="F52" s="52">
        <f ca="1" t="shared" si="9"/>
        <v>0</v>
      </c>
      <c r="G52" s="22">
        <f ca="1">+GETPIVOTDATA("XBG4",'binhgia (2016)'!$A$3,"MA_HT","DSH","MA_QH","LUC")</f>
        <v>0</v>
      </c>
      <c r="H52" s="22">
        <f ca="1">+GETPIVOTDATA("XBG4",'binhgia (2016)'!$A$3,"MA_HT","DSH","MA_QH","LUK")</f>
        <v>0</v>
      </c>
      <c r="I52" s="22">
        <f ca="1">+GETPIVOTDATA("XBG4",'binhgia (2016)'!$A$3,"MA_HT","DSH","MA_QH","LUN")</f>
        <v>0</v>
      </c>
      <c r="J52" s="22">
        <f ca="1">+GETPIVOTDATA("XBG4",'binhgia (2016)'!$A$3,"MA_HT","DSH","MA_QH","HNK")</f>
        <v>0</v>
      </c>
      <c r="K52" s="22">
        <f ca="1">+GETPIVOTDATA("XBG4",'binhgia (2016)'!$A$3,"MA_HT","DSH","MA_QH","CLN")</f>
        <v>0</v>
      </c>
      <c r="L52" s="22">
        <f ca="1">+GETPIVOTDATA("XBG4",'binhgia (2016)'!$A$3,"MA_HT","DSH","MA_QH","RSX")</f>
        <v>0</v>
      </c>
      <c r="M52" s="22">
        <f ca="1">+GETPIVOTDATA("XBG4",'binhgia (2016)'!$A$3,"MA_HT","DSH","MA_QH","RPH")</f>
        <v>0</v>
      </c>
      <c r="N52" s="22">
        <f ca="1">+GETPIVOTDATA("XBG4",'binhgia (2016)'!$A$3,"MA_HT","DSH","MA_QH","RDD")</f>
        <v>0</v>
      </c>
      <c r="O52" s="22">
        <f ca="1">+GETPIVOTDATA("XBG4",'binhgia (2016)'!$A$3,"MA_HT","DSH","MA_QH","NTS")</f>
        <v>0</v>
      </c>
      <c r="P52" s="22">
        <f ca="1">+GETPIVOTDATA("XBG4",'binhgia (2016)'!$A$3,"MA_HT","DSH","MA_QH","LMU")</f>
        <v>0</v>
      </c>
      <c r="Q52" s="22">
        <f ca="1">+GETPIVOTDATA("XBG4",'binhgia (2016)'!$A$3,"MA_HT","DSH","MA_QH","NKH")</f>
        <v>0</v>
      </c>
      <c r="R52" s="79">
        <f ca="1">SUM(S52:AA52,AN52:AX52,AZ52:BD52)</f>
        <v>0</v>
      </c>
      <c r="S52" s="22">
        <f ca="1">+GETPIVOTDATA("XBG4",'binhgia (2016)'!$A$3,"MA_HT","DSH","MA_QH","CQP")</f>
        <v>0</v>
      </c>
      <c r="T52" s="22">
        <f ca="1">+GETPIVOTDATA("XBG4",'binhgia (2016)'!$A$3,"MA_HT","DSH","MA_QH","CAN")</f>
        <v>0</v>
      </c>
      <c r="U52" s="22">
        <f ca="1">+GETPIVOTDATA("XBG4",'binhgia (2016)'!$A$3,"MA_HT","DSH","MA_QH","SKK")</f>
        <v>0</v>
      </c>
      <c r="V52" s="22">
        <f ca="1">+GETPIVOTDATA("XBG4",'binhgia (2016)'!$A$3,"MA_HT","DSH","MA_QH","SKT")</f>
        <v>0</v>
      </c>
      <c r="W52" s="22">
        <f ca="1">+GETPIVOTDATA("XBG4",'binhgia (2016)'!$A$3,"MA_HT","DSH","MA_QH","SKN")</f>
        <v>0</v>
      </c>
      <c r="X52" s="22">
        <f ca="1">+GETPIVOTDATA("XBG4",'binhgia (2016)'!$A$3,"MA_HT","DSH","MA_QH","TMD")</f>
        <v>0</v>
      </c>
      <c r="Y52" s="22">
        <f ca="1">+GETPIVOTDATA("XBG4",'binhgia (2016)'!$A$3,"MA_HT","DSH","MA_QH","SKC")</f>
        <v>0</v>
      </c>
      <c r="Z52" s="22">
        <f ca="1">+GETPIVOTDATA("XBG4",'binhgia (2016)'!$A$3,"MA_HT","DSH","MA_QH","SKS")</f>
        <v>0</v>
      </c>
      <c r="AA52" s="52">
        <f ca="1" t="shared" si="21"/>
        <v>0</v>
      </c>
      <c r="AB52" s="22">
        <f ca="1">+GETPIVOTDATA("XBG4",'binhgia (2016)'!$A$3,"MA_HT","DSH","MA_QH","DGT")</f>
        <v>0</v>
      </c>
      <c r="AC52" s="22">
        <f ca="1">+GETPIVOTDATA("XBG4",'binhgia (2016)'!$A$3,"MA_HT","DSH","MA_QH","DTL")</f>
        <v>0</v>
      </c>
      <c r="AD52" s="22">
        <f ca="1">+GETPIVOTDATA("XBG4",'binhgia (2016)'!$A$3,"MA_HT","DSH","MA_QH","DNL")</f>
        <v>0</v>
      </c>
      <c r="AE52" s="22">
        <f ca="1">+GETPIVOTDATA("XBG4",'binhgia (2016)'!$A$3,"MA_HT","DSH","MA_QH","DBV")</f>
        <v>0</v>
      </c>
      <c r="AF52" s="22">
        <f ca="1">+GETPIVOTDATA("XBG4",'binhgia (2016)'!$A$3,"MA_HT","DSH","MA_QH","DVH")</f>
        <v>0</v>
      </c>
      <c r="AG52" s="22">
        <f ca="1">+GETPIVOTDATA("XBG4",'binhgia (2016)'!$A$3,"MA_HT","DSH","MA_QH","DYT")</f>
        <v>0</v>
      </c>
      <c r="AH52" s="22">
        <f ca="1">+GETPIVOTDATA("XBG4",'binhgia (2016)'!$A$3,"MA_HT","DSH","MA_QH","DGD")</f>
        <v>0</v>
      </c>
      <c r="AI52" s="22">
        <f ca="1">+GETPIVOTDATA("XBG4",'binhgia (2016)'!$A$3,"MA_HT","DSH","MA_QH","DTT")</f>
        <v>0</v>
      </c>
      <c r="AJ52" s="22">
        <f ca="1">+GETPIVOTDATA("XBG4",'binhgia (2016)'!$A$3,"MA_HT","DSH","MA_QH","NCK")</f>
        <v>0</v>
      </c>
      <c r="AK52" s="22">
        <f ca="1">+GETPIVOTDATA("XBG4",'binhgia (2016)'!$A$3,"MA_HT","DSH","MA_QH","DXH")</f>
        <v>0</v>
      </c>
      <c r="AL52" s="22">
        <f ca="1">+GETPIVOTDATA("XBG4",'binhgia (2016)'!$A$3,"MA_HT","DSH","MA_QH","DCH")</f>
        <v>0</v>
      </c>
      <c r="AM52" s="22">
        <f ca="1">+GETPIVOTDATA("XBG4",'binhgia (2016)'!$A$3,"MA_HT","DSH","MA_QH","DKG")</f>
        <v>0</v>
      </c>
      <c r="AN52" s="22">
        <f ca="1">+GETPIVOTDATA("XBG4",'binhgia (2016)'!$A$3,"MA_HT","DSH","MA_QH","DDT")</f>
        <v>0</v>
      </c>
      <c r="AO52" s="22">
        <f ca="1">+GETPIVOTDATA("XBG4",'binhgia (2016)'!$A$3,"MA_HT","DSH","MA_QH","DDL")</f>
        <v>0</v>
      </c>
      <c r="AP52" s="22">
        <f ca="1">+GETPIVOTDATA("XBG4",'binhgia (2016)'!$A$3,"MA_HT","DSH","MA_QH","DRA")</f>
        <v>0</v>
      </c>
      <c r="AQ52" s="22">
        <f ca="1">+GETPIVOTDATA("XBG4",'binhgia (2016)'!$A$3,"MA_HT","DSH","MA_QH","ONT")</f>
        <v>0</v>
      </c>
      <c r="AR52" s="22">
        <f ca="1">+GETPIVOTDATA("XBG4",'binhgia (2016)'!$A$3,"MA_HT","DSH","MA_QH","ODT")</f>
        <v>0</v>
      </c>
      <c r="AS52" s="22">
        <f ca="1">+GETPIVOTDATA("XBG4",'binhgia (2016)'!$A$3,"MA_HT","DSH","MA_QH","TSC")</f>
        <v>0</v>
      </c>
      <c r="AT52" s="22">
        <f ca="1">+GETPIVOTDATA("XBG4",'binhgia (2016)'!$A$3,"MA_HT","DSH","MA_QH","DTS")</f>
        <v>0</v>
      </c>
      <c r="AU52" s="22">
        <f ca="1">+GETPIVOTDATA("XBG4",'binhgia (2016)'!$A$3,"MA_HT","DSH","MA_QH","DNG")</f>
        <v>0</v>
      </c>
      <c r="AV52" s="22">
        <f ca="1">+GETPIVOTDATA("XBG4",'binhgia (2016)'!$A$3,"MA_HT","DSH","MA_QH","TON")</f>
        <v>0</v>
      </c>
      <c r="AW52" s="22">
        <f ca="1">+GETPIVOTDATA("XBG4",'binhgia (2016)'!$A$3,"MA_HT","DSH","MA_QH","NTD")</f>
        <v>0</v>
      </c>
      <c r="AX52" s="22">
        <f ca="1">+GETPIVOTDATA("XBG4",'binhgia (2016)'!$A$3,"MA_HT","DSH","MA_QH","SKX")</f>
        <v>0</v>
      </c>
      <c r="AY52" s="43" t="e">
        <f ca="1">$D52-$BF52</f>
        <v>#REF!</v>
      </c>
      <c r="AZ52" s="22">
        <f ca="1">+GETPIVOTDATA("XBG4",'binhgia (2016)'!$A$3,"MA_HT","DSH","MA_QH","DKV")</f>
        <v>0</v>
      </c>
      <c r="BA52" s="89">
        <f ca="1">+GETPIVOTDATA("XBG4",'binhgia (2016)'!$A$3,"MA_HT","DSH","MA_QH","TIN")</f>
        <v>0</v>
      </c>
      <c r="BB52" s="50">
        <f ca="1">+GETPIVOTDATA("XBG4",'binhgia (2016)'!$A$3,"MA_HT","DSH","MA_QH","SON")</f>
        <v>0</v>
      </c>
      <c r="BC52" s="50">
        <f ca="1">+GETPIVOTDATA("XBG4",'binhgia (2016)'!$A$3,"MA_HT","DSH","MA_QH","MNC")</f>
        <v>0</v>
      </c>
      <c r="BD52" s="22">
        <f ca="1">+GETPIVOTDATA("XBG4",'binhgia (2016)'!$A$3,"MA_HT","DSH","MA_QH","PNK")</f>
        <v>0</v>
      </c>
      <c r="BE52" s="71">
        <f ca="1">+GETPIVOTDATA("XBG4",'binhgia (2016)'!$A$3,"MA_HT","DSH","MA_QH","CSD")</f>
        <v>0</v>
      </c>
      <c r="BF52" s="74">
        <f ca="1" t="shared" si="13"/>
        <v>0</v>
      </c>
      <c r="BG52" s="101">
        <f ca="1">AY$59-$BF52</f>
        <v>0</v>
      </c>
      <c r="BH52" s="41" t="e">
        <f ca="1" t="shared" si="14"/>
        <v>#REF!</v>
      </c>
      <c r="BI52" s="98"/>
      <c r="BJ52" s="98" t="e">
        <f>#REF!</f>
        <v>#REF!</v>
      </c>
      <c r="BK52" s="107" t="e">
        <f ca="1">BH52-BJ52</f>
        <v>#REF!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</row>
    <row r="53" s="2" customFormat="1" ht="15.75" customHeight="1" spans="1:79">
      <c r="A53" s="39" t="s">
        <v>8424</v>
      </c>
      <c r="B53" s="39" t="s">
        <v>8425</v>
      </c>
      <c r="C53" s="40" t="s">
        <v>8289</v>
      </c>
      <c r="D53" s="41" t="e">
        <f>+#REF!</f>
        <v>#REF!</v>
      </c>
      <c r="E53" s="42">
        <f ca="1" t="shared" si="15"/>
        <v>0</v>
      </c>
      <c r="F53" s="52">
        <f ca="1" t="shared" si="9"/>
        <v>0</v>
      </c>
      <c r="G53" s="22">
        <f ca="1">+GETPIVOTDATA("XBG4",'binhgia (2016)'!$A$3,"MA_HT","DKV","MA_QH","LUC")</f>
        <v>0</v>
      </c>
      <c r="H53" s="22">
        <f ca="1">+GETPIVOTDATA("XBG4",'binhgia (2016)'!$A$3,"MA_HT","DKV","MA_QH","LUK")</f>
        <v>0</v>
      </c>
      <c r="I53" s="22">
        <f ca="1">+GETPIVOTDATA("XBG4",'binhgia (2016)'!$A$3,"MA_HT","DKV","MA_QH","LUN")</f>
        <v>0</v>
      </c>
      <c r="J53" s="22">
        <f ca="1">+GETPIVOTDATA("XBG4",'binhgia (2016)'!$A$3,"MA_HT","DKV","MA_QH","HNK")</f>
        <v>0</v>
      </c>
      <c r="K53" s="22">
        <f ca="1">+GETPIVOTDATA("XBG4",'binhgia (2016)'!$A$3,"MA_HT","DKV","MA_QH","CLN")</f>
        <v>0</v>
      </c>
      <c r="L53" s="22">
        <f ca="1">+GETPIVOTDATA("XBG4",'binhgia (2016)'!$A$3,"MA_HT","DKV","MA_QH","RSX")</f>
        <v>0</v>
      </c>
      <c r="M53" s="22">
        <f ca="1">+GETPIVOTDATA("XBG4",'binhgia (2016)'!$A$3,"MA_HT","DKV","MA_QH","RPH")</f>
        <v>0</v>
      </c>
      <c r="N53" s="22">
        <f ca="1">+GETPIVOTDATA("XBG4",'binhgia (2016)'!$A$3,"MA_HT","DKV","MA_QH","RDD")</f>
        <v>0</v>
      </c>
      <c r="O53" s="22">
        <f ca="1">+GETPIVOTDATA("XBG4",'binhgia (2016)'!$A$3,"MA_HT","DKV","MA_QH","NTS")</f>
        <v>0</v>
      </c>
      <c r="P53" s="22">
        <f ca="1">+GETPIVOTDATA("XBG4",'binhgia (2016)'!$A$3,"MA_HT","DKV","MA_QH","LMU")</f>
        <v>0</v>
      </c>
      <c r="Q53" s="22">
        <f ca="1">+GETPIVOTDATA("XBG4",'binhgia (2016)'!$A$3,"MA_HT","DKV","MA_QH","NKH")</f>
        <v>0</v>
      </c>
      <c r="R53" s="79">
        <f ca="1">SUM(S53:AA53,AN53:AY53,BB53:BD53)</f>
        <v>0</v>
      </c>
      <c r="S53" s="22">
        <f ca="1">+GETPIVOTDATA("XBG4",'binhgia (2016)'!$A$3,"MA_HT","DKV","MA_QH","CQP")</f>
        <v>0</v>
      </c>
      <c r="T53" s="22">
        <f ca="1">+GETPIVOTDATA("XBG4",'binhgia (2016)'!$A$3,"MA_HT","DKV","MA_QH","CAN")</f>
        <v>0</v>
      </c>
      <c r="U53" s="22">
        <f ca="1">+GETPIVOTDATA("XBG4",'binhgia (2016)'!$A$3,"MA_HT","DKV","MA_QH","SKK")</f>
        <v>0</v>
      </c>
      <c r="V53" s="22">
        <f ca="1">+GETPIVOTDATA("XBG4",'binhgia (2016)'!$A$3,"MA_HT","DKV","MA_QH","SKT")</f>
        <v>0</v>
      </c>
      <c r="W53" s="22">
        <f ca="1">+GETPIVOTDATA("XBG4",'binhgia (2016)'!$A$3,"MA_HT","DKV","MA_QH","SKN")</f>
        <v>0</v>
      </c>
      <c r="X53" s="22">
        <f ca="1">+GETPIVOTDATA("XBG4",'binhgia (2016)'!$A$3,"MA_HT","DKV","MA_QH","TMD")</f>
        <v>0</v>
      </c>
      <c r="Y53" s="22">
        <f ca="1">+GETPIVOTDATA("XBG4",'binhgia (2016)'!$A$3,"MA_HT","DKV","MA_QH","SKC")</f>
        <v>0</v>
      </c>
      <c r="Z53" s="22">
        <f ca="1">+GETPIVOTDATA("XBG4",'binhgia (2016)'!$A$3,"MA_HT","DKV","MA_QH","SKS")</f>
        <v>0</v>
      </c>
      <c r="AA53" s="52">
        <f ca="1" t="shared" si="21"/>
        <v>0</v>
      </c>
      <c r="AB53" s="22">
        <f ca="1">+GETPIVOTDATA("XBG4",'binhgia (2016)'!$A$3,"MA_HT","DKV","MA_QH","DGT")</f>
        <v>0</v>
      </c>
      <c r="AC53" s="22">
        <f ca="1">+GETPIVOTDATA("XBG4",'binhgia (2016)'!$A$3,"MA_HT","DKV","MA_QH","DTL")</f>
        <v>0</v>
      </c>
      <c r="AD53" s="22">
        <f ca="1">+GETPIVOTDATA("XBG4",'binhgia (2016)'!$A$3,"MA_HT","DKV","MA_QH","DNL")</f>
        <v>0</v>
      </c>
      <c r="AE53" s="22">
        <f ca="1">+GETPIVOTDATA("XBG4",'binhgia (2016)'!$A$3,"MA_HT","DKV","MA_QH","DBV")</f>
        <v>0</v>
      </c>
      <c r="AF53" s="22">
        <f ca="1">+GETPIVOTDATA("XBG4",'binhgia (2016)'!$A$3,"MA_HT","DKV","MA_QH","DVH")</f>
        <v>0</v>
      </c>
      <c r="AG53" s="22">
        <f ca="1">+GETPIVOTDATA("XBG4",'binhgia (2016)'!$A$3,"MA_HT","DKV","MA_QH","DYT")</f>
        <v>0</v>
      </c>
      <c r="AH53" s="22">
        <f ca="1">+GETPIVOTDATA("XBG4",'binhgia (2016)'!$A$3,"MA_HT","DKV","MA_QH","DGD")</f>
        <v>0</v>
      </c>
      <c r="AI53" s="22">
        <f ca="1">+GETPIVOTDATA("XBG4",'binhgia (2016)'!$A$3,"MA_HT","DKV","MA_QH","DTT")</f>
        <v>0</v>
      </c>
      <c r="AJ53" s="22">
        <f ca="1">+GETPIVOTDATA("XBG4",'binhgia (2016)'!$A$3,"MA_HT","DKV","MA_QH","NCK")</f>
        <v>0</v>
      </c>
      <c r="AK53" s="22">
        <f ca="1">+GETPIVOTDATA("XBG4",'binhgia (2016)'!$A$3,"MA_HT","DKV","MA_QH","DXH")</f>
        <v>0</v>
      </c>
      <c r="AL53" s="22">
        <f ca="1">+GETPIVOTDATA("XBG4",'binhgia (2016)'!$A$3,"MA_HT","DKV","MA_QH","DCH")</f>
        <v>0</v>
      </c>
      <c r="AM53" s="22">
        <f ca="1">+GETPIVOTDATA("XBG4",'binhgia (2016)'!$A$3,"MA_HT","DKV","MA_QH","DKG")</f>
        <v>0</v>
      </c>
      <c r="AN53" s="22">
        <f ca="1">+GETPIVOTDATA("XBG4",'binhgia (2016)'!$A$3,"MA_HT","DKV","MA_QH","DDT")</f>
        <v>0</v>
      </c>
      <c r="AO53" s="22">
        <f ca="1">+GETPIVOTDATA("XBG4",'binhgia (2016)'!$A$3,"MA_HT","DKV","MA_QH","DDL")</f>
        <v>0</v>
      </c>
      <c r="AP53" s="22">
        <f ca="1">+GETPIVOTDATA("XBG4",'binhgia (2016)'!$A$3,"MA_HT","DKV","MA_QH","DRA")</f>
        <v>0</v>
      </c>
      <c r="AQ53" s="22">
        <f ca="1">+GETPIVOTDATA("XBG4",'binhgia (2016)'!$A$3,"MA_HT","DKV","MA_QH","ONT")</f>
        <v>0</v>
      </c>
      <c r="AR53" s="22">
        <f ca="1">+GETPIVOTDATA("XBG4",'binhgia (2016)'!$A$3,"MA_HT","DKV","MA_QH","ODT")</f>
        <v>0</v>
      </c>
      <c r="AS53" s="22">
        <f ca="1">+GETPIVOTDATA("XBG4",'binhgia (2016)'!$A$3,"MA_HT","DKV","MA_QH","TSC")</f>
        <v>0</v>
      </c>
      <c r="AT53" s="22">
        <f ca="1">+GETPIVOTDATA("XBG4",'binhgia (2016)'!$A$3,"MA_HT","DKV","MA_QH","DTS")</f>
        <v>0</v>
      </c>
      <c r="AU53" s="22">
        <f ca="1">+GETPIVOTDATA("XBG4",'binhgia (2016)'!$A$3,"MA_HT","DKV","MA_QH","DNG")</f>
        <v>0</v>
      </c>
      <c r="AV53" s="22">
        <f ca="1">+GETPIVOTDATA("XBG4",'binhgia (2016)'!$A$3,"MA_HT","DKV","MA_QH","TON")</f>
        <v>0</v>
      </c>
      <c r="AW53" s="22">
        <f ca="1">+GETPIVOTDATA("XBG4",'binhgia (2016)'!$A$3,"MA_HT","DKV","MA_QH","NTD")</f>
        <v>0</v>
      </c>
      <c r="AX53" s="22">
        <f ca="1">+GETPIVOTDATA("XBG4",'binhgia (2016)'!$A$3,"MA_HT","DKV","MA_QH","SKX")</f>
        <v>0</v>
      </c>
      <c r="AY53" s="22">
        <f ca="1">+GETPIVOTDATA("XBG4",'binhgia (2016)'!$A$3,"MA_HT","DKV","MA_QH","DSH")</f>
        <v>0</v>
      </c>
      <c r="AZ53" s="43" t="e">
        <f ca="1">$D53-$BF53</f>
        <v>#REF!</v>
      </c>
      <c r="BA53" s="89">
        <f ca="1">+GETPIVOTDATA("XBG4",'binhgia (2016)'!$A$3,"MA_HT","DKV","MA_QH","TIN")</f>
        <v>0</v>
      </c>
      <c r="BB53" s="50">
        <f ca="1">+GETPIVOTDATA("XBG4",'binhgia (2016)'!$A$3,"MA_HT","DKV","MA_QH","SON")</f>
        <v>0</v>
      </c>
      <c r="BC53" s="50">
        <f ca="1">+GETPIVOTDATA("XBG4",'binhgia (2016)'!$A$3,"MA_HT","DKV","MA_QH","MNC")</f>
        <v>0</v>
      </c>
      <c r="BD53" s="22">
        <f ca="1">+GETPIVOTDATA("XBG4",'binhgia (2016)'!$A$3,"MA_HT","DKV","MA_QH","PNK")</f>
        <v>0</v>
      </c>
      <c r="BE53" s="71">
        <f ca="1">+GETPIVOTDATA("XBG4",'binhgia (2016)'!$A$3,"MA_HT","DKV","MA_QH","CSD")</f>
        <v>0</v>
      </c>
      <c r="BF53" s="74">
        <f ca="1" t="shared" si="13"/>
        <v>0</v>
      </c>
      <c r="BG53" s="101">
        <f ca="1">AZ$59-$BF53</f>
        <v>0</v>
      </c>
      <c r="BH53" s="41" t="e">
        <f ca="1" t="shared" si="14"/>
        <v>#REF!</v>
      </c>
      <c r="BI53" s="98"/>
      <c r="BJ53" s="98" t="e">
        <f>#REF!</f>
        <v>#REF!</v>
      </c>
      <c r="BK53" s="107" t="e">
        <f ca="1">BH53-BJ53</f>
        <v>#REF!</v>
      </c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</row>
    <row r="54" s="2" customFormat="1" ht="15.75" customHeight="1" spans="1:75">
      <c r="A54" s="39" t="s">
        <v>8426</v>
      </c>
      <c r="B54" s="39" t="s">
        <v>8427</v>
      </c>
      <c r="C54" s="40" t="s">
        <v>8310</v>
      </c>
      <c r="D54" s="41" t="e">
        <f>+#REF!</f>
        <v>#REF!</v>
      </c>
      <c r="E54" s="33">
        <f ca="1" t="shared" si="15"/>
        <v>0</v>
      </c>
      <c r="F54" s="52">
        <f ca="1">SUM(F29:F39)</f>
        <v>0</v>
      </c>
      <c r="G54" s="22">
        <f ca="1">+GETPIVOTDATA("XBG4",'binhgia (2016)'!$A$3,"MA_HT","TIN","MA_QH","LUC")</f>
        <v>0</v>
      </c>
      <c r="H54" s="22">
        <f ca="1">+GETPIVOTDATA("XBG4",'binhgia (2016)'!$A$3,"MA_HT","TIN","MA_QH","LUK")</f>
        <v>0</v>
      </c>
      <c r="I54" s="22">
        <f ca="1">+GETPIVOTDATA("XBG4",'binhgia (2016)'!$A$3,"MA_HT","TIN","MA_QH","LUN")</f>
        <v>0</v>
      </c>
      <c r="J54" s="22">
        <f ca="1">+GETPIVOTDATA("XBG4",'binhgia (2016)'!$A$3,"MA_HT","TIN","MA_QH","HNK")</f>
        <v>0</v>
      </c>
      <c r="K54" s="22">
        <f ca="1">+GETPIVOTDATA("XBG4",'binhgia (2016)'!$A$3,"MA_HT","TIN","MA_QH","CLN")</f>
        <v>0</v>
      </c>
      <c r="L54" s="22">
        <f ca="1">+GETPIVOTDATA("XBG4",'binhgia (2016)'!$A$3,"MA_HT","TIN","MA_QH","RSX")</f>
        <v>0</v>
      </c>
      <c r="M54" s="22">
        <f ca="1">+GETPIVOTDATA("XBG4",'binhgia (2016)'!$A$3,"MA_HT","TIN","MA_QH","RPH")</f>
        <v>0</v>
      </c>
      <c r="N54" s="22">
        <f ca="1">+GETPIVOTDATA("XBG4",'binhgia (2016)'!$A$3,"MA_HT","TIN","MA_QH","RDD")</f>
        <v>0</v>
      </c>
      <c r="O54" s="22">
        <f ca="1">+GETPIVOTDATA("XBG4",'binhgia (2016)'!$A$3,"MA_HT","TIN","MA_QH","NTS")</f>
        <v>0</v>
      </c>
      <c r="P54" s="22">
        <f ca="1">+GETPIVOTDATA("XBG4",'binhgia (2016)'!$A$3,"MA_HT","TIN","MA_QH","LMU")</f>
        <v>0</v>
      </c>
      <c r="Q54" s="22">
        <f ca="1">+GETPIVOTDATA("XBG4",'binhgia (2016)'!$A$3,"MA_HT","TIN","MA_QH","NKH")</f>
        <v>0</v>
      </c>
      <c r="R54" s="79">
        <f ca="1">SUM(S54:AA54,AN54:AZ54,BB54:BD54)</f>
        <v>0</v>
      </c>
      <c r="S54" s="22">
        <f ca="1">+GETPIVOTDATA("XBG4",'binhgia (2016)'!$A$3,"MA_HT","TIN","MA_QH","CQP")</f>
        <v>0</v>
      </c>
      <c r="T54" s="22">
        <f ca="1">+GETPIVOTDATA("XBG4",'binhgia (2016)'!$A$3,"MA_HT","TIN","MA_QH","CAN")</f>
        <v>0</v>
      </c>
      <c r="U54" s="22">
        <f ca="1">+GETPIVOTDATA("XBG4",'binhgia (2016)'!$A$3,"MA_HT","TIN","MA_QH","SKK")</f>
        <v>0</v>
      </c>
      <c r="V54" s="22">
        <f ca="1">+GETPIVOTDATA("XBG4",'binhgia (2016)'!$A$3,"MA_HT","TIN","MA_QH","SKT")</f>
        <v>0</v>
      </c>
      <c r="W54" s="22">
        <f ca="1">+GETPIVOTDATA("XBG4",'binhgia (2016)'!$A$3,"MA_HT","TIN","MA_QH","SKN")</f>
        <v>0</v>
      </c>
      <c r="X54" s="22">
        <f ca="1">+GETPIVOTDATA("XBG4",'binhgia (2016)'!$A$3,"MA_HT","TIN","MA_QH","TMD")</f>
        <v>0</v>
      </c>
      <c r="Y54" s="22">
        <f ca="1">+GETPIVOTDATA("XBG4",'binhgia (2016)'!$A$3,"MA_HT","TIN","MA_QH","SKC")</f>
        <v>0</v>
      </c>
      <c r="Z54" s="22">
        <f ca="1">+GETPIVOTDATA("XBG4",'binhgia (2016)'!$A$3,"MA_HT","TIN","MA_QH","SKS")</f>
        <v>0</v>
      </c>
      <c r="AA54" s="52">
        <f ca="1" t="shared" si="21"/>
        <v>0</v>
      </c>
      <c r="AB54" s="22">
        <f ca="1">+GETPIVOTDATA("XBG4",'binhgia (2016)'!$A$3,"MA_HT","TIN","MA_QH","DGT")</f>
        <v>0</v>
      </c>
      <c r="AC54" s="22">
        <f ca="1">+GETPIVOTDATA("XBG4",'binhgia (2016)'!$A$3,"MA_HT","TIN","MA_QH","DTL")</f>
        <v>0</v>
      </c>
      <c r="AD54" s="22">
        <f ca="1">+GETPIVOTDATA("XBG4",'binhgia (2016)'!$A$3,"MA_HT","TIN","MA_QH","DNL")</f>
        <v>0</v>
      </c>
      <c r="AE54" s="22">
        <f ca="1">+GETPIVOTDATA("XBG4",'binhgia (2016)'!$A$3,"MA_HT","TIN","MA_QH","DBV")</f>
        <v>0</v>
      </c>
      <c r="AF54" s="22">
        <f ca="1">+GETPIVOTDATA("XBG4",'binhgia (2016)'!$A$3,"MA_HT","TIN","MA_QH","DVH")</f>
        <v>0</v>
      </c>
      <c r="AG54" s="22">
        <f ca="1">+GETPIVOTDATA("XBG4",'binhgia (2016)'!$A$3,"MA_HT","TIN","MA_QH","DYT")</f>
        <v>0</v>
      </c>
      <c r="AH54" s="22">
        <f ca="1">+GETPIVOTDATA("XBG4",'binhgia (2016)'!$A$3,"MA_HT","TIN","MA_QH","DGD")</f>
        <v>0</v>
      </c>
      <c r="AI54" s="22">
        <f ca="1">+GETPIVOTDATA("XBG4",'binhgia (2016)'!$A$3,"MA_HT","TIN","MA_QH","DTT")</f>
        <v>0</v>
      </c>
      <c r="AJ54" s="22">
        <f ca="1">+GETPIVOTDATA("XBG4",'binhgia (2016)'!$A$3,"MA_HT","TIN","MA_QH","NCK")</f>
        <v>0</v>
      </c>
      <c r="AK54" s="22">
        <f ca="1">+GETPIVOTDATA("XBG4",'binhgia (2016)'!$A$3,"MA_HT","TIN","MA_QH","DXH")</f>
        <v>0</v>
      </c>
      <c r="AL54" s="22">
        <f ca="1">+GETPIVOTDATA("XBG4",'binhgia (2016)'!$A$3,"MA_HT","TIN","MA_QH","DCH")</f>
        <v>0</v>
      </c>
      <c r="AM54" s="22">
        <f ca="1">+GETPIVOTDATA("XBG4",'binhgia (2016)'!$A$3,"MA_HT","TIN","MA_QH","DKG")</f>
        <v>0</v>
      </c>
      <c r="AN54" s="22">
        <f ca="1">+GETPIVOTDATA("XBG4",'binhgia (2016)'!$A$3,"MA_HT","TIN","MA_QH","DDT")</f>
        <v>0</v>
      </c>
      <c r="AO54" s="22">
        <f ca="1">+GETPIVOTDATA("XBG4",'binhgia (2016)'!$A$3,"MA_HT","TIN","MA_QH","DDL")</f>
        <v>0</v>
      </c>
      <c r="AP54" s="22">
        <f ca="1">+GETPIVOTDATA("XBG4",'binhgia (2016)'!$A$3,"MA_HT","TIN","MA_QH","DRA")</f>
        <v>0</v>
      </c>
      <c r="AQ54" s="22">
        <f ca="1">+GETPIVOTDATA("XBG4",'binhgia (2016)'!$A$3,"MA_HT","TIN","MA_QH","ONT")</f>
        <v>0</v>
      </c>
      <c r="AR54" s="22">
        <f ca="1">+GETPIVOTDATA("XBG4",'binhgia (2016)'!$A$3,"MA_HT","TIN","MA_QH","ODT")</f>
        <v>0</v>
      </c>
      <c r="AS54" s="22">
        <f ca="1">+GETPIVOTDATA("XBG4",'binhgia (2016)'!$A$3,"MA_HT","TIN","MA_QH","TSC")</f>
        <v>0</v>
      </c>
      <c r="AT54" s="22">
        <f ca="1">+GETPIVOTDATA("XBG4",'binhgia (2016)'!$A$3,"MA_HT","TIN","MA_QH","DTS")</f>
        <v>0</v>
      </c>
      <c r="AU54" s="22">
        <f ca="1">+GETPIVOTDATA("XBG4",'binhgia (2016)'!$A$3,"MA_HT","TIN","MA_QH","DNG")</f>
        <v>0</v>
      </c>
      <c r="AV54" s="22">
        <f ca="1">+GETPIVOTDATA("XBG4",'binhgia (2016)'!$A$3,"MA_HT","TIN","MA_QH","TON")</f>
        <v>0</v>
      </c>
      <c r="AW54" s="22">
        <f ca="1">+GETPIVOTDATA("XBG4",'binhgia (2016)'!$A$3,"MA_HT","TIN","MA_QH","NTD")</f>
        <v>0</v>
      </c>
      <c r="AX54" s="22">
        <f ca="1">+GETPIVOTDATA("XBG4",'binhgia (2016)'!$A$3,"MA_HT","TIN","MA_QH","SKX")</f>
        <v>0</v>
      </c>
      <c r="AY54" s="22">
        <f ca="1">+GETPIVOTDATA("XBG4",'binhgia (2016)'!$A$3,"MA_HT","TIN","MA_QH","DSH")</f>
        <v>0</v>
      </c>
      <c r="AZ54" s="22">
        <f ca="1">+GETPIVOTDATA("XBG4",'binhgia (2016)'!$A$3,"MA_HT","TIN","MA_QH","DKV")</f>
        <v>0</v>
      </c>
      <c r="BA54" s="43" t="e">
        <f ca="1">$D54-$BF54</f>
        <v>#REF!</v>
      </c>
      <c r="BB54" s="22">
        <f ca="1">+GETPIVOTDATA("XBG4",'binhgia (2016)'!$A$3,"MA_HT","TIN","MA_QH","SON")</f>
        <v>0</v>
      </c>
      <c r="BC54" s="22">
        <f ca="1">+GETPIVOTDATA("XBG4",'binhgia (2016)'!$A$3,"MA_HT","TIN","MA_QH","MNC")</f>
        <v>0</v>
      </c>
      <c r="BD54" s="22">
        <f ca="1">+GETPIVOTDATA("XBG4",'binhgia (2016)'!$A$3,"MA_HT","TIN","MA_QH","PNK")</f>
        <v>0</v>
      </c>
      <c r="BE54" s="71">
        <f ca="1">+GETPIVOTDATA("XBG4",'binhgia (2016)'!$A$3,"MA_HT","TIN","MA_QH","CSD")</f>
        <v>0</v>
      </c>
      <c r="BF54" s="74">
        <f ca="1" t="shared" si="13"/>
        <v>0</v>
      </c>
      <c r="BG54" s="101">
        <f ca="1">BA59-BF54</f>
        <v>0</v>
      </c>
      <c r="BH54" s="41" t="e">
        <f ca="1" t="shared" si="14"/>
        <v>#REF!</v>
      </c>
      <c r="BI54" s="98"/>
      <c r="BJ54" s="39" t="e">
        <f>SUM(BJ29:BJ39)</f>
        <v>#REF!</v>
      </c>
      <c r="BK54" s="107" t="e">
        <f ca="1">BH54-BJ54</f>
        <v>#REF!</v>
      </c>
      <c r="BL54" s="107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</row>
    <row r="55" s="2" customFormat="1" ht="15.75" customHeight="1" spans="1:79">
      <c r="A55" s="68" t="s">
        <v>8428</v>
      </c>
      <c r="B55" s="69" t="s">
        <v>8429</v>
      </c>
      <c r="C55" s="40" t="s">
        <v>8309</v>
      </c>
      <c r="D55" s="41" t="e">
        <f>+#REF!</f>
        <v>#REF!</v>
      </c>
      <c r="E55" s="42">
        <f ca="1" t="shared" si="15"/>
        <v>0</v>
      </c>
      <c r="F55" s="52">
        <f ca="1" t="shared" si="9"/>
        <v>0</v>
      </c>
      <c r="G55" s="22">
        <f ca="1">+GETPIVOTDATA("XBG4",'binhgia (2016)'!$A$3,"MA_HT","SON","MA_QH","LUC")</f>
        <v>0</v>
      </c>
      <c r="H55" s="22">
        <f ca="1">+GETPIVOTDATA("XBG4",'binhgia (2016)'!$A$3,"MA_HT","SON","MA_QH","LUK")</f>
        <v>0</v>
      </c>
      <c r="I55" s="22">
        <f ca="1">+GETPIVOTDATA("XBG4",'binhgia (2016)'!$A$3,"MA_HT","SON","MA_QH","LUN")</f>
        <v>0</v>
      </c>
      <c r="J55" s="22">
        <f ca="1">+GETPIVOTDATA("XBG4",'binhgia (2016)'!$A$3,"MA_HT","SON","MA_QH","HNK")</f>
        <v>0</v>
      </c>
      <c r="K55" s="22">
        <f ca="1">+GETPIVOTDATA("XBG4",'binhgia (2016)'!$A$3,"MA_HT","SON","MA_QH","CLN")</f>
        <v>0</v>
      </c>
      <c r="L55" s="22">
        <f ca="1">+GETPIVOTDATA("XBG4",'binhgia (2016)'!$A$3,"MA_HT","SON","MA_QH","RSX")</f>
        <v>0</v>
      </c>
      <c r="M55" s="22">
        <f ca="1">+GETPIVOTDATA("XBG4",'binhgia (2016)'!$A$3,"MA_HT","SON","MA_QH","RPH")</f>
        <v>0</v>
      </c>
      <c r="N55" s="22">
        <f ca="1">+GETPIVOTDATA("XBG4",'binhgia (2016)'!$A$3,"MA_HT","SON","MA_QH","RDD")</f>
        <v>0</v>
      </c>
      <c r="O55" s="22">
        <f ca="1">+GETPIVOTDATA("XBG4",'binhgia (2016)'!$A$3,"MA_HT","SON","MA_QH","NTS")</f>
        <v>0</v>
      </c>
      <c r="P55" s="22">
        <f ca="1">+GETPIVOTDATA("XBG4",'binhgia (2016)'!$A$3,"MA_HT","SON","MA_QH","LMU")</f>
        <v>0</v>
      </c>
      <c r="Q55" s="22">
        <f ca="1">+GETPIVOTDATA("XBG4",'binhgia (2016)'!$A$3,"MA_HT","SON","MA_QH","NKH")</f>
        <v>0</v>
      </c>
      <c r="R55" s="79">
        <f ca="1">SUM(S55:AA55,AN55:AZ55,BC55:BD55)</f>
        <v>0</v>
      </c>
      <c r="S55" s="22">
        <f ca="1">+GETPIVOTDATA("XBG4",'binhgia (2016)'!$A$3,"MA_HT","SON","MA_QH","CQP")</f>
        <v>0</v>
      </c>
      <c r="T55" s="22">
        <f ca="1">+GETPIVOTDATA("XBG4",'binhgia (2016)'!$A$3,"MA_HT","SON","MA_QH","CAN")</f>
        <v>0</v>
      </c>
      <c r="U55" s="22">
        <f ca="1">+GETPIVOTDATA("XBG4",'binhgia (2016)'!$A$3,"MA_HT","SON","MA_QH","SKK")</f>
        <v>0</v>
      </c>
      <c r="V55" s="22">
        <f ca="1">+GETPIVOTDATA("XBG4",'binhgia (2016)'!$A$3,"MA_HT","SON","MA_QH","SKT")</f>
        <v>0</v>
      </c>
      <c r="W55" s="22">
        <f ca="1">+GETPIVOTDATA("XBG4",'binhgia (2016)'!$A$3,"MA_HT","SON","MA_QH","SKN")</f>
        <v>0</v>
      </c>
      <c r="X55" s="22">
        <f ca="1">+GETPIVOTDATA("XBG4",'binhgia (2016)'!$A$3,"MA_HT","SON","MA_QH","TMD")</f>
        <v>0</v>
      </c>
      <c r="Y55" s="22">
        <f ca="1">+GETPIVOTDATA("XBG4",'binhgia (2016)'!$A$3,"MA_HT","SON","MA_QH","SKC")</f>
        <v>0</v>
      </c>
      <c r="Z55" s="22">
        <f ca="1">+GETPIVOTDATA("XBG4",'binhgia (2016)'!$A$3,"MA_HT","SON","MA_QH","SKS")</f>
        <v>0</v>
      </c>
      <c r="AA55" s="52">
        <f ca="1" t="shared" si="21"/>
        <v>0</v>
      </c>
      <c r="AB55" s="22">
        <f ca="1">+GETPIVOTDATA("XBG4",'binhgia (2016)'!$A$3,"MA_HT","SON","MA_QH","DGT")</f>
        <v>0</v>
      </c>
      <c r="AC55" s="22">
        <f ca="1">+GETPIVOTDATA("XBG4",'binhgia (2016)'!$A$3,"MA_HT","SON","MA_QH","DTL")</f>
        <v>0</v>
      </c>
      <c r="AD55" s="22">
        <f ca="1">+GETPIVOTDATA("XBG4",'binhgia (2016)'!$A$3,"MA_HT","SON","MA_QH","DNL")</f>
        <v>0</v>
      </c>
      <c r="AE55" s="22">
        <f ca="1">+GETPIVOTDATA("XBG4",'binhgia (2016)'!$A$3,"MA_HT","SON","MA_QH","DBV")</f>
        <v>0</v>
      </c>
      <c r="AF55" s="22">
        <f ca="1">+GETPIVOTDATA("XBG4",'binhgia (2016)'!$A$3,"MA_HT","SON","MA_QH","DVH")</f>
        <v>0</v>
      </c>
      <c r="AG55" s="22">
        <f ca="1">+GETPIVOTDATA("XBG4",'binhgia (2016)'!$A$3,"MA_HT","SON","MA_QH","DYT")</f>
        <v>0</v>
      </c>
      <c r="AH55" s="22">
        <f ca="1">+GETPIVOTDATA("XBG4",'binhgia (2016)'!$A$3,"MA_HT","SON","MA_QH","DGD")</f>
        <v>0</v>
      </c>
      <c r="AI55" s="22">
        <f ca="1">+GETPIVOTDATA("XBG4",'binhgia (2016)'!$A$3,"MA_HT","SON","MA_QH","DTT")</f>
        <v>0</v>
      </c>
      <c r="AJ55" s="22">
        <f ca="1">+GETPIVOTDATA("XBG4",'binhgia (2016)'!$A$3,"MA_HT","SON","MA_QH","NCK")</f>
        <v>0</v>
      </c>
      <c r="AK55" s="22">
        <f ca="1">+GETPIVOTDATA("XBG4",'binhgia (2016)'!$A$3,"MA_HT","SON","MA_QH","DXH")</f>
        <v>0</v>
      </c>
      <c r="AL55" s="22">
        <f ca="1">+GETPIVOTDATA("XBG4",'binhgia (2016)'!$A$3,"MA_HT","SON","MA_QH","DCH")</f>
        <v>0</v>
      </c>
      <c r="AM55" s="22">
        <f ca="1">+GETPIVOTDATA("XBG4",'binhgia (2016)'!$A$3,"MA_HT","SON","MA_QH","DKG")</f>
        <v>0</v>
      </c>
      <c r="AN55" s="22">
        <f ca="1">+GETPIVOTDATA("XBG4",'binhgia (2016)'!$A$3,"MA_HT","SON","MA_QH","DDT")</f>
        <v>0</v>
      </c>
      <c r="AO55" s="22">
        <f ca="1">+GETPIVOTDATA("XBG4",'binhgia (2016)'!$A$3,"MA_HT","SON","MA_QH","DDL")</f>
        <v>0</v>
      </c>
      <c r="AP55" s="22">
        <f ca="1">+GETPIVOTDATA("XBG4",'binhgia (2016)'!$A$3,"MA_HT","SON","MA_QH","DRA")</f>
        <v>0</v>
      </c>
      <c r="AQ55" s="22">
        <f ca="1">+GETPIVOTDATA("XBG4",'binhgia (2016)'!$A$3,"MA_HT","SON","MA_QH","ONT")</f>
        <v>0</v>
      </c>
      <c r="AR55" s="22">
        <f ca="1">+GETPIVOTDATA("XBG4",'binhgia (2016)'!$A$3,"MA_HT","SON","MA_QH","ODT")</f>
        <v>0</v>
      </c>
      <c r="AS55" s="22">
        <f ca="1">+GETPIVOTDATA("XBG4",'binhgia (2016)'!$A$3,"MA_HT","SON","MA_QH","TSC")</f>
        <v>0</v>
      </c>
      <c r="AT55" s="22">
        <f ca="1">+GETPIVOTDATA("XBG4",'binhgia (2016)'!$A$3,"MA_HT","SON","MA_QH","DTS")</f>
        <v>0</v>
      </c>
      <c r="AU55" s="22">
        <f ca="1">+GETPIVOTDATA("XBG4",'binhgia (2016)'!$A$3,"MA_HT","SON","MA_QH","DNG")</f>
        <v>0</v>
      </c>
      <c r="AV55" s="22">
        <f ca="1">+GETPIVOTDATA("XBG4",'binhgia (2016)'!$A$3,"MA_HT","SON","MA_QH","TON")</f>
        <v>0</v>
      </c>
      <c r="AW55" s="22">
        <f ca="1">+GETPIVOTDATA("XBG4",'binhgia (2016)'!$A$3,"MA_HT","SON","MA_QH","NTD")</f>
        <v>0</v>
      </c>
      <c r="AX55" s="22">
        <f ca="1">+GETPIVOTDATA("XBG4",'binhgia (2016)'!$A$3,"MA_HT","SON","MA_QH","SKX")</f>
        <v>0</v>
      </c>
      <c r="AY55" s="22">
        <f ca="1">+GETPIVOTDATA("XBG4",'binhgia (2016)'!$A$3,"MA_HT","SON","MA_QH","DSH")</f>
        <v>0</v>
      </c>
      <c r="AZ55" s="22">
        <f ca="1">+GETPIVOTDATA("XBG4",'binhgia (2016)'!$A$3,"MA_HT","SON","MA_QH","DKV")</f>
        <v>0</v>
      </c>
      <c r="BA55" s="89">
        <f ca="1">+GETPIVOTDATA("XBG4",'binhgia (2016)'!$A$3,"MA_HT","SON","MA_QH","TIN")</f>
        <v>0</v>
      </c>
      <c r="BB55" s="43" t="e">
        <f ca="1">$D55-$BF55</f>
        <v>#REF!</v>
      </c>
      <c r="BC55" s="50">
        <f ca="1">+GETPIVOTDATA("XBG4",'binhgia (2016)'!$A$3,"MA_HT","SON","MA_QH","MNC")</f>
        <v>0</v>
      </c>
      <c r="BD55" s="22">
        <f ca="1">+GETPIVOTDATA("XBG4",'binhgia (2016)'!$A$3,"MA_HT","SON","MA_QH","PNK")</f>
        <v>0</v>
      </c>
      <c r="BE55" s="71">
        <f ca="1">+GETPIVOTDATA("XBG4",'binhgia (2016)'!$A$3,"MA_HT","SON","MA_QH","CSD")</f>
        <v>0</v>
      </c>
      <c r="BF55" s="74">
        <f ca="1" t="shared" si="13"/>
        <v>0</v>
      </c>
      <c r="BG55" s="101">
        <f ca="1">BB$59-$BF55</f>
        <v>0</v>
      </c>
      <c r="BH55" s="41" t="e">
        <f ca="1" t="shared" si="14"/>
        <v>#REF!</v>
      </c>
      <c r="BI55" s="98"/>
      <c r="BJ55" s="98"/>
      <c r="BK55" s="107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</row>
    <row r="56" s="2" customFormat="1" ht="15.75" customHeight="1" spans="1:79">
      <c r="A56" s="68" t="s">
        <v>8430</v>
      </c>
      <c r="B56" s="69" t="s">
        <v>8431</v>
      </c>
      <c r="C56" s="40" t="s">
        <v>8301</v>
      </c>
      <c r="D56" s="41" t="e">
        <f>+#REF!</f>
        <v>#REF!</v>
      </c>
      <c r="E56" s="42">
        <f ca="1" t="shared" si="15"/>
        <v>0</v>
      </c>
      <c r="F56" s="52">
        <f ca="1" t="shared" si="9"/>
        <v>0</v>
      </c>
      <c r="G56" s="22">
        <f ca="1">+GETPIVOTDATA("XBG4",'binhgia (2016)'!$A$3,"MA_HT","MNC","MA_QH","LUC")</f>
        <v>0</v>
      </c>
      <c r="H56" s="22">
        <f ca="1">+GETPIVOTDATA("XBG4",'binhgia (2016)'!$A$3,"MA_HT","MNC","MA_QH","LUK")</f>
        <v>0</v>
      </c>
      <c r="I56" s="22">
        <f ca="1">+GETPIVOTDATA("XBG4",'binhgia (2016)'!$A$3,"MA_HT","MNC","MA_QH","LUN")</f>
        <v>0</v>
      </c>
      <c r="J56" s="22">
        <f ca="1">+GETPIVOTDATA("XBG4",'binhgia (2016)'!$A$3,"MA_HT","MNC","MA_QH","HNK")</f>
        <v>0</v>
      </c>
      <c r="K56" s="22">
        <f ca="1">+GETPIVOTDATA("XBG4",'binhgia (2016)'!$A$3,"MA_HT","MNC","MA_QH","CLN")</f>
        <v>0</v>
      </c>
      <c r="L56" s="22">
        <f ca="1">+GETPIVOTDATA("XBG4",'binhgia (2016)'!$A$3,"MA_HT","MNC","MA_QH","RSX")</f>
        <v>0</v>
      </c>
      <c r="M56" s="22">
        <f ca="1">+GETPIVOTDATA("XBG4",'binhgia (2016)'!$A$3,"MA_HT","MNC","MA_QH","RPH")</f>
        <v>0</v>
      </c>
      <c r="N56" s="22">
        <f ca="1">+GETPIVOTDATA("XBG4",'binhgia (2016)'!$A$3,"MA_HT","MNC","MA_QH","RDD")</f>
        <v>0</v>
      </c>
      <c r="O56" s="22">
        <f ca="1">+GETPIVOTDATA("XBG4",'binhgia (2016)'!$A$3,"MA_HT","MNC","MA_QH","NTS")</f>
        <v>0</v>
      </c>
      <c r="P56" s="22">
        <f ca="1">+GETPIVOTDATA("XBG4",'binhgia (2016)'!$A$3,"MA_HT","MNC","MA_QH","LMU")</f>
        <v>0</v>
      </c>
      <c r="Q56" s="22">
        <f ca="1">+GETPIVOTDATA("XBG4",'binhgia (2016)'!$A$3,"MA_HT","MNC","MA_QH","NKH")</f>
        <v>0</v>
      </c>
      <c r="R56" s="79">
        <f ca="1">SUM(S56:AA56,AN56:BB56,BD56)</f>
        <v>0</v>
      </c>
      <c r="S56" s="22">
        <f ca="1">+GETPIVOTDATA("XBG4",'binhgia (2016)'!$A$3,"MA_HT","MNC","MA_QH","CQP")</f>
        <v>0</v>
      </c>
      <c r="T56" s="22">
        <f ca="1">+GETPIVOTDATA("XBG4",'binhgia (2016)'!$A$3,"MA_HT","MNC","MA_QH","CAN")</f>
        <v>0</v>
      </c>
      <c r="U56" s="22">
        <f ca="1">+GETPIVOTDATA("XBG4",'binhgia (2016)'!$A$3,"MA_HT","MNC","MA_QH","SKK")</f>
        <v>0</v>
      </c>
      <c r="V56" s="22">
        <f ca="1">+GETPIVOTDATA("XBG4",'binhgia (2016)'!$A$3,"MA_HT","MNC","MA_QH","SKT")</f>
        <v>0</v>
      </c>
      <c r="W56" s="22">
        <f ca="1">+GETPIVOTDATA("XBG4",'binhgia (2016)'!$A$3,"MA_HT","MNC","MA_QH","SKN")</f>
        <v>0</v>
      </c>
      <c r="X56" s="22">
        <f ca="1">+GETPIVOTDATA("XBG4",'binhgia (2016)'!$A$3,"MA_HT","MNC","MA_QH","TMD")</f>
        <v>0</v>
      </c>
      <c r="Y56" s="22">
        <f ca="1">+GETPIVOTDATA("XBG4",'binhgia (2016)'!$A$3,"MA_HT","MNC","MA_QH","SKC")</f>
        <v>0</v>
      </c>
      <c r="Z56" s="22">
        <f ca="1">+GETPIVOTDATA("XBG4",'binhgia (2016)'!$A$3,"MA_HT","MNC","MA_QH","SKS")</f>
        <v>0</v>
      </c>
      <c r="AA56" s="52">
        <f ca="1" t="shared" si="21"/>
        <v>0</v>
      </c>
      <c r="AB56" s="22">
        <f ca="1">+GETPIVOTDATA("XBG4",'binhgia (2016)'!$A$3,"MA_HT","MNC","MA_QH","DGT")</f>
        <v>0</v>
      </c>
      <c r="AC56" s="22">
        <f ca="1">+GETPIVOTDATA("XBG4",'binhgia (2016)'!$A$3,"MA_HT","MNC","MA_QH","DTL")</f>
        <v>0</v>
      </c>
      <c r="AD56" s="22">
        <f ca="1">+GETPIVOTDATA("XBG4",'binhgia (2016)'!$A$3,"MA_HT","MNC","MA_QH","DNL")</f>
        <v>0</v>
      </c>
      <c r="AE56" s="22">
        <f ca="1">+GETPIVOTDATA("XBG4",'binhgia (2016)'!$A$3,"MA_HT","MNC","MA_QH","DBV")</f>
        <v>0</v>
      </c>
      <c r="AF56" s="22">
        <f ca="1">+GETPIVOTDATA("XBG4",'binhgia (2016)'!$A$3,"MA_HT","MNC","MA_QH","DVH")</f>
        <v>0</v>
      </c>
      <c r="AG56" s="22">
        <f ca="1">+GETPIVOTDATA("XBG4",'binhgia (2016)'!$A$3,"MA_HT","MNC","MA_QH","DYT")</f>
        <v>0</v>
      </c>
      <c r="AH56" s="22">
        <f ca="1">+GETPIVOTDATA("XBG4",'binhgia (2016)'!$A$3,"MA_HT","MNC","MA_QH","DGD")</f>
        <v>0</v>
      </c>
      <c r="AI56" s="22">
        <f ca="1">+GETPIVOTDATA("XBG4",'binhgia (2016)'!$A$3,"MA_HT","MNC","MA_QH","DTT")</f>
        <v>0</v>
      </c>
      <c r="AJ56" s="22">
        <f ca="1">+GETPIVOTDATA("XBG4",'binhgia (2016)'!$A$3,"MA_HT","MNC","MA_QH","NCK")</f>
        <v>0</v>
      </c>
      <c r="AK56" s="22">
        <f ca="1">+GETPIVOTDATA("XBG4",'binhgia (2016)'!$A$3,"MA_HT","MNC","MA_QH","DXH")</f>
        <v>0</v>
      </c>
      <c r="AL56" s="22">
        <f ca="1">+GETPIVOTDATA("XBG4",'binhgia (2016)'!$A$3,"MA_HT","MNC","MA_QH","DCH")</f>
        <v>0</v>
      </c>
      <c r="AM56" s="22">
        <f ca="1">+GETPIVOTDATA("XBG4",'binhgia (2016)'!$A$3,"MA_HT","MNC","MA_QH","DKG")</f>
        <v>0</v>
      </c>
      <c r="AN56" s="22">
        <f ca="1">+GETPIVOTDATA("XBG4",'binhgia (2016)'!$A$3,"MA_HT","MNC","MA_QH","DDT")</f>
        <v>0</v>
      </c>
      <c r="AO56" s="22">
        <f ca="1">+GETPIVOTDATA("XBG4",'binhgia (2016)'!$A$3,"MA_HT","MNC","MA_QH","DDL")</f>
        <v>0</v>
      </c>
      <c r="AP56" s="22">
        <f ca="1">+GETPIVOTDATA("XBG4",'binhgia (2016)'!$A$3,"MA_HT","MNC","MA_QH","DRA")</f>
        <v>0</v>
      </c>
      <c r="AQ56" s="22">
        <f ca="1">+GETPIVOTDATA("XBG4",'binhgia (2016)'!$A$3,"MA_HT","MNC","MA_QH","ONT")</f>
        <v>0</v>
      </c>
      <c r="AR56" s="22">
        <f ca="1">+GETPIVOTDATA("XBG4",'binhgia (2016)'!$A$3,"MA_HT","MNC","MA_QH","ODT")</f>
        <v>0</v>
      </c>
      <c r="AS56" s="22">
        <f ca="1">+GETPIVOTDATA("XBG4",'binhgia (2016)'!$A$3,"MA_HT","MNC","MA_QH","TSC")</f>
        <v>0</v>
      </c>
      <c r="AT56" s="22">
        <f ca="1">+GETPIVOTDATA("XBG4",'binhgia (2016)'!$A$3,"MA_HT","MNC","MA_QH","DTS")</f>
        <v>0</v>
      </c>
      <c r="AU56" s="22">
        <f ca="1">+GETPIVOTDATA("XBG4",'binhgia (2016)'!$A$3,"MA_HT","MNC","MA_QH","DNG")</f>
        <v>0</v>
      </c>
      <c r="AV56" s="22">
        <f ca="1">+GETPIVOTDATA("XBG4",'binhgia (2016)'!$A$3,"MA_HT","MNC","MA_QH","TON")</f>
        <v>0</v>
      </c>
      <c r="AW56" s="22">
        <f ca="1">+GETPIVOTDATA("XBG4",'binhgia (2016)'!$A$3,"MA_HT","MNC","MA_QH","NTD")</f>
        <v>0</v>
      </c>
      <c r="AX56" s="22">
        <f ca="1">+GETPIVOTDATA("XBG4",'binhgia (2016)'!$A$3,"MA_HT","MNC","MA_QH","SKX")</f>
        <v>0</v>
      </c>
      <c r="AY56" s="22">
        <f ca="1">+GETPIVOTDATA("XBG4",'binhgia (2016)'!$A$3,"MA_HT","MNC","MA_QH","DSH")</f>
        <v>0</v>
      </c>
      <c r="AZ56" s="22">
        <f ca="1">+GETPIVOTDATA("XBG4",'binhgia (2016)'!$A$3,"MA_HT","MNC","MA_QH","DKV")</f>
        <v>0</v>
      </c>
      <c r="BA56" s="89">
        <f ca="1">+GETPIVOTDATA("XBG4",'binhgia (2016)'!$A$3,"MA_HT","MNC","MA_QH","TIN")</f>
        <v>0</v>
      </c>
      <c r="BB56" s="50">
        <f ca="1">+GETPIVOTDATA("XBG4",'binhgia (2016)'!$A$3,"MA_HT","MNC","MA_QH","SON")</f>
        <v>0</v>
      </c>
      <c r="BC56" s="43" t="e">
        <f ca="1">$D56-$BF56</f>
        <v>#REF!</v>
      </c>
      <c r="BD56" s="22">
        <f ca="1">+GETPIVOTDATA("XBG4",'binhgia (2016)'!$A$3,"MA_HT","MNC","MA_QH","PNK")</f>
        <v>0</v>
      </c>
      <c r="BE56" s="71">
        <f ca="1">+GETPIVOTDATA("XBG4",'binhgia (2016)'!$A$3,"MA_HT","MNC","MA_QH","CSD")</f>
        <v>0</v>
      </c>
      <c r="BF56" s="74">
        <f ca="1" t="shared" si="13"/>
        <v>0</v>
      </c>
      <c r="BG56" s="101">
        <f ca="1">BC$59-$BF56</f>
        <v>0</v>
      </c>
      <c r="BH56" s="41" t="e">
        <f ca="1" t="shared" si="14"/>
        <v>#REF!</v>
      </c>
      <c r="BI56" s="98"/>
      <c r="BJ56" s="98"/>
      <c r="BK56" s="107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</row>
    <row r="57" s="2" customFormat="1" ht="15.75" customHeight="1" spans="1:79">
      <c r="A57" s="68" t="s">
        <v>8432</v>
      </c>
      <c r="B57" s="69" t="s">
        <v>8433</v>
      </c>
      <c r="C57" s="40" t="s">
        <v>59</v>
      </c>
      <c r="D57" s="41" t="e">
        <f>+#REF!</f>
        <v>#REF!</v>
      </c>
      <c r="E57" s="42">
        <f ca="1" t="shared" si="15"/>
        <v>0</v>
      </c>
      <c r="F57" s="52">
        <f ca="1" t="shared" si="9"/>
        <v>0</v>
      </c>
      <c r="G57" s="22">
        <f ca="1">+GETPIVOTDATA("XBG4",'binhgia (2016)'!$A$3,"MA_HT","PNK","MA_QH","LUC")</f>
        <v>0</v>
      </c>
      <c r="H57" s="22">
        <f ca="1">+GETPIVOTDATA("XBG4",'binhgia (2016)'!$A$3,"MA_HT","PNK","MA_QH","LUK")</f>
        <v>0</v>
      </c>
      <c r="I57" s="22">
        <f ca="1">+GETPIVOTDATA("XBG4",'binhgia (2016)'!$A$3,"MA_HT","PNK","MA_QH","LUN")</f>
        <v>0</v>
      </c>
      <c r="J57" s="22">
        <f ca="1">+GETPIVOTDATA("XBG4",'binhgia (2016)'!$A$3,"MA_HT","PNK","MA_QH","HNK")</f>
        <v>0</v>
      </c>
      <c r="K57" s="22">
        <f ca="1">+GETPIVOTDATA("XBG4",'binhgia (2016)'!$A$3,"MA_HT","PNK","MA_QH","CLN")</f>
        <v>0</v>
      </c>
      <c r="L57" s="22">
        <f ca="1">+GETPIVOTDATA("XBG4",'binhgia (2016)'!$A$3,"MA_HT","PNK","MA_QH","RSX")</f>
        <v>0</v>
      </c>
      <c r="M57" s="22">
        <f ca="1">+GETPIVOTDATA("XBG4",'binhgia (2016)'!$A$3,"MA_HT","PNK","MA_QH","RPH")</f>
        <v>0</v>
      </c>
      <c r="N57" s="22">
        <f ca="1">+GETPIVOTDATA("XBG4",'binhgia (2016)'!$A$3,"MA_HT","PNK","MA_QH","RDD")</f>
        <v>0</v>
      </c>
      <c r="O57" s="22">
        <f ca="1">+GETPIVOTDATA("XBG4",'binhgia (2016)'!$A$3,"MA_HT","PNK","MA_QH","NTS")</f>
        <v>0</v>
      </c>
      <c r="P57" s="22">
        <f ca="1">+GETPIVOTDATA("XBG4",'binhgia (2016)'!$A$3,"MA_HT","PNK","MA_QH","LMU")</f>
        <v>0</v>
      </c>
      <c r="Q57" s="22">
        <f ca="1">+GETPIVOTDATA("XBG4",'binhgia (2016)'!$A$3,"MA_HT","PNK","MA_QH","NKH")</f>
        <v>0</v>
      </c>
      <c r="R57" s="79">
        <f ca="1">SUM(S57:AA57,AN57:BC57)</f>
        <v>0</v>
      </c>
      <c r="S57" s="22">
        <f ca="1">+GETPIVOTDATA("XBG4",'binhgia (2016)'!$A$3,"MA_HT","PNK","MA_QH","CQP")</f>
        <v>0</v>
      </c>
      <c r="T57" s="22">
        <f ca="1">+GETPIVOTDATA("XBG4",'binhgia (2016)'!$A$3,"MA_HT","PNK","MA_QH","CAN")</f>
        <v>0</v>
      </c>
      <c r="U57" s="22">
        <f ca="1">+GETPIVOTDATA("XBG4",'binhgia (2016)'!$A$3,"MA_HT","PNK","MA_QH","SKK")</f>
        <v>0</v>
      </c>
      <c r="V57" s="22">
        <f ca="1">+GETPIVOTDATA("XBG4",'binhgia (2016)'!$A$3,"MA_HT","PNK","MA_QH","SKT")</f>
        <v>0</v>
      </c>
      <c r="W57" s="22">
        <f ca="1">+GETPIVOTDATA("XBG4",'binhgia (2016)'!$A$3,"MA_HT","PNK","MA_QH","SKN")</f>
        <v>0</v>
      </c>
      <c r="X57" s="22">
        <f ca="1">+GETPIVOTDATA("XBG4",'binhgia (2016)'!$A$3,"MA_HT","PNK","MA_QH","TMD")</f>
        <v>0</v>
      </c>
      <c r="Y57" s="22">
        <f ca="1">+GETPIVOTDATA("XBG4",'binhgia (2016)'!$A$3,"MA_HT","PNK","MA_QH","SKC")</f>
        <v>0</v>
      </c>
      <c r="Z57" s="22">
        <f ca="1">+GETPIVOTDATA("XBG4",'binhgia (2016)'!$A$3,"MA_HT","PNK","MA_QH","SKS")</f>
        <v>0</v>
      </c>
      <c r="AA57" s="52">
        <f ca="1" t="shared" si="21"/>
        <v>0</v>
      </c>
      <c r="AB57" s="22">
        <f ca="1">+GETPIVOTDATA("XBG4",'binhgia (2016)'!$A$3,"MA_HT","PNK","MA_QH","DGT")</f>
        <v>0</v>
      </c>
      <c r="AC57" s="22">
        <f ca="1">+GETPIVOTDATA("XBG4",'binhgia (2016)'!$A$3,"MA_HT","PNK","MA_QH","DTL")</f>
        <v>0</v>
      </c>
      <c r="AD57" s="22">
        <f ca="1">+GETPIVOTDATA("XBG4",'binhgia (2016)'!$A$3,"MA_HT","PNK","MA_QH","DNL")</f>
        <v>0</v>
      </c>
      <c r="AE57" s="22">
        <f ca="1">+GETPIVOTDATA("XBG4",'binhgia (2016)'!$A$3,"MA_HT","PNK","MA_QH","DBV")</f>
        <v>0</v>
      </c>
      <c r="AF57" s="22">
        <f ca="1">+GETPIVOTDATA("XBG4",'binhgia (2016)'!$A$3,"MA_HT","PNK","MA_QH","DVH")</f>
        <v>0</v>
      </c>
      <c r="AG57" s="22">
        <f ca="1">+GETPIVOTDATA("XBG4",'binhgia (2016)'!$A$3,"MA_HT","PNK","MA_QH","DYT")</f>
        <v>0</v>
      </c>
      <c r="AH57" s="22">
        <f ca="1">+GETPIVOTDATA("XBG4",'binhgia (2016)'!$A$3,"MA_HT","PNK","MA_QH","DGD")</f>
        <v>0</v>
      </c>
      <c r="AI57" s="22">
        <f ca="1">+GETPIVOTDATA("XBG4",'binhgia (2016)'!$A$3,"MA_HT","PNK","MA_QH","DTT")</f>
        <v>0</v>
      </c>
      <c r="AJ57" s="22">
        <f ca="1">+GETPIVOTDATA("XBG4",'binhgia (2016)'!$A$3,"MA_HT","PNK","MA_QH","NCK")</f>
        <v>0</v>
      </c>
      <c r="AK57" s="22">
        <f ca="1">+GETPIVOTDATA("XBG4",'binhgia (2016)'!$A$3,"MA_HT","PNK","MA_QH","DXH")</f>
        <v>0</v>
      </c>
      <c r="AL57" s="22">
        <f ca="1">+GETPIVOTDATA("XBG4",'binhgia (2016)'!$A$3,"MA_HT","PNK","MA_QH","DCH")</f>
        <v>0</v>
      </c>
      <c r="AM57" s="22">
        <f ca="1">+GETPIVOTDATA("XBG4",'binhgia (2016)'!$A$3,"MA_HT","PNK","MA_QH","DKG")</f>
        <v>0</v>
      </c>
      <c r="AN57" s="22">
        <f ca="1">+GETPIVOTDATA("XBG4",'binhgia (2016)'!$A$3,"MA_HT","PNK","MA_QH","DDT")</f>
        <v>0</v>
      </c>
      <c r="AO57" s="22">
        <f ca="1">+GETPIVOTDATA("XBG4",'binhgia (2016)'!$A$3,"MA_HT","PNK","MA_QH","DDL")</f>
        <v>0</v>
      </c>
      <c r="AP57" s="22">
        <f ca="1">+GETPIVOTDATA("XBG4",'binhgia (2016)'!$A$3,"MA_HT","PNK","MA_QH","DRA")</f>
        <v>0</v>
      </c>
      <c r="AQ57" s="22">
        <f ca="1">+GETPIVOTDATA("XBG4",'binhgia (2016)'!$A$3,"MA_HT","PNK","MA_QH","ONT")</f>
        <v>0</v>
      </c>
      <c r="AR57" s="22">
        <f ca="1">+GETPIVOTDATA("XBG4",'binhgia (2016)'!$A$3,"MA_HT","PNK","MA_QH","ODT")</f>
        <v>0</v>
      </c>
      <c r="AS57" s="22">
        <f ca="1">+GETPIVOTDATA("XBG4",'binhgia (2016)'!$A$3,"MA_HT","PNK","MA_QH","TSC")</f>
        <v>0</v>
      </c>
      <c r="AT57" s="22">
        <f ca="1">+GETPIVOTDATA("XBG4",'binhgia (2016)'!$A$3,"MA_HT","PNK","MA_QH","DTS")</f>
        <v>0</v>
      </c>
      <c r="AU57" s="22">
        <f ca="1">+GETPIVOTDATA("XBG4",'binhgia (2016)'!$A$3,"MA_HT","PNK","MA_QH","DNG")</f>
        <v>0</v>
      </c>
      <c r="AV57" s="22">
        <f ca="1">+GETPIVOTDATA("XBG4",'binhgia (2016)'!$A$3,"MA_HT","PNK","MA_QH","TON")</f>
        <v>0</v>
      </c>
      <c r="AW57" s="22">
        <f ca="1">+GETPIVOTDATA("XBG4",'binhgia (2016)'!$A$3,"MA_HT","PNK","MA_QH","NTD")</f>
        <v>0</v>
      </c>
      <c r="AX57" s="22">
        <f ca="1">+GETPIVOTDATA("XBG4",'binhgia (2016)'!$A$3,"MA_HT","PNK","MA_QH","SKX")</f>
        <v>0</v>
      </c>
      <c r="AY57" s="22">
        <f ca="1">+GETPIVOTDATA("XBG4",'binhgia (2016)'!$A$3,"MA_HT","PNK","MA_QH","DSH")</f>
        <v>0</v>
      </c>
      <c r="AZ57" s="22">
        <f ca="1">+GETPIVOTDATA("XBG4",'binhgia (2016)'!$A$3,"MA_HT","PNK","MA_QH","DKV")</f>
        <v>0</v>
      </c>
      <c r="BA57" s="89">
        <f ca="1">+GETPIVOTDATA("XBG4",'binhgia (2016)'!$A$3,"MA_HT","PNK","MA_QH","TIN")</f>
        <v>0</v>
      </c>
      <c r="BB57" s="50">
        <f ca="1">+GETPIVOTDATA("XBG4",'binhgia (2016)'!$A$3,"MA_HT","PNK","MA_QH","SON")</f>
        <v>0</v>
      </c>
      <c r="BC57" s="50">
        <f ca="1">+GETPIVOTDATA("XBG4",'binhgia (2016)'!$A$3,"MA_HT","PNK","MA_QH","MNC")</f>
        <v>0</v>
      </c>
      <c r="BD57" s="43" t="e">
        <f ca="1">$D57-$BF57</f>
        <v>#REF!</v>
      </c>
      <c r="BE57" s="71">
        <f ca="1">+GETPIVOTDATA("XBG4",'binhgia (2016)'!$A$3,"MA_HT","PNK","MA_QH","CSD")</f>
        <v>0</v>
      </c>
      <c r="BF57" s="74">
        <f ca="1" t="shared" si="13"/>
        <v>0</v>
      </c>
      <c r="BG57" s="101">
        <f ca="1">BD$59-$BF57</f>
        <v>0</v>
      </c>
      <c r="BH57" s="41" t="e">
        <f ca="1" t="shared" si="14"/>
        <v>#REF!</v>
      </c>
      <c r="BI57" s="98"/>
      <c r="BJ57" s="98" t="e">
        <f>#REF!</f>
        <v>#REF!</v>
      </c>
      <c r="BK57" s="107" t="e">
        <f ca="1">BH57-BJ57</f>
        <v>#REF!</v>
      </c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</row>
    <row r="58" s="3" customFormat="1" ht="15.75" customHeight="1" spans="1:79">
      <c r="A58" s="70" t="s">
        <v>8434</v>
      </c>
      <c r="B58" s="36" t="s">
        <v>8435</v>
      </c>
      <c r="C58" s="37" t="s">
        <v>8284</v>
      </c>
      <c r="D58" s="32" t="e">
        <f>+#REF!</f>
        <v>#REF!</v>
      </c>
      <c r="E58" s="42">
        <f ca="1" t="shared" si="15"/>
        <v>0</v>
      </c>
      <c r="F58" s="33">
        <f ca="1" t="shared" si="9"/>
        <v>0</v>
      </c>
      <c r="G58" s="71">
        <f ca="1">+GETPIVOTDATA("XBG4",'binhgia (2016)'!$A$3,"MA_HT","CSD","MA_QH","LUC")</f>
        <v>0</v>
      </c>
      <c r="H58" s="71">
        <f ca="1">+GETPIVOTDATA("XBG4",'binhgia (2016)'!$A$3,"MA_HT","CSD","MA_QH","LUK")</f>
        <v>0</v>
      </c>
      <c r="I58" s="71">
        <f ca="1">+GETPIVOTDATA("XBG4",'binhgia (2016)'!$A$3,"MA_HT","CSD","MA_QH","LUN")</f>
        <v>0</v>
      </c>
      <c r="J58" s="71">
        <f ca="1">+GETPIVOTDATA("XBG4",'binhgia (2016)'!$A$3,"MA_HT","CSD","MA_QH","HNK")</f>
        <v>0</v>
      </c>
      <c r="K58" s="71">
        <f ca="1">+GETPIVOTDATA("XBG4",'binhgia (2016)'!$A$3,"MA_HT","CSD","MA_QH","CLN")</f>
        <v>0</v>
      </c>
      <c r="L58" s="71">
        <f ca="1">+GETPIVOTDATA("XBG4",'binhgia (2016)'!$A$3,"MA_HT","CSD","MA_QH","RSX")</f>
        <v>0</v>
      </c>
      <c r="M58" s="71">
        <f ca="1">+GETPIVOTDATA("XBG4",'binhgia (2016)'!$A$3,"MA_HT","CSD","MA_QH","RPH")</f>
        <v>0</v>
      </c>
      <c r="N58" s="71">
        <f ca="1">+GETPIVOTDATA("XBG4",'binhgia (2016)'!$A$3,"MA_HT","CSD","MA_QH","RDD")</f>
        <v>0</v>
      </c>
      <c r="O58" s="71">
        <f ca="1">+GETPIVOTDATA("XBG4",'binhgia (2016)'!$A$3,"MA_HT","CSD","MA_QH","NTS")</f>
        <v>0</v>
      </c>
      <c r="P58" s="71">
        <f ca="1">+GETPIVOTDATA("XBG4",'binhgia (2016)'!$A$3,"MA_HT","CSD","MA_QH","LMU")</f>
        <v>0</v>
      </c>
      <c r="Q58" s="71">
        <f ca="1">+GETPIVOTDATA("XBG4",'binhgia (2016)'!$A$3,"MA_HT","CSD","MA_QH","NKH")</f>
        <v>0</v>
      </c>
      <c r="R58" s="79">
        <f ca="1">SUM(S58:AA58,AN58:BD58)</f>
        <v>0</v>
      </c>
      <c r="S58" s="80">
        <f ca="1">+GETPIVOTDATA("XBG4",'binhgia (2016)'!$A$3,"MA_HT","CSD","MA_QH","CQP")</f>
        <v>0</v>
      </c>
      <c r="T58" s="80">
        <f ca="1">+GETPIVOTDATA("XBG4",'binhgia (2016)'!$A$3,"MA_HT","CSD","MA_QH","CAN")</f>
        <v>0</v>
      </c>
      <c r="U58" s="71">
        <f ca="1">+GETPIVOTDATA("XBG4",'binhgia (2016)'!$A$3,"MA_HT","CSD","MA_QH","SKK")</f>
        <v>0</v>
      </c>
      <c r="V58" s="71">
        <f ca="1">+GETPIVOTDATA("XBG4",'binhgia (2016)'!$A$3,"MA_HT","CSD","MA_QH","SKT")</f>
        <v>0</v>
      </c>
      <c r="W58" s="71">
        <f ca="1">+GETPIVOTDATA("XBG4",'binhgia (2016)'!$A$3,"MA_HT","CSD","MA_QH","SKN")</f>
        <v>0</v>
      </c>
      <c r="X58" s="71">
        <f ca="1">+GETPIVOTDATA("XBG4",'binhgia (2016)'!$A$3,"MA_HT","CSD","MA_QH","TMD")</f>
        <v>0</v>
      </c>
      <c r="Y58" s="71">
        <f ca="1">+GETPIVOTDATA("XBG4",'binhgia (2016)'!$A$3,"MA_HT","CSD","MA_QH","SKC")</f>
        <v>0</v>
      </c>
      <c r="Z58" s="71">
        <f ca="1">+GETPIVOTDATA("XBG4",'binhgia (2016)'!$A$3,"MA_HT","CSD","MA_QH","SKS")</f>
        <v>0</v>
      </c>
      <c r="AA58" s="52">
        <f ca="1" t="shared" si="21"/>
        <v>0</v>
      </c>
      <c r="AB58" s="80">
        <f ca="1">+GETPIVOTDATA("XBG4",'binhgia (2016)'!$A$3,"MA_HT","CSD","MA_QH","DGT")</f>
        <v>0</v>
      </c>
      <c r="AC58" s="80">
        <f ca="1">+GETPIVOTDATA("XBG4",'binhgia (2016)'!$A$3,"MA_HT","CSD","MA_QH","DTL")</f>
        <v>0</v>
      </c>
      <c r="AD58" s="80">
        <f ca="1">+GETPIVOTDATA("XBG4",'binhgia (2016)'!$A$3,"MA_HT","CSD","MA_QH","DNL")</f>
        <v>0</v>
      </c>
      <c r="AE58" s="80">
        <f ca="1">+GETPIVOTDATA("XBG4",'binhgia (2016)'!$A$3,"MA_HT","CSD","MA_QH","DBV")</f>
        <v>0</v>
      </c>
      <c r="AF58" s="80">
        <f ca="1">+GETPIVOTDATA("XBG4",'binhgia (2016)'!$A$3,"MA_HT","CSD","MA_QH","DVH")</f>
        <v>0</v>
      </c>
      <c r="AG58" s="80">
        <f ca="1">+GETPIVOTDATA("XBG4",'binhgia (2016)'!$A$3,"MA_HT","CSD","MA_QH","DYT")</f>
        <v>0</v>
      </c>
      <c r="AH58" s="80">
        <f ca="1">+GETPIVOTDATA("XBG4",'binhgia (2016)'!$A$3,"MA_HT","CSD","MA_QH","DGD")</f>
        <v>0</v>
      </c>
      <c r="AI58" s="80">
        <f ca="1">+GETPIVOTDATA("XBG4",'binhgia (2016)'!$A$3,"MA_HT","CSD","MA_QH","DTT")</f>
        <v>0</v>
      </c>
      <c r="AJ58" s="80">
        <f ca="1">+GETPIVOTDATA("XBG4",'binhgia (2016)'!$A$3,"MA_HT","CSD","MA_QH","NCK")</f>
        <v>0</v>
      </c>
      <c r="AK58" s="80">
        <f ca="1">+GETPIVOTDATA("XBG4",'binhgia (2016)'!$A$3,"MA_HT","CSD","MA_QH","DXH")</f>
        <v>0</v>
      </c>
      <c r="AL58" s="80">
        <f ca="1">+GETPIVOTDATA("XBG4",'binhgia (2016)'!$A$3,"MA_HT","CSD","MA_QH","DCH")</f>
        <v>0</v>
      </c>
      <c r="AM58" s="80">
        <f ca="1">+GETPIVOTDATA("XBG4",'binhgia (2016)'!$A$3,"MA_HT","CSD","MA_QH","DKG")</f>
        <v>0</v>
      </c>
      <c r="AN58" s="71">
        <f ca="1">+GETPIVOTDATA("XBG4",'binhgia (2016)'!$A$3,"MA_HT","CSD","MA_QH","DDT")</f>
        <v>0</v>
      </c>
      <c r="AO58" s="71">
        <f ca="1">+GETPIVOTDATA("XBG4",'binhgia (2016)'!$A$3,"MA_HT","CSD","MA_QH","DDL")</f>
        <v>0</v>
      </c>
      <c r="AP58" s="71">
        <f ca="1">+GETPIVOTDATA("XBG4",'binhgia (2016)'!$A$3,"MA_HT","CSD","MA_QH","DRA")</f>
        <v>0</v>
      </c>
      <c r="AQ58" s="71">
        <f ca="1">+GETPIVOTDATA("XBG4",'binhgia (2016)'!$A$3,"MA_HT","CSD","MA_QH","ONT")</f>
        <v>0</v>
      </c>
      <c r="AR58" s="71">
        <f ca="1">+GETPIVOTDATA("XBG4",'binhgia (2016)'!$A$3,"MA_HT","CSD","MA_QH","ODT")</f>
        <v>0</v>
      </c>
      <c r="AS58" s="71">
        <f ca="1">+GETPIVOTDATA("XBG4",'binhgia (2016)'!$A$3,"MA_HT","CSD","MA_QH","TSC")</f>
        <v>0</v>
      </c>
      <c r="AT58" s="71">
        <f ca="1">+GETPIVOTDATA("XBG4",'binhgia (2016)'!$A$3,"MA_HT","CSD","MA_QH","DTS")</f>
        <v>0</v>
      </c>
      <c r="AU58" s="71">
        <f ca="1">+GETPIVOTDATA("XBG4",'binhgia (2016)'!$A$3,"MA_HT","CSD","MA_QH","DNG")</f>
        <v>0</v>
      </c>
      <c r="AV58" s="71">
        <f ca="1">+GETPIVOTDATA("XBG4",'binhgia (2016)'!$A$3,"MA_HT","CSD","MA_QH","TON")</f>
        <v>0</v>
      </c>
      <c r="AW58" s="71">
        <f ca="1">+GETPIVOTDATA("XBG4",'binhgia (2016)'!$A$3,"MA_HT","CSD","MA_QH","NTD")</f>
        <v>0</v>
      </c>
      <c r="AX58" s="71">
        <f ca="1">+GETPIVOTDATA("XBG4",'binhgia (2016)'!$A$3,"MA_HT","CSD","MA_QH","SKX")</f>
        <v>0</v>
      </c>
      <c r="AY58" s="71">
        <f ca="1">+GETPIVOTDATA("XBG4",'binhgia (2016)'!$A$3,"MA_HT","CSD","MA_QH","DSH")</f>
        <v>0</v>
      </c>
      <c r="AZ58" s="71">
        <f ca="1">+GETPIVOTDATA("XBG4",'binhgia (2016)'!$A$3,"MA_HT","CSD","MA_QH","DKV")</f>
        <v>0</v>
      </c>
      <c r="BA58" s="89">
        <f ca="1">+GETPIVOTDATA("XBG4",'binhgia (2016)'!$A$3,"MA_HT","CSD","MA_QH","TIN")</f>
        <v>0</v>
      </c>
      <c r="BB58" s="80">
        <f ca="1">+GETPIVOTDATA("XBG4",'binhgia (2016)'!$A$3,"MA_HT","CSD","MA_QH","SON")</f>
        <v>0</v>
      </c>
      <c r="BC58" s="80">
        <f ca="1">+GETPIVOTDATA("XBG4",'binhgia (2016)'!$A$3,"MA_HT","CSD","MA_QH","MNC")</f>
        <v>0</v>
      </c>
      <c r="BD58" s="71">
        <f ca="1">+GETPIVOTDATA("XBG4",'binhgia (2016)'!$A$3,"MA_HT","CSD","MA_QH","PNK")</f>
        <v>0</v>
      </c>
      <c r="BE58" s="38" t="e">
        <f ca="1">$D58-$BF58</f>
        <v>#REF!</v>
      </c>
      <c r="BF58" s="74">
        <f ca="1">R58+E58</f>
        <v>0</v>
      </c>
      <c r="BG58" s="119">
        <f ca="1">BE$59-$BF58</f>
        <v>0</v>
      </c>
      <c r="BH58" s="41" t="e">
        <f ca="1" t="shared" si="14"/>
        <v>#REF!</v>
      </c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</row>
    <row r="59" s="2" customFormat="1" ht="13.5" spans="1:246">
      <c r="A59" s="72"/>
      <c r="B59" s="72" t="s">
        <v>8436</v>
      </c>
      <c r="C59" s="73"/>
      <c r="D59" s="74"/>
      <c r="E59" s="75">
        <f ca="1">E58+E19</f>
        <v>0</v>
      </c>
      <c r="F59" s="74">
        <f ca="1" t="shared" ref="F59:Q59" si="22">F58+F19+F6</f>
        <v>0</v>
      </c>
      <c r="G59" s="74">
        <f ca="1" t="shared" si="22"/>
        <v>0</v>
      </c>
      <c r="H59" s="74">
        <f ca="1" t="shared" si="22"/>
        <v>0</v>
      </c>
      <c r="I59" s="74">
        <f ca="1" t="shared" si="22"/>
        <v>0</v>
      </c>
      <c r="J59" s="74">
        <f ca="1" t="shared" si="22"/>
        <v>0</v>
      </c>
      <c r="K59" s="74">
        <f ca="1" t="shared" si="22"/>
        <v>0</v>
      </c>
      <c r="L59" s="74">
        <f ca="1" t="shared" si="22"/>
        <v>0</v>
      </c>
      <c r="M59" s="74">
        <f ca="1" t="shared" si="22"/>
        <v>0</v>
      </c>
      <c r="N59" s="74">
        <f ca="1" t="shared" si="22"/>
        <v>0</v>
      </c>
      <c r="O59" s="74">
        <f ca="1" t="shared" si="22"/>
        <v>0</v>
      </c>
      <c r="P59" s="74">
        <f ca="1" t="shared" si="22"/>
        <v>0</v>
      </c>
      <c r="Q59" s="74">
        <f ca="1" t="shared" si="22"/>
        <v>0</v>
      </c>
      <c r="R59" s="75">
        <f ca="1">+R58+R6</f>
        <v>0</v>
      </c>
      <c r="S59" s="74">
        <f ca="1" t="shared" ref="S59:BD59" si="23">S58+S19+S6</f>
        <v>0</v>
      </c>
      <c r="T59" s="74">
        <f ca="1" t="shared" si="23"/>
        <v>0</v>
      </c>
      <c r="U59" s="74">
        <f ca="1" t="shared" si="23"/>
        <v>0</v>
      </c>
      <c r="V59" s="74">
        <f ca="1" t="shared" si="23"/>
        <v>0</v>
      </c>
      <c r="W59" s="74">
        <f ca="1" t="shared" si="23"/>
        <v>0</v>
      </c>
      <c r="X59" s="74">
        <f ca="1" t="shared" si="23"/>
        <v>0</v>
      </c>
      <c r="Y59" s="74">
        <f ca="1" t="shared" si="23"/>
        <v>0</v>
      </c>
      <c r="Z59" s="74">
        <f ca="1" t="shared" si="23"/>
        <v>0</v>
      </c>
      <c r="AA59" s="74">
        <f ca="1" t="shared" si="23"/>
        <v>0</v>
      </c>
      <c r="AB59" s="74">
        <f ca="1" t="shared" si="23"/>
        <v>0</v>
      </c>
      <c r="AC59" s="74">
        <f ca="1" t="shared" si="23"/>
        <v>0</v>
      </c>
      <c r="AD59" s="74">
        <f ca="1" t="shared" si="23"/>
        <v>0</v>
      </c>
      <c r="AE59" s="74">
        <f ca="1" t="shared" si="23"/>
        <v>0</v>
      </c>
      <c r="AF59" s="74">
        <f ca="1" t="shared" si="23"/>
        <v>0</v>
      </c>
      <c r="AG59" s="74">
        <f ca="1" t="shared" si="23"/>
        <v>0</v>
      </c>
      <c r="AH59" s="74">
        <f ca="1" t="shared" si="23"/>
        <v>0</v>
      </c>
      <c r="AI59" s="74">
        <f ca="1" t="shared" si="23"/>
        <v>0</v>
      </c>
      <c r="AJ59" s="74">
        <f ca="1" t="shared" si="23"/>
        <v>0</v>
      </c>
      <c r="AK59" s="74">
        <f ca="1" t="shared" si="23"/>
        <v>0</v>
      </c>
      <c r="AL59" s="74">
        <f ca="1" t="shared" si="23"/>
        <v>0</v>
      </c>
      <c r="AM59" s="74">
        <f ca="1" t="shared" si="23"/>
        <v>0</v>
      </c>
      <c r="AN59" s="74">
        <f ca="1" t="shared" si="23"/>
        <v>0</v>
      </c>
      <c r="AO59" s="74">
        <f ca="1" t="shared" si="23"/>
        <v>0</v>
      </c>
      <c r="AP59" s="74">
        <f ca="1" t="shared" si="23"/>
        <v>0</v>
      </c>
      <c r="AQ59" s="74">
        <f ca="1" t="shared" si="23"/>
        <v>0</v>
      </c>
      <c r="AR59" s="74">
        <f ca="1" t="shared" si="23"/>
        <v>0</v>
      </c>
      <c r="AS59" s="74">
        <f ca="1" t="shared" si="23"/>
        <v>0</v>
      </c>
      <c r="AT59" s="74">
        <f ca="1" t="shared" si="23"/>
        <v>0</v>
      </c>
      <c r="AU59" s="74">
        <f ca="1" t="shared" si="23"/>
        <v>0</v>
      </c>
      <c r="AV59" s="74">
        <f ca="1" t="shared" si="23"/>
        <v>0</v>
      </c>
      <c r="AW59" s="74">
        <f ca="1" t="shared" si="23"/>
        <v>0</v>
      </c>
      <c r="AX59" s="74">
        <f ca="1" t="shared" si="23"/>
        <v>0</v>
      </c>
      <c r="AY59" s="74">
        <f ca="1" t="shared" si="23"/>
        <v>0</v>
      </c>
      <c r="AZ59" s="74">
        <f ca="1" t="shared" si="23"/>
        <v>0</v>
      </c>
      <c r="BA59" s="75">
        <f ca="1" t="shared" si="23"/>
        <v>0</v>
      </c>
      <c r="BB59" s="74">
        <f ca="1" t="shared" si="23"/>
        <v>0</v>
      </c>
      <c r="BC59" s="74">
        <f ca="1" t="shared" si="23"/>
        <v>0</v>
      </c>
      <c r="BD59" s="74">
        <f ca="1" t="shared" si="23"/>
        <v>0</v>
      </c>
      <c r="BE59" s="120">
        <f ca="1">BE19+BE6</f>
        <v>0</v>
      </c>
      <c r="BF59" s="74"/>
      <c r="BG59" s="74"/>
      <c r="BH59" s="74"/>
      <c r="BI59" s="121"/>
      <c r="BJ59" s="121"/>
      <c r="BK59" s="121"/>
      <c r="BL59" s="1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3"/>
      <c r="CB59" s="123"/>
      <c r="CC59" s="124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</row>
    <row r="61" spans="61:76"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</row>
  </sheetData>
  <mergeCells count="3">
    <mergeCell ref="A3:A4"/>
    <mergeCell ref="B3:B4"/>
    <mergeCell ref="C3:C4"/>
  </mergeCells>
  <pageMargins left="0.65" right="0" top="0.5" bottom="0.25" header="0.5" footer="0.5"/>
  <pageSetup paperSize="8" orientation="landscape" horizontalDpi="360" verticalDpi="36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3">
    <tabColor rgb="FFFF0000"/>
  </sheetPr>
  <dimension ref="A1:IL61"/>
  <sheetViews>
    <sheetView workbookViewId="0">
      <selection activeCell="A1" sqref="A1"/>
    </sheetView>
  </sheetViews>
  <sheetFormatPr defaultColWidth="9" defaultRowHeight="15"/>
  <cols>
    <col min="1" max="1" width="6.375" style="7" customWidth="1"/>
    <col min="2" max="2" width="29.125" style="7" customWidth="1"/>
    <col min="3" max="3" width="6" style="7" customWidth="1"/>
    <col min="4" max="4" width="9.75" style="8" customWidth="1"/>
    <col min="5" max="5" width="9.375" style="9" customWidth="1"/>
    <col min="6" max="6" width="7" style="8" customWidth="1"/>
    <col min="7" max="7" width="7.75" style="8" customWidth="1"/>
    <col min="8" max="8" width="7" style="8" customWidth="1"/>
    <col min="9" max="9" width="6.875" style="8" customWidth="1"/>
    <col min="10" max="10" width="7.625" style="8" customWidth="1"/>
    <col min="11" max="11" width="9.125" style="8" customWidth="1"/>
    <col min="12" max="12" width="8.25" style="8" customWidth="1"/>
    <col min="13" max="13" width="6" style="8" customWidth="1"/>
    <col min="14" max="14" width="6.25" style="8" customWidth="1"/>
    <col min="15" max="15" width="5.875" style="8" customWidth="1"/>
    <col min="16" max="16" width="5.75" style="8" customWidth="1"/>
    <col min="17" max="17" width="6.25" style="8" customWidth="1"/>
    <col min="18" max="18" width="8.75" style="10" customWidth="1"/>
    <col min="19" max="19" width="7.125" style="8" customWidth="1"/>
    <col min="20" max="20" width="7.75" style="8" customWidth="1"/>
    <col min="21" max="23" width="6.125" style="8" customWidth="1"/>
    <col min="24" max="24" width="7.125" style="8" customWidth="1"/>
    <col min="25" max="25" width="7.75" style="8" customWidth="1"/>
    <col min="26" max="26" width="6.875" style="8" customWidth="1"/>
    <col min="27" max="27" width="7.375" style="8" customWidth="1"/>
    <col min="28" max="28" width="9" style="8"/>
    <col min="29" max="29" width="7.25" style="8" customWidth="1"/>
    <col min="30" max="30" width="7" style="8" customWidth="1"/>
    <col min="31" max="31" width="6.125" style="8" customWidth="1"/>
    <col min="32" max="33" width="6.625" style="8" customWidth="1"/>
    <col min="34" max="34" width="6.125" style="8" customWidth="1"/>
    <col min="35" max="35" width="8.5" style="8" customWidth="1"/>
    <col min="36" max="36" width="8.875" style="8" customWidth="1"/>
    <col min="37" max="37" width="8.75" style="8" customWidth="1"/>
    <col min="38" max="39" width="6.625" style="8" customWidth="1"/>
    <col min="40" max="41" width="6.875" style="8" customWidth="1"/>
    <col min="42" max="42" width="6.75" style="8" customWidth="1"/>
    <col min="43" max="43" width="6.375" style="8" customWidth="1"/>
    <col min="44" max="44" width="6.125" style="8" customWidth="1"/>
    <col min="45" max="46" width="5.75" style="8" customWidth="1"/>
    <col min="47" max="47" width="6.5" style="8" customWidth="1"/>
    <col min="48" max="49" width="5.625" style="8" customWidth="1"/>
    <col min="50" max="51" width="6.125" style="8" customWidth="1"/>
    <col min="52" max="52" width="7.625" style="8" customWidth="1"/>
    <col min="53" max="53" width="9.375" style="11" customWidth="1"/>
    <col min="54" max="54" width="6.625" style="12" customWidth="1"/>
    <col min="55" max="55" width="6.25" style="12" customWidth="1"/>
    <col min="56" max="56" width="7.125" style="8" customWidth="1"/>
    <col min="57" max="57" width="6.25" style="9" customWidth="1"/>
    <col min="58" max="58" width="7.25" style="11" customWidth="1"/>
    <col min="59" max="59" width="8.25" style="11" customWidth="1"/>
    <col min="60" max="60" width="10.125" style="11" customWidth="1"/>
    <col min="61" max="61" width="5.125" style="7" customWidth="1"/>
    <col min="62" max="62" width="8.375" style="7" hidden="1" customWidth="1"/>
    <col min="63" max="63" width="9" style="7" hidden="1" customWidth="1"/>
    <col min="64" max="64" width="4.875" style="7" customWidth="1"/>
    <col min="65" max="65" width="6.25" style="7" customWidth="1"/>
    <col min="66" max="66" width="5" style="7" customWidth="1"/>
    <col min="67" max="67" width="4.25" style="7" customWidth="1"/>
    <col min="68" max="68" width="5.375" style="7" customWidth="1"/>
    <col min="69" max="69" width="5.125" style="7" customWidth="1"/>
    <col min="70" max="70" width="4.625" style="7" customWidth="1"/>
    <col min="71" max="71" width="5.625" style="7" customWidth="1"/>
    <col min="72" max="72" width="5.875" style="7" customWidth="1"/>
    <col min="73" max="73" width="5" style="7" customWidth="1"/>
    <col min="74" max="74" width="3.875" style="7" customWidth="1"/>
    <col min="75" max="75" width="4.625" style="7" customWidth="1"/>
    <col min="76" max="76" width="5.5" style="7" customWidth="1"/>
    <col min="77" max="77" width="7.625" style="13" customWidth="1"/>
    <col min="78" max="79" width="8.375" style="13" customWidth="1"/>
    <col min="80" max="80" width="7.5" style="7" customWidth="1"/>
    <col min="81" max="16384" width="9" style="7"/>
  </cols>
  <sheetData>
    <row r="1" ht="21" customHeight="1" spans="1:82">
      <c r="A1" s="14" t="s">
        <v>8330</v>
      </c>
      <c r="B1" s="15"/>
      <c r="C1" s="16" t="e">
        <f>+"CHU CHUYỂN ĐẤT ĐAI TRONG KẾ HOẠCH SỬ DỤNG ĐẤT NĂM 2015 CỦA "&amp;#REF!</f>
        <v>#REF!</v>
      </c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83"/>
      <c r="BC1" s="83"/>
      <c r="BD1" s="18"/>
      <c r="BE1" s="18"/>
      <c r="BF1" s="18"/>
      <c r="BG1" s="18"/>
      <c r="BH1" s="18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7"/>
      <c r="BZ1" s="7"/>
      <c r="CA1" s="7"/>
      <c r="CB1" s="8"/>
      <c r="CC1" s="8"/>
      <c r="CD1" s="8"/>
    </row>
    <row r="2" s="1" customFormat="1" ht="7.5" customHeight="1" spans="1:82">
      <c r="A2" s="1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9"/>
      <c r="BA2" s="20"/>
      <c r="BB2" s="84"/>
      <c r="BC2" s="84"/>
      <c r="BD2" s="20"/>
      <c r="BE2" s="20"/>
      <c r="BF2" s="20"/>
      <c r="BG2" s="20"/>
      <c r="BH2" s="95" t="s">
        <v>8331</v>
      </c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CB2" s="9"/>
      <c r="CC2" s="9"/>
      <c r="CD2" s="9"/>
    </row>
    <row r="3" s="2" customFormat="1" ht="15.75" customHeight="1" spans="1:79">
      <c r="A3" s="21" t="s">
        <v>3</v>
      </c>
      <c r="B3" s="21" t="s">
        <v>8332</v>
      </c>
      <c r="C3" s="21" t="s">
        <v>8333</v>
      </c>
      <c r="D3" s="22"/>
      <c r="E3" s="23" t="s">
        <v>8334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7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85"/>
      <c r="BC3" s="85"/>
      <c r="BD3" s="24"/>
      <c r="BE3" s="97"/>
      <c r="BF3" s="22"/>
      <c r="BG3" s="22"/>
      <c r="BH3" s="22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</row>
    <row r="4" s="2" customFormat="1" ht="31.5" customHeight="1" spans="1:79">
      <c r="A4" s="25"/>
      <c r="B4" s="25"/>
      <c r="C4" s="25"/>
      <c r="D4" s="26" t="s">
        <v>8335</v>
      </c>
      <c r="E4" s="27" t="s">
        <v>8303</v>
      </c>
      <c r="F4" s="28" t="s">
        <v>8298</v>
      </c>
      <c r="G4" s="29" t="s">
        <v>8299</v>
      </c>
      <c r="H4" s="29" t="s">
        <v>221</v>
      </c>
      <c r="I4" s="29" t="s">
        <v>8300</v>
      </c>
      <c r="J4" s="28" t="s">
        <v>2492</v>
      </c>
      <c r="K4" s="28" t="s">
        <v>30</v>
      </c>
      <c r="L4" s="28" t="s">
        <v>8307</v>
      </c>
      <c r="M4" s="28" t="s">
        <v>8306</v>
      </c>
      <c r="N4" s="28" t="s">
        <v>8305</v>
      </c>
      <c r="O4" s="76" t="s">
        <v>318</v>
      </c>
      <c r="P4" s="28" t="s">
        <v>8297</v>
      </c>
      <c r="Q4" s="28" t="s">
        <v>553</v>
      </c>
      <c r="R4" s="37" t="s">
        <v>8304</v>
      </c>
      <c r="S4" s="40" t="s">
        <v>31</v>
      </c>
      <c r="T4" s="40" t="s">
        <v>8283</v>
      </c>
      <c r="U4" s="40" t="s">
        <v>47</v>
      </c>
      <c r="V4" s="40" t="s">
        <v>8308</v>
      </c>
      <c r="W4" s="40" t="s">
        <v>56</v>
      </c>
      <c r="X4" s="40" t="s">
        <v>265</v>
      </c>
      <c r="Y4" s="40" t="s">
        <v>204</v>
      </c>
      <c r="Z4" s="40" t="s">
        <v>174</v>
      </c>
      <c r="AA4" s="40" t="s">
        <v>8288</v>
      </c>
      <c r="AB4" s="46" t="s">
        <v>94</v>
      </c>
      <c r="AC4" s="46" t="s">
        <v>216</v>
      </c>
      <c r="AD4" s="46" t="s">
        <v>71</v>
      </c>
      <c r="AE4" s="46" t="s">
        <v>8285</v>
      </c>
      <c r="AF4" s="46" t="s">
        <v>212</v>
      </c>
      <c r="AG4" s="46" t="s">
        <v>8296</v>
      </c>
      <c r="AH4" s="46" t="s">
        <v>165</v>
      </c>
      <c r="AI4" s="46" t="s">
        <v>8294</v>
      </c>
      <c r="AJ4" s="46" t="s">
        <v>8302</v>
      </c>
      <c r="AK4" s="46" t="s">
        <v>8295</v>
      </c>
      <c r="AL4" s="46" t="s">
        <v>178</v>
      </c>
      <c r="AM4" s="46" t="s">
        <v>8312</v>
      </c>
      <c r="AN4" s="40" t="s">
        <v>8287</v>
      </c>
      <c r="AO4" s="40" t="s">
        <v>8286</v>
      </c>
      <c r="AP4" s="40" t="s">
        <v>8291</v>
      </c>
      <c r="AQ4" s="40" t="s">
        <v>188</v>
      </c>
      <c r="AR4" s="40" t="s">
        <v>201</v>
      </c>
      <c r="AS4" s="40" t="s">
        <v>336</v>
      </c>
      <c r="AT4" s="40" t="s">
        <v>8293</v>
      </c>
      <c r="AU4" s="40" t="s">
        <v>8290</v>
      </c>
      <c r="AV4" s="40" t="s">
        <v>324</v>
      </c>
      <c r="AW4" s="40" t="s">
        <v>182</v>
      </c>
      <c r="AX4" s="40" t="s">
        <v>236</v>
      </c>
      <c r="AY4" s="40" t="s">
        <v>8292</v>
      </c>
      <c r="AZ4" s="40" t="s">
        <v>8289</v>
      </c>
      <c r="BA4" s="40" t="s">
        <v>8310</v>
      </c>
      <c r="BB4" s="40" t="s">
        <v>8309</v>
      </c>
      <c r="BC4" s="40" t="s">
        <v>8301</v>
      </c>
      <c r="BD4" s="40" t="s">
        <v>59</v>
      </c>
      <c r="BE4" s="27" t="s">
        <v>8284</v>
      </c>
      <c r="BF4" s="99" t="s">
        <v>8336</v>
      </c>
      <c r="BG4" s="100" t="s">
        <v>8337</v>
      </c>
      <c r="BH4" s="26" t="s">
        <v>8335</v>
      </c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</row>
    <row r="5" s="2" customFormat="1" ht="15.75" customHeight="1" spans="1:79">
      <c r="A5" s="30"/>
      <c r="B5" s="30" t="s">
        <v>8338</v>
      </c>
      <c r="C5" s="31"/>
      <c r="D5" s="32" t="e">
        <f>+#REF!</f>
        <v>#REF!</v>
      </c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86"/>
      <c r="BC5" s="86"/>
      <c r="BD5" s="34"/>
      <c r="BE5" s="33"/>
      <c r="BF5" s="34"/>
      <c r="BG5" s="34"/>
      <c r="BH5" s="34" t="e">
        <f ca="1">BH6+BH19+BH58</f>
        <v>#REF!</v>
      </c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</row>
    <row r="6" s="3" customFormat="1" ht="15.75" customHeight="1" spans="1:79">
      <c r="A6" s="35">
        <v>1</v>
      </c>
      <c r="B6" s="36" t="s">
        <v>8339</v>
      </c>
      <c r="C6" s="37" t="s">
        <v>8303</v>
      </c>
      <c r="D6" s="33" t="e">
        <f>+#REF!</f>
        <v>#REF!</v>
      </c>
      <c r="E6" s="38" t="e">
        <f ca="1">$D6-$BF6</f>
        <v>#REF!</v>
      </c>
      <c r="F6" s="33">
        <f ca="1">SUM(F11:F18)</f>
        <v>0</v>
      </c>
      <c r="G6" s="33">
        <f ca="1">SUM(G7,G11:G18)</f>
        <v>0</v>
      </c>
      <c r="H6" s="33">
        <f ca="1">SUM(H7,H11:H18)</f>
        <v>0</v>
      </c>
      <c r="I6" s="33">
        <f ca="1">SUM(I7,I11:I18)</f>
        <v>0</v>
      </c>
      <c r="J6" s="33">
        <f ca="1">SUM(J7,J12:J18)</f>
        <v>0</v>
      </c>
      <c r="K6" s="33">
        <f ca="1">SUM(K7,K11,K13:K18)</f>
        <v>0</v>
      </c>
      <c r="L6" s="33">
        <f ca="1">SUM(L7,L11:L12,L14:L18)</f>
        <v>0</v>
      </c>
      <c r="M6" s="33">
        <f ca="1">SUM(M7,M11:M13,M15:M18)</f>
        <v>0</v>
      </c>
      <c r="N6" s="33">
        <f ca="1">SUM(N7,N11:N14,N16:N18)</f>
        <v>0</v>
      </c>
      <c r="O6" s="33">
        <f ca="1">SUM(O7,O11:O15,O17:O18)</f>
        <v>0</v>
      </c>
      <c r="P6" s="33">
        <f ca="1">SUM(P7,P11:P16,P18:P18)</f>
        <v>0</v>
      </c>
      <c r="Q6" s="33">
        <f ca="1">SUM(Q7,Q11:Q17)</f>
        <v>0</v>
      </c>
      <c r="R6" s="33">
        <f ca="1">SUM(R7,R11:R18)</f>
        <v>0</v>
      </c>
      <c r="S6" s="33">
        <f ca="1">SUM(S7,S11:S18)</f>
        <v>0</v>
      </c>
      <c r="T6" s="33">
        <f ca="1" t="shared" ref="T6:BE6" si="0">SUM(T7,T11:T18)</f>
        <v>0</v>
      </c>
      <c r="U6" s="33">
        <f ca="1" t="shared" si="0"/>
        <v>0</v>
      </c>
      <c r="V6" s="33">
        <f ca="1" t="shared" si="0"/>
        <v>0</v>
      </c>
      <c r="W6" s="33">
        <f ca="1" t="shared" si="0"/>
        <v>0</v>
      </c>
      <c r="X6" s="33">
        <f ca="1" t="shared" si="0"/>
        <v>0</v>
      </c>
      <c r="Y6" s="33">
        <f ca="1" t="shared" si="0"/>
        <v>0</v>
      </c>
      <c r="Z6" s="33">
        <f ca="1" t="shared" si="0"/>
        <v>0</v>
      </c>
      <c r="AA6" s="33">
        <f ca="1" t="shared" si="0"/>
        <v>0</v>
      </c>
      <c r="AB6" s="33">
        <f ca="1" t="shared" si="0"/>
        <v>0</v>
      </c>
      <c r="AC6" s="33">
        <f ca="1" t="shared" si="0"/>
        <v>0</v>
      </c>
      <c r="AD6" s="33">
        <f ca="1" t="shared" si="0"/>
        <v>0</v>
      </c>
      <c r="AE6" s="33">
        <f ca="1" t="shared" si="0"/>
        <v>0</v>
      </c>
      <c r="AF6" s="33">
        <f ca="1" t="shared" si="0"/>
        <v>0</v>
      </c>
      <c r="AG6" s="33">
        <f ca="1" t="shared" si="0"/>
        <v>0</v>
      </c>
      <c r="AH6" s="33">
        <f ca="1" t="shared" si="0"/>
        <v>0</v>
      </c>
      <c r="AI6" s="33">
        <f ca="1" t="shared" si="0"/>
        <v>0</v>
      </c>
      <c r="AJ6" s="33">
        <f ca="1" t="shared" si="0"/>
        <v>0</v>
      </c>
      <c r="AK6" s="33">
        <f ca="1" t="shared" si="0"/>
        <v>0</v>
      </c>
      <c r="AL6" s="33">
        <f ca="1" t="shared" si="0"/>
        <v>0</v>
      </c>
      <c r="AM6" s="33">
        <f ca="1" t="shared" si="0"/>
        <v>0</v>
      </c>
      <c r="AN6" s="33">
        <f ca="1" t="shared" si="0"/>
        <v>0</v>
      </c>
      <c r="AO6" s="33">
        <f ca="1" t="shared" si="0"/>
        <v>0</v>
      </c>
      <c r="AP6" s="33">
        <f ca="1" t="shared" si="0"/>
        <v>0</v>
      </c>
      <c r="AQ6" s="33">
        <f ca="1" t="shared" si="0"/>
        <v>0</v>
      </c>
      <c r="AR6" s="33">
        <f ca="1" t="shared" si="0"/>
        <v>0</v>
      </c>
      <c r="AS6" s="33">
        <f ca="1" t="shared" si="0"/>
        <v>0</v>
      </c>
      <c r="AT6" s="33">
        <f ca="1" t="shared" si="0"/>
        <v>0</v>
      </c>
      <c r="AU6" s="33">
        <f ca="1" t="shared" si="0"/>
        <v>0</v>
      </c>
      <c r="AV6" s="33">
        <f ca="1" t="shared" si="0"/>
        <v>0</v>
      </c>
      <c r="AW6" s="33">
        <f ca="1" t="shared" si="0"/>
        <v>0</v>
      </c>
      <c r="AX6" s="33">
        <f ca="1" t="shared" si="0"/>
        <v>0</v>
      </c>
      <c r="AY6" s="33">
        <f ca="1" t="shared" si="0"/>
        <v>0</v>
      </c>
      <c r="AZ6" s="33">
        <f ca="1" t="shared" si="0"/>
        <v>0</v>
      </c>
      <c r="BA6" s="33">
        <f ca="1" t="shared" si="0"/>
        <v>0</v>
      </c>
      <c r="BB6" s="33">
        <f ca="1" t="shared" si="0"/>
        <v>0</v>
      </c>
      <c r="BC6" s="33">
        <f ca="1" t="shared" si="0"/>
        <v>0</v>
      </c>
      <c r="BD6" s="33">
        <f ca="1" t="shared" si="0"/>
        <v>0</v>
      </c>
      <c r="BE6" s="33">
        <f ca="1" t="shared" si="0"/>
        <v>0</v>
      </c>
      <c r="BF6" s="74">
        <f ca="1">BE6+R6</f>
        <v>0</v>
      </c>
      <c r="BG6" s="101">
        <f ca="1">E$59-$BF6</f>
        <v>0</v>
      </c>
      <c r="BH6" s="33" t="e">
        <f ca="1">SUM(BH7,BH11:BH18)</f>
        <v>#REF!</v>
      </c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</row>
    <row r="7" s="2" customFormat="1" ht="15.75" customHeight="1" spans="1:79">
      <c r="A7" s="39" t="s">
        <v>27</v>
      </c>
      <c r="B7" s="39" t="s">
        <v>8340</v>
      </c>
      <c r="C7" s="40" t="s">
        <v>8298</v>
      </c>
      <c r="D7" s="41" t="e">
        <f>+#REF!</f>
        <v>#REF!</v>
      </c>
      <c r="E7" s="42">
        <f ca="1">SUM(J7:Q7)</f>
        <v>0</v>
      </c>
      <c r="F7" s="43" t="e">
        <f ca="1">$D7-$BF7</f>
        <v>#REF!</v>
      </c>
      <c r="G7" s="44">
        <f ca="1">SUM(G9:G10)</f>
        <v>0</v>
      </c>
      <c r="H7" s="44">
        <f ca="1">SUM(H8,H10)</f>
        <v>0</v>
      </c>
      <c r="I7" s="44">
        <f ca="1">SUM(I8:I9)</f>
        <v>0</v>
      </c>
      <c r="J7" s="44">
        <f ca="1">SUM(J8:J10)</f>
        <v>0</v>
      </c>
      <c r="K7" s="44">
        <f ca="1" t="shared" ref="K7:Q7" si="1">SUM(K8:K10)</f>
        <v>0</v>
      </c>
      <c r="L7" s="44">
        <f ca="1" t="shared" si="1"/>
        <v>0</v>
      </c>
      <c r="M7" s="44">
        <f ca="1" t="shared" si="1"/>
        <v>0</v>
      </c>
      <c r="N7" s="44">
        <f ca="1" t="shared" si="1"/>
        <v>0</v>
      </c>
      <c r="O7" s="44">
        <f ca="1" t="shared" si="1"/>
        <v>0</v>
      </c>
      <c r="P7" s="44">
        <f ca="1" t="shared" si="1"/>
        <v>0</v>
      </c>
      <c r="Q7" s="44">
        <f ca="1" t="shared" si="1"/>
        <v>0</v>
      </c>
      <c r="R7" s="42">
        <f ca="1" t="shared" ref="R7:R18" si="2">SUM(S7:AA7,AN7:BD7)</f>
        <v>0</v>
      </c>
      <c r="S7" s="52">
        <f ca="1" t="shared" ref="S7:AY7" si="3">SUM(S8:S10)</f>
        <v>0</v>
      </c>
      <c r="T7" s="52">
        <f ca="1" t="shared" si="3"/>
        <v>0</v>
      </c>
      <c r="U7" s="52">
        <f ca="1" t="shared" si="3"/>
        <v>0</v>
      </c>
      <c r="V7" s="52">
        <f ca="1" t="shared" si="3"/>
        <v>0</v>
      </c>
      <c r="W7" s="52">
        <f ca="1" t="shared" si="3"/>
        <v>0</v>
      </c>
      <c r="X7" s="52">
        <f ca="1" t="shared" si="3"/>
        <v>0</v>
      </c>
      <c r="Y7" s="52">
        <f ca="1" t="shared" si="3"/>
        <v>0</v>
      </c>
      <c r="Z7" s="52">
        <f ca="1" t="shared" si="3"/>
        <v>0</v>
      </c>
      <c r="AA7" s="52">
        <f ca="1" t="shared" ref="AA7:AA18" si="4">+SUM(AB7:AM7)</f>
        <v>0</v>
      </c>
      <c r="AB7" s="52">
        <f ca="1" t="shared" ref="AB7:AM7" si="5">SUM(AB8:AB10)</f>
        <v>0</v>
      </c>
      <c r="AC7" s="52">
        <f ca="1" t="shared" si="5"/>
        <v>0</v>
      </c>
      <c r="AD7" s="52">
        <f ca="1" t="shared" si="5"/>
        <v>0</v>
      </c>
      <c r="AE7" s="52">
        <f ca="1" t="shared" si="5"/>
        <v>0</v>
      </c>
      <c r="AF7" s="52">
        <f ca="1" t="shared" si="5"/>
        <v>0</v>
      </c>
      <c r="AG7" s="52">
        <f ca="1" t="shared" si="5"/>
        <v>0</v>
      </c>
      <c r="AH7" s="52">
        <f ca="1" t="shared" si="5"/>
        <v>0</v>
      </c>
      <c r="AI7" s="52">
        <f ca="1" t="shared" si="5"/>
        <v>0</v>
      </c>
      <c r="AJ7" s="52">
        <f ca="1" t="shared" si="5"/>
        <v>0</v>
      </c>
      <c r="AK7" s="52">
        <f ca="1" t="shared" si="5"/>
        <v>0</v>
      </c>
      <c r="AL7" s="52">
        <f ca="1" t="shared" si="5"/>
        <v>0</v>
      </c>
      <c r="AM7" s="52">
        <f ca="1" t="shared" si="5"/>
        <v>0</v>
      </c>
      <c r="AN7" s="52">
        <f ca="1" t="shared" si="3"/>
        <v>0</v>
      </c>
      <c r="AO7" s="52">
        <f ca="1" t="shared" si="3"/>
        <v>0</v>
      </c>
      <c r="AP7" s="52">
        <f ca="1" t="shared" si="3"/>
        <v>0</v>
      </c>
      <c r="AQ7" s="52">
        <f ca="1" t="shared" si="3"/>
        <v>0</v>
      </c>
      <c r="AR7" s="52">
        <f ca="1" t="shared" si="3"/>
        <v>0</v>
      </c>
      <c r="AS7" s="52">
        <f ca="1" t="shared" si="3"/>
        <v>0</v>
      </c>
      <c r="AT7" s="52">
        <f ca="1" t="shared" si="3"/>
        <v>0</v>
      </c>
      <c r="AU7" s="52">
        <f ca="1" t="shared" si="3"/>
        <v>0</v>
      </c>
      <c r="AV7" s="52">
        <f ca="1" t="shared" si="3"/>
        <v>0</v>
      </c>
      <c r="AW7" s="52">
        <f ca="1" t="shared" si="3"/>
        <v>0</v>
      </c>
      <c r="AX7" s="52">
        <f ca="1" t="shared" si="3"/>
        <v>0</v>
      </c>
      <c r="AY7" s="52">
        <f ca="1" t="shared" si="3"/>
        <v>0</v>
      </c>
      <c r="AZ7" s="52">
        <f ca="1" t="shared" ref="AZ7:BE7" si="6">SUM(AZ8:AZ10)</f>
        <v>0</v>
      </c>
      <c r="BA7" s="87">
        <f ca="1" t="shared" si="6"/>
        <v>0</v>
      </c>
      <c r="BB7" s="52">
        <f ca="1" t="shared" si="6"/>
        <v>0</v>
      </c>
      <c r="BC7" s="52">
        <f ca="1" t="shared" si="6"/>
        <v>0</v>
      </c>
      <c r="BD7" s="52">
        <f ca="1" t="shared" si="6"/>
        <v>0</v>
      </c>
      <c r="BE7" s="52">
        <f ca="1" t="shared" si="6"/>
        <v>0</v>
      </c>
      <c r="BF7" s="74">
        <f ca="1" t="shared" ref="BF7:BF18" si="7">BE7+R7+E7</f>
        <v>0</v>
      </c>
      <c r="BG7" s="101">
        <f ca="1">F$59-$BF7</f>
        <v>0</v>
      </c>
      <c r="BH7" s="41" t="e">
        <f ca="1" t="shared" ref="BH7:BH18" si="8">BG7+D7</f>
        <v>#REF!</v>
      </c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</row>
    <row r="8" s="4" customFormat="1" ht="15.75" customHeight="1" spans="1:79">
      <c r="A8" s="45"/>
      <c r="B8" s="316" t="s">
        <v>8341</v>
      </c>
      <c r="C8" s="46" t="s">
        <v>8299</v>
      </c>
      <c r="D8" s="47" t="e">
        <f>+#REF!</f>
        <v>#REF!</v>
      </c>
      <c r="E8" s="48">
        <f ca="1">SUM(F8,J8:Q8)</f>
        <v>0</v>
      </c>
      <c r="F8" s="44">
        <f ca="1">SUM(H8:I8)</f>
        <v>0</v>
      </c>
      <c r="G8" s="49" t="e">
        <f ca="1">$D8-$BF8</f>
        <v>#REF!</v>
      </c>
      <c r="H8" s="50">
        <f ca="1">+GETPIVOTDATA("XBT4",'binhtrung (2016)'!$A$3,"MA_HT","LUC","MA_QH","LUK")</f>
        <v>0</v>
      </c>
      <c r="I8" s="50">
        <f ca="1">+GETPIVOTDATA("XBT4",'binhtrung (2016)'!$A$3,"MA_HT","LUC","MA_QH","LUN")</f>
        <v>0</v>
      </c>
      <c r="J8" s="50">
        <f ca="1">+GETPIVOTDATA("XBT4",'binhtrung (2016)'!$A$3,"MA_HT","LUC","MA_QH","HNK")</f>
        <v>0</v>
      </c>
      <c r="K8" s="50">
        <f ca="1">+GETPIVOTDATA("XBT4",'binhtrung (2016)'!$A$3,"MA_HT","LUC","MA_QH","CLN")</f>
        <v>0</v>
      </c>
      <c r="L8" s="50">
        <f ca="1">+GETPIVOTDATA("XBT4",'binhtrung (2016)'!$A$3,"MA_HT","LUC","MA_QH","RSX")</f>
        <v>0</v>
      </c>
      <c r="M8" s="50">
        <f ca="1">+GETPIVOTDATA("XBT4",'binhtrung (2016)'!$A$3,"MA_HT","LUC","MA_QH","RPH")</f>
        <v>0</v>
      </c>
      <c r="N8" s="50">
        <f ca="1">+GETPIVOTDATA("XBT4",'binhtrung (2016)'!$A$3,"MA_HT","LUC","MA_QH","RDD")</f>
        <v>0</v>
      </c>
      <c r="O8" s="50">
        <f ca="1">+GETPIVOTDATA("XBT4",'binhtrung (2016)'!$A$3,"MA_HT","LUC","MA_QH","NTS")</f>
        <v>0</v>
      </c>
      <c r="P8" s="50">
        <f ca="1">+GETPIVOTDATA("XBT4",'binhtrung (2016)'!$A$3,"MA_HT","LUC","MA_QH","LMU")</f>
        <v>0</v>
      </c>
      <c r="Q8" s="50">
        <f ca="1">+GETPIVOTDATA("XBT4",'binhtrung (2016)'!$A$3,"MA_HT","LUC","MA_QH","NKH")</f>
        <v>0</v>
      </c>
      <c r="R8" s="48">
        <f ca="1" t="shared" si="2"/>
        <v>0</v>
      </c>
      <c r="S8" s="50">
        <f ca="1">+GETPIVOTDATA("XBT4",'binhtrung (2016)'!$A$3,"MA_HT","LUC","MA_QH","CQP")</f>
        <v>0</v>
      </c>
      <c r="T8" s="50">
        <f ca="1">+GETPIVOTDATA("XBT4",'binhtrung (2016)'!$A$3,"MA_HT","LUC","MA_QH","CAN")</f>
        <v>0</v>
      </c>
      <c r="U8" s="50">
        <f ca="1">+GETPIVOTDATA("XBT4",'binhtrung (2016)'!$A$3,"MA_HT","LUC","MA_QH","SKK")</f>
        <v>0</v>
      </c>
      <c r="V8" s="50">
        <f ca="1">+GETPIVOTDATA("XBT4",'binhtrung (2016)'!$A$3,"MA_HT","LUC","MA_QH","SKT")</f>
        <v>0</v>
      </c>
      <c r="W8" s="50">
        <f ca="1">+GETPIVOTDATA("XBT4",'binhtrung (2016)'!$A$3,"MA_HT","LUC","MA_QH","SKN")</f>
        <v>0</v>
      </c>
      <c r="X8" s="50">
        <f ca="1">+GETPIVOTDATA("XBT4",'binhtrung (2016)'!$A$3,"MA_HT","LUC","MA_QH","TMD")</f>
        <v>0</v>
      </c>
      <c r="Y8" s="50">
        <f ca="1">+GETPIVOTDATA("XBT4",'binhtrung (2016)'!$A$3,"MA_HT","LUC","MA_QH","SKC")</f>
        <v>0</v>
      </c>
      <c r="Z8" s="50">
        <f ca="1">+GETPIVOTDATA("XBT4",'binhtrung (2016)'!$A$3,"MA_HT","LUC","MA_QH","SKS")</f>
        <v>0</v>
      </c>
      <c r="AA8" s="52">
        <f ca="1" t="shared" si="4"/>
        <v>0</v>
      </c>
      <c r="AB8" s="50">
        <f ca="1">+GETPIVOTDATA("XBT4",'binhtrung (2016)'!$A$3,"MA_HT","LUC","MA_QH","DGT")</f>
        <v>0</v>
      </c>
      <c r="AC8" s="50">
        <f ca="1">+GETPIVOTDATA("XBT4",'binhtrung (2016)'!$A$3,"MA_HT","LUC","MA_QH","DTL")</f>
        <v>0</v>
      </c>
      <c r="AD8" s="50">
        <f ca="1">+GETPIVOTDATA("XBT4",'binhtrung (2016)'!$A$3,"MA_HT","LUC","MA_QH","DNL")</f>
        <v>0</v>
      </c>
      <c r="AE8" s="50">
        <f ca="1">+GETPIVOTDATA("XBT4",'binhtrung (2016)'!$A$3,"MA_HT","LUC","MA_QH","DBV")</f>
        <v>0</v>
      </c>
      <c r="AF8" s="50">
        <f ca="1">+GETPIVOTDATA("XBT4",'binhtrung (2016)'!$A$3,"MA_HT","LUC","MA_QH","DVH")</f>
        <v>0</v>
      </c>
      <c r="AG8" s="50">
        <f ca="1">+GETPIVOTDATA("XBT4",'binhtrung (2016)'!$A$3,"MA_HT","LUC","MA_QH","DYT")</f>
        <v>0</v>
      </c>
      <c r="AH8" s="50">
        <f ca="1">+GETPIVOTDATA("XBT4",'binhtrung (2016)'!$A$3,"MA_HT","LUC","MA_QH","DGD")</f>
        <v>0</v>
      </c>
      <c r="AI8" s="50">
        <f ca="1">+GETPIVOTDATA("XBT4",'binhtrung (2016)'!$A$3,"MA_HT","LUC","MA_QH","DTT")</f>
        <v>0</v>
      </c>
      <c r="AJ8" s="50">
        <f ca="1">+GETPIVOTDATA("XBT4",'binhtrung (2016)'!$A$3,"MA_HT","LUC","MA_QH","NCK")</f>
        <v>0</v>
      </c>
      <c r="AK8" s="50">
        <f ca="1">+GETPIVOTDATA("XBT4",'binhtrung (2016)'!$A$3,"MA_HT","LUC","MA_QH","DXH")</f>
        <v>0</v>
      </c>
      <c r="AL8" s="50">
        <f ca="1">+GETPIVOTDATA("XBT4",'binhtrung (2016)'!$A$3,"MA_HT","LUC","MA_QH","DCH")</f>
        <v>0</v>
      </c>
      <c r="AM8" s="50">
        <f ca="1">+GETPIVOTDATA("XBT4",'binhtrung (2016)'!$A$3,"MA_HT","LUC","MA_QH","DKG")</f>
        <v>0</v>
      </c>
      <c r="AN8" s="50">
        <f ca="1">+GETPIVOTDATA("XBT4",'binhtrung (2016)'!$A$3,"MA_HT","LUC","MA_QH","DDT")</f>
        <v>0</v>
      </c>
      <c r="AO8" s="50">
        <f ca="1">+GETPIVOTDATA("XBT4",'binhtrung (2016)'!$A$3,"MA_HT","LUC","MA_QH","DDL")</f>
        <v>0</v>
      </c>
      <c r="AP8" s="50">
        <f ca="1">+GETPIVOTDATA("XBT4",'binhtrung (2016)'!$A$3,"MA_HT","LUC","MA_QH","DRA")</f>
        <v>0</v>
      </c>
      <c r="AQ8" s="50">
        <f ca="1">+GETPIVOTDATA("XBT4",'binhtrung (2016)'!$A$3,"MA_HT","LUC","MA_QH","ONT")</f>
        <v>0</v>
      </c>
      <c r="AR8" s="50">
        <f ca="1">+GETPIVOTDATA("XBT4",'binhtrung (2016)'!$A$3,"MA_HT","LUC","MA_QH","ODT")</f>
        <v>0</v>
      </c>
      <c r="AS8" s="50">
        <f ca="1">+GETPIVOTDATA("XBT4",'binhtrung (2016)'!$A$3,"MA_HT","LUC","MA_QH","TSC")</f>
        <v>0</v>
      </c>
      <c r="AT8" s="50">
        <f ca="1">+GETPIVOTDATA("XBT4",'binhtrung (2016)'!$A$3,"MA_HT","LUC","MA_QH","DTS")</f>
        <v>0</v>
      </c>
      <c r="AU8" s="50">
        <f ca="1">+GETPIVOTDATA("XBT4",'binhtrung (2016)'!$A$3,"MA_HT","LUC","MA_QH","DNG")</f>
        <v>0</v>
      </c>
      <c r="AV8" s="50">
        <f ca="1">+GETPIVOTDATA("XBT4",'binhtrung (2016)'!$A$3,"MA_HT","LUC","MA_QH","TON")</f>
        <v>0</v>
      </c>
      <c r="AW8" s="50">
        <f ca="1">+GETPIVOTDATA("XBT4",'binhtrung (2016)'!$A$3,"MA_HT","LUC","MA_QH","NTD")</f>
        <v>0</v>
      </c>
      <c r="AX8" s="50">
        <f ca="1">+GETPIVOTDATA("XBT4",'binhtrung (2016)'!$A$3,"MA_HT","LUC","MA_QH","SKX")</f>
        <v>0</v>
      </c>
      <c r="AY8" s="50">
        <f ca="1">+GETPIVOTDATA("XBT4",'binhtrung (2016)'!$A$3,"MA_HT","LUC","MA_QH","DSH")</f>
        <v>0</v>
      </c>
      <c r="AZ8" s="50">
        <f ca="1">+GETPIVOTDATA("XBT4",'binhtrung (2016)'!$A$3,"MA_HT","LUC","MA_QH","DKV")</f>
        <v>0</v>
      </c>
      <c r="BA8" s="88">
        <f ca="1">+GETPIVOTDATA("XBT4",'binhtrung (2016)'!$A$3,"MA_HT","LUC","MA_QH","TIN")</f>
        <v>0</v>
      </c>
      <c r="BB8" s="50">
        <f ca="1">+GETPIVOTDATA("XBT4",'binhtrung (2016)'!$A$3,"MA_HT","LUC","MA_QH","SON")</f>
        <v>0</v>
      </c>
      <c r="BC8" s="50">
        <f ca="1">+GETPIVOTDATA("XBT4",'binhtrung (2016)'!$A$3,"MA_HT","LUC","MA_QH","MNC")</f>
        <v>0</v>
      </c>
      <c r="BD8" s="50">
        <f ca="1">+GETPIVOTDATA("XBT4",'binhtrung (2016)'!$A$3,"MA_HT","LUC","MA_QH","PNK")</f>
        <v>0</v>
      </c>
      <c r="BE8" s="80">
        <f ca="1">+GETPIVOTDATA("XBT4",'binhtrung (2016)'!$A$3,"MA_HT","LUC","MA_QH","CSD")</f>
        <v>0</v>
      </c>
      <c r="BF8" s="103">
        <f ca="1" t="shared" si="7"/>
        <v>0</v>
      </c>
      <c r="BG8" s="104">
        <f ca="1">G$59-$BF8</f>
        <v>0</v>
      </c>
      <c r="BH8" s="47" t="e">
        <f ca="1" t="shared" si="8"/>
        <v>#REF!</v>
      </c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</row>
    <row r="9" s="4" customFormat="1" ht="15.75" customHeight="1" spans="1:79">
      <c r="A9" s="45"/>
      <c r="B9" s="316" t="s">
        <v>8342</v>
      </c>
      <c r="C9" s="46" t="s">
        <v>221</v>
      </c>
      <c r="D9" s="47" t="e">
        <f>+#REF!</f>
        <v>#REF!</v>
      </c>
      <c r="E9" s="48">
        <f ca="1">SUM(F9,J9:Q9)</f>
        <v>0</v>
      </c>
      <c r="F9" s="44">
        <f ca="1">SUM(G9,I9)</f>
        <v>0</v>
      </c>
      <c r="G9" s="51">
        <f ca="1">+GETPIVOTDATA("XBT4",'binhtrung (2016)'!$A$3,"MA_HT","LUK","MA_QH","LUC")</f>
        <v>0</v>
      </c>
      <c r="H9" s="49" t="e">
        <f ca="1">$D9-$BF9</f>
        <v>#REF!</v>
      </c>
      <c r="I9" s="50">
        <f ca="1">+GETPIVOTDATA("XBT4",'binhtrung (2016)'!$A$3,"MA_HT","LUK","MA_QH","LUN")</f>
        <v>0</v>
      </c>
      <c r="J9" s="50">
        <f ca="1">+GETPIVOTDATA("XBT4",'binhtrung (2016)'!$A$3,"MA_HT","LUK","MA_QH","HNK")</f>
        <v>0</v>
      </c>
      <c r="K9" s="50">
        <f ca="1">+GETPIVOTDATA("XBT4",'binhtrung (2016)'!$A$3,"MA_HT","LUK","MA_QH","CLN")</f>
        <v>0</v>
      </c>
      <c r="L9" s="50">
        <f ca="1">+GETPIVOTDATA("XBT4",'binhtrung (2016)'!$A$3,"MA_HT","LUK","MA_QH","RSX")</f>
        <v>0</v>
      </c>
      <c r="M9" s="50">
        <f ca="1">+GETPIVOTDATA("XBT4",'binhtrung (2016)'!$A$3,"MA_HT","LUK","MA_QH","RPH")</f>
        <v>0</v>
      </c>
      <c r="N9" s="50">
        <f ca="1">+GETPIVOTDATA("XBT4",'binhtrung (2016)'!$A$3,"MA_HT","LUK","MA_QH","RDD")</f>
        <v>0</v>
      </c>
      <c r="O9" s="50">
        <f ca="1">+GETPIVOTDATA("XBT4",'binhtrung (2016)'!$A$3,"MA_HT","LUK","MA_QH","NTS")</f>
        <v>0</v>
      </c>
      <c r="P9" s="50">
        <f ca="1">+GETPIVOTDATA("XBT4",'binhtrung (2016)'!$A$3,"MA_HT","LUK","MA_QH","LMU")</f>
        <v>0</v>
      </c>
      <c r="Q9" s="50">
        <f ca="1">+GETPIVOTDATA("XBT4",'binhtrung (2016)'!$A$3,"MA_HT","LUK","MA_QH","NKH")</f>
        <v>0</v>
      </c>
      <c r="R9" s="48">
        <f ca="1" t="shared" si="2"/>
        <v>0</v>
      </c>
      <c r="S9" s="50">
        <f ca="1">+GETPIVOTDATA("XBT4",'binhtrung (2016)'!$A$3,"MA_HT","LUK","MA_QH","CQP")</f>
        <v>0</v>
      </c>
      <c r="T9" s="50">
        <f ca="1">+GETPIVOTDATA("XBT4",'binhtrung (2016)'!$A$3,"MA_HT","LUK","MA_QH","CAN")</f>
        <v>0</v>
      </c>
      <c r="U9" s="50">
        <f ca="1">+GETPIVOTDATA("XBT4",'binhtrung (2016)'!$A$3,"MA_HT","LUK","MA_QH","SKK")</f>
        <v>0</v>
      </c>
      <c r="V9" s="50">
        <f ca="1">+GETPIVOTDATA("XBT4",'binhtrung (2016)'!$A$3,"MA_HT","LUK","MA_QH","SKT")</f>
        <v>0</v>
      </c>
      <c r="W9" s="50">
        <f ca="1">+GETPIVOTDATA("XBT4",'binhtrung (2016)'!$A$3,"MA_HT","LUK","MA_QH","SKN")</f>
        <v>0</v>
      </c>
      <c r="X9" s="50">
        <f ca="1">+GETPIVOTDATA("XBT4",'binhtrung (2016)'!$A$3,"MA_HT","LUK","MA_QH","TMD")</f>
        <v>0</v>
      </c>
      <c r="Y9" s="50">
        <f ca="1">+GETPIVOTDATA("XBT4",'binhtrung (2016)'!$A$3,"MA_HT","LUK","MA_QH","SKC")</f>
        <v>0</v>
      </c>
      <c r="Z9" s="50">
        <f ca="1">+GETPIVOTDATA("XBT4",'binhtrung (2016)'!$A$3,"MA_HT","LUK","MA_QH","SKS")</f>
        <v>0</v>
      </c>
      <c r="AA9" s="52">
        <f ca="1" t="shared" si="4"/>
        <v>0</v>
      </c>
      <c r="AB9" s="50">
        <f ca="1">+GETPIVOTDATA("XBT4",'binhtrung (2016)'!$A$3,"MA_HT","LUK","MA_QH","DGT")</f>
        <v>0</v>
      </c>
      <c r="AC9" s="50">
        <f ca="1">+GETPIVOTDATA("XBT4",'binhtrung (2016)'!$A$3,"MA_HT","LUK","MA_QH","DTL")</f>
        <v>0</v>
      </c>
      <c r="AD9" s="50">
        <f ca="1">+GETPIVOTDATA("XBT4",'binhtrung (2016)'!$A$3,"MA_HT","LUK","MA_QH","DNL")</f>
        <v>0</v>
      </c>
      <c r="AE9" s="50">
        <f ca="1">+GETPIVOTDATA("XBT4",'binhtrung (2016)'!$A$3,"MA_HT","LUK","MA_QH","DBV")</f>
        <v>0</v>
      </c>
      <c r="AF9" s="50">
        <f ca="1">+GETPIVOTDATA("XBT4",'binhtrung (2016)'!$A$3,"MA_HT","LUK","MA_QH","DVH")</f>
        <v>0</v>
      </c>
      <c r="AG9" s="50">
        <f ca="1">+GETPIVOTDATA("XBT4",'binhtrung (2016)'!$A$3,"MA_HT","LUK","MA_QH","DYT")</f>
        <v>0</v>
      </c>
      <c r="AH9" s="50">
        <f ca="1">+GETPIVOTDATA("XBT4",'binhtrung (2016)'!$A$3,"MA_HT","LUK","MA_QH","DGD")</f>
        <v>0</v>
      </c>
      <c r="AI9" s="50">
        <f ca="1">+GETPIVOTDATA("XBT4",'binhtrung (2016)'!$A$3,"MA_HT","LUK","MA_QH","DTT")</f>
        <v>0</v>
      </c>
      <c r="AJ9" s="50">
        <f ca="1">+GETPIVOTDATA("XBT4",'binhtrung (2016)'!$A$3,"MA_HT","LUK","MA_QH","NCK")</f>
        <v>0</v>
      </c>
      <c r="AK9" s="50">
        <f ca="1">+GETPIVOTDATA("XBT4",'binhtrung (2016)'!$A$3,"MA_HT","LUK","MA_QH","DXH")</f>
        <v>0</v>
      </c>
      <c r="AL9" s="50">
        <f ca="1">+GETPIVOTDATA("XBT4",'binhtrung (2016)'!$A$3,"MA_HT","LUK","MA_QH","DCH")</f>
        <v>0</v>
      </c>
      <c r="AM9" s="50">
        <f ca="1">+GETPIVOTDATA("XBT4",'binhtrung (2016)'!$A$3,"MA_HT","LUK","MA_QH","DKG")</f>
        <v>0</v>
      </c>
      <c r="AN9" s="50">
        <f ca="1">+GETPIVOTDATA("XBT4",'binhtrung (2016)'!$A$3,"MA_HT","LUK","MA_QH","DDT")</f>
        <v>0</v>
      </c>
      <c r="AO9" s="50">
        <f ca="1">+GETPIVOTDATA("XBT4",'binhtrung (2016)'!$A$3,"MA_HT","LUK","MA_QH","DDL")</f>
        <v>0</v>
      </c>
      <c r="AP9" s="50">
        <f ca="1">+GETPIVOTDATA("XBT4",'binhtrung (2016)'!$A$3,"MA_HT","LUK","MA_QH","DRA")</f>
        <v>0</v>
      </c>
      <c r="AQ9" s="50">
        <f ca="1">+GETPIVOTDATA("XBT4",'binhtrung (2016)'!$A$3,"MA_HT","LUK","MA_QH","ONT")</f>
        <v>0</v>
      </c>
      <c r="AR9" s="50">
        <f ca="1">+GETPIVOTDATA("XBT4",'binhtrung (2016)'!$A$3,"MA_HT","LUK","MA_QH","ODT")</f>
        <v>0</v>
      </c>
      <c r="AS9" s="50">
        <f ca="1">+GETPIVOTDATA("XBT4",'binhtrung (2016)'!$A$3,"MA_HT","LUK","MA_QH","TSC")</f>
        <v>0</v>
      </c>
      <c r="AT9" s="50">
        <f ca="1">+GETPIVOTDATA("XBT4",'binhtrung (2016)'!$A$3,"MA_HT","LUK","MA_QH","DTS")</f>
        <v>0</v>
      </c>
      <c r="AU9" s="50">
        <f ca="1">+GETPIVOTDATA("XBT4",'binhtrung (2016)'!$A$3,"MA_HT","LUK","MA_QH","DNG")</f>
        <v>0</v>
      </c>
      <c r="AV9" s="50">
        <f ca="1">+GETPIVOTDATA("XBT4",'binhtrung (2016)'!$A$3,"MA_HT","LUK","MA_QH","TON")</f>
        <v>0</v>
      </c>
      <c r="AW9" s="50">
        <f ca="1">+GETPIVOTDATA("XBT4",'binhtrung (2016)'!$A$3,"MA_HT","LUK","MA_QH","NTD")</f>
        <v>0</v>
      </c>
      <c r="AX9" s="50">
        <f ca="1">+GETPIVOTDATA("XBT4",'binhtrung (2016)'!$A$3,"MA_HT","LUK","MA_QH","SKX")</f>
        <v>0</v>
      </c>
      <c r="AY9" s="50">
        <f ca="1">+GETPIVOTDATA("XBT4",'binhtrung (2016)'!$A$3,"MA_HT","LUK","MA_QH","DSH")</f>
        <v>0</v>
      </c>
      <c r="AZ9" s="50">
        <f ca="1">+GETPIVOTDATA("XBT4",'binhtrung (2016)'!$A$3,"MA_HT","LUK","MA_QH","DKV")</f>
        <v>0</v>
      </c>
      <c r="BA9" s="88">
        <f ca="1">+GETPIVOTDATA("XBT4",'binhtrung (2016)'!$A$3,"MA_HT","LUK","MA_QH","TIN")</f>
        <v>0</v>
      </c>
      <c r="BB9" s="50">
        <f ca="1">+GETPIVOTDATA("XBT4",'binhtrung (2016)'!$A$3,"MA_HT","LUK","MA_QH","SON")</f>
        <v>0</v>
      </c>
      <c r="BC9" s="50">
        <f ca="1">+GETPIVOTDATA("XBT4",'binhtrung (2016)'!$A$3,"MA_HT","LUK","MA_QH","MNC")</f>
        <v>0</v>
      </c>
      <c r="BD9" s="50">
        <f ca="1">+GETPIVOTDATA("XBT4",'binhtrung (2016)'!$A$3,"MA_HT","LUK","MA_QH","PNK")</f>
        <v>0</v>
      </c>
      <c r="BE9" s="80">
        <f ca="1">+GETPIVOTDATA("XBT4",'binhtrung (2016)'!$A$3,"MA_HT","LUK","MA_QH","CSD")</f>
        <v>0</v>
      </c>
      <c r="BF9" s="103">
        <f ca="1" t="shared" si="7"/>
        <v>0</v>
      </c>
      <c r="BG9" s="104">
        <f ca="1">H$59-$BF9</f>
        <v>0</v>
      </c>
      <c r="BH9" s="47" t="e">
        <f ca="1" t="shared" si="8"/>
        <v>#REF!</v>
      </c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</row>
    <row r="10" s="4" customFormat="1" ht="15.75" customHeight="1" spans="1:79">
      <c r="A10" s="45"/>
      <c r="B10" s="316" t="s">
        <v>8343</v>
      </c>
      <c r="C10" s="46" t="s">
        <v>8300</v>
      </c>
      <c r="D10" s="47" t="e">
        <f>+#REF!</f>
        <v>#REF!</v>
      </c>
      <c r="E10" s="48">
        <f ca="1">SUM(J10:Q10,F10)</f>
        <v>0</v>
      </c>
      <c r="F10" s="44">
        <f ca="1">SUM(G10:H10)</f>
        <v>0</v>
      </c>
      <c r="G10" s="50">
        <f ca="1">+GETPIVOTDATA("XBT4",'binhtrung (2016)'!$A$3,"MA_HT","LUN","MA_QH","LUC")</f>
        <v>0</v>
      </c>
      <c r="H10" s="50">
        <f ca="1">+GETPIVOTDATA("XBT4",'binhtrung (2016)'!$A$3,"MA_HT","LUN","MA_QH","LUK")</f>
        <v>0</v>
      </c>
      <c r="I10" s="49" t="e">
        <f ca="1">$D10-$BF10</f>
        <v>#REF!</v>
      </c>
      <c r="J10" s="50">
        <f ca="1">+GETPIVOTDATA("XBT4",'binhtrung (2016)'!$A$3,"MA_HT","LUN","MA_QH","HNK")</f>
        <v>0</v>
      </c>
      <c r="K10" s="50">
        <f ca="1">+GETPIVOTDATA("XBT4",'binhtrung (2016)'!$A$3,"MA_HT","LUN","MA_QH","CLN")</f>
        <v>0</v>
      </c>
      <c r="L10" s="50">
        <f ca="1">+GETPIVOTDATA("XBT4",'binhtrung (2016)'!$A$3,"MA_HT","LUN","MA_QH","RSX")</f>
        <v>0</v>
      </c>
      <c r="M10" s="50">
        <f ca="1">+GETPIVOTDATA("XBT4",'binhtrung (2016)'!$A$3,"MA_HT","LUN","MA_QH","RPH")</f>
        <v>0</v>
      </c>
      <c r="N10" s="50">
        <f ca="1">+GETPIVOTDATA("XBT4",'binhtrung (2016)'!$A$3,"MA_HT","LUN","MA_QH","RDD")</f>
        <v>0</v>
      </c>
      <c r="O10" s="50">
        <f ca="1">+GETPIVOTDATA("XBT4",'binhtrung (2016)'!$A$3,"MA_HT","LUN","MA_QH","NTS")</f>
        <v>0</v>
      </c>
      <c r="P10" s="50">
        <f ca="1">+GETPIVOTDATA("XBT4",'binhtrung (2016)'!$A$3,"MA_HT","LUN","MA_QH","LMU")</f>
        <v>0</v>
      </c>
      <c r="Q10" s="50">
        <f ca="1">+GETPIVOTDATA("XBT4",'binhtrung (2016)'!$A$3,"MA_HT","LUN","MA_QH","NKH")</f>
        <v>0</v>
      </c>
      <c r="R10" s="48">
        <f ca="1" t="shared" si="2"/>
        <v>0</v>
      </c>
      <c r="S10" s="50">
        <f ca="1">+GETPIVOTDATA("XBT4",'binhtrung (2016)'!$A$3,"MA_HT","LUN","MA_QH","CQP")</f>
        <v>0</v>
      </c>
      <c r="T10" s="50">
        <f ca="1">+GETPIVOTDATA("XBT4",'binhtrung (2016)'!$A$3,"MA_HT","LUN","MA_QH","CAN")</f>
        <v>0</v>
      </c>
      <c r="U10" s="50">
        <f ca="1">+GETPIVOTDATA("XBT4",'binhtrung (2016)'!$A$3,"MA_HT","LUN","MA_QH","SKK")</f>
        <v>0</v>
      </c>
      <c r="V10" s="50">
        <f ca="1">+GETPIVOTDATA("XBT4",'binhtrung (2016)'!$A$3,"MA_HT","LUN","MA_QH","SKT")</f>
        <v>0</v>
      </c>
      <c r="W10" s="50">
        <f ca="1">+GETPIVOTDATA("XBT4",'binhtrung (2016)'!$A$3,"MA_HT","LUN","MA_QH","SKN")</f>
        <v>0</v>
      </c>
      <c r="X10" s="50">
        <f ca="1">+GETPIVOTDATA("XBT4",'binhtrung (2016)'!$A$3,"MA_HT","LUN","MA_QH","TMD")</f>
        <v>0</v>
      </c>
      <c r="Y10" s="50">
        <f ca="1">+GETPIVOTDATA("XBT4",'binhtrung (2016)'!$A$3,"MA_HT","LUN","MA_QH","SKC")</f>
        <v>0</v>
      </c>
      <c r="Z10" s="50">
        <f ca="1">+GETPIVOTDATA("XBT4",'binhtrung (2016)'!$A$3,"MA_HT","LUN","MA_QH","SKS")</f>
        <v>0</v>
      </c>
      <c r="AA10" s="52">
        <f ca="1" t="shared" si="4"/>
        <v>0</v>
      </c>
      <c r="AB10" s="50">
        <f ca="1">+GETPIVOTDATA("XBT4",'binhtrung (2016)'!$A$3,"MA_HT","LUN","MA_QH","DGT")</f>
        <v>0</v>
      </c>
      <c r="AC10" s="50">
        <f ca="1">+GETPIVOTDATA("XBT4",'binhtrung (2016)'!$A$3,"MA_HT","LUN","MA_QH","DTL")</f>
        <v>0</v>
      </c>
      <c r="AD10" s="50">
        <f ca="1">+GETPIVOTDATA("XBT4",'binhtrung (2016)'!$A$3,"MA_HT","LUN","MA_QH","DNL")</f>
        <v>0</v>
      </c>
      <c r="AE10" s="50">
        <f ca="1">+GETPIVOTDATA("XBT4",'binhtrung (2016)'!$A$3,"MA_HT","LUN","MA_QH","DBV")</f>
        <v>0</v>
      </c>
      <c r="AF10" s="50">
        <f ca="1">+GETPIVOTDATA("XBT4",'binhtrung (2016)'!$A$3,"MA_HT","LUN","MA_QH","DVH")</f>
        <v>0</v>
      </c>
      <c r="AG10" s="50">
        <f ca="1">+GETPIVOTDATA("XBT4",'binhtrung (2016)'!$A$3,"MA_HT","LUN","MA_QH","DYT")</f>
        <v>0</v>
      </c>
      <c r="AH10" s="50">
        <f ca="1">+GETPIVOTDATA("XBT4",'binhtrung (2016)'!$A$3,"MA_HT","LUN","MA_QH","DGD")</f>
        <v>0</v>
      </c>
      <c r="AI10" s="50">
        <f ca="1">+GETPIVOTDATA("XBT4",'binhtrung (2016)'!$A$3,"MA_HT","LUN","MA_QH","DTT")</f>
        <v>0</v>
      </c>
      <c r="AJ10" s="50">
        <f ca="1">+GETPIVOTDATA("XBT4",'binhtrung (2016)'!$A$3,"MA_HT","LUN","MA_QH","NCK")</f>
        <v>0</v>
      </c>
      <c r="AK10" s="50">
        <f ca="1">+GETPIVOTDATA("XBT4",'binhtrung (2016)'!$A$3,"MA_HT","LUN","MA_QH","DXH")</f>
        <v>0</v>
      </c>
      <c r="AL10" s="50">
        <f ca="1">+GETPIVOTDATA("XBT4",'binhtrung (2016)'!$A$3,"MA_HT","LUN","MA_QH","DCH")</f>
        <v>0</v>
      </c>
      <c r="AM10" s="50">
        <f ca="1">+GETPIVOTDATA("XBT4",'binhtrung (2016)'!$A$3,"MA_HT","LUN","MA_QH","DKG")</f>
        <v>0</v>
      </c>
      <c r="AN10" s="50">
        <f ca="1">+GETPIVOTDATA("XBT4",'binhtrung (2016)'!$A$3,"MA_HT","LUN","MA_QH","DDT")</f>
        <v>0</v>
      </c>
      <c r="AO10" s="50">
        <f ca="1">+GETPIVOTDATA("XBT4",'binhtrung (2016)'!$A$3,"MA_HT","LUN","MA_QH","DDL")</f>
        <v>0</v>
      </c>
      <c r="AP10" s="50">
        <f ca="1">+GETPIVOTDATA("XBT4",'binhtrung (2016)'!$A$3,"MA_HT","LUN","MA_QH","DRA")</f>
        <v>0</v>
      </c>
      <c r="AQ10" s="50">
        <f ca="1">+GETPIVOTDATA("XBT4",'binhtrung (2016)'!$A$3,"MA_HT","LUN","MA_QH","ONT")</f>
        <v>0</v>
      </c>
      <c r="AR10" s="50">
        <f ca="1">+GETPIVOTDATA("XBT4",'binhtrung (2016)'!$A$3,"MA_HT","LUN","MA_QH","ODT")</f>
        <v>0</v>
      </c>
      <c r="AS10" s="50">
        <f ca="1">+GETPIVOTDATA("XBT4",'binhtrung (2016)'!$A$3,"MA_HT","LUN","MA_QH","TSC")</f>
        <v>0</v>
      </c>
      <c r="AT10" s="50">
        <f ca="1">+GETPIVOTDATA("XBT4",'binhtrung (2016)'!$A$3,"MA_HT","LUN","MA_QH","DTS")</f>
        <v>0</v>
      </c>
      <c r="AU10" s="50">
        <f ca="1">+GETPIVOTDATA("XBT4",'binhtrung (2016)'!$A$3,"MA_HT","LUN","MA_QH","DNG")</f>
        <v>0</v>
      </c>
      <c r="AV10" s="50">
        <f ca="1">+GETPIVOTDATA("XBT4",'binhtrung (2016)'!$A$3,"MA_HT","LUN","MA_QH","TON")</f>
        <v>0</v>
      </c>
      <c r="AW10" s="50">
        <f ca="1">+GETPIVOTDATA("XBT4",'binhtrung (2016)'!$A$3,"MA_HT","LUN","MA_QH","NTD")</f>
        <v>0</v>
      </c>
      <c r="AX10" s="50">
        <f ca="1">+GETPIVOTDATA("XBT4",'binhtrung (2016)'!$A$3,"MA_HT","LUN","MA_QH","SKX")</f>
        <v>0</v>
      </c>
      <c r="AY10" s="50">
        <f ca="1">+GETPIVOTDATA("XBT4",'binhtrung (2016)'!$A$3,"MA_HT","LUN","MA_QH","DSH")</f>
        <v>0</v>
      </c>
      <c r="AZ10" s="50">
        <f ca="1">+GETPIVOTDATA("XBT4",'binhtrung (2016)'!$A$3,"MA_HT","LUN","MA_QH","DKV")</f>
        <v>0</v>
      </c>
      <c r="BA10" s="88">
        <f ca="1">+GETPIVOTDATA("XBT4",'binhtrung (2016)'!$A$3,"MA_HT","LUN","MA_QH","TIN")</f>
        <v>0</v>
      </c>
      <c r="BB10" s="50">
        <f ca="1">+GETPIVOTDATA("XBT4",'binhtrung (2016)'!$A$3,"MA_HT","LUN","MA_QH","SON")</f>
        <v>0</v>
      </c>
      <c r="BC10" s="50">
        <f ca="1">+GETPIVOTDATA("XBT4",'binhtrung (2016)'!$A$3,"MA_HT","LUN","MA_QH","MNC")</f>
        <v>0</v>
      </c>
      <c r="BD10" s="50">
        <f ca="1">+GETPIVOTDATA("XBT4",'binhtrung (2016)'!$A$3,"MA_HT","LUN","MA_QH","PNK")</f>
        <v>0</v>
      </c>
      <c r="BE10" s="80">
        <f ca="1">+GETPIVOTDATA("XBT4",'binhtrung (2016)'!$A$3,"MA_HT","LUN","MA_QH","CSD")</f>
        <v>0</v>
      </c>
      <c r="BF10" s="103">
        <f ca="1" t="shared" si="7"/>
        <v>0</v>
      </c>
      <c r="BG10" s="104">
        <f ca="1">I$59-$BF10</f>
        <v>0</v>
      </c>
      <c r="BH10" s="47" t="e">
        <f ca="1" t="shared" si="8"/>
        <v>#REF!</v>
      </c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</row>
    <row r="11" s="2" customFormat="1" ht="15.75" customHeight="1" spans="1:79">
      <c r="A11" s="39" t="s">
        <v>40</v>
      </c>
      <c r="B11" s="39" t="s">
        <v>8344</v>
      </c>
      <c r="C11" s="40" t="s">
        <v>2492</v>
      </c>
      <c r="D11" s="47" t="e">
        <f>+#REF!</f>
        <v>#REF!</v>
      </c>
      <c r="E11" s="42">
        <f ca="1">SUM(K11:Q11,F11)</f>
        <v>0</v>
      </c>
      <c r="F11" s="52">
        <f ca="1">SUM(G11:I11)</f>
        <v>0</v>
      </c>
      <c r="G11" s="22">
        <f ca="1">+GETPIVOTDATA("XBT4",'binhtrung (2016)'!$A$3,"MA_HT","HNK","MA_QH","LUC")</f>
        <v>0</v>
      </c>
      <c r="H11" s="22">
        <f ca="1">+GETPIVOTDATA("XBT4",'binhtrung (2016)'!$A$3,"MA_HT","HNK","MA_QH","LUK")</f>
        <v>0</v>
      </c>
      <c r="I11" s="22">
        <f ca="1">+GETPIVOTDATA("XBT4",'binhtrung (2016)'!$A$3,"MA_HT","HNK","MA_QH","LUN")</f>
        <v>0</v>
      </c>
      <c r="J11" s="43" t="e">
        <f ca="1">$D11-$BF11</f>
        <v>#REF!</v>
      </c>
      <c r="K11" s="22">
        <f ca="1">+GETPIVOTDATA("XBT4",'binhtrung (2016)'!$A$3,"MA_HT","HNK","MA_QH","CLN")</f>
        <v>0</v>
      </c>
      <c r="L11" s="22">
        <f ca="1">+GETPIVOTDATA("XBT4",'binhtrung (2016)'!$A$3,"MA_HT","HNK","MA_QH","RSX")</f>
        <v>0</v>
      </c>
      <c r="M11" s="22">
        <f ca="1">+GETPIVOTDATA("XBT4",'binhtrung (2016)'!$A$3,"MA_HT","HNK","MA_QH","RPH")</f>
        <v>0</v>
      </c>
      <c r="N11" s="22">
        <f ca="1">+GETPIVOTDATA("XBT4",'binhtrung (2016)'!$A$3,"MA_HT","HNK","MA_QH","RDD")</f>
        <v>0</v>
      </c>
      <c r="O11" s="22">
        <f ca="1">+GETPIVOTDATA("XBT4",'binhtrung (2016)'!$A$3,"MA_HT","HNK","MA_QH","NTS")</f>
        <v>0</v>
      </c>
      <c r="P11" s="22">
        <f ca="1">+GETPIVOTDATA("XBT4",'binhtrung (2016)'!$A$3,"MA_HT","HNK","MA_QH","LMU")</f>
        <v>0</v>
      </c>
      <c r="Q11" s="22">
        <f ca="1">+GETPIVOTDATA("XBT4",'binhtrung (2016)'!$A$3,"MA_HT","HNK","MA_QH","NKH")</f>
        <v>0</v>
      </c>
      <c r="R11" s="42">
        <f ca="1" t="shared" si="2"/>
        <v>0</v>
      </c>
      <c r="S11" s="22">
        <f ca="1">+GETPIVOTDATA("XBT4",'binhtrung (2016)'!$A$3,"MA_HT","HNK","MA_QH","CQP")</f>
        <v>0</v>
      </c>
      <c r="T11" s="22">
        <f ca="1">+GETPIVOTDATA("XBT4",'binhtrung (2016)'!$A$3,"MA_HT","HNK","MA_QH","CAN")</f>
        <v>0</v>
      </c>
      <c r="U11" s="22">
        <f ca="1">+GETPIVOTDATA("XBT4",'binhtrung (2016)'!$A$3,"MA_HT","HNK","MA_QH","SKK")</f>
        <v>0</v>
      </c>
      <c r="V11" s="22">
        <f ca="1">+GETPIVOTDATA("XBT4",'binhtrung (2016)'!$A$3,"MA_HT","HNK","MA_QH","SKT")</f>
        <v>0</v>
      </c>
      <c r="W11" s="22">
        <f ca="1">+GETPIVOTDATA("XBT4",'binhtrung (2016)'!$A$3,"MA_HT","HNK","MA_QH","SKN")</f>
        <v>0</v>
      </c>
      <c r="X11" s="22">
        <f ca="1">+GETPIVOTDATA("XBT4",'binhtrung (2016)'!$A$3,"MA_HT","HNK","MA_QH","TMD")</f>
        <v>0</v>
      </c>
      <c r="Y11" s="22">
        <f ca="1">+GETPIVOTDATA("XBT4",'binhtrung (2016)'!$A$3,"MA_HT","HNK","MA_QH","SKC")</f>
        <v>0</v>
      </c>
      <c r="Z11" s="22">
        <f ca="1">+GETPIVOTDATA("XBT4",'binhtrung (2016)'!$A$3,"MA_HT","HNK","MA_QH","SKS")</f>
        <v>0</v>
      </c>
      <c r="AA11" s="52">
        <f ca="1" t="shared" si="4"/>
        <v>0</v>
      </c>
      <c r="AB11" s="22">
        <f ca="1">+GETPIVOTDATA("XBT4",'binhtrung (2016)'!$A$3,"MA_HT","HNK","MA_QH","DGT")</f>
        <v>0</v>
      </c>
      <c r="AC11" s="22">
        <f ca="1">+GETPIVOTDATA("XBT4",'binhtrung (2016)'!$A$3,"MA_HT","HNK","MA_QH","DTL")</f>
        <v>0</v>
      </c>
      <c r="AD11" s="22">
        <f ca="1">+GETPIVOTDATA("XBT4",'binhtrung (2016)'!$A$3,"MA_HT","HNK","MA_QH","DNL")</f>
        <v>0</v>
      </c>
      <c r="AE11" s="22">
        <f ca="1">+GETPIVOTDATA("XBT4",'binhtrung (2016)'!$A$3,"MA_HT","HNK","MA_QH","DBV")</f>
        <v>0</v>
      </c>
      <c r="AF11" s="22">
        <f ca="1">+GETPIVOTDATA("XBT4",'binhtrung (2016)'!$A$3,"MA_HT","HNK","MA_QH","DVH")</f>
        <v>0</v>
      </c>
      <c r="AG11" s="22">
        <f ca="1">+GETPIVOTDATA("XBT4",'binhtrung (2016)'!$A$3,"MA_HT","HNK","MA_QH","DYT")</f>
        <v>0</v>
      </c>
      <c r="AH11" s="22">
        <f ca="1">+GETPIVOTDATA("XBT4",'binhtrung (2016)'!$A$3,"MA_HT","HNK","MA_QH","DGD")</f>
        <v>0</v>
      </c>
      <c r="AI11" s="22">
        <f ca="1">+GETPIVOTDATA("XBT4",'binhtrung (2016)'!$A$3,"MA_HT","HNK","MA_QH","DTT")</f>
        <v>0</v>
      </c>
      <c r="AJ11" s="22">
        <f ca="1">+GETPIVOTDATA("XBT4",'binhtrung (2016)'!$A$3,"MA_HT","HNK","MA_QH","NCK")</f>
        <v>0</v>
      </c>
      <c r="AK11" s="22">
        <f ca="1">+GETPIVOTDATA("XBT4",'binhtrung (2016)'!$A$3,"MA_HT","HNK","MA_QH","DXH")</f>
        <v>0</v>
      </c>
      <c r="AL11" s="22">
        <f ca="1">+GETPIVOTDATA("XBT4",'binhtrung (2016)'!$A$3,"MA_HT","HNK","MA_QH","DCH")</f>
        <v>0</v>
      </c>
      <c r="AM11" s="22">
        <f ca="1">+GETPIVOTDATA("XBT4",'binhtrung (2016)'!$A$3,"MA_HT","HNK","MA_QH","DKG")</f>
        <v>0</v>
      </c>
      <c r="AN11" s="22">
        <f ca="1">+GETPIVOTDATA("XBT4",'binhtrung (2016)'!$A$3,"MA_HT","HNK","MA_QH","DDT")</f>
        <v>0</v>
      </c>
      <c r="AO11" s="22">
        <f ca="1">+GETPIVOTDATA("XBT4",'binhtrung (2016)'!$A$3,"MA_HT","HNK","MA_QH","DDL")</f>
        <v>0</v>
      </c>
      <c r="AP11" s="22">
        <f ca="1">+GETPIVOTDATA("XBT4",'binhtrung (2016)'!$A$3,"MA_HT","HNK","MA_QH","DRA")</f>
        <v>0</v>
      </c>
      <c r="AQ11" s="22">
        <f ca="1">+GETPIVOTDATA("XBT4",'binhtrung (2016)'!$A$3,"MA_HT","HNK","MA_QH","ONT")</f>
        <v>0</v>
      </c>
      <c r="AR11" s="22">
        <f ca="1">+GETPIVOTDATA("XBT4",'binhtrung (2016)'!$A$3,"MA_HT","HNK","MA_QH","ODT")</f>
        <v>0</v>
      </c>
      <c r="AS11" s="22">
        <f ca="1">+GETPIVOTDATA("XBT4",'binhtrung (2016)'!$A$3,"MA_HT","HNK","MA_QH","TSC")</f>
        <v>0</v>
      </c>
      <c r="AT11" s="22">
        <f ca="1">+GETPIVOTDATA("XBT4",'binhtrung (2016)'!$A$3,"MA_HT","HNK","MA_QH","DTS")</f>
        <v>0</v>
      </c>
      <c r="AU11" s="22">
        <f ca="1">+GETPIVOTDATA("XBT4",'binhtrung (2016)'!$A$3,"MA_HT","HNK","MA_QH","DNG")</f>
        <v>0</v>
      </c>
      <c r="AV11" s="22">
        <f ca="1">+GETPIVOTDATA("XBT4",'binhtrung (2016)'!$A$3,"MA_HT","HNK","MA_QH","TON")</f>
        <v>0</v>
      </c>
      <c r="AW11" s="22">
        <f ca="1">+GETPIVOTDATA("XBT4",'binhtrung (2016)'!$A$3,"MA_HT","HNK","MA_QH","NTD")</f>
        <v>0</v>
      </c>
      <c r="AX11" s="22">
        <f ca="1">+GETPIVOTDATA("XBT4",'binhtrung (2016)'!$A$3,"MA_HT","HNK","MA_QH","SKX")</f>
        <v>0</v>
      </c>
      <c r="AY11" s="22">
        <f ca="1">+GETPIVOTDATA("XBT4",'binhtrung (2016)'!$A$3,"MA_HT","HNK","MA_QH","DSH")</f>
        <v>0</v>
      </c>
      <c r="AZ11" s="22">
        <f ca="1">+GETPIVOTDATA("XBT4",'binhtrung (2016)'!$A$3,"MA_HT","HNK","MA_QH","DKV")</f>
        <v>0</v>
      </c>
      <c r="BA11" s="89">
        <f ca="1">+GETPIVOTDATA("XBT4",'binhtrung (2016)'!$A$3,"MA_HT","HNK","MA_QH","TIN")</f>
        <v>0</v>
      </c>
      <c r="BB11" s="50">
        <f ca="1">+GETPIVOTDATA("XBT4",'binhtrung (2016)'!$A$3,"MA_HT","HNK","MA_QH","SON")</f>
        <v>0</v>
      </c>
      <c r="BC11" s="50">
        <f ca="1">+GETPIVOTDATA("XBT4",'binhtrung (2016)'!$A$3,"MA_HT","HNK","MA_QH","MNC")</f>
        <v>0</v>
      </c>
      <c r="BD11" s="22">
        <f ca="1">+GETPIVOTDATA("XBT4",'binhtrung (2016)'!$A$3,"MA_HT","HNK","MA_QH","PNK")</f>
        <v>0</v>
      </c>
      <c r="BE11" s="71">
        <f ca="1">+GETPIVOTDATA("XBT4",'binhtrung (2016)'!$A$3,"MA_HT","HNK","MA_QH","CSD")</f>
        <v>0</v>
      </c>
      <c r="BF11" s="74">
        <f ca="1" t="shared" si="7"/>
        <v>0</v>
      </c>
      <c r="BG11" s="101">
        <f ca="1">J$59-$BF11</f>
        <v>0</v>
      </c>
      <c r="BH11" s="41" t="e">
        <f ca="1" t="shared" si="8"/>
        <v>#REF!</v>
      </c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</row>
    <row r="12" s="2" customFormat="1" ht="15.75" customHeight="1" spans="1:79">
      <c r="A12" s="39" t="s">
        <v>8345</v>
      </c>
      <c r="B12" s="39" t="s">
        <v>8346</v>
      </c>
      <c r="C12" s="40" t="s">
        <v>30</v>
      </c>
      <c r="D12" s="47" t="e">
        <f>+#REF!</f>
        <v>#REF!</v>
      </c>
      <c r="E12" s="42">
        <f ca="1">SUM(L12:Q12,F12,J12)</f>
        <v>0</v>
      </c>
      <c r="F12" s="52">
        <f ca="1" t="shared" ref="F12:F58" si="9">SUM(G12:I12)</f>
        <v>0</v>
      </c>
      <c r="G12" s="22">
        <f ca="1">+GETPIVOTDATA("XBT4",'binhtrung (2016)'!$A$3,"MA_HT","CLN","MA_QH","LUC")</f>
        <v>0</v>
      </c>
      <c r="H12" s="22">
        <f ca="1">+GETPIVOTDATA("XBT4",'binhtrung (2016)'!$A$3,"MA_HT","CLN","MA_QH","LUK")</f>
        <v>0</v>
      </c>
      <c r="I12" s="22">
        <f ca="1">+GETPIVOTDATA("XBT4",'binhtrung (2016)'!$A$3,"MA_HT","CLN","MA_QH","LUN")</f>
        <v>0</v>
      </c>
      <c r="J12" s="22">
        <f ca="1">+GETPIVOTDATA("XBT4",'binhtrung (2016)'!$A$3,"MA_HT","CLN","MA_QH","HNK")</f>
        <v>0</v>
      </c>
      <c r="K12" s="43" t="e">
        <f ca="1">$D12-$BF12</f>
        <v>#REF!</v>
      </c>
      <c r="L12" s="22">
        <f ca="1">+GETPIVOTDATA("XBT4",'binhtrung (2016)'!$A$3,"MA_HT","CLN","MA_QH","RSX")</f>
        <v>0</v>
      </c>
      <c r="M12" s="22">
        <f ca="1">+GETPIVOTDATA("XBT4",'binhtrung (2016)'!$A$3,"MA_HT","CLN","MA_QH","RPH")</f>
        <v>0</v>
      </c>
      <c r="N12" s="22">
        <f ca="1">+GETPIVOTDATA("XBT4",'binhtrung (2016)'!$A$3,"MA_HT","CLN","MA_QH","RDD")</f>
        <v>0</v>
      </c>
      <c r="O12" s="22">
        <f ca="1">+GETPIVOTDATA("XBT4",'binhtrung (2016)'!$A$3,"MA_HT","CLN","MA_QH","NTS")</f>
        <v>0</v>
      </c>
      <c r="P12" s="22">
        <f ca="1">+GETPIVOTDATA("XBT4",'binhtrung (2016)'!$A$3,"MA_HT","CLN","MA_QH","LMU")</f>
        <v>0</v>
      </c>
      <c r="Q12" s="22">
        <f ca="1">+GETPIVOTDATA("XBT4",'binhtrung (2016)'!$A$3,"MA_HT","CLN","MA_QH","NKH")</f>
        <v>0</v>
      </c>
      <c r="R12" s="42">
        <f ca="1" t="shared" si="2"/>
        <v>0</v>
      </c>
      <c r="S12" s="22">
        <f ca="1">+GETPIVOTDATA("XBT4",'binhtrung (2016)'!$A$3,"MA_HT","CLN","MA_QH","CQP")</f>
        <v>0</v>
      </c>
      <c r="T12" s="22">
        <f ca="1">+GETPIVOTDATA("XBT4",'binhtrung (2016)'!$A$3,"MA_HT","CLN","MA_QH","CAN")</f>
        <v>0</v>
      </c>
      <c r="U12" s="22">
        <f ca="1">+GETPIVOTDATA("XBT4",'binhtrung (2016)'!$A$3,"MA_HT","CLN","MA_QH","SKK")</f>
        <v>0</v>
      </c>
      <c r="V12" s="22">
        <f ca="1">+GETPIVOTDATA("XBT4",'binhtrung (2016)'!$A$3,"MA_HT","CLN","MA_QH","SKT")</f>
        <v>0</v>
      </c>
      <c r="W12" s="22">
        <f ca="1">+GETPIVOTDATA("XBT4",'binhtrung (2016)'!$A$3,"MA_HT","CLN","MA_QH","SKN")</f>
        <v>0</v>
      </c>
      <c r="X12" s="22">
        <f ca="1">+GETPIVOTDATA("XBT4",'binhtrung (2016)'!$A$3,"MA_HT","CLN","MA_QH","TMD")</f>
        <v>0</v>
      </c>
      <c r="Y12" s="22">
        <f ca="1">+GETPIVOTDATA("XBT4",'binhtrung (2016)'!$A$3,"MA_HT","CLN","MA_QH","SKC")</f>
        <v>0</v>
      </c>
      <c r="Z12" s="22">
        <f ca="1">+GETPIVOTDATA("XBT4",'binhtrung (2016)'!$A$3,"MA_HT","CLN","MA_QH","SKS")</f>
        <v>0</v>
      </c>
      <c r="AA12" s="52">
        <f ca="1" t="shared" si="4"/>
        <v>0</v>
      </c>
      <c r="AB12" s="22">
        <f ca="1">+GETPIVOTDATA("XBT4",'binhtrung (2016)'!$A$3,"MA_HT","CLN","MA_QH","DGT")</f>
        <v>0</v>
      </c>
      <c r="AC12" s="22">
        <f ca="1">+GETPIVOTDATA("XBT4",'binhtrung (2016)'!$A$3,"MA_HT","CLN","MA_QH","DTL")</f>
        <v>0</v>
      </c>
      <c r="AD12" s="22">
        <f ca="1">+GETPIVOTDATA("XBT4",'binhtrung (2016)'!$A$3,"MA_HT","CLN","MA_QH","DNL")</f>
        <v>0</v>
      </c>
      <c r="AE12" s="22">
        <f ca="1">+GETPIVOTDATA("XBT4",'binhtrung (2016)'!$A$3,"MA_HT","CLN","MA_QH","DBV")</f>
        <v>0</v>
      </c>
      <c r="AF12" s="22">
        <f ca="1">+GETPIVOTDATA("XBT4",'binhtrung (2016)'!$A$3,"MA_HT","CLN","MA_QH","DVH")</f>
        <v>0</v>
      </c>
      <c r="AG12" s="22">
        <f ca="1">+GETPIVOTDATA("XBT4",'binhtrung (2016)'!$A$3,"MA_HT","CLN","MA_QH","DYT")</f>
        <v>0</v>
      </c>
      <c r="AH12" s="22">
        <f ca="1">+GETPIVOTDATA("XBT4",'binhtrung (2016)'!$A$3,"MA_HT","CLN","MA_QH","DGD")</f>
        <v>0</v>
      </c>
      <c r="AI12" s="22">
        <f ca="1">+GETPIVOTDATA("XBT4",'binhtrung (2016)'!$A$3,"MA_HT","CLN","MA_QH","DTT")</f>
        <v>0</v>
      </c>
      <c r="AJ12" s="22">
        <f ca="1">+GETPIVOTDATA("XBT4",'binhtrung (2016)'!$A$3,"MA_HT","CLN","MA_QH","NCK")</f>
        <v>0</v>
      </c>
      <c r="AK12" s="22">
        <f ca="1">+GETPIVOTDATA("XBT4",'binhtrung (2016)'!$A$3,"MA_HT","CLN","MA_QH","DXH")</f>
        <v>0</v>
      </c>
      <c r="AL12" s="22">
        <f ca="1">+GETPIVOTDATA("XBT4",'binhtrung (2016)'!$A$3,"MA_HT","CLN","MA_QH","DCH")</f>
        <v>0</v>
      </c>
      <c r="AM12" s="22">
        <f ca="1">+GETPIVOTDATA("XBT4",'binhtrung (2016)'!$A$3,"MA_HT","CLN","MA_QH","DKG")</f>
        <v>0</v>
      </c>
      <c r="AN12" s="22">
        <f ca="1">+GETPIVOTDATA("XBT4",'binhtrung (2016)'!$A$3,"MA_HT","CLN","MA_QH","DDT")</f>
        <v>0</v>
      </c>
      <c r="AO12" s="22">
        <f ca="1">+GETPIVOTDATA("XBT4",'binhtrung (2016)'!$A$3,"MA_HT","CLN","MA_QH","DDL")</f>
        <v>0</v>
      </c>
      <c r="AP12" s="22">
        <f ca="1">+GETPIVOTDATA("XBT4",'binhtrung (2016)'!$A$3,"MA_HT","CLN","MA_QH","DRA")</f>
        <v>0</v>
      </c>
      <c r="AQ12" s="22">
        <f ca="1">+GETPIVOTDATA("XBT4",'binhtrung (2016)'!$A$3,"MA_HT","CLN","MA_QH","ONT")</f>
        <v>0</v>
      </c>
      <c r="AR12" s="22">
        <f ca="1">+GETPIVOTDATA("XBT4",'binhtrung (2016)'!$A$3,"MA_HT","CLN","MA_QH","ODT")</f>
        <v>0</v>
      </c>
      <c r="AS12" s="22">
        <f ca="1">+GETPIVOTDATA("XBT4",'binhtrung (2016)'!$A$3,"MA_HT","CLN","MA_QH","TSC")</f>
        <v>0</v>
      </c>
      <c r="AT12" s="22">
        <f ca="1">+GETPIVOTDATA("XBT4",'binhtrung (2016)'!$A$3,"MA_HT","CLN","MA_QH","DTS")</f>
        <v>0</v>
      </c>
      <c r="AU12" s="22">
        <f ca="1">+GETPIVOTDATA("XBT4",'binhtrung (2016)'!$A$3,"MA_HT","CLN","MA_QH","DNG")</f>
        <v>0</v>
      </c>
      <c r="AV12" s="22">
        <f ca="1">+GETPIVOTDATA("XBT4",'binhtrung (2016)'!$A$3,"MA_HT","CLN","MA_QH","TON")</f>
        <v>0</v>
      </c>
      <c r="AW12" s="22">
        <f ca="1">+GETPIVOTDATA("XBT4",'binhtrung (2016)'!$A$3,"MA_HT","CLN","MA_QH","NTD")</f>
        <v>0</v>
      </c>
      <c r="AX12" s="22">
        <f ca="1">+GETPIVOTDATA("XBT4",'binhtrung (2016)'!$A$3,"MA_HT","CLN","MA_QH","SKX")</f>
        <v>0</v>
      </c>
      <c r="AY12" s="22">
        <f ca="1">+GETPIVOTDATA("XBT4",'binhtrung (2016)'!$A$3,"MA_HT","CLN","MA_QH","DSH")</f>
        <v>0</v>
      </c>
      <c r="AZ12" s="22">
        <f ca="1">+GETPIVOTDATA("XBT4",'binhtrung (2016)'!$A$3,"MA_HT","CLN","MA_QH","DKV")</f>
        <v>0</v>
      </c>
      <c r="BA12" s="89">
        <f ca="1">+GETPIVOTDATA("XBT4",'binhtrung (2016)'!$A$3,"MA_HT","CLN","MA_QH","TIN")</f>
        <v>0</v>
      </c>
      <c r="BB12" s="50">
        <f ca="1">+GETPIVOTDATA("XBT4",'binhtrung (2016)'!$A$3,"MA_HT","CLN","MA_QH","SON")</f>
        <v>0</v>
      </c>
      <c r="BC12" s="50">
        <f ca="1">+GETPIVOTDATA("XBT4",'binhtrung (2016)'!$A$3,"MA_HT","CLN","MA_QH","MNC")</f>
        <v>0</v>
      </c>
      <c r="BD12" s="22">
        <f ca="1">+GETPIVOTDATA("XBT4",'binhtrung (2016)'!$A$3,"MA_HT","CLN","MA_QH","PNK")</f>
        <v>0</v>
      </c>
      <c r="BE12" s="71">
        <f ca="1">+GETPIVOTDATA("XBT4",'binhtrung (2016)'!$A$3,"MA_HT","CLN","MA_QH","CSD")</f>
        <v>0</v>
      </c>
      <c r="BF12" s="74">
        <f ca="1" t="shared" si="7"/>
        <v>0</v>
      </c>
      <c r="BG12" s="101">
        <f ca="1">K$59-$BF12</f>
        <v>0</v>
      </c>
      <c r="BH12" s="41" t="e">
        <f ca="1" t="shared" si="8"/>
        <v>#REF!</v>
      </c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</row>
    <row r="13" s="2" customFormat="1" ht="15.75" customHeight="1" spans="1:79">
      <c r="A13" s="39" t="s">
        <v>8347</v>
      </c>
      <c r="B13" s="39" t="s">
        <v>8348</v>
      </c>
      <c r="C13" s="40" t="s">
        <v>8307</v>
      </c>
      <c r="D13" s="47" t="e">
        <f>+#REF!</f>
        <v>#REF!</v>
      </c>
      <c r="E13" s="42">
        <f ca="1">SUM(F13,J13:K13,M13:Q13)</f>
        <v>0</v>
      </c>
      <c r="F13" s="52">
        <f ca="1" t="shared" si="9"/>
        <v>0</v>
      </c>
      <c r="G13" s="22">
        <f ca="1">+GETPIVOTDATA("XBT4",'binhtrung (2016)'!$A$3,"MA_HT","RSX","MA_QH","LUC")</f>
        <v>0</v>
      </c>
      <c r="H13" s="22">
        <f ca="1">+GETPIVOTDATA("XBT4",'binhtrung (2016)'!$A$3,"MA_HT","RSX","MA_QH","LUK")</f>
        <v>0</v>
      </c>
      <c r="I13" s="22">
        <f ca="1">+GETPIVOTDATA("XBT4",'binhtrung (2016)'!$A$3,"MA_HT","RSX","MA_QH","LUN")</f>
        <v>0</v>
      </c>
      <c r="J13" s="22">
        <f ca="1">+GETPIVOTDATA("XBT4",'binhtrung (2016)'!$A$3,"MA_HT","RSX","MA_QH","HNK")</f>
        <v>0</v>
      </c>
      <c r="K13" s="22">
        <f ca="1">+GETPIVOTDATA("XBT4",'binhtrung (2016)'!$A$3,"MA_HT","RSX","MA_QH","CLN")</f>
        <v>0</v>
      </c>
      <c r="L13" s="43" t="e">
        <f ca="1">$D13-$BF13</f>
        <v>#REF!</v>
      </c>
      <c r="M13" s="22">
        <f ca="1">+GETPIVOTDATA("XBT4",'binhtrung (2016)'!$A$3,"MA_HT","RSX","MA_QH","RPH")</f>
        <v>0</v>
      </c>
      <c r="N13" s="22">
        <f ca="1">+GETPIVOTDATA("XBT4",'binhtrung (2016)'!$A$3,"MA_HT","RSX","MA_QH","RDD")</f>
        <v>0</v>
      </c>
      <c r="O13" s="22">
        <f ca="1">+GETPIVOTDATA("XBT4",'binhtrung (2016)'!$A$3,"MA_HT","RSX","MA_QH","NTS")</f>
        <v>0</v>
      </c>
      <c r="P13" s="22">
        <f ca="1">+GETPIVOTDATA("XBT4",'binhtrung (2016)'!$A$3,"MA_HT","RSX","MA_QH","LMU")</f>
        <v>0</v>
      </c>
      <c r="Q13" s="22">
        <f ca="1">+GETPIVOTDATA("XBT4",'binhtrung (2016)'!$A$3,"MA_HT","RSX","MA_QH","NKH")</f>
        <v>0</v>
      </c>
      <c r="R13" s="42">
        <f ca="1" t="shared" si="2"/>
        <v>0</v>
      </c>
      <c r="S13" s="22">
        <f ca="1">+GETPIVOTDATA("XBT4",'binhtrung (2016)'!$A$3,"MA_HT","RSX","MA_QH","CQP")</f>
        <v>0</v>
      </c>
      <c r="T13" s="22">
        <f ca="1">+GETPIVOTDATA("XBT4",'binhtrung (2016)'!$A$3,"MA_HT","RSX","MA_QH","CAN")</f>
        <v>0</v>
      </c>
      <c r="U13" s="22">
        <f ca="1">+GETPIVOTDATA("XBT4",'binhtrung (2016)'!$A$3,"MA_HT","RSX","MA_QH","SKK")</f>
        <v>0</v>
      </c>
      <c r="V13" s="22">
        <f ca="1">+GETPIVOTDATA("XBT4",'binhtrung (2016)'!$A$3,"MA_HT","RSX","MA_QH","SKT")</f>
        <v>0</v>
      </c>
      <c r="W13" s="22">
        <f ca="1">+GETPIVOTDATA("XBT4",'binhtrung (2016)'!$A$3,"MA_HT","RSX","MA_QH","SKN")</f>
        <v>0</v>
      </c>
      <c r="X13" s="22">
        <f ca="1">+GETPIVOTDATA("XBT4",'binhtrung (2016)'!$A$3,"MA_HT","RSX","MA_QH","TMD")</f>
        <v>0</v>
      </c>
      <c r="Y13" s="22">
        <f ca="1">+GETPIVOTDATA("XBT4",'binhtrung (2016)'!$A$3,"MA_HT","RSX","MA_QH","SKC")</f>
        <v>0</v>
      </c>
      <c r="Z13" s="22">
        <f ca="1">+GETPIVOTDATA("XBT4",'binhtrung (2016)'!$A$3,"MA_HT","RSX","MA_QH","SKS")</f>
        <v>0</v>
      </c>
      <c r="AA13" s="52">
        <f ca="1" t="shared" si="4"/>
        <v>0</v>
      </c>
      <c r="AB13" s="22">
        <f ca="1">+GETPIVOTDATA("XBT4",'binhtrung (2016)'!$A$3,"MA_HT","RSX","MA_QH","DGT")</f>
        <v>0</v>
      </c>
      <c r="AC13" s="22">
        <f ca="1">+GETPIVOTDATA("XBT4",'binhtrung (2016)'!$A$3,"MA_HT","RSX","MA_QH","DTL")</f>
        <v>0</v>
      </c>
      <c r="AD13" s="22">
        <f ca="1">+GETPIVOTDATA("XBT4",'binhtrung (2016)'!$A$3,"MA_HT","RSX","MA_QH","DNL")</f>
        <v>0</v>
      </c>
      <c r="AE13" s="22">
        <f ca="1">+GETPIVOTDATA("XBT4",'binhtrung (2016)'!$A$3,"MA_HT","RSX","MA_QH","DBV")</f>
        <v>0</v>
      </c>
      <c r="AF13" s="22">
        <f ca="1">+GETPIVOTDATA("XBT4",'binhtrung (2016)'!$A$3,"MA_HT","RSX","MA_QH","DVH")</f>
        <v>0</v>
      </c>
      <c r="AG13" s="22">
        <f ca="1">+GETPIVOTDATA("XBT4",'binhtrung (2016)'!$A$3,"MA_HT","RSX","MA_QH","DYT")</f>
        <v>0</v>
      </c>
      <c r="AH13" s="22">
        <f ca="1">+GETPIVOTDATA("XBT4",'binhtrung (2016)'!$A$3,"MA_HT","RSX","MA_QH","DGD")</f>
        <v>0</v>
      </c>
      <c r="AI13" s="22">
        <f ca="1">+GETPIVOTDATA("XBT4",'binhtrung (2016)'!$A$3,"MA_HT","RSX","MA_QH","DTT")</f>
        <v>0</v>
      </c>
      <c r="AJ13" s="22">
        <f ca="1">+GETPIVOTDATA("XBT4",'binhtrung (2016)'!$A$3,"MA_HT","RSX","MA_QH","NCK")</f>
        <v>0</v>
      </c>
      <c r="AK13" s="22">
        <f ca="1">+GETPIVOTDATA("XBT4",'binhtrung (2016)'!$A$3,"MA_HT","RSX","MA_QH","DXH")</f>
        <v>0</v>
      </c>
      <c r="AL13" s="22">
        <f ca="1">+GETPIVOTDATA("XBT4",'binhtrung (2016)'!$A$3,"MA_HT","RSX","MA_QH","DCH")</f>
        <v>0</v>
      </c>
      <c r="AM13" s="22">
        <f ca="1">+GETPIVOTDATA("XBT4",'binhtrung (2016)'!$A$3,"MA_HT","RSX","MA_QH","DKG")</f>
        <v>0</v>
      </c>
      <c r="AN13" s="22">
        <f ca="1">+GETPIVOTDATA("XBT4",'binhtrung (2016)'!$A$3,"MA_HT","RSX","MA_QH","DDT")</f>
        <v>0</v>
      </c>
      <c r="AO13" s="22">
        <f ca="1">+GETPIVOTDATA("XBT4",'binhtrung (2016)'!$A$3,"MA_HT","RSX","MA_QH","DDL")</f>
        <v>0</v>
      </c>
      <c r="AP13" s="22">
        <f ca="1">+GETPIVOTDATA("XBT4",'binhtrung (2016)'!$A$3,"MA_HT","RSX","MA_QH","DRA")</f>
        <v>0</v>
      </c>
      <c r="AQ13" s="22">
        <f ca="1">+GETPIVOTDATA("XBT4",'binhtrung (2016)'!$A$3,"MA_HT","RSX","MA_QH","ONT")</f>
        <v>0</v>
      </c>
      <c r="AR13" s="22">
        <f ca="1">+GETPIVOTDATA("XBT4",'binhtrung (2016)'!$A$3,"MA_HT","RSX","MA_QH","ODT")</f>
        <v>0</v>
      </c>
      <c r="AS13" s="22">
        <f ca="1">+GETPIVOTDATA("XBT4",'binhtrung (2016)'!$A$3,"MA_HT","RSX","MA_QH","TSC")</f>
        <v>0</v>
      </c>
      <c r="AT13" s="22">
        <f ca="1">+GETPIVOTDATA("XBT4",'binhtrung (2016)'!$A$3,"MA_HT","RSX","MA_QH","DTS")</f>
        <v>0</v>
      </c>
      <c r="AU13" s="22">
        <f ca="1">+GETPIVOTDATA("XBT4",'binhtrung (2016)'!$A$3,"MA_HT","RSX","MA_QH","DNG")</f>
        <v>0</v>
      </c>
      <c r="AV13" s="22">
        <f ca="1">+GETPIVOTDATA("XBT4",'binhtrung (2016)'!$A$3,"MA_HT","RSX","MA_QH","TON")</f>
        <v>0</v>
      </c>
      <c r="AW13" s="22">
        <f ca="1">+GETPIVOTDATA("XBT4",'binhtrung (2016)'!$A$3,"MA_HT","RSX","MA_QH","NTD")</f>
        <v>0</v>
      </c>
      <c r="AX13" s="22">
        <f ca="1">+GETPIVOTDATA("XBT4",'binhtrung (2016)'!$A$3,"MA_HT","RSX","MA_QH","SKX")</f>
        <v>0</v>
      </c>
      <c r="AY13" s="22">
        <f ca="1">+GETPIVOTDATA("XBT4",'binhtrung (2016)'!$A$3,"MA_HT","RSX","MA_QH","DSH")</f>
        <v>0</v>
      </c>
      <c r="AZ13" s="22">
        <f ca="1">+GETPIVOTDATA("XBT4",'binhtrung (2016)'!$A$3,"MA_HT","RSX","MA_QH","DKV")</f>
        <v>0</v>
      </c>
      <c r="BA13" s="89">
        <f ca="1">+GETPIVOTDATA("XBT4",'binhtrung (2016)'!$A$3,"MA_HT","RSX","MA_QH","TIN")</f>
        <v>0</v>
      </c>
      <c r="BB13" s="50">
        <f ca="1">+GETPIVOTDATA("XBT4",'binhtrung (2016)'!$A$3,"MA_HT","RSX","MA_QH","SON")</f>
        <v>0</v>
      </c>
      <c r="BC13" s="50">
        <f ca="1">+GETPIVOTDATA("XBT4",'binhtrung (2016)'!$A$3,"MA_HT","RSX","MA_QH","MNC")</f>
        <v>0</v>
      </c>
      <c r="BD13" s="22">
        <f ca="1">+GETPIVOTDATA("XBT4",'binhtrung (2016)'!$A$3,"MA_HT","RSX","MA_QH","PNK")</f>
        <v>0</v>
      </c>
      <c r="BE13" s="71">
        <f ca="1">+GETPIVOTDATA("XBT4",'binhtrung (2016)'!$A$3,"MA_HT","RSX","MA_QH","CSD")</f>
        <v>0</v>
      </c>
      <c r="BF13" s="74">
        <f ca="1" t="shared" si="7"/>
        <v>0</v>
      </c>
      <c r="BG13" s="101">
        <f ca="1">L$59-$BF13</f>
        <v>0</v>
      </c>
      <c r="BH13" s="41" t="e">
        <f ca="1" t="shared" si="8"/>
        <v>#REF!</v>
      </c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</row>
    <row r="14" s="2" customFormat="1" ht="15.75" customHeight="1" spans="1:79">
      <c r="A14" s="39" t="s">
        <v>8349</v>
      </c>
      <c r="B14" s="39" t="s">
        <v>8350</v>
      </c>
      <c r="C14" s="40" t="s">
        <v>8306</v>
      </c>
      <c r="D14" s="47" t="e">
        <f>+#REF!</f>
        <v>#REF!</v>
      </c>
      <c r="E14" s="42">
        <f ca="1">SUM(F14,J14:L14,N14:Q14)</f>
        <v>0</v>
      </c>
      <c r="F14" s="52">
        <f ca="1" t="shared" si="9"/>
        <v>0</v>
      </c>
      <c r="G14" s="22">
        <f ca="1">+GETPIVOTDATA("XBT4",'binhtrung (2016)'!$A$3,"MA_HT","RPH","MA_QH","LUC")</f>
        <v>0</v>
      </c>
      <c r="H14" s="22">
        <f ca="1">+GETPIVOTDATA("XBT4",'binhtrung (2016)'!$A$3,"MA_HT","RPH","MA_QH","LUK")</f>
        <v>0</v>
      </c>
      <c r="I14" s="22">
        <f ca="1">+GETPIVOTDATA("XBT4",'binhtrung (2016)'!$A$3,"MA_HT","RPH","MA_QH","LUN")</f>
        <v>0</v>
      </c>
      <c r="J14" s="22">
        <f ca="1">+GETPIVOTDATA("XBT4",'binhtrung (2016)'!$A$3,"MA_HT","RPH","MA_QH","HNK")</f>
        <v>0</v>
      </c>
      <c r="K14" s="22">
        <f ca="1">+GETPIVOTDATA("XBT4",'binhtrung (2016)'!$A$3,"MA_HT","RPH","MA_QH","CLN")</f>
        <v>0</v>
      </c>
      <c r="L14" s="22">
        <f ca="1">+GETPIVOTDATA("XBT4",'binhtrung (2016)'!$A$3,"MA_HT","RPH","MA_QH","RSX")</f>
        <v>0</v>
      </c>
      <c r="M14" s="43" t="e">
        <f ca="1">$D14-$BF14</f>
        <v>#REF!</v>
      </c>
      <c r="N14" s="22">
        <f ca="1">+GETPIVOTDATA("XBT4",'binhtrung (2016)'!$A$3,"MA_HT","RPH","MA_QH","RDD")</f>
        <v>0</v>
      </c>
      <c r="O14" s="22">
        <f ca="1">+GETPIVOTDATA("XBT4",'binhtrung (2016)'!$A$3,"MA_HT","RPH","MA_QH","NTS")</f>
        <v>0</v>
      </c>
      <c r="P14" s="22">
        <f ca="1">+GETPIVOTDATA("XBT4",'binhtrung (2016)'!$A$3,"MA_HT","RPH","MA_QH","LMU")</f>
        <v>0</v>
      </c>
      <c r="Q14" s="22">
        <f ca="1">+GETPIVOTDATA("XBT4",'binhtrung (2016)'!$A$3,"MA_HT","RPH","MA_QH","NKH")</f>
        <v>0</v>
      </c>
      <c r="R14" s="42">
        <f ca="1" t="shared" si="2"/>
        <v>0</v>
      </c>
      <c r="S14" s="22">
        <f ca="1">+GETPIVOTDATA("XBT4",'binhtrung (2016)'!$A$3,"MA_HT","RPH","MA_QH","CQP")</f>
        <v>0</v>
      </c>
      <c r="T14" s="22">
        <f ca="1">+GETPIVOTDATA("XBT4",'binhtrung (2016)'!$A$3,"MA_HT","RPH","MA_QH","CAN")</f>
        <v>0</v>
      </c>
      <c r="U14" s="22">
        <f ca="1">+GETPIVOTDATA("XBT4",'binhtrung (2016)'!$A$3,"MA_HT","RPH","MA_QH","SKK")</f>
        <v>0</v>
      </c>
      <c r="V14" s="22">
        <f ca="1">+GETPIVOTDATA("XBT4",'binhtrung (2016)'!$A$3,"MA_HT","RPH","MA_QH","SKT")</f>
        <v>0</v>
      </c>
      <c r="W14" s="22">
        <f ca="1">+GETPIVOTDATA("XBT4",'binhtrung (2016)'!$A$3,"MA_HT","RPH","MA_QH","SKN")</f>
        <v>0</v>
      </c>
      <c r="X14" s="22">
        <f ca="1">+GETPIVOTDATA("XBT4",'binhtrung (2016)'!$A$3,"MA_HT","RPH","MA_QH","TMD")</f>
        <v>0</v>
      </c>
      <c r="Y14" s="22">
        <f ca="1">+GETPIVOTDATA("XBT4",'binhtrung (2016)'!$A$3,"MA_HT","RPH","MA_QH","SKC")</f>
        <v>0</v>
      </c>
      <c r="Z14" s="22">
        <f ca="1">+GETPIVOTDATA("XBT4",'binhtrung (2016)'!$A$3,"MA_HT","RPH","MA_QH","SKS")</f>
        <v>0</v>
      </c>
      <c r="AA14" s="52">
        <f ca="1" t="shared" si="4"/>
        <v>0</v>
      </c>
      <c r="AB14" s="22">
        <f ca="1">+GETPIVOTDATA("XBT4",'binhtrung (2016)'!$A$3,"MA_HT","RPH","MA_QH","DGT")</f>
        <v>0</v>
      </c>
      <c r="AC14" s="22">
        <f ca="1">+GETPIVOTDATA("XBT4",'binhtrung (2016)'!$A$3,"MA_HT","RPH","MA_QH","DTL")</f>
        <v>0</v>
      </c>
      <c r="AD14" s="22">
        <f ca="1">+GETPIVOTDATA("XBT4",'binhtrung (2016)'!$A$3,"MA_HT","RPH","MA_QH","DNL")</f>
        <v>0</v>
      </c>
      <c r="AE14" s="22">
        <f ca="1">+GETPIVOTDATA("XBT4",'binhtrung (2016)'!$A$3,"MA_HT","RPH","MA_QH","DBV")</f>
        <v>0</v>
      </c>
      <c r="AF14" s="22">
        <f ca="1">+GETPIVOTDATA("XBT4",'binhtrung (2016)'!$A$3,"MA_HT","RPH","MA_QH","DVH")</f>
        <v>0</v>
      </c>
      <c r="AG14" s="22">
        <f ca="1">+GETPIVOTDATA("XBT4",'binhtrung (2016)'!$A$3,"MA_HT","RPH","MA_QH","DYT")</f>
        <v>0</v>
      </c>
      <c r="AH14" s="22">
        <f ca="1">+GETPIVOTDATA("XBT4",'binhtrung (2016)'!$A$3,"MA_HT","RPH","MA_QH","DGD")</f>
        <v>0</v>
      </c>
      <c r="AI14" s="22">
        <f ca="1">+GETPIVOTDATA("XBT4",'binhtrung (2016)'!$A$3,"MA_HT","RPH","MA_QH","DTT")</f>
        <v>0</v>
      </c>
      <c r="AJ14" s="22">
        <f ca="1">+GETPIVOTDATA("XBT4",'binhtrung (2016)'!$A$3,"MA_HT","RPH","MA_QH","NCK")</f>
        <v>0</v>
      </c>
      <c r="AK14" s="22">
        <f ca="1">+GETPIVOTDATA("XBT4",'binhtrung (2016)'!$A$3,"MA_HT","RPH","MA_QH","DXH")</f>
        <v>0</v>
      </c>
      <c r="AL14" s="22">
        <f ca="1">+GETPIVOTDATA("XBT4",'binhtrung (2016)'!$A$3,"MA_HT","RPH","MA_QH","DCH")</f>
        <v>0</v>
      </c>
      <c r="AM14" s="22">
        <f ca="1">+GETPIVOTDATA("XBT4",'binhtrung (2016)'!$A$3,"MA_HT","RPH","MA_QH","DKG")</f>
        <v>0</v>
      </c>
      <c r="AN14" s="22">
        <f ca="1">+GETPIVOTDATA("XBT4",'binhtrung (2016)'!$A$3,"MA_HT","RPH","MA_QH","DDT")</f>
        <v>0</v>
      </c>
      <c r="AO14" s="22">
        <f ca="1">+GETPIVOTDATA("XBT4",'binhtrung (2016)'!$A$3,"MA_HT","RPH","MA_QH","DDL")</f>
        <v>0</v>
      </c>
      <c r="AP14" s="22">
        <f ca="1">+GETPIVOTDATA("XBT4",'binhtrung (2016)'!$A$3,"MA_HT","RPH","MA_QH","DRA")</f>
        <v>0</v>
      </c>
      <c r="AQ14" s="22">
        <f ca="1">+GETPIVOTDATA("XBT4",'binhtrung (2016)'!$A$3,"MA_HT","RPH","MA_QH","ONT")</f>
        <v>0</v>
      </c>
      <c r="AR14" s="22">
        <f ca="1">+GETPIVOTDATA("XBT4",'binhtrung (2016)'!$A$3,"MA_HT","RPH","MA_QH","ODT")</f>
        <v>0</v>
      </c>
      <c r="AS14" s="22">
        <f ca="1">+GETPIVOTDATA("XBT4",'binhtrung (2016)'!$A$3,"MA_HT","RPH","MA_QH","TSC")</f>
        <v>0</v>
      </c>
      <c r="AT14" s="22">
        <f ca="1">+GETPIVOTDATA("XBT4",'binhtrung (2016)'!$A$3,"MA_HT","RPH","MA_QH","DTS")</f>
        <v>0</v>
      </c>
      <c r="AU14" s="22">
        <f ca="1">+GETPIVOTDATA("XBT4",'binhtrung (2016)'!$A$3,"MA_HT","RPH","MA_QH","DNG")</f>
        <v>0</v>
      </c>
      <c r="AV14" s="22">
        <f ca="1">+GETPIVOTDATA("XBT4",'binhtrung (2016)'!$A$3,"MA_HT","RPH","MA_QH","TON")</f>
        <v>0</v>
      </c>
      <c r="AW14" s="22">
        <f ca="1">+GETPIVOTDATA("XBT4",'binhtrung (2016)'!$A$3,"MA_HT","RPH","MA_QH","NTD")</f>
        <v>0</v>
      </c>
      <c r="AX14" s="22">
        <f ca="1">+GETPIVOTDATA("XBT4",'binhtrung (2016)'!$A$3,"MA_HT","RPH","MA_QH","SKX")</f>
        <v>0</v>
      </c>
      <c r="AY14" s="22">
        <f ca="1">+GETPIVOTDATA("XBT4",'binhtrung (2016)'!$A$3,"MA_HT","RPH","MA_QH","DSH")</f>
        <v>0</v>
      </c>
      <c r="AZ14" s="22">
        <f ca="1">+GETPIVOTDATA("XBT4",'binhtrung (2016)'!$A$3,"MA_HT","RPH","MA_QH","DKV")</f>
        <v>0</v>
      </c>
      <c r="BA14" s="89">
        <f ca="1">+GETPIVOTDATA("XBT4",'binhtrung (2016)'!$A$3,"MA_HT","RPH","MA_QH","TIN")</f>
        <v>0</v>
      </c>
      <c r="BB14" s="50">
        <f ca="1">+GETPIVOTDATA("XBT4",'binhtrung (2016)'!$A$3,"MA_HT","RPH","MA_QH","SON")</f>
        <v>0</v>
      </c>
      <c r="BC14" s="50">
        <f ca="1">+GETPIVOTDATA("XBT4",'binhtrung (2016)'!$A$3,"MA_HT","RPH","MA_QH","MNC")</f>
        <v>0</v>
      </c>
      <c r="BD14" s="22">
        <f ca="1">+GETPIVOTDATA("XBT4",'binhtrung (2016)'!$A$3,"MA_HT","RPH","MA_QH","PNK")</f>
        <v>0</v>
      </c>
      <c r="BE14" s="71">
        <f ca="1">+GETPIVOTDATA("XBT4",'binhtrung (2016)'!$A$3,"MA_HT","RPH","MA_QH","CSD")</f>
        <v>0</v>
      </c>
      <c r="BF14" s="74">
        <f ca="1" t="shared" si="7"/>
        <v>0</v>
      </c>
      <c r="BG14" s="101">
        <f ca="1">M$59-$BF14</f>
        <v>0</v>
      </c>
      <c r="BH14" s="41" t="e">
        <f ca="1" t="shared" si="8"/>
        <v>#REF!</v>
      </c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</row>
    <row r="15" s="2" customFormat="1" ht="15.75" customHeight="1" spans="1:79">
      <c r="A15" s="39" t="s">
        <v>8351</v>
      </c>
      <c r="B15" s="39" t="s">
        <v>8352</v>
      </c>
      <c r="C15" s="40" t="s">
        <v>8305</v>
      </c>
      <c r="D15" s="47" t="e">
        <f>+#REF!</f>
        <v>#REF!</v>
      </c>
      <c r="E15" s="42">
        <f ca="1">SUM(F15,J15:M15,O15:Q15)</f>
        <v>0</v>
      </c>
      <c r="F15" s="52">
        <f ca="1" t="shared" si="9"/>
        <v>0</v>
      </c>
      <c r="G15" s="22">
        <f ca="1">+GETPIVOTDATA("XBT4",'binhtrung (2016)'!$A$3,"MA_HT","RDD","MA_QH","LUC")</f>
        <v>0</v>
      </c>
      <c r="H15" s="22">
        <f ca="1">+GETPIVOTDATA("XBT4",'binhtrung (2016)'!$A$3,"MA_HT","RDD","MA_QH","LUK")</f>
        <v>0</v>
      </c>
      <c r="I15" s="22">
        <f ca="1">+GETPIVOTDATA("XBT4",'binhtrung (2016)'!$A$3,"MA_HT","RDD","MA_QH","LUN")</f>
        <v>0</v>
      </c>
      <c r="J15" s="22">
        <f ca="1">+GETPIVOTDATA("XBT4",'binhtrung (2016)'!$A$3,"MA_HT","RDD","MA_QH","HNK")</f>
        <v>0</v>
      </c>
      <c r="K15" s="22">
        <f ca="1">+GETPIVOTDATA("XBT4",'binhtrung (2016)'!$A$3,"MA_HT","RDD","MA_QH","CLN")</f>
        <v>0</v>
      </c>
      <c r="L15" s="22">
        <f ca="1">+GETPIVOTDATA("XBT4",'binhtrung (2016)'!$A$3,"MA_HT","RDD","MA_QH","RSX")</f>
        <v>0</v>
      </c>
      <c r="M15" s="22">
        <f ca="1">+GETPIVOTDATA("XBT4",'binhtrung (2016)'!$A$3,"MA_HT","RDD","MA_QH","RPH")</f>
        <v>0</v>
      </c>
      <c r="N15" s="43" t="e">
        <f ca="1">$D15-$BF15</f>
        <v>#REF!</v>
      </c>
      <c r="O15" s="22">
        <f ca="1">+GETPIVOTDATA("XBT4",'binhtrung (2016)'!$A$3,"MA_HT","RDD","MA_QH","NTS")</f>
        <v>0</v>
      </c>
      <c r="P15" s="22">
        <f ca="1">+GETPIVOTDATA("XBT4",'binhtrung (2016)'!$A$3,"MA_HT","RDD","MA_QH","LMU")</f>
        <v>0</v>
      </c>
      <c r="Q15" s="22">
        <f ca="1">+GETPIVOTDATA("XBT4",'binhtrung (2016)'!$A$3,"MA_HT","RDD","MA_QH","NKH")</f>
        <v>0</v>
      </c>
      <c r="R15" s="42">
        <f ca="1" t="shared" si="2"/>
        <v>0</v>
      </c>
      <c r="S15" s="22">
        <f ca="1">+GETPIVOTDATA("XBT4",'binhtrung (2016)'!$A$3,"MA_HT","RDD","MA_QH","CQP")</f>
        <v>0</v>
      </c>
      <c r="T15" s="22">
        <f ca="1">+GETPIVOTDATA("XBT4",'binhtrung (2016)'!$A$3,"MA_HT","RDD","MA_QH","CAN")</f>
        <v>0</v>
      </c>
      <c r="U15" s="22">
        <f ca="1">+GETPIVOTDATA("XBT4",'binhtrung (2016)'!$A$3,"MA_HT","RDD","MA_QH","SKK")</f>
        <v>0</v>
      </c>
      <c r="V15" s="22">
        <f ca="1">+GETPIVOTDATA("XBT4",'binhtrung (2016)'!$A$3,"MA_HT","RDD","MA_QH","SKT")</f>
        <v>0</v>
      </c>
      <c r="W15" s="22">
        <f ca="1">+GETPIVOTDATA("XBT4",'binhtrung (2016)'!$A$3,"MA_HT","RDD","MA_QH","SKN")</f>
        <v>0</v>
      </c>
      <c r="X15" s="22">
        <f ca="1">+GETPIVOTDATA("XBT4",'binhtrung (2016)'!$A$3,"MA_HT","RDD","MA_QH","TMD")</f>
        <v>0</v>
      </c>
      <c r="Y15" s="22">
        <f ca="1">+GETPIVOTDATA("XBT4",'binhtrung (2016)'!$A$3,"MA_HT","RDD","MA_QH","SKC")</f>
        <v>0</v>
      </c>
      <c r="Z15" s="22">
        <f ca="1">+GETPIVOTDATA("XBT4",'binhtrung (2016)'!$A$3,"MA_HT","RDD","MA_QH","SKS")</f>
        <v>0</v>
      </c>
      <c r="AA15" s="52">
        <f ca="1" t="shared" si="4"/>
        <v>0</v>
      </c>
      <c r="AB15" s="22">
        <f ca="1">+GETPIVOTDATA("XBT4",'binhtrung (2016)'!$A$3,"MA_HT","RDD","MA_QH","DGT")</f>
        <v>0</v>
      </c>
      <c r="AC15" s="22">
        <f ca="1">+GETPIVOTDATA("XBT4",'binhtrung (2016)'!$A$3,"MA_HT","RDD","MA_QH","DTL")</f>
        <v>0</v>
      </c>
      <c r="AD15" s="22">
        <f ca="1">+GETPIVOTDATA("XBT4",'binhtrung (2016)'!$A$3,"MA_HT","RDD","MA_QH","DNL")</f>
        <v>0</v>
      </c>
      <c r="AE15" s="22">
        <f ca="1">+GETPIVOTDATA("XBT4",'binhtrung (2016)'!$A$3,"MA_HT","RDD","MA_QH","DBV")</f>
        <v>0</v>
      </c>
      <c r="AF15" s="22">
        <f ca="1">+GETPIVOTDATA("XBT4",'binhtrung (2016)'!$A$3,"MA_HT","RDD","MA_QH","DVH")</f>
        <v>0</v>
      </c>
      <c r="AG15" s="22">
        <f ca="1">+GETPIVOTDATA("XBT4",'binhtrung (2016)'!$A$3,"MA_HT","RDD","MA_QH","DYT")</f>
        <v>0</v>
      </c>
      <c r="AH15" s="22">
        <f ca="1">+GETPIVOTDATA("XBT4",'binhtrung (2016)'!$A$3,"MA_HT","RDD","MA_QH","DGD")</f>
        <v>0</v>
      </c>
      <c r="AI15" s="22">
        <f ca="1">+GETPIVOTDATA("XBT4",'binhtrung (2016)'!$A$3,"MA_HT","RDD","MA_QH","DTT")</f>
        <v>0</v>
      </c>
      <c r="AJ15" s="22">
        <f ca="1">+GETPIVOTDATA("XBT4",'binhtrung (2016)'!$A$3,"MA_HT","RDD","MA_QH","NCK")</f>
        <v>0</v>
      </c>
      <c r="AK15" s="22">
        <f ca="1">+GETPIVOTDATA("XBT4",'binhtrung (2016)'!$A$3,"MA_HT","RDD","MA_QH","DXH")</f>
        <v>0</v>
      </c>
      <c r="AL15" s="22">
        <f ca="1">+GETPIVOTDATA("XBT4",'binhtrung (2016)'!$A$3,"MA_HT","RDD","MA_QH","DCH")</f>
        <v>0</v>
      </c>
      <c r="AM15" s="22">
        <f ca="1">+GETPIVOTDATA("XBT4",'binhtrung (2016)'!$A$3,"MA_HT","RDD","MA_QH","DKG")</f>
        <v>0</v>
      </c>
      <c r="AN15" s="22">
        <f ca="1">+GETPIVOTDATA("XBT4",'binhtrung (2016)'!$A$3,"MA_HT","RDD","MA_QH","DDT")</f>
        <v>0</v>
      </c>
      <c r="AO15" s="22">
        <f ca="1">+GETPIVOTDATA("XBT4",'binhtrung (2016)'!$A$3,"MA_HT","RDD","MA_QH","DDL")</f>
        <v>0</v>
      </c>
      <c r="AP15" s="22">
        <f ca="1">+GETPIVOTDATA("XBT4",'binhtrung (2016)'!$A$3,"MA_HT","RDD","MA_QH","DRA")</f>
        <v>0</v>
      </c>
      <c r="AQ15" s="22">
        <f ca="1">+GETPIVOTDATA("XBT4",'binhtrung (2016)'!$A$3,"MA_HT","RDD","MA_QH","ONT")</f>
        <v>0</v>
      </c>
      <c r="AR15" s="22">
        <f ca="1">+GETPIVOTDATA("XBT4",'binhtrung (2016)'!$A$3,"MA_HT","RDD","MA_QH","ODT")</f>
        <v>0</v>
      </c>
      <c r="AS15" s="22">
        <f ca="1">+GETPIVOTDATA("XBT4",'binhtrung (2016)'!$A$3,"MA_HT","RDD","MA_QH","TSC")</f>
        <v>0</v>
      </c>
      <c r="AT15" s="22">
        <f ca="1">+GETPIVOTDATA("XBT4",'binhtrung (2016)'!$A$3,"MA_HT","RDD","MA_QH","DTS")</f>
        <v>0</v>
      </c>
      <c r="AU15" s="22">
        <f ca="1">+GETPIVOTDATA("XBT4",'binhtrung (2016)'!$A$3,"MA_HT","RDD","MA_QH","DNG")</f>
        <v>0</v>
      </c>
      <c r="AV15" s="22">
        <f ca="1">+GETPIVOTDATA("XBT4",'binhtrung (2016)'!$A$3,"MA_HT","RDD","MA_QH","TON")</f>
        <v>0</v>
      </c>
      <c r="AW15" s="22">
        <f ca="1">+GETPIVOTDATA("XBT4",'binhtrung (2016)'!$A$3,"MA_HT","RDD","MA_QH","NTD")</f>
        <v>0</v>
      </c>
      <c r="AX15" s="22">
        <f ca="1">+GETPIVOTDATA("XBT4",'binhtrung (2016)'!$A$3,"MA_HT","RDD","MA_QH","SKX")</f>
        <v>0</v>
      </c>
      <c r="AY15" s="22">
        <f ca="1">+GETPIVOTDATA("XBT4",'binhtrung (2016)'!$A$3,"MA_HT","RDD","MA_QH","DSH")</f>
        <v>0</v>
      </c>
      <c r="AZ15" s="22">
        <f ca="1">+GETPIVOTDATA("XBT4",'binhtrung (2016)'!$A$3,"MA_HT","RDD","MA_QH","DKV")</f>
        <v>0</v>
      </c>
      <c r="BA15" s="89">
        <f ca="1">+GETPIVOTDATA("XBT4",'binhtrung (2016)'!$A$3,"MA_HT","RDD","MA_QH","TIN")</f>
        <v>0</v>
      </c>
      <c r="BB15" s="50">
        <f ca="1">+GETPIVOTDATA("XBT4",'binhtrung (2016)'!$A$3,"MA_HT","RDD","MA_QH","SON")</f>
        <v>0</v>
      </c>
      <c r="BC15" s="50">
        <f ca="1">+GETPIVOTDATA("XBT4",'binhtrung (2016)'!$A$3,"MA_HT","RDD","MA_QH","MNC")</f>
        <v>0</v>
      </c>
      <c r="BD15" s="22">
        <f ca="1">+GETPIVOTDATA("XBT4",'binhtrung (2016)'!$A$3,"MA_HT","RDD","MA_QH","PNK")</f>
        <v>0</v>
      </c>
      <c r="BE15" s="71">
        <f ca="1">+GETPIVOTDATA("XBT4",'binhtrung (2016)'!$A$3,"MA_HT","RDD","MA_QH","CSD")</f>
        <v>0</v>
      </c>
      <c r="BF15" s="74">
        <f ca="1" t="shared" si="7"/>
        <v>0</v>
      </c>
      <c r="BG15" s="101">
        <f ca="1">N$59-$BF15</f>
        <v>0</v>
      </c>
      <c r="BH15" s="41" t="e">
        <f ca="1" t="shared" si="8"/>
        <v>#REF!</v>
      </c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</row>
    <row r="16" s="2" customFormat="1" ht="15.75" customHeight="1" spans="1:79">
      <c r="A16" s="39" t="s">
        <v>8353</v>
      </c>
      <c r="B16" s="39" t="s">
        <v>8354</v>
      </c>
      <c r="C16" s="40" t="s">
        <v>318</v>
      </c>
      <c r="D16" s="47" t="e">
        <f>+#REF!</f>
        <v>#REF!</v>
      </c>
      <c r="E16" s="42">
        <f ca="1">SUM(F16,J16:N16,P16:Q16)</f>
        <v>0</v>
      </c>
      <c r="F16" s="52">
        <f ca="1" t="shared" si="9"/>
        <v>0</v>
      </c>
      <c r="G16" s="22">
        <f ca="1">+GETPIVOTDATA("XBT4",'binhtrung (2016)'!$A$3,"MA_HT","NTS","MA_QH","LUC")</f>
        <v>0</v>
      </c>
      <c r="H16" s="22">
        <f ca="1">+GETPIVOTDATA("XBT4",'binhtrung (2016)'!$A$3,"MA_HT","NTS","MA_QH","LUK")</f>
        <v>0</v>
      </c>
      <c r="I16" s="22">
        <f ca="1">+GETPIVOTDATA("XBT4",'binhtrung (2016)'!$A$3,"MA_HT","NTS","MA_QH","LUN")</f>
        <v>0</v>
      </c>
      <c r="J16" s="22">
        <f ca="1">+GETPIVOTDATA("XBT4",'binhtrung (2016)'!$A$3,"MA_HT","NTS","MA_QH","HNK")</f>
        <v>0</v>
      </c>
      <c r="K16" s="22">
        <f ca="1">+GETPIVOTDATA("XBT4",'binhtrung (2016)'!$A$3,"MA_HT","NTS","MA_QH","CLN")</f>
        <v>0</v>
      </c>
      <c r="L16" s="22">
        <f ca="1">+GETPIVOTDATA("XBT4",'binhtrung (2016)'!$A$3,"MA_HT","NTS","MA_QH","RSX")</f>
        <v>0</v>
      </c>
      <c r="M16" s="22">
        <f ca="1">+GETPIVOTDATA("XBT4",'binhtrung (2016)'!$A$3,"MA_HT","NTS","MA_QH","RPH")</f>
        <v>0</v>
      </c>
      <c r="N16" s="22">
        <f ca="1">+GETPIVOTDATA("XBT4",'binhtrung (2016)'!$A$3,"MA_HT","NTS","MA_QH","RDD")</f>
        <v>0</v>
      </c>
      <c r="O16" s="43" t="e">
        <f ca="1">$D16-$BF16</f>
        <v>#REF!</v>
      </c>
      <c r="P16" s="22">
        <f ca="1">+GETPIVOTDATA("XBT4",'binhtrung (2016)'!$A$3,"MA_HT","NTS","MA_QH","LMU")</f>
        <v>0</v>
      </c>
      <c r="Q16" s="22">
        <f ca="1">+GETPIVOTDATA("XBT4",'binhtrung (2016)'!$A$3,"MA_HT","NTS","MA_QH","NKH")</f>
        <v>0</v>
      </c>
      <c r="R16" s="42">
        <f ca="1" t="shared" si="2"/>
        <v>0</v>
      </c>
      <c r="S16" s="22">
        <f ca="1">+GETPIVOTDATA("XBT4",'binhtrung (2016)'!$A$3,"MA_HT","NTS","MA_QH","CQP")</f>
        <v>0</v>
      </c>
      <c r="T16" s="22">
        <f ca="1">+GETPIVOTDATA("XBT4",'binhtrung (2016)'!$A$3,"MA_HT","NTS","MA_QH","CAN")</f>
        <v>0</v>
      </c>
      <c r="U16" s="22">
        <f ca="1">+GETPIVOTDATA("XBT4",'binhtrung (2016)'!$A$3,"MA_HT","NTS","MA_QH","SKK")</f>
        <v>0</v>
      </c>
      <c r="V16" s="22">
        <f ca="1">+GETPIVOTDATA("XBT4",'binhtrung (2016)'!$A$3,"MA_HT","NTS","MA_QH","SKT")</f>
        <v>0</v>
      </c>
      <c r="W16" s="22">
        <f ca="1">+GETPIVOTDATA("XBT4",'binhtrung (2016)'!$A$3,"MA_HT","NTS","MA_QH","SKN")</f>
        <v>0</v>
      </c>
      <c r="X16" s="22">
        <f ca="1">+GETPIVOTDATA("XBT4",'binhtrung (2016)'!$A$3,"MA_HT","NTS","MA_QH","TMD")</f>
        <v>0</v>
      </c>
      <c r="Y16" s="22">
        <f ca="1">+GETPIVOTDATA("XBT4",'binhtrung (2016)'!$A$3,"MA_HT","NTS","MA_QH","SKC")</f>
        <v>0</v>
      </c>
      <c r="Z16" s="22">
        <f ca="1">+GETPIVOTDATA("XBT4",'binhtrung (2016)'!$A$3,"MA_HT","NTS","MA_QH","SKS")</f>
        <v>0</v>
      </c>
      <c r="AA16" s="52">
        <f ca="1" t="shared" si="4"/>
        <v>0</v>
      </c>
      <c r="AB16" s="22">
        <f ca="1">+GETPIVOTDATA("XBT4",'binhtrung (2016)'!$A$3,"MA_HT","NTS","MA_QH","DGT")</f>
        <v>0</v>
      </c>
      <c r="AC16" s="22">
        <f ca="1">+GETPIVOTDATA("XBT4",'binhtrung (2016)'!$A$3,"MA_HT","NTS","MA_QH","DTL")</f>
        <v>0</v>
      </c>
      <c r="AD16" s="22">
        <f ca="1">+GETPIVOTDATA("XBT4",'binhtrung (2016)'!$A$3,"MA_HT","NTS","MA_QH","DNL")</f>
        <v>0</v>
      </c>
      <c r="AE16" s="22">
        <f ca="1">+GETPIVOTDATA("XBT4",'binhtrung (2016)'!$A$3,"MA_HT","NTS","MA_QH","DBV")</f>
        <v>0</v>
      </c>
      <c r="AF16" s="22">
        <f ca="1">+GETPIVOTDATA("XBT4",'binhtrung (2016)'!$A$3,"MA_HT","NTS","MA_QH","DVH")</f>
        <v>0</v>
      </c>
      <c r="AG16" s="22">
        <f ca="1">+GETPIVOTDATA("XBT4",'binhtrung (2016)'!$A$3,"MA_HT","NTS","MA_QH","DYT")</f>
        <v>0</v>
      </c>
      <c r="AH16" s="22">
        <f ca="1">+GETPIVOTDATA("XBT4",'binhtrung (2016)'!$A$3,"MA_HT","NTS","MA_QH","DGD")</f>
        <v>0</v>
      </c>
      <c r="AI16" s="22">
        <f ca="1">+GETPIVOTDATA("XBT4",'binhtrung (2016)'!$A$3,"MA_HT","NTS","MA_QH","DTT")</f>
        <v>0</v>
      </c>
      <c r="AJ16" s="22">
        <f ca="1">+GETPIVOTDATA("XBT4",'binhtrung (2016)'!$A$3,"MA_HT","NTS","MA_QH","NCK")</f>
        <v>0</v>
      </c>
      <c r="AK16" s="22">
        <f ca="1">+GETPIVOTDATA("XBT4",'binhtrung (2016)'!$A$3,"MA_HT","NTS","MA_QH","DXH")</f>
        <v>0</v>
      </c>
      <c r="AL16" s="22">
        <f ca="1">+GETPIVOTDATA("XBT4",'binhtrung (2016)'!$A$3,"MA_HT","NTS","MA_QH","DCH")</f>
        <v>0</v>
      </c>
      <c r="AM16" s="22">
        <f ca="1">+GETPIVOTDATA("XBT4",'binhtrung (2016)'!$A$3,"MA_HT","NTS","MA_QH","DKG")</f>
        <v>0</v>
      </c>
      <c r="AN16" s="22">
        <f ca="1">+GETPIVOTDATA("XBT4",'binhtrung (2016)'!$A$3,"MA_HT","NTS","MA_QH","DDT")</f>
        <v>0</v>
      </c>
      <c r="AO16" s="22">
        <f ca="1">+GETPIVOTDATA("XBT4",'binhtrung (2016)'!$A$3,"MA_HT","NTS","MA_QH","DDL")</f>
        <v>0</v>
      </c>
      <c r="AP16" s="22">
        <f ca="1">+GETPIVOTDATA("XBT4",'binhtrung (2016)'!$A$3,"MA_HT","NTS","MA_QH","DRA")</f>
        <v>0</v>
      </c>
      <c r="AQ16" s="22">
        <f ca="1">+GETPIVOTDATA("XBT4",'binhtrung (2016)'!$A$3,"MA_HT","NTS","MA_QH","ONT")</f>
        <v>0</v>
      </c>
      <c r="AR16" s="22">
        <f ca="1">+GETPIVOTDATA("XBT4",'binhtrung (2016)'!$A$3,"MA_HT","NTS","MA_QH","ODT")</f>
        <v>0</v>
      </c>
      <c r="AS16" s="22">
        <f ca="1">+GETPIVOTDATA("XBT4",'binhtrung (2016)'!$A$3,"MA_HT","NTS","MA_QH","TSC")</f>
        <v>0</v>
      </c>
      <c r="AT16" s="22">
        <f ca="1">+GETPIVOTDATA("XBT4",'binhtrung (2016)'!$A$3,"MA_HT","NTS","MA_QH","DTS")</f>
        <v>0</v>
      </c>
      <c r="AU16" s="22">
        <f ca="1">+GETPIVOTDATA("XBT4",'binhtrung (2016)'!$A$3,"MA_HT","NTS","MA_QH","DNG")</f>
        <v>0</v>
      </c>
      <c r="AV16" s="22">
        <f ca="1">+GETPIVOTDATA("XBT4",'binhtrung (2016)'!$A$3,"MA_HT","NTS","MA_QH","TON")</f>
        <v>0</v>
      </c>
      <c r="AW16" s="22">
        <f ca="1">+GETPIVOTDATA("XBT4",'binhtrung (2016)'!$A$3,"MA_HT","NTS","MA_QH","NTD")</f>
        <v>0</v>
      </c>
      <c r="AX16" s="22">
        <f ca="1">+GETPIVOTDATA("XBT4",'binhtrung (2016)'!$A$3,"MA_HT","NTS","MA_QH","SKX")</f>
        <v>0</v>
      </c>
      <c r="AY16" s="22">
        <f ca="1">+GETPIVOTDATA("XBT4",'binhtrung (2016)'!$A$3,"MA_HT","NTS","MA_QH","DSH")</f>
        <v>0</v>
      </c>
      <c r="AZ16" s="22">
        <f ca="1">+GETPIVOTDATA("XBT4",'binhtrung (2016)'!$A$3,"MA_HT","NTS","MA_QH","DKV")</f>
        <v>0</v>
      </c>
      <c r="BA16" s="89">
        <f ca="1">+GETPIVOTDATA("XBT4",'binhtrung (2016)'!$A$3,"MA_HT","NTS","MA_QH","TIN")</f>
        <v>0</v>
      </c>
      <c r="BB16" s="50">
        <f ca="1">+GETPIVOTDATA("XBT4",'binhtrung (2016)'!$A$3,"MA_HT","NTS","MA_QH","SON")</f>
        <v>0</v>
      </c>
      <c r="BC16" s="50">
        <f ca="1">+GETPIVOTDATA("XBT4",'binhtrung (2016)'!$A$3,"MA_HT","NTS","MA_QH","MNC")</f>
        <v>0</v>
      </c>
      <c r="BD16" s="22">
        <f ca="1">+GETPIVOTDATA("XBT4",'binhtrung (2016)'!$A$3,"MA_HT","NTS","MA_QH","PNK")</f>
        <v>0</v>
      </c>
      <c r="BE16" s="71">
        <f ca="1">+GETPIVOTDATA("XBT4",'binhtrung (2016)'!$A$3,"MA_HT","NTS","MA_QH","CSD")</f>
        <v>0</v>
      </c>
      <c r="BF16" s="74">
        <f ca="1" t="shared" si="7"/>
        <v>0</v>
      </c>
      <c r="BG16" s="101">
        <f ca="1">O$59-$BF16</f>
        <v>0</v>
      </c>
      <c r="BH16" s="41" t="e">
        <f ca="1" t="shared" si="8"/>
        <v>#REF!</v>
      </c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</row>
    <row r="17" s="2" customFormat="1" ht="15.75" customHeight="1" spans="1:79">
      <c r="A17" s="39" t="s">
        <v>8355</v>
      </c>
      <c r="B17" s="39" t="s">
        <v>8356</v>
      </c>
      <c r="C17" s="40" t="s">
        <v>8297</v>
      </c>
      <c r="D17" s="47" t="e">
        <f>+#REF!</f>
        <v>#REF!</v>
      </c>
      <c r="E17" s="42">
        <f ca="1">SUM(F17,J17:O17,Q17:Q17)</f>
        <v>0</v>
      </c>
      <c r="F17" s="52">
        <f ca="1" t="shared" si="9"/>
        <v>0</v>
      </c>
      <c r="G17" s="22">
        <f ca="1">+GETPIVOTDATA("XBT4",'binhtrung (2016)'!$A$3,"MA_HT","LMU","MA_QH","LUC")</f>
        <v>0</v>
      </c>
      <c r="H17" s="22">
        <f ca="1">+GETPIVOTDATA("XBT4",'binhtrung (2016)'!$A$3,"MA_HT","LMU","MA_QH","LUK")</f>
        <v>0</v>
      </c>
      <c r="I17" s="22">
        <f ca="1">+GETPIVOTDATA("XBT4",'binhtrung (2016)'!$A$3,"MA_HT","LMU","MA_QH","LUN")</f>
        <v>0</v>
      </c>
      <c r="J17" s="22">
        <f ca="1">+GETPIVOTDATA("XBT4",'binhtrung (2016)'!$A$3,"MA_HT","LMU","MA_QH","HNK")</f>
        <v>0</v>
      </c>
      <c r="K17" s="22">
        <f ca="1">+GETPIVOTDATA("XBT4",'binhtrung (2016)'!$A$3,"MA_HT","LMU","MA_QH","CLN")</f>
        <v>0</v>
      </c>
      <c r="L17" s="22">
        <f ca="1">+GETPIVOTDATA("XBT4",'binhtrung (2016)'!$A$3,"MA_HT","LMU","MA_QH","RSX")</f>
        <v>0</v>
      </c>
      <c r="M17" s="22">
        <f ca="1">+GETPIVOTDATA("XBT4",'binhtrung (2016)'!$A$3,"MA_HT","LMU","MA_QH","RPH")</f>
        <v>0</v>
      </c>
      <c r="N17" s="22">
        <f ca="1">+GETPIVOTDATA("XBT4",'binhtrung (2016)'!$A$3,"MA_HT","LMU","MA_QH","RDD")</f>
        <v>0</v>
      </c>
      <c r="O17" s="22">
        <f ca="1">+GETPIVOTDATA("XBT4",'binhtrung (2016)'!$A$3,"MA_HT","LMU","MA_QH","NTS")</f>
        <v>0</v>
      </c>
      <c r="P17" s="43" t="e">
        <f ca="1">$D17-$BF17</f>
        <v>#REF!</v>
      </c>
      <c r="Q17" s="22">
        <f ca="1">+GETPIVOTDATA("XBT4",'binhtrung (2016)'!$A$3,"MA_HT","LMU","MA_QH","NKH")</f>
        <v>0</v>
      </c>
      <c r="R17" s="42">
        <f ca="1" t="shared" si="2"/>
        <v>0</v>
      </c>
      <c r="S17" s="22">
        <f ca="1">+GETPIVOTDATA("XBT4",'binhtrung (2016)'!$A$3,"MA_HT","LMU","MA_QH","CQP")</f>
        <v>0</v>
      </c>
      <c r="T17" s="22">
        <f ca="1">+GETPIVOTDATA("XBT4",'binhtrung (2016)'!$A$3,"MA_HT","LMU","MA_QH","CAN")</f>
        <v>0</v>
      </c>
      <c r="U17" s="22">
        <f ca="1">+GETPIVOTDATA("XBT4",'binhtrung (2016)'!$A$3,"MA_HT","LMU","MA_QH","SKK")</f>
        <v>0</v>
      </c>
      <c r="V17" s="22">
        <f ca="1">+GETPIVOTDATA("XBT4",'binhtrung (2016)'!$A$3,"MA_HT","LMU","MA_QH","SKT")</f>
        <v>0</v>
      </c>
      <c r="W17" s="22">
        <f ca="1">+GETPIVOTDATA("XBT4",'binhtrung (2016)'!$A$3,"MA_HT","LMU","MA_QH","SKN")</f>
        <v>0</v>
      </c>
      <c r="X17" s="22">
        <f ca="1">+GETPIVOTDATA("XBT4",'binhtrung (2016)'!$A$3,"MA_HT","LMU","MA_QH","TMD")</f>
        <v>0</v>
      </c>
      <c r="Y17" s="22">
        <f ca="1">+GETPIVOTDATA("XBT4",'binhtrung (2016)'!$A$3,"MA_HT","LMU","MA_QH","SKC")</f>
        <v>0</v>
      </c>
      <c r="Z17" s="22">
        <f ca="1">+GETPIVOTDATA("XBT4",'binhtrung (2016)'!$A$3,"MA_HT","LMU","MA_QH","SKS")</f>
        <v>0</v>
      </c>
      <c r="AA17" s="52">
        <f ca="1" t="shared" si="4"/>
        <v>0</v>
      </c>
      <c r="AB17" s="22">
        <f ca="1">+GETPIVOTDATA("XBT4",'binhtrung (2016)'!$A$3,"MA_HT","LMU","MA_QH","DGT")</f>
        <v>0</v>
      </c>
      <c r="AC17" s="22">
        <f ca="1">+GETPIVOTDATA("XBT4",'binhtrung (2016)'!$A$3,"MA_HT","LMU","MA_QH","DTL")</f>
        <v>0</v>
      </c>
      <c r="AD17" s="22">
        <f ca="1">+GETPIVOTDATA("XBT4",'binhtrung (2016)'!$A$3,"MA_HT","LMU","MA_QH","DNL")</f>
        <v>0</v>
      </c>
      <c r="AE17" s="22">
        <f ca="1">+GETPIVOTDATA("XBT4",'binhtrung (2016)'!$A$3,"MA_HT","LMU","MA_QH","DBV")</f>
        <v>0</v>
      </c>
      <c r="AF17" s="22">
        <f ca="1">+GETPIVOTDATA("XBT4",'binhtrung (2016)'!$A$3,"MA_HT","LMU","MA_QH","DVH")</f>
        <v>0</v>
      </c>
      <c r="AG17" s="22">
        <f ca="1">+GETPIVOTDATA("XBT4",'binhtrung (2016)'!$A$3,"MA_HT","LMU","MA_QH","DYT")</f>
        <v>0</v>
      </c>
      <c r="AH17" s="22">
        <f ca="1">+GETPIVOTDATA("XBT4",'binhtrung (2016)'!$A$3,"MA_HT","LMU","MA_QH","DGD")</f>
        <v>0</v>
      </c>
      <c r="AI17" s="22">
        <f ca="1">+GETPIVOTDATA("XBT4",'binhtrung (2016)'!$A$3,"MA_HT","LMU","MA_QH","DTT")</f>
        <v>0</v>
      </c>
      <c r="AJ17" s="22">
        <f ca="1">+GETPIVOTDATA("XBT4",'binhtrung (2016)'!$A$3,"MA_HT","LMU","MA_QH","NCK")</f>
        <v>0</v>
      </c>
      <c r="AK17" s="22">
        <f ca="1">+GETPIVOTDATA("XBT4",'binhtrung (2016)'!$A$3,"MA_HT","LMU","MA_QH","DXH")</f>
        <v>0</v>
      </c>
      <c r="AL17" s="22">
        <f ca="1">+GETPIVOTDATA("XBT4",'binhtrung (2016)'!$A$3,"MA_HT","LMU","MA_QH","DCH")</f>
        <v>0</v>
      </c>
      <c r="AM17" s="22">
        <f ca="1">+GETPIVOTDATA("XBT4",'binhtrung (2016)'!$A$3,"MA_HT","LMU","MA_QH","DKG")</f>
        <v>0</v>
      </c>
      <c r="AN17" s="22">
        <f ca="1">+GETPIVOTDATA("XBT4",'binhtrung (2016)'!$A$3,"MA_HT","LMU","MA_QH","DDT")</f>
        <v>0</v>
      </c>
      <c r="AO17" s="22">
        <f ca="1">+GETPIVOTDATA("XBT4",'binhtrung (2016)'!$A$3,"MA_HT","LMU","MA_QH","DDL")</f>
        <v>0</v>
      </c>
      <c r="AP17" s="22">
        <f ca="1">+GETPIVOTDATA("XBT4",'binhtrung (2016)'!$A$3,"MA_HT","LMU","MA_QH","DRA")</f>
        <v>0</v>
      </c>
      <c r="AQ17" s="22">
        <f ca="1">+GETPIVOTDATA("XBT4",'binhtrung (2016)'!$A$3,"MA_HT","LMU","MA_QH","ONT")</f>
        <v>0</v>
      </c>
      <c r="AR17" s="22">
        <f ca="1">+GETPIVOTDATA("XBT4",'binhtrung (2016)'!$A$3,"MA_HT","LMU","MA_QH","ODT")</f>
        <v>0</v>
      </c>
      <c r="AS17" s="22">
        <f ca="1">+GETPIVOTDATA("XBT4",'binhtrung (2016)'!$A$3,"MA_HT","LMU","MA_QH","TSC")</f>
        <v>0</v>
      </c>
      <c r="AT17" s="22">
        <f ca="1">+GETPIVOTDATA("XBT4",'binhtrung (2016)'!$A$3,"MA_HT","LMU","MA_QH","DTS")</f>
        <v>0</v>
      </c>
      <c r="AU17" s="22">
        <f ca="1">+GETPIVOTDATA("XBT4",'binhtrung (2016)'!$A$3,"MA_HT","LMU","MA_QH","DNG")</f>
        <v>0</v>
      </c>
      <c r="AV17" s="22">
        <f ca="1">+GETPIVOTDATA("XBT4",'binhtrung (2016)'!$A$3,"MA_HT","LMU","MA_QH","TON")</f>
        <v>0</v>
      </c>
      <c r="AW17" s="22">
        <f ca="1">+GETPIVOTDATA("XBT4",'binhtrung (2016)'!$A$3,"MA_HT","LMU","MA_QH","NTD")</f>
        <v>0</v>
      </c>
      <c r="AX17" s="22">
        <f ca="1">+GETPIVOTDATA("XBT4",'binhtrung (2016)'!$A$3,"MA_HT","LMU","MA_QH","SKX")</f>
        <v>0</v>
      </c>
      <c r="AY17" s="22">
        <f ca="1">+GETPIVOTDATA("XBT4",'binhtrung (2016)'!$A$3,"MA_HT","LMU","MA_QH","DSH")</f>
        <v>0</v>
      </c>
      <c r="AZ17" s="22">
        <f ca="1">+GETPIVOTDATA("XBT4",'binhtrung (2016)'!$A$3,"MA_HT","LMU","MA_QH","DKV")</f>
        <v>0</v>
      </c>
      <c r="BA17" s="89">
        <f ca="1">+GETPIVOTDATA("XBT4",'binhtrung (2016)'!$A$3,"MA_HT","LMU","MA_QH","TIN")</f>
        <v>0</v>
      </c>
      <c r="BB17" s="50">
        <f ca="1">+GETPIVOTDATA("XBT4",'binhtrung (2016)'!$A$3,"MA_HT","LMU","MA_QH","SON")</f>
        <v>0</v>
      </c>
      <c r="BC17" s="50">
        <f ca="1">+GETPIVOTDATA("XBT4",'binhtrung (2016)'!$A$3,"MA_HT","LMU","MA_QH","MNC")</f>
        <v>0</v>
      </c>
      <c r="BD17" s="22">
        <f ca="1">+GETPIVOTDATA("XBT4",'binhtrung (2016)'!$A$3,"MA_HT","LMU","MA_QH","PNK")</f>
        <v>0</v>
      </c>
      <c r="BE17" s="71">
        <f ca="1">+GETPIVOTDATA("XBT4",'binhtrung (2016)'!$A$3,"MA_HT","LMU","MA_QH","CSD")</f>
        <v>0</v>
      </c>
      <c r="BF17" s="74">
        <f ca="1" t="shared" si="7"/>
        <v>0</v>
      </c>
      <c r="BG17" s="101">
        <f ca="1">P$59-$BF17</f>
        <v>0</v>
      </c>
      <c r="BH17" s="41" t="e">
        <f ca="1" t="shared" si="8"/>
        <v>#REF!</v>
      </c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</row>
    <row r="18" s="2" customFormat="1" ht="15.75" customHeight="1" spans="1:79">
      <c r="A18" s="39" t="s">
        <v>8357</v>
      </c>
      <c r="B18" s="39" t="s">
        <v>8358</v>
      </c>
      <c r="C18" s="40" t="s">
        <v>553</v>
      </c>
      <c r="D18" s="47" t="e">
        <f>+#REF!</f>
        <v>#REF!</v>
      </c>
      <c r="E18" s="42">
        <f ca="1">SUM(F18,J18:P18)</f>
        <v>0</v>
      </c>
      <c r="F18" s="52">
        <f ca="1" t="shared" si="9"/>
        <v>0</v>
      </c>
      <c r="G18" s="22">
        <f ca="1">+GETPIVOTDATA("XBT4",'binhtrung (2016)'!$A$3,"MA_HT","NKH","MA_QH","LUC")</f>
        <v>0</v>
      </c>
      <c r="H18" s="22">
        <f ca="1">+GETPIVOTDATA("XBT4",'binhtrung (2016)'!$A$3,"MA_HT","NKH","MA_QH","LUK")</f>
        <v>0</v>
      </c>
      <c r="I18" s="22">
        <f ca="1">+GETPIVOTDATA("XBT4",'binhtrung (2016)'!$A$3,"MA_HT","NKH","MA_QH","LUN")</f>
        <v>0</v>
      </c>
      <c r="J18" s="22">
        <f ca="1">+GETPIVOTDATA("XBT4",'binhtrung (2016)'!$A$3,"MA_HT","NKH","MA_QH","HNK")</f>
        <v>0</v>
      </c>
      <c r="K18" s="22">
        <f ca="1">+GETPIVOTDATA("XBT4",'binhtrung (2016)'!$A$3,"MA_HT","NKH","MA_QH","CLN")</f>
        <v>0</v>
      </c>
      <c r="L18" s="22">
        <f ca="1">+GETPIVOTDATA("XBT4",'binhtrung (2016)'!$A$3,"MA_HT","NKH","MA_QH","RSX")</f>
        <v>0</v>
      </c>
      <c r="M18" s="22">
        <f ca="1">+GETPIVOTDATA("XBT4",'binhtrung (2016)'!$A$3,"MA_HT","NKH","MA_QH","RPH")</f>
        <v>0</v>
      </c>
      <c r="N18" s="22">
        <f ca="1">+GETPIVOTDATA("XBT4",'binhtrung (2016)'!$A$3,"MA_HT","NKH","MA_QH","RDD")</f>
        <v>0</v>
      </c>
      <c r="O18" s="22">
        <f ca="1">+GETPIVOTDATA("XBT4",'binhtrung (2016)'!$A$3,"MA_HT","NKH","MA_QH","NTS")</f>
        <v>0</v>
      </c>
      <c r="P18" s="22">
        <f ca="1">+GETPIVOTDATA("XBT4",'binhtrung (2016)'!$A$3,"MA_HT","NKH","MA_QH","LMU")</f>
        <v>0</v>
      </c>
      <c r="Q18" s="43" t="e">
        <f ca="1">$D18-$BF18</f>
        <v>#REF!</v>
      </c>
      <c r="R18" s="42">
        <f ca="1" t="shared" si="2"/>
        <v>0</v>
      </c>
      <c r="S18" s="22">
        <f ca="1">+GETPIVOTDATA("XBT4",'binhtrung (2016)'!$A$3,"MA_HT","NKH","MA_QH","CQP")</f>
        <v>0</v>
      </c>
      <c r="T18" s="22">
        <f ca="1">+GETPIVOTDATA("XBT4",'binhtrung (2016)'!$A$3,"MA_HT","NKH","MA_QH","CAN")</f>
        <v>0</v>
      </c>
      <c r="U18" s="22">
        <f ca="1">+GETPIVOTDATA("XBT4",'binhtrung (2016)'!$A$3,"MA_HT","NKH","MA_QH","SKK")</f>
        <v>0</v>
      </c>
      <c r="V18" s="22">
        <f ca="1">+GETPIVOTDATA("XBT4",'binhtrung (2016)'!$A$3,"MA_HT","NKH","MA_QH","SKT")</f>
        <v>0</v>
      </c>
      <c r="W18" s="22">
        <f ca="1">+GETPIVOTDATA("XBT4",'binhtrung (2016)'!$A$3,"MA_HT","NKH","MA_QH","SKN")</f>
        <v>0</v>
      </c>
      <c r="X18" s="22">
        <f ca="1">+GETPIVOTDATA("XBT4",'binhtrung (2016)'!$A$3,"MA_HT","NKH","MA_QH","TMD")</f>
        <v>0</v>
      </c>
      <c r="Y18" s="22">
        <f ca="1">+GETPIVOTDATA("XBT4",'binhtrung (2016)'!$A$3,"MA_HT","NKH","MA_QH","SKC")</f>
        <v>0</v>
      </c>
      <c r="Z18" s="22">
        <f ca="1">+GETPIVOTDATA("XBT4",'binhtrung (2016)'!$A$3,"MA_HT","NKH","MA_QH","SKS")</f>
        <v>0</v>
      </c>
      <c r="AA18" s="52">
        <f ca="1" t="shared" si="4"/>
        <v>0</v>
      </c>
      <c r="AB18" s="22">
        <f ca="1">+GETPIVOTDATA("XBT4",'binhtrung (2016)'!$A$3,"MA_HT","NKH","MA_QH","DGT")</f>
        <v>0</v>
      </c>
      <c r="AC18" s="22">
        <f ca="1">+GETPIVOTDATA("XBT4",'binhtrung (2016)'!$A$3,"MA_HT","NKH","MA_QH","DTL")</f>
        <v>0</v>
      </c>
      <c r="AD18" s="22">
        <f ca="1">+GETPIVOTDATA("XBT4",'binhtrung (2016)'!$A$3,"MA_HT","NKH","MA_QH","DNL")</f>
        <v>0</v>
      </c>
      <c r="AE18" s="22">
        <f ca="1">+GETPIVOTDATA("XBT4",'binhtrung (2016)'!$A$3,"MA_HT","NKH","MA_QH","DBV")</f>
        <v>0</v>
      </c>
      <c r="AF18" s="22">
        <f ca="1">+GETPIVOTDATA("XBT4",'binhtrung (2016)'!$A$3,"MA_HT","NKH","MA_QH","DVH")</f>
        <v>0</v>
      </c>
      <c r="AG18" s="22">
        <f ca="1">+GETPIVOTDATA("XBT4",'binhtrung (2016)'!$A$3,"MA_HT","NKH","MA_QH","DYT")</f>
        <v>0</v>
      </c>
      <c r="AH18" s="22">
        <f ca="1">+GETPIVOTDATA("XBT4",'binhtrung (2016)'!$A$3,"MA_HT","NKH","MA_QH","DGD")</f>
        <v>0</v>
      </c>
      <c r="AI18" s="22">
        <f ca="1">+GETPIVOTDATA("XBT4",'binhtrung (2016)'!$A$3,"MA_HT","NKH","MA_QH","DTT")</f>
        <v>0</v>
      </c>
      <c r="AJ18" s="22">
        <f ca="1">+GETPIVOTDATA("XBT4",'binhtrung (2016)'!$A$3,"MA_HT","NKH","MA_QH","NCK")</f>
        <v>0</v>
      </c>
      <c r="AK18" s="22">
        <f ca="1">+GETPIVOTDATA("XBT4",'binhtrung (2016)'!$A$3,"MA_HT","NKH","MA_QH","DXH")</f>
        <v>0</v>
      </c>
      <c r="AL18" s="22">
        <f ca="1">+GETPIVOTDATA("XBT4",'binhtrung (2016)'!$A$3,"MA_HT","NKH","MA_QH","DCH")</f>
        <v>0</v>
      </c>
      <c r="AM18" s="22">
        <f ca="1">+GETPIVOTDATA("XBT4",'binhtrung (2016)'!$A$3,"MA_HT","NKH","MA_QH","DKG")</f>
        <v>0</v>
      </c>
      <c r="AN18" s="22">
        <f ca="1">+GETPIVOTDATA("XBT4",'binhtrung (2016)'!$A$3,"MA_HT","NKH","MA_QH","DDT")</f>
        <v>0</v>
      </c>
      <c r="AO18" s="22">
        <f ca="1">+GETPIVOTDATA("XBT4",'binhtrung (2016)'!$A$3,"MA_HT","NKH","MA_QH","DDL")</f>
        <v>0</v>
      </c>
      <c r="AP18" s="22">
        <f ca="1">+GETPIVOTDATA("XBT4",'binhtrung (2016)'!$A$3,"MA_HT","NKH","MA_QH","DRA")</f>
        <v>0</v>
      </c>
      <c r="AQ18" s="22">
        <f ca="1">+GETPIVOTDATA("XBT4",'binhtrung (2016)'!$A$3,"MA_HT","NKH","MA_QH","ONT")</f>
        <v>0</v>
      </c>
      <c r="AR18" s="22">
        <f ca="1">+GETPIVOTDATA("XBT4",'binhtrung (2016)'!$A$3,"MA_HT","NKH","MA_QH","ODT")</f>
        <v>0</v>
      </c>
      <c r="AS18" s="22">
        <f ca="1">+GETPIVOTDATA("XBT4",'binhtrung (2016)'!$A$3,"MA_HT","NKH","MA_QH","TSC")</f>
        <v>0</v>
      </c>
      <c r="AT18" s="22">
        <f ca="1">+GETPIVOTDATA("XBT4",'binhtrung (2016)'!$A$3,"MA_HT","NKH","MA_QH","DTS")</f>
        <v>0</v>
      </c>
      <c r="AU18" s="22">
        <f ca="1">+GETPIVOTDATA("XBT4",'binhtrung (2016)'!$A$3,"MA_HT","NKH","MA_QH","DNG")</f>
        <v>0</v>
      </c>
      <c r="AV18" s="22">
        <f ca="1">+GETPIVOTDATA("XBT4",'binhtrung (2016)'!$A$3,"MA_HT","NKH","MA_QH","TON")</f>
        <v>0</v>
      </c>
      <c r="AW18" s="22">
        <f ca="1">+GETPIVOTDATA("XBT4",'binhtrung (2016)'!$A$3,"MA_HT","NKH","MA_QH","NTD")</f>
        <v>0</v>
      </c>
      <c r="AX18" s="22">
        <f ca="1">+GETPIVOTDATA("XBT4",'binhtrung (2016)'!$A$3,"MA_HT","NKH","MA_QH","SKX")</f>
        <v>0</v>
      </c>
      <c r="AY18" s="22">
        <f ca="1">+GETPIVOTDATA("XBT4",'binhtrung (2016)'!$A$3,"MA_HT","NKH","MA_QH","DSH")</f>
        <v>0</v>
      </c>
      <c r="AZ18" s="22">
        <f ca="1">+GETPIVOTDATA("XBT4",'binhtrung (2016)'!$A$3,"MA_HT","NKH","MA_QH","DKV")</f>
        <v>0</v>
      </c>
      <c r="BA18" s="89">
        <f ca="1">+GETPIVOTDATA("XBT4",'binhtrung (2016)'!$A$3,"MA_HT","NKH","MA_QH","TIN")</f>
        <v>0</v>
      </c>
      <c r="BB18" s="50">
        <f ca="1">+GETPIVOTDATA("XBT4",'binhtrung (2016)'!$A$3,"MA_HT","NKH","MA_QH","SON")</f>
        <v>0</v>
      </c>
      <c r="BC18" s="50">
        <f ca="1">+GETPIVOTDATA("XBT4",'binhtrung (2016)'!$A$3,"MA_HT","NKH","MA_QH","MNC")</f>
        <v>0</v>
      </c>
      <c r="BD18" s="22">
        <f ca="1">+GETPIVOTDATA("XBT4",'binhtrung (2016)'!$A$3,"MA_HT","NKH","MA_QH","PNK")</f>
        <v>0</v>
      </c>
      <c r="BE18" s="71">
        <f ca="1">+GETPIVOTDATA("XBT4",'binhtrung (2016)'!$A$3,"MA_HT","NKH","MA_QH","CSD")</f>
        <v>0</v>
      </c>
      <c r="BF18" s="74">
        <f ca="1" t="shared" si="7"/>
        <v>0</v>
      </c>
      <c r="BG18" s="101">
        <f ca="1">Q$59-$BF18</f>
        <v>0</v>
      </c>
      <c r="BH18" s="41" t="e">
        <f ca="1" t="shared" si="8"/>
        <v>#REF!</v>
      </c>
      <c r="BI18" s="98"/>
      <c r="BJ18" s="98"/>
      <c r="BK18" s="98"/>
      <c r="BL18" s="98"/>
      <c r="BM18" s="107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</row>
    <row r="19" s="3" customFormat="1" ht="15.75" customHeight="1" spans="1:75">
      <c r="A19" s="35">
        <v>2</v>
      </c>
      <c r="B19" s="36" t="s">
        <v>8359</v>
      </c>
      <c r="C19" s="37" t="s">
        <v>8304</v>
      </c>
      <c r="D19" s="33" t="e">
        <f>+#REF!</f>
        <v>#REF!</v>
      </c>
      <c r="E19" s="33">
        <f ca="1">SUM(E20:E28,E41:E57)</f>
        <v>0</v>
      </c>
      <c r="F19" s="33">
        <f ca="1">SUM(F20:F28,F41:F57)</f>
        <v>0</v>
      </c>
      <c r="G19" s="33">
        <f ca="1">SUM(G20:G28,G41:G57)</f>
        <v>0</v>
      </c>
      <c r="H19" s="33">
        <f ca="1">SUM(H20:H28,H41:H57)</f>
        <v>0</v>
      </c>
      <c r="I19" s="33">
        <f ca="1">SUM(I20:I28,I41:I57)</f>
        <v>0</v>
      </c>
      <c r="J19" s="33">
        <f ca="1" t="shared" ref="J19:Q19" si="10">SUM(J20:J28,J41:J57)</f>
        <v>0</v>
      </c>
      <c r="K19" s="33">
        <f ca="1" t="shared" si="10"/>
        <v>0</v>
      </c>
      <c r="L19" s="33">
        <f ca="1" t="shared" si="10"/>
        <v>0</v>
      </c>
      <c r="M19" s="33">
        <f ca="1" t="shared" si="10"/>
        <v>0</v>
      </c>
      <c r="N19" s="33">
        <f ca="1" t="shared" si="10"/>
        <v>0</v>
      </c>
      <c r="O19" s="33">
        <f ca="1" t="shared" si="10"/>
        <v>0</v>
      </c>
      <c r="P19" s="33">
        <f ca="1" t="shared" si="10"/>
        <v>0</v>
      </c>
      <c r="Q19" s="33">
        <f ca="1" t="shared" si="10"/>
        <v>0</v>
      </c>
      <c r="R19" s="38" t="e">
        <f ca="1">$D19-$BF19</f>
        <v>#REF!</v>
      </c>
      <c r="S19" s="33">
        <f ca="1">SUM(S21:S28,S41:S57)</f>
        <v>0</v>
      </c>
      <c r="T19" s="33">
        <f ca="1">SUM(T20,T22:T28,T41:T57)</f>
        <v>0</v>
      </c>
      <c r="U19" s="33">
        <f ca="1">SUM(U20:U21,U23:U28,U41:U57)</f>
        <v>0</v>
      </c>
      <c r="V19" s="33">
        <f ca="1">SUM(V20:V22,V24:V28,V41:V57)</f>
        <v>0</v>
      </c>
      <c r="W19" s="33">
        <f ca="1">SUM(W20:W23,W25:W28,W41:W57)</f>
        <v>0</v>
      </c>
      <c r="X19" s="33">
        <f ca="1">SUM(X20:X24,X26:X28,X41:X57)</f>
        <v>0</v>
      </c>
      <c r="Y19" s="33">
        <f ca="1">SUM(Y20:Y25,Y27:Y28,Y41:Y57)</f>
        <v>0</v>
      </c>
      <c r="Z19" s="33">
        <f ca="1">SUM(Z20:Z26,Z28,Z41:Z57)</f>
        <v>0</v>
      </c>
      <c r="AA19" s="33">
        <f ca="1">SUM(AA20:AA27,AA41:AA57)</f>
        <v>0</v>
      </c>
      <c r="AB19" s="33">
        <f ca="1" t="shared" ref="AB19:AM19" si="11">SUM(AB20:AB28,AB41:AB57)</f>
        <v>0</v>
      </c>
      <c r="AC19" s="33">
        <f ca="1" t="shared" si="11"/>
        <v>0</v>
      </c>
      <c r="AD19" s="33">
        <f ca="1" t="shared" si="11"/>
        <v>0</v>
      </c>
      <c r="AE19" s="33">
        <f ca="1" t="shared" si="11"/>
        <v>0</v>
      </c>
      <c r="AF19" s="33">
        <f ca="1" t="shared" si="11"/>
        <v>0</v>
      </c>
      <c r="AG19" s="33">
        <f ca="1" t="shared" si="11"/>
        <v>0</v>
      </c>
      <c r="AH19" s="33">
        <f ca="1" t="shared" si="11"/>
        <v>0</v>
      </c>
      <c r="AI19" s="33">
        <f ca="1" t="shared" si="11"/>
        <v>0</v>
      </c>
      <c r="AJ19" s="33">
        <f ca="1" t="shared" si="11"/>
        <v>0</v>
      </c>
      <c r="AK19" s="33">
        <f ca="1" t="shared" si="11"/>
        <v>0</v>
      </c>
      <c r="AL19" s="33">
        <f ca="1" t="shared" si="11"/>
        <v>0</v>
      </c>
      <c r="AM19" s="33">
        <f ca="1" t="shared" si="11"/>
        <v>0</v>
      </c>
      <c r="AN19" s="33">
        <f ca="1">SUM(AN20:AN28,AN42:AN57)</f>
        <v>0</v>
      </c>
      <c r="AO19" s="33">
        <f ca="1">SUM(AO20:AO28,AO41,AO43:AO57)</f>
        <v>0</v>
      </c>
      <c r="AP19" s="33">
        <f ca="1">SUM(AP20:AP28,AP41:AP42,AP44:AP57)</f>
        <v>0</v>
      </c>
      <c r="AQ19" s="33">
        <f ca="1">SUM(AQ20:AQ28,AQ41:AQ43,AQ45:AQ57)</f>
        <v>0</v>
      </c>
      <c r="AR19" s="33">
        <f ca="1">SUM(AR20:AR28,AR41:AR44,AR46:AR57)</f>
        <v>0</v>
      </c>
      <c r="AS19" s="33">
        <f ca="1">SUM(AS20:AS28,AS41:AS45,AS47:AS57)</f>
        <v>0</v>
      </c>
      <c r="AT19" s="33">
        <f ca="1">SUM(AT20:AT28,AT41:AT46,AT48:AT57)</f>
        <v>0</v>
      </c>
      <c r="AU19" s="33">
        <f ca="1">SUM(AU20:AU28,AU41:AU47,AU49:AU57)</f>
        <v>0</v>
      </c>
      <c r="AV19" s="33">
        <f ca="1">SUM(AV20:AV28,AV41:AV48,AV50:AV57)</f>
        <v>0</v>
      </c>
      <c r="AW19" s="33">
        <f ca="1">SUM(AW20:AW28,AW41:AW49,AW51:AW57)</f>
        <v>0</v>
      </c>
      <c r="AX19" s="33">
        <f ca="1">SUM(AX20:AX28,AX41:AX50,AX52:AX57)</f>
        <v>0</v>
      </c>
      <c r="AY19" s="33">
        <f ca="1">SUM(AY20:AY28,AY41:AY51,AY53:AY57)</f>
        <v>0</v>
      </c>
      <c r="AZ19" s="33">
        <f ca="1">SUM(AZ20:AZ28,AZ41:AZ52,AZ54:AZ57)</f>
        <v>0</v>
      </c>
      <c r="BA19" s="33">
        <f ca="1">SUM(BA20:BA28,BA41:BA53,BA55:BA57)</f>
        <v>0</v>
      </c>
      <c r="BB19" s="33">
        <f ca="1">SUM(BB20:BB28,BB41:BB54,BB56:BB57)</f>
        <v>0</v>
      </c>
      <c r="BC19" s="33">
        <f ca="1">SUM(BC20:BC28,BC41:BC55,BC57)</f>
        <v>0</v>
      </c>
      <c r="BD19" s="33">
        <f ca="1">SUM(BD20:BD28,BD41:BD56,BD58)</f>
        <v>0</v>
      </c>
      <c r="BE19" s="33">
        <f ca="1">SUM(BE20:BE28,BE41:BE57)</f>
        <v>0</v>
      </c>
      <c r="BF19" s="74">
        <f ca="1">SUM(BE19,E19)</f>
        <v>0</v>
      </c>
      <c r="BG19" s="101">
        <f ca="1">R$59-$BF19</f>
        <v>0</v>
      </c>
      <c r="BH19" s="33" t="e">
        <f ca="1">SUM(BH20:BH28,BH41:BH57)</f>
        <v>#REF!</v>
      </c>
      <c r="BI19" s="102"/>
      <c r="BJ19" s="36" t="e">
        <f>SUM(BJ22:BJ54,BJ57:BJ57)</f>
        <v>#REF!</v>
      </c>
      <c r="BK19" s="106" t="e">
        <f ca="1">BH19-BJ19</f>
        <v>#REF!</v>
      </c>
      <c r="BL19" s="106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</row>
    <row r="20" s="2" customFormat="1" ht="15.75" customHeight="1" spans="1:79">
      <c r="A20" s="39" t="s">
        <v>69</v>
      </c>
      <c r="B20" s="39" t="s">
        <v>8360</v>
      </c>
      <c r="C20" s="40" t="s">
        <v>31</v>
      </c>
      <c r="D20" s="41" t="e">
        <f>+#REF!</f>
        <v>#REF!</v>
      </c>
      <c r="E20" s="42">
        <f ca="1">SUM(F20,J20:Q20)</f>
        <v>0</v>
      </c>
      <c r="F20" s="52">
        <f ca="1" t="shared" si="9"/>
        <v>0</v>
      </c>
      <c r="G20" s="22">
        <f ca="1">+GETPIVOTDATA("XBT4",'binhtrung (2016)'!$A$3,"MA_HT","CQP","MA_QH","LUC")</f>
        <v>0</v>
      </c>
      <c r="H20" s="22">
        <f ca="1">+GETPIVOTDATA("XBT4",'binhtrung (2016)'!$A$3,"MA_HT","CQP","MA_QH","LUK")</f>
        <v>0</v>
      </c>
      <c r="I20" s="22">
        <f ca="1">+GETPIVOTDATA("XBT4",'binhtrung (2016)'!$A$3,"MA_HT","CQP","MA_QH","LUN")</f>
        <v>0</v>
      </c>
      <c r="J20" s="22">
        <f ca="1">+GETPIVOTDATA("XBT4",'binhtrung (2016)'!$A$3,"MA_HT","CQP","MA_QH","HNK")</f>
        <v>0</v>
      </c>
      <c r="K20" s="22">
        <f ca="1">+GETPIVOTDATA("XBT4",'binhtrung (2016)'!$A$3,"MA_HT","CQP","MA_QH","CLN")</f>
        <v>0</v>
      </c>
      <c r="L20" s="22">
        <f ca="1">+GETPIVOTDATA("XBT4",'binhtrung (2016)'!$A$3,"MA_HT","CQP","MA_QH","RSX")</f>
        <v>0</v>
      </c>
      <c r="M20" s="22">
        <f ca="1">+GETPIVOTDATA("XBT4",'binhtrung (2016)'!$A$3,"MA_HT","CQP","MA_QH","RPH")</f>
        <v>0</v>
      </c>
      <c r="N20" s="22">
        <f ca="1">+GETPIVOTDATA("XBT4",'binhtrung (2016)'!$A$3,"MA_HT","CQP","MA_QH","RDD")</f>
        <v>0</v>
      </c>
      <c r="O20" s="22">
        <f ca="1">+GETPIVOTDATA("XBT4",'binhtrung (2016)'!$A$3,"MA_HT","CQP","MA_QH","NTS")</f>
        <v>0</v>
      </c>
      <c r="P20" s="22">
        <f ca="1">+GETPIVOTDATA("XBT4",'binhtrung (2016)'!$A$3,"MA_HT","CQP","MA_QH","LMU")</f>
        <v>0</v>
      </c>
      <c r="Q20" s="22">
        <f ca="1">+GETPIVOTDATA("XBT4",'binhtrung (2016)'!$A$3,"MA_HT","CQP","MA_QH","NKH")</f>
        <v>0</v>
      </c>
      <c r="R20" s="42">
        <f ca="1">SUM(T20:AA20,AN20:BD20)</f>
        <v>0</v>
      </c>
      <c r="S20" s="43" t="e">
        <f ca="1">$D20-$BF20</f>
        <v>#REF!</v>
      </c>
      <c r="T20" s="22">
        <f ca="1">+GETPIVOTDATA("XBT4",'binhtrung (2016)'!$A$3,"MA_HT","CQP","MA_QH","CAN")</f>
        <v>0</v>
      </c>
      <c r="U20" s="22">
        <f ca="1">+GETPIVOTDATA("XBT4",'binhtrung (2016)'!$A$3,"MA_HT","CQP","MA_QH","SKK")</f>
        <v>0</v>
      </c>
      <c r="V20" s="22">
        <f ca="1">+GETPIVOTDATA("XBT4",'binhtrung (2016)'!$A$3,"MA_HT","CQP","MA_QH","SKT")</f>
        <v>0</v>
      </c>
      <c r="W20" s="22">
        <f ca="1">+GETPIVOTDATA("XBT4",'binhtrung (2016)'!$A$3,"MA_HT","CQP","MA_QH","SKN")</f>
        <v>0</v>
      </c>
      <c r="X20" s="22">
        <f ca="1">+GETPIVOTDATA("XBT4",'binhtrung (2016)'!$A$3,"MA_HT","CQP","MA_QH","TMD")</f>
        <v>0</v>
      </c>
      <c r="Y20" s="22">
        <f ca="1">+GETPIVOTDATA("XBT4",'binhtrung (2016)'!$A$3,"MA_HT","CQP","MA_QH","SKC")</f>
        <v>0</v>
      </c>
      <c r="Z20" s="22">
        <f ca="1">+GETPIVOTDATA("XBT4",'binhtrung (2016)'!$A$3,"MA_HT","CQP","MA_QH","SKS")</f>
        <v>0</v>
      </c>
      <c r="AA20" s="52">
        <f ca="1" t="shared" ref="AA20:AA27" si="12">+SUM(AB20:AM20)</f>
        <v>0</v>
      </c>
      <c r="AB20" s="22">
        <f ca="1">+GETPIVOTDATA("XBT4",'binhtrung (2016)'!$A$3,"MA_HT","CQP","MA_QH","DGT")</f>
        <v>0</v>
      </c>
      <c r="AC20" s="22">
        <f ca="1">+GETPIVOTDATA("XBT4",'binhtrung (2016)'!$A$3,"MA_HT","CQP","MA_QH","DTL")</f>
        <v>0</v>
      </c>
      <c r="AD20" s="22">
        <f ca="1">+GETPIVOTDATA("XBT4",'binhtrung (2016)'!$A$3,"MA_HT","CQP","MA_QH","DNL")</f>
        <v>0</v>
      </c>
      <c r="AE20" s="22">
        <f ca="1">+GETPIVOTDATA("XBT4",'binhtrung (2016)'!$A$3,"MA_HT","CQP","MA_QH","DBV")</f>
        <v>0</v>
      </c>
      <c r="AF20" s="22">
        <f ca="1">+GETPIVOTDATA("XBT4",'binhtrung (2016)'!$A$3,"MA_HT","CQP","MA_QH","DVH")</f>
        <v>0</v>
      </c>
      <c r="AG20" s="22">
        <f ca="1">+GETPIVOTDATA("XBT4",'binhtrung (2016)'!$A$3,"MA_HT","CQP","MA_QH","DYT")</f>
        <v>0</v>
      </c>
      <c r="AH20" s="22">
        <f ca="1">+GETPIVOTDATA("XBT4",'binhtrung (2016)'!$A$3,"MA_HT","CQP","MA_QH","DGD")</f>
        <v>0</v>
      </c>
      <c r="AI20" s="22">
        <f ca="1">+GETPIVOTDATA("XBT4",'binhtrung (2016)'!$A$3,"MA_HT","CQP","MA_QH","DTT")</f>
        <v>0</v>
      </c>
      <c r="AJ20" s="22">
        <f ca="1">+GETPIVOTDATA("XBT4",'binhtrung (2016)'!$A$3,"MA_HT","CQP","MA_QH","NCK")</f>
        <v>0</v>
      </c>
      <c r="AK20" s="22">
        <f ca="1">+GETPIVOTDATA("XBT4",'binhtrung (2016)'!$A$3,"MA_HT","CQP","MA_QH","DXH")</f>
        <v>0</v>
      </c>
      <c r="AL20" s="22">
        <f ca="1">+GETPIVOTDATA("XBT4",'binhtrung (2016)'!$A$3,"MA_HT","CQP","MA_QH","DCH")</f>
        <v>0</v>
      </c>
      <c r="AM20" s="22">
        <f ca="1">+GETPIVOTDATA("XBT4",'binhtrung (2016)'!$A$3,"MA_HT","CQP","MA_QH","DKG")</f>
        <v>0</v>
      </c>
      <c r="AN20" s="22">
        <f ca="1">+GETPIVOTDATA("XBT4",'binhtrung (2016)'!$A$3,"MA_HT","CQP","MA_QH","DDT")</f>
        <v>0</v>
      </c>
      <c r="AO20" s="22">
        <f ca="1">+GETPIVOTDATA("XBT4",'binhtrung (2016)'!$A$3,"MA_HT","CQP","MA_QH","DDL")</f>
        <v>0</v>
      </c>
      <c r="AP20" s="22">
        <f ca="1">+GETPIVOTDATA("XBT4",'binhtrung (2016)'!$A$3,"MA_HT","CQP","MA_QH","DRA")</f>
        <v>0</v>
      </c>
      <c r="AQ20" s="22">
        <f ca="1">+GETPIVOTDATA("XBT4",'binhtrung (2016)'!$A$3,"MA_HT","CQP","MA_QH","ONT")</f>
        <v>0</v>
      </c>
      <c r="AR20" s="22">
        <f ca="1">+GETPIVOTDATA("XBT4",'binhtrung (2016)'!$A$3,"MA_HT","CQP","MA_QH","ODT")</f>
        <v>0</v>
      </c>
      <c r="AS20" s="22">
        <f ca="1">+GETPIVOTDATA("XBT4",'binhtrung (2016)'!$A$3,"MA_HT","CQP","MA_QH","TSC")</f>
        <v>0</v>
      </c>
      <c r="AT20" s="22">
        <f ca="1">+GETPIVOTDATA("XBT4",'binhtrung (2016)'!$A$3,"MA_HT","CQP","MA_QH","DTS")</f>
        <v>0</v>
      </c>
      <c r="AU20" s="22">
        <f ca="1">+GETPIVOTDATA("XBT4",'binhtrung (2016)'!$A$3,"MA_HT","CQP","MA_QH","DNG")</f>
        <v>0</v>
      </c>
      <c r="AV20" s="22">
        <f ca="1">+GETPIVOTDATA("XBT4",'binhtrung (2016)'!$A$3,"MA_HT","CQP","MA_QH","TON")</f>
        <v>0</v>
      </c>
      <c r="AW20" s="22">
        <f ca="1">+GETPIVOTDATA("XBT4",'binhtrung (2016)'!$A$3,"MA_HT","CQP","MA_QH","NTD")</f>
        <v>0</v>
      </c>
      <c r="AX20" s="22">
        <f ca="1">+GETPIVOTDATA("XBT4",'binhtrung (2016)'!$A$3,"MA_HT","CQP","MA_QH","SKX")</f>
        <v>0</v>
      </c>
      <c r="AY20" s="22">
        <f ca="1">+GETPIVOTDATA("XBT4",'binhtrung (2016)'!$A$3,"MA_HT","CQP","MA_QH","DSH")</f>
        <v>0</v>
      </c>
      <c r="AZ20" s="22">
        <f ca="1">+GETPIVOTDATA("XBT4",'binhtrung (2016)'!$A$3,"MA_HT","CQP","MA_QH","DKV")</f>
        <v>0</v>
      </c>
      <c r="BA20" s="89">
        <f ca="1">+GETPIVOTDATA("XBT4",'binhtrung (2016)'!$A$3,"MA_HT","CQP","MA_QH","TIN")</f>
        <v>0</v>
      </c>
      <c r="BB20" s="50">
        <f ca="1">+GETPIVOTDATA("XBT4",'binhtrung (2016)'!$A$3,"MA_HT","CQP","MA_QH","SON")</f>
        <v>0</v>
      </c>
      <c r="BC20" s="50">
        <f ca="1">+GETPIVOTDATA("XBT4",'binhtrung (2016)'!$A$3,"MA_HT","CQP","MA_QH","MNC")</f>
        <v>0</v>
      </c>
      <c r="BD20" s="22">
        <f ca="1">+GETPIVOTDATA("XBT4",'binhtrung (2016)'!$A$3,"MA_HT","CQP","MA_QH","PNK")</f>
        <v>0</v>
      </c>
      <c r="BE20" s="71">
        <f ca="1">+GETPIVOTDATA("XBT4",'binhtrung (2016)'!$A$3,"MA_HT","CQP","MA_QH","CSD")</f>
        <v>0</v>
      </c>
      <c r="BF20" s="74">
        <f ca="1" t="shared" ref="BF20:BF57" si="13">BE20+R20+E20</f>
        <v>0</v>
      </c>
      <c r="BG20" s="101">
        <f ca="1">S$59-$BF20</f>
        <v>0</v>
      </c>
      <c r="BH20" s="41" t="e">
        <f ca="1" t="shared" ref="BH20:BH58" si="14">BG20+D20</f>
        <v>#REF!</v>
      </c>
      <c r="BI20" s="98"/>
      <c r="BJ20" s="98" t="e">
        <f>#REF!</f>
        <v>#REF!</v>
      </c>
      <c r="BK20" s="107" t="e">
        <f ca="1">BH20-BJ20</f>
        <v>#REF!</v>
      </c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</row>
    <row r="21" s="2" customFormat="1" ht="15.75" customHeight="1" spans="1:79">
      <c r="A21" s="39" t="s">
        <v>232</v>
      </c>
      <c r="B21" s="39" t="s">
        <v>8361</v>
      </c>
      <c r="C21" s="40" t="s">
        <v>8283</v>
      </c>
      <c r="D21" s="41" t="e">
        <f>+#REF!</f>
        <v>#REF!</v>
      </c>
      <c r="E21" s="42">
        <f ca="1" t="shared" ref="E21:E58" si="15">SUM(F21,J21:Q21)</f>
        <v>0</v>
      </c>
      <c r="F21" s="52">
        <f ca="1" t="shared" si="9"/>
        <v>0</v>
      </c>
      <c r="G21" s="22">
        <f ca="1">+GETPIVOTDATA("XBT4",'binhtrung (2016)'!$A$3,"MA_HT","CAN","MA_QH","LUC")</f>
        <v>0</v>
      </c>
      <c r="H21" s="22">
        <f ca="1">+GETPIVOTDATA("XBT4",'binhtrung (2016)'!$A$3,"MA_HT","CAN","MA_QH","LUK")</f>
        <v>0</v>
      </c>
      <c r="I21" s="22">
        <f ca="1">+GETPIVOTDATA("XBT4",'binhtrung (2016)'!$A$3,"MA_HT","CAN","MA_QH","LUN")</f>
        <v>0</v>
      </c>
      <c r="J21" s="22">
        <f ca="1">+GETPIVOTDATA("XBT4",'binhtrung (2016)'!$A$3,"MA_HT","CAN","MA_QH","HNK")</f>
        <v>0</v>
      </c>
      <c r="K21" s="22">
        <f ca="1">+GETPIVOTDATA("XBT4",'binhtrung (2016)'!$A$3,"MA_HT","CAN","MA_QH","CLN")</f>
        <v>0</v>
      </c>
      <c r="L21" s="22">
        <f ca="1">+GETPIVOTDATA("XBT4",'binhtrung (2016)'!$A$3,"MA_HT","CAN","MA_QH","RSX")</f>
        <v>0</v>
      </c>
      <c r="M21" s="22">
        <f ca="1">+GETPIVOTDATA("XBT4",'binhtrung (2016)'!$A$3,"MA_HT","CAN","MA_QH","RPH")</f>
        <v>0</v>
      </c>
      <c r="N21" s="22">
        <f ca="1">+GETPIVOTDATA("XBT4",'binhtrung (2016)'!$A$3,"MA_HT","CAN","MA_QH","RDD")</f>
        <v>0</v>
      </c>
      <c r="O21" s="22">
        <f ca="1">+GETPIVOTDATA("XBT4",'binhtrung (2016)'!$A$3,"MA_HT","CAN","MA_QH","NTS")</f>
        <v>0</v>
      </c>
      <c r="P21" s="22">
        <f ca="1">+GETPIVOTDATA("XBT4",'binhtrung (2016)'!$A$3,"MA_HT","CAN","MA_QH","LMU")</f>
        <v>0</v>
      </c>
      <c r="Q21" s="22">
        <f ca="1">+GETPIVOTDATA("XBT4",'binhtrung (2016)'!$A$3,"MA_HT","CAN","MA_QH","NKH")</f>
        <v>0</v>
      </c>
      <c r="R21" s="42">
        <f ca="1">SUM(S21,U21:AA21,AN21:BD21)</f>
        <v>0</v>
      </c>
      <c r="S21" s="22">
        <f ca="1">+GETPIVOTDATA("XBT4",'binhtrung (2016)'!$A$3,"MA_HT","CAN","MA_QH","CQP")</f>
        <v>0</v>
      </c>
      <c r="T21" s="43" t="e">
        <f ca="1">$D21-$BF21</f>
        <v>#REF!</v>
      </c>
      <c r="U21" s="22">
        <f ca="1">+GETPIVOTDATA("XBT4",'binhtrung (2016)'!$A$3,"MA_HT","CAN","MA_QH","SKK")</f>
        <v>0</v>
      </c>
      <c r="V21" s="22">
        <f ca="1">+GETPIVOTDATA("XBT4",'binhtrung (2016)'!$A$3,"MA_HT","CAN","MA_QH","SKT")</f>
        <v>0</v>
      </c>
      <c r="W21" s="22">
        <f ca="1">+GETPIVOTDATA("XBT4",'binhtrung (2016)'!$A$3,"MA_HT","CAN","MA_QH","SKN")</f>
        <v>0</v>
      </c>
      <c r="X21" s="22">
        <f ca="1">+GETPIVOTDATA("XBT4",'binhtrung (2016)'!$A$3,"MA_HT","CAN","MA_QH","TMD")</f>
        <v>0</v>
      </c>
      <c r="Y21" s="22">
        <f ca="1">+GETPIVOTDATA("XBT4",'binhtrung (2016)'!$A$3,"MA_HT","CAN","MA_QH","SKC")</f>
        <v>0</v>
      </c>
      <c r="Z21" s="22">
        <f ca="1">+GETPIVOTDATA("XBT4",'binhtrung (2016)'!$A$3,"MA_HT","CAN","MA_QH","SKS")</f>
        <v>0</v>
      </c>
      <c r="AA21" s="52">
        <f ca="1" t="shared" si="12"/>
        <v>0</v>
      </c>
      <c r="AB21" s="22">
        <f ca="1">+GETPIVOTDATA("XBT4",'binhtrung (2016)'!$A$3,"MA_HT","CAN","MA_QH","DGT")</f>
        <v>0</v>
      </c>
      <c r="AC21" s="22">
        <f ca="1">+GETPIVOTDATA("XBT4",'binhtrung (2016)'!$A$3,"MA_HT","CAN","MA_QH","DTL")</f>
        <v>0</v>
      </c>
      <c r="AD21" s="22">
        <f ca="1">+GETPIVOTDATA("XBT4",'binhtrung (2016)'!$A$3,"MA_HT","CAN","MA_QH","DNL")</f>
        <v>0</v>
      </c>
      <c r="AE21" s="22">
        <f ca="1">+GETPIVOTDATA("XBT4",'binhtrung (2016)'!$A$3,"MA_HT","CAN","MA_QH","DBV")</f>
        <v>0</v>
      </c>
      <c r="AF21" s="22">
        <f ca="1">+GETPIVOTDATA("XBT4",'binhtrung (2016)'!$A$3,"MA_HT","CAN","MA_QH","DVH")</f>
        <v>0</v>
      </c>
      <c r="AG21" s="22">
        <f ca="1">+GETPIVOTDATA("XBT4",'binhtrung (2016)'!$A$3,"MA_HT","CAN","MA_QH","DYT")</f>
        <v>0</v>
      </c>
      <c r="AH21" s="22">
        <f ca="1">+GETPIVOTDATA("XBT4",'binhtrung (2016)'!$A$3,"MA_HT","CAN","MA_QH","DGD")</f>
        <v>0</v>
      </c>
      <c r="AI21" s="22">
        <f ca="1">+GETPIVOTDATA("XBT4",'binhtrung (2016)'!$A$3,"MA_HT","CAN","MA_QH","DTT")</f>
        <v>0</v>
      </c>
      <c r="AJ21" s="22">
        <f ca="1">+GETPIVOTDATA("XBT4",'binhtrung (2016)'!$A$3,"MA_HT","CAN","MA_QH","NCK")</f>
        <v>0</v>
      </c>
      <c r="AK21" s="22">
        <f ca="1">+GETPIVOTDATA("XBT4",'binhtrung (2016)'!$A$3,"MA_HT","CAN","MA_QH","DXH")</f>
        <v>0</v>
      </c>
      <c r="AL21" s="22">
        <f ca="1">+GETPIVOTDATA("XBT4",'binhtrung (2016)'!$A$3,"MA_HT","CAN","MA_QH","DCH")</f>
        <v>0</v>
      </c>
      <c r="AM21" s="22">
        <f ca="1">+GETPIVOTDATA("XBT4",'binhtrung (2016)'!$A$3,"MA_HT","CAN","MA_QH","DKG")</f>
        <v>0</v>
      </c>
      <c r="AN21" s="22">
        <f ca="1">+GETPIVOTDATA("XBT4",'binhtrung (2016)'!$A$3,"MA_HT","CAN","MA_QH","DDT")</f>
        <v>0</v>
      </c>
      <c r="AO21" s="22">
        <f ca="1">+GETPIVOTDATA("XBT4",'binhtrung (2016)'!$A$3,"MA_HT","CAN","MA_QH","DDL")</f>
        <v>0</v>
      </c>
      <c r="AP21" s="22">
        <f ca="1">+GETPIVOTDATA("XBT4",'binhtrung (2016)'!$A$3,"MA_HT","CAN","MA_QH","DRA")</f>
        <v>0</v>
      </c>
      <c r="AQ21" s="22">
        <f ca="1">+GETPIVOTDATA("XBT4",'binhtrung (2016)'!$A$3,"MA_HT","CAN","MA_QH","ONT")</f>
        <v>0</v>
      </c>
      <c r="AR21" s="22">
        <f ca="1">+GETPIVOTDATA("XBT4",'binhtrung (2016)'!$A$3,"MA_HT","CAN","MA_QH","ODT")</f>
        <v>0</v>
      </c>
      <c r="AS21" s="22">
        <f ca="1">+GETPIVOTDATA("XBT4",'binhtrung (2016)'!$A$3,"MA_HT","CAN","MA_QH","TSC")</f>
        <v>0</v>
      </c>
      <c r="AT21" s="22">
        <f ca="1">+GETPIVOTDATA("XBT4",'binhtrung (2016)'!$A$3,"MA_HT","CAN","MA_QH","DTS")</f>
        <v>0</v>
      </c>
      <c r="AU21" s="22">
        <f ca="1">+GETPIVOTDATA("XBT4",'binhtrung (2016)'!$A$3,"MA_HT","CAN","MA_QH","DNG")</f>
        <v>0</v>
      </c>
      <c r="AV21" s="22">
        <f ca="1">+GETPIVOTDATA("XBT4",'binhtrung (2016)'!$A$3,"MA_HT","CAN","MA_QH","TON")</f>
        <v>0</v>
      </c>
      <c r="AW21" s="22">
        <f ca="1">+GETPIVOTDATA("XBT4",'binhtrung (2016)'!$A$3,"MA_HT","CAN","MA_QH","NTD")</f>
        <v>0</v>
      </c>
      <c r="AX21" s="22">
        <f ca="1">+GETPIVOTDATA("XBT4",'binhtrung (2016)'!$A$3,"MA_HT","CAN","MA_QH","SKX")</f>
        <v>0</v>
      </c>
      <c r="AY21" s="22">
        <f ca="1">+GETPIVOTDATA("XBT4",'binhtrung (2016)'!$A$3,"MA_HT","CAN","MA_QH","DSH")</f>
        <v>0</v>
      </c>
      <c r="AZ21" s="22">
        <f ca="1">+GETPIVOTDATA("XBT4",'binhtrung (2016)'!$A$3,"MA_HT","CAN","MA_QH","DKV")</f>
        <v>0</v>
      </c>
      <c r="BA21" s="89">
        <f ca="1">+GETPIVOTDATA("XBT4",'binhtrung (2016)'!$A$3,"MA_HT","CAN","MA_QH","TIN")</f>
        <v>0</v>
      </c>
      <c r="BB21" s="50">
        <f ca="1">+GETPIVOTDATA("XBT4",'binhtrung (2016)'!$A$3,"MA_HT","CAN","MA_QH","SON")</f>
        <v>0</v>
      </c>
      <c r="BC21" s="50">
        <f ca="1">+GETPIVOTDATA("XBT4",'binhtrung (2016)'!$A$3,"MA_HT","CAN","MA_QH","MNC")</f>
        <v>0</v>
      </c>
      <c r="BD21" s="22">
        <f ca="1">+GETPIVOTDATA("XBT4",'binhtrung (2016)'!$A$3,"MA_HT","CAN","MA_QH","PNK")</f>
        <v>0</v>
      </c>
      <c r="BE21" s="71">
        <f ca="1">+GETPIVOTDATA("XBT4",'binhtrung (2016)'!$A$3,"MA_HT","CAN","MA_QH","CSD")</f>
        <v>0</v>
      </c>
      <c r="BF21" s="74">
        <f ca="1" t="shared" si="13"/>
        <v>0</v>
      </c>
      <c r="BG21" s="101">
        <f ca="1">T$59-$BF21</f>
        <v>0</v>
      </c>
      <c r="BH21" s="41" t="e">
        <f ca="1" t="shared" si="14"/>
        <v>#REF!</v>
      </c>
      <c r="BI21" s="98"/>
      <c r="BJ21" s="98" t="e">
        <f>#REF!</f>
        <v>#REF!</v>
      </c>
      <c r="BK21" s="107" t="e">
        <f ca="1">BH21-BJ21</f>
        <v>#REF!</v>
      </c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</row>
    <row r="22" s="2" customFormat="1" ht="15.75" customHeight="1" spans="1:79">
      <c r="A22" s="39" t="s">
        <v>8362</v>
      </c>
      <c r="B22" s="53" t="s">
        <v>8363</v>
      </c>
      <c r="C22" s="40" t="s">
        <v>47</v>
      </c>
      <c r="D22" s="41" t="e">
        <f>+#REF!</f>
        <v>#REF!</v>
      </c>
      <c r="E22" s="42">
        <f ca="1" t="shared" si="15"/>
        <v>0</v>
      </c>
      <c r="F22" s="52">
        <f ca="1" t="shared" si="9"/>
        <v>0</v>
      </c>
      <c r="G22" s="22">
        <f ca="1">+GETPIVOTDATA("XBT4",'binhtrung (2016)'!$A$3,"MA_HT","SKK","MA_QH","LUC")</f>
        <v>0</v>
      </c>
      <c r="H22" s="22">
        <f ca="1">+GETPIVOTDATA("XBT4",'binhtrung (2016)'!$A$3,"MA_HT","SKK","MA_QH","LUK")</f>
        <v>0</v>
      </c>
      <c r="I22" s="22">
        <f ca="1">+GETPIVOTDATA("XBT4",'binhtrung (2016)'!$A$3,"MA_HT","SKK","MA_QH","LUN")</f>
        <v>0</v>
      </c>
      <c r="J22" s="22">
        <f ca="1">+GETPIVOTDATA("XBT4",'binhtrung (2016)'!$A$3,"MA_HT","SKK","MA_QH","HNK")</f>
        <v>0</v>
      </c>
      <c r="K22" s="22">
        <f ca="1">+GETPIVOTDATA("XBT4",'binhtrung (2016)'!$A$3,"MA_HT","SKK","MA_QH","CLN")</f>
        <v>0</v>
      </c>
      <c r="L22" s="22">
        <f ca="1">+GETPIVOTDATA("XBT4",'binhtrung (2016)'!$A$3,"MA_HT","SKK","MA_QH","RSX")</f>
        <v>0</v>
      </c>
      <c r="M22" s="22">
        <f ca="1">+GETPIVOTDATA("XBT4",'binhtrung (2016)'!$A$3,"MA_HT","SKK","MA_QH","RPH")</f>
        <v>0</v>
      </c>
      <c r="N22" s="22">
        <f ca="1">+GETPIVOTDATA("XBT4",'binhtrung (2016)'!$A$3,"MA_HT","SKK","MA_QH","RDD")</f>
        <v>0</v>
      </c>
      <c r="O22" s="22">
        <f ca="1">+GETPIVOTDATA("XBT4",'binhtrung (2016)'!$A$3,"MA_HT","SKK","MA_QH","NTS")</f>
        <v>0</v>
      </c>
      <c r="P22" s="22">
        <f ca="1">+GETPIVOTDATA("XBT4",'binhtrung (2016)'!$A$3,"MA_HT","SKK","MA_QH","LMU")</f>
        <v>0</v>
      </c>
      <c r="Q22" s="22">
        <f ca="1">+GETPIVOTDATA("XBT4",'binhtrung (2016)'!$A$3,"MA_HT","SKK","MA_QH","NKH")</f>
        <v>0</v>
      </c>
      <c r="R22" s="42">
        <f ca="1">SUM(S22:T22,V22:AA22,AN22:BD22)</f>
        <v>0</v>
      </c>
      <c r="S22" s="22">
        <f ca="1">+GETPIVOTDATA("XBT4",'binhtrung (2016)'!$A$3,"MA_HT","SKK","MA_QH","CQP")</f>
        <v>0</v>
      </c>
      <c r="T22" s="22">
        <f ca="1">+GETPIVOTDATA("XBT4",'binhtrung (2016)'!$A$3,"MA_HT","SKK","MA_QH","CAN")</f>
        <v>0</v>
      </c>
      <c r="U22" s="43" t="e">
        <f ca="1">$D22-$BF22</f>
        <v>#REF!</v>
      </c>
      <c r="V22" s="22">
        <f ca="1">+GETPIVOTDATA("XBT4",'binhtrung (2016)'!$A$3,"MA_HT","SKK","MA_QH","SKT")</f>
        <v>0</v>
      </c>
      <c r="W22" s="22">
        <f ca="1">+GETPIVOTDATA("XBT4",'binhtrung (2016)'!$A$3,"MA_HT","SKK","MA_QH","SKN")</f>
        <v>0</v>
      </c>
      <c r="X22" s="22">
        <f ca="1">+GETPIVOTDATA("XBT4",'binhtrung (2016)'!$A$3,"MA_HT","SKK","MA_QH","TMD")</f>
        <v>0</v>
      </c>
      <c r="Y22" s="22">
        <f ca="1">+GETPIVOTDATA("XBT4",'binhtrung (2016)'!$A$3,"MA_HT","SKK","MA_QH","SKC")</f>
        <v>0</v>
      </c>
      <c r="Z22" s="22">
        <f ca="1">+GETPIVOTDATA("XBT4",'binhtrung (2016)'!$A$3,"MA_HT","SKK","MA_QH","SKS")</f>
        <v>0</v>
      </c>
      <c r="AA22" s="52">
        <f ca="1" t="shared" si="12"/>
        <v>0</v>
      </c>
      <c r="AB22" s="22">
        <f ca="1">+GETPIVOTDATA("XBT4",'binhtrung (2016)'!$A$3,"MA_HT","SKK","MA_QH","DGT")</f>
        <v>0</v>
      </c>
      <c r="AC22" s="22">
        <f ca="1">+GETPIVOTDATA("XBT4",'binhtrung (2016)'!$A$3,"MA_HT","SKK","MA_QH","DTL")</f>
        <v>0</v>
      </c>
      <c r="AD22" s="22">
        <f ca="1">+GETPIVOTDATA("XBT4",'binhtrung (2016)'!$A$3,"MA_HT","SKK","MA_QH","DNL")</f>
        <v>0</v>
      </c>
      <c r="AE22" s="22">
        <f ca="1">+GETPIVOTDATA("XBT4",'binhtrung (2016)'!$A$3,"MA_HT","SKK","MA_QH","DBV")</f>
        <v>0</v>
      </c>
      <c r="AF22" s="22">
        <f ca="1">+GETPIVOTDATA("XBT4",'binhtrung (2016)'!$A$3,"MA_HT","SKK","MA_QH","DVH")</f>
        <v>0</v>
      </c>
      <c r="AG22" s="22">
        <f ca="1">+GETPIVOTDATA("XBT4",'binhtrung (2016)'!$A$3,"MA_HT","SKK","MA_QH","DYT")</f>
        <v>0</v>
      </c>
      <c r="AH22" s="22">
        <f ca="1">+GETPIVOTDATA("XBT4",'binhtrung (2016)'!$A$3,"MA_HT","SKK","MA_QH","DGD")</f>
        <v>0</v>
      </c>
      <c r="AI22" s="22">
        <f ca="1">+GETPIVOTDATA("XBT4",'binhtrung (2016)'!$A$3,"MA_HT","SKK","MA_QH","DTT")</f>
        <v>0</v>
      </c>
      <c r="AJ22" s="22">
        <f ca="1">+GETPIVOTDATA("XBT4",'binhtrung (2016)'!$A$3,"MA_HT","SKK","MA_QH","NCK")</f>
        <v>0</v>
      </c>
      <c r="AK22" s="22">
        <f ca="1">+GETPIVOTDATA("XBT4",'binhtrung (2016)'!$A$3,"MA_HT","SKK","MA_QH","DXH")</f>
        <v>0</v>
      </c>
      <c r="AL22" s="22">
        <f ca="1">+GETPIVOTDATA("XBT4",'binhtrung (2016)'!$A$3,"MA_HT","SKK","MA_QH","DCH")</f>
        <v>0</v>
      </c>
      <c r="AM22" s="22">
        <f ca="1">+GETPIVOTDATA("XBT4",'binhtrung (2016)'!$A$3,"MA_HT","SKK","MA_QH","DKG")</f>
        <v>0</v>
      </c>
      <c r="AN22" s="22">
        <f ca="1">+GETPIVOTDATA("XBT4",'binhtrung (2016)'!$A$3,"MA_HT","SKK","MA_QH","DDT")</f>
        <v>0</v>
      </c>
      <c r="AO22" s="22">
        <f ca="1">+GETPIVOTDATA("XBT4",'binhtrung (2016)'!$A$3,"MA_HT","SKK","MA_QH","DDL")</f>
        <v>0</v>
      </c>
      <c r="AP22" s="22">
        <f ca="1">+GETPIVOTDATA("XBT4",'binhtrung (2016)'!$A$3,"MA_HT","SKK","MA_QH","DRA")</f>
        <v>0</v>
      </c>
      <c r="AQ22" s="22">
        <f ca="1">+GETPIVOTDATA("XBT4",'binhtrung (2016)'!$A$3,"MA_HT","SKK","MA_QH","ONT")</f>
        <v>0</v>
      </c>
      <c r="AR22" s="22">
        <f ca="1">+GETPIVOTDATA("XBT4",'binhtrung (2016)'!$A$3,"MA_HT","SKK","MA_QH","ODT")</f>
        <v>0</v>
      </c>
      <c r="AS22" s="22">
        <f ca="1">+GETPIVOTDATA("XBT4",'binhtrung (2016)'!$A$3,"MA_HT","SKK","MA_QH","TSC")</f>
        <v>0</v>
      </c>
      <c r="AT22" s="22">
        <f ca="1">+GETPIVOTDATA("XBT4",'binhtrung (2016)'!$A$3,"MA_HT","SKK","MA_QH","DTS")</f>
        <v>0</v>
      </c>
      <c r="AU22" s="22">
        <f ca="1">+GETPIVOTDATA("XBT4",'binhtrung (2016)'!$A$3,"MA_HT","SKK","MA_QH","DNG")</f>
        <v>0</v>
      </c>
      <c r="AV22" s="22">
        <f ca="1">+GETPIVOTDATA("XBT4",'binhtrung (2016)'!$A$3,"MA_HT","SKK","MA_QH","TON")</f>
        <v>0</v>
      </c>
      <c r="AW22" s="22">
        <f ca="1">+GETPIVOTDATA("XBT4",'binhtrung (2016)'!$A$3,"MA_HT","SKK","MA_QH","NTD")</f>
        <v>0</v>
      </c>
      <c r="AX22" s="22">
        <f ca="1">+GETPIVOTDATA("XBT4",'binhtrung (2016)'!$A$3,"MA_HT","SKK","MA_QH","SKX")</f>
        <v>0</v>
      </c>
      <c r="AY22" s="22">
        <f ca="1">+GETPIVOTDATA("XBT4",'binhtrung (2016)'!$A$3,"MA_HT","SKK","MA_QH","DSH")</f>
        <v>0</v>
      </c>
      <c r="AZ22" s="22">
        <f ca="1">+GETPIVOTDATA("XBT4",'binhtrung (2016)'!$A$3,"MA_HT","SKK","MA_QH","DKV")</f>
        <v>0</v>
      </c>
      <c r="BA22" s="89">
        <f ca="1">+GETPIVOTDATA("XBT4",'binhtrung (2016)'!$A$3,"MA_HT","SKK","MA_QH","TIN")</f>
        <v>0</v>
      </c>
      <c r="BB22" s="50">
        <f ca="1">+GETPIVOTDATA("XBT4",'binhtrung (2016)'!$A$3,"MA_HT","SKK","MA_QH","SON")</f>
        <v>0</v>
      </c>
      <c r="BC22" s="50">
        <f ca="1">+GETPIVOTDATA("XBT4",'binhtrung (2016)'!$A$3,"MA_HT","SKK","MA_QH","MNC")</f>
        <v>0</v>
      </c>
      <c r="BD22" s="22">
        <f ca="1">+GETPIVOTDATA("XBT4",'binhtrung (2016)'!$A$3,"MA_HT","SKK","MA_QH","PNK")</f>
        <v>0</v>
      </c>
      <c r="BE22" s="71">
        <f ca="1">+GETPIVOTDATA("XBT4",'binhtrung (2016)'!$A$3,"MA_HT","SKK","MA_QH","CSD")</f>
        <v>0</v>
      </c>
      <c r="BF22" s="74">
        <f ca="1" t="shared" si="13"/>
        <v>0</v>
      </c>
      <c r="BG22" s="101">
        <f ca="1">U$59-$BF22</f>
        <v>0</v>
      </c>
      <c r="BH22" s="41" t="e">
        <f ca="1" t="shared" si="14"/>
        <v>#REF!</v>
      </c>
      <c r="BI22" s="98"/>
      <c r="BJ22" s="107" t="e">
        <f>#REF!</f>
        <v>#REF!</v>
      </c>
      <c r="BK22" s="107" t="e">
        <f ca="1">BH22-BJ22</f>
        <v>#REF!</v>
      </c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</row>
    <row r="23" s="2" customFormat="1" ht="15.75" customHeight="1" spans="1:79">
      <c r="A23" s="39" t="s">
        <v>8364</v>
      </c>
      <c r="B23" s="53" t="s">
        <v>8365</v>
      </c>
      <c r="C23" s="40" t="s">
        <v>8308</v>
      </c>
      <c r="D23" s="41" t="e">
        <f>+#REF!</f>
        <v>#REF!</v>
      </c>
      <c r="E23" s="42">
        <f ca="1" t="shared" si="15"/>
        <v>0</v>
      </c>
      <c r="F23" s="52">
        <f ca="1" t="shared" si="9"/>
        <v>0</v>
      </c>
      <c r="G23" s="22">
        <f ca="1">+GETPIVOTDATA("XBT4",'binhtrung (2016)'!$A$3,"MA_HT","SKT","MA_QH","LUC")</f>
        <v>0</v>
      </c>
      <c r="H23" s="22">
        <f ca="1">+GETPIVOTDATA("XBT4",'binhtrung (2016)'!$A$3,"MA_HT","SKT","MA_QH","LUK")</f>
        <v>0</v>
      </c>
      <c r="I23" s="22">
        <f ca="1">+GETPIVOTDATA("XBT4",'binhtrung (2016)'!$A$3,"MA_HT","SKT","MA_QH","LUN")</f>
        <v>0</v>
      </c>
      <c r="J23" s="22">
        <f ca="1">+GETPIVOTDATA("XBT4",'binhtrung (2016)'!$A$3,"MA_HT","SKT","MA_QH","HNK")</f>
        <v>0</v>
      </c>
      <c r="K23" s="22">
        <f ca="1">+GETPIVOTDATA("XBT4",'binhtrung (2016)'!$A$3,"MA_HT","SKT","MA_QH","CLN")</f>
        <v>0</v>
      </c>
      <c r="L23" s="22">
        <f ca="1">+GETPIVOTDATA("XBT4",'binhtrung (2016)'!$A$3,"MA_HT","SKT","MA_QH","RSX")</f>
        <v>0</v>
      </c>
      <c r="M23" s="22">
        <f ca="1">+GETPIVOTDATA("XBT4",'binhtrung (2016)'!$A$3,"MA_HT","SKT","MA_QH","RPH")</f>
        <v>0</v>
      </c>
      <c r="N23" s="22">
        <f ca="1">+GETPIVOTDATA("XBT4",'binhtrung (2016)'!$A$3,"MA_HT","SKT","MA_QH","RDD")</f>
        <v>0</v>
      </c>
      <c r="O23" s="22">
        <f ca="1">+GETPIVOTDATA("XBT4",'binhtrung (2016)'!$A$3,"MA_HT","SKT","MA_QH","NTS")</f>
        <v>0</v>
      </c>
      <c r="P23" s="22">
        <f ca="1">+GETPIVOTDATA("XBT4",'binhtrung (2016)'!$A$3,"MA_HT","SKT","MA_QH","LMU")</f>
        <v>0</v>
      </c>
      <c r="Q23" s="22">
        <f ca="1">+GETPIVOTDATA("XBT4",'binhtrung (2016)'!$A$3,"MA_HT","SKT","MA_QH","NKH")</f>
        <v>0</v>
      </c>
      <c r="R23" s="42">
        <f ca="1">SUM(S23:U23,W23:AA23,AN23:BD23)</f>
        <v>0</v>
      </c>
      <c r="S23" s="22">
        <f ca="1">+GETPIVOTDATA("XBT4",'binhtrung (2016)'!$A$3,"MA_HT","SKT","MA_QH","CQP")</f>
        <v>0</v>
      </c>
      <c r="T23" s="22">
        <f ca="1">+GETPIVOTDATA("XBT4",'binhtrung (2016)'!$A$3,"MA_HT","SKT","MA_QH","CAN")</f>
        <v>0</v>
      </c>
      <c r="U23" s="22">
        <f ca="1">+GETPIVOTDATA("XBT4",'binhtrung (2016)'!$A$3,"MA_HT","SKT","MA_QH","SKK")</f>
        <v>0</v>
      </c>
      <c r="V23" s="43" t="e">
        <f ca="1">$D23-$BF23</f>
        <v>#REF!</v>
      </c>
      <c r="W23" s="22">
        <f ca="1">+GETPIVOTDATA("XBT4",'binhtrung (2016)'!$A$3,"MA_HT","SKT","MA_QH","SKN")</f>
        <v>0</v>
      </c>
      <c r="X23" s="22">
        <f ca="1">+GETPIVOTDATA("XBT4",'binhtrung (2016)'!$A$3,"MA_HT","SKT","MA_QH","TMD")</f>
        <v>0</v>
      </c>
      <c r="Y23" s="22">
        <f ca="1">+GETPIVOTDATA("XBT4",'binhtrung (2016)'!$A$3,"MA_HT","SKT","MA_QH","SKC")</f>
        <v>0</v>
      </c>
      <c r="Z23" s="22">
        <f ca="1">+GETPIVOTDATA("XBT4",'binhtrung (2016)'!$A$3,"MA_HT","SKT","MA_QH","SKS")</f>
        <v>0</v>
      </c>
      <c r="AA23" s="52">
        <f ca="1" t="shared" si="12"/>
        <v>0</v>
      </c>
      <c r="AB23" s="22">
        <f ca="1">+GETPIVOTDATA("XBT4",'binhtrung (2016)'!$A$3,"MA_HT","SKT","MA_QH","DGT")</f>
        <v>0</v>
      </c>
      <c r="AC23" s="22">
        <f ca="1">+GETPIVOTDATA("XBT4",'binhtrung (2016)'!$A$3,"MA_HT","SKT","MA_QH","DTL")</f>
        <v>0</v>
      </c>
      <c r="AD23" s="22">
        <f ca="1">+GETPIVOTDATA("XBT4",'binhtrung (2016)'!$A$3,"MA_HT","SKT","MA_QH","DNL")</f>
        <v>0</v>
      </c>
      <c r="AE23" s="22">
        <f ca="1">+GETPIVOTDATA("XBT4",'binhtrung (2016)'!$A$3,"MA_HT","SKT","MA_QH","DBV")</f>
        <v>0</v>
      </c>
      <c r="AF23" s="22">
        <f ca="1">+GETPIVOTDATA("XBT4",'binhtrung (2016)'!$A$3,"MA_HT","SKT","MA_QH","DVH")</f>
        <v>0</v>
      </c>
      <c r="AG23" s="22">
        <f ca="1">+GETPIVOTDATA("XBT4",'binhtrung (2016)'!$A$3,"MA_HT","SKT","MA_QH","DYT")</f>
        <v>0</v>
      </c>
      <c r="AH23" s="22">
        <f ca="1">+GETPIVOTDATA("XBT4",'binhtrung (2016)'!$A$3,"MA_HT","SKT","MA_QH","DGD")</f>
        <v>0</v>
      </c>
      <c r="AI23" s="22">
        <f ca="1">+GETPIVOTDATA("XBT4",'binhtrung (2016)'!$A$3,"MA_HT","SKT","MA_QH","DTT")</f>
        <v>0</v>
      </c>
      <c r="AJ23" s="22">
        <f ca="1">+GETPIVOTDATA("XBT4",'binhtrung (2016)'!$A$3,"MA_HT","SKT","MA_QH","NCK")</f>
        <v>0</v>
      </c>
      <c r="AK23" s="22">
        <f ca="1">+GETPIVOTDATA("XBT4",'binhtrung (2016)'!$A$3,"MA_HT","SKT","MA_QH","DXH")</f>
        <v>0</v>
      </c>
      <c r="AL23" s="22">
        <f ca="1">+GETPIVOTDATA("XBT4",'binhtrung (2016)'!$A$3,"MA_HT","SKT","MA_QH","DCH")</f>
        <v>0</v>
      </c>
      <c r="AM23" s="22">
        <f ca="1">+GETPIVOTDATA("XBT4",'binhtrung (2016)'!$A$3,"MA_HT","SKT","MA_QH","DKG")</f>
        <v>0</v>
      </c>
      <c r="AN23" s="22">
        <f ca="1">+GETPIVOTDATA("XBT4",'binhtrung (2016)'!$A$3,"MA_HT","SKT","MA_QH","DDT")</f>
        <v>0</v>
      </c>
      <c r="AO23" s="22">
        <f ca="1">+GETPIVOTDATA("XBT4",'binhtrung (2016)'!$A$3,"MA_HT","SKT","MA_QH","DDL")</f>
        <v>0</v>
      </c>
      <c r="AP23" s="22">
        <f ca="1">+GETPIVOTDATA("XBT4",'binhtrung (2016)'!$A$3,"MA_HT","SKT","MA_QH","DRA")</f>
        <v>0</v>
      </c>
      <c r="AQ23" s="22">
        <f ca="1">+GETPIVOTDATA("XBT4",'binhtrung (2016)'!$A$3,"MA_HT","SKT","MA_QH","ONT")</f>
        <v>0</v>
      </c>
      <c r="AR23" s="22">
        <f ca="1">+GETPIVOTDATA("XBT4",'binhtrung (2016)'!$A$3,"MA_HT","SKT","MA_QH","ODT")</f>
        <v>0</v>
      </c>
      <c r="AS23" s="22">
        <f ca="1">+GETPIVOTDATA("XBT4",'binhtrung (2016)'!$A$3,"MA_HT","SKT","MA_QH","TSC")</f>
        <v>0</v>
      </c>
      <c r="AT23" s="22">
        <f ca="1">+GETPIVOTDATA("XBT4",'binhtrung (2016)'!$A$3,"MA_HT","SKT","MA_QH","DTS")</f>
        <v>0</v>
      </c>
      <c r="AU23" s="22">
        <f ca="1">+GETPIVOTDATA("XBT4",'binhtrung (2016)'!$A$3,"MA_HT","SKT","MA_QH","DNG")</f>
        <v>0</v>
      </c>
      <c r="AV23" s="22">
        <f ca="1">+GETPIVOTDATA("XBT4",'binhtrung (2016)'!$A$3,"MA_HT","SKT","MA_QH","TON")</f>
        <v>0</v>
      </c>
      <c r="AW23" s="22">
        <f ca="1">+GETPIVOTDATA("XBT4",'binhtrung (2016)'!$A$3,"MA_HT","SKT","MA_QH","NTD")</f>
        <v>0</v>
      </c>
      <c r="AX23" s="22">
        <f ca="1">+GETPIVOTDATA("XBT4",'binhtrung (2016)'!$A$3,"MA_HT","SKT","MA_QH","SKX")</f>
        <v>0</v>
      </c>
      <c r="AY23" s="22">
        <f ca="1">+GETPIVOTDATA("XBT4",'binhtrung (2016)'!$A$3,"MA_HT","SKT","MA_QH","DSH")</f>
        <v>0</v>
      </c>
      <c r="AZ23" s="22">
        <f ca="1">+GETPIVOTDATA("XBT4",'binhtrung (2016)'!$A$3,"MA_HT","SKT","MA_QH","DKV")</f>
        <v>0</v>
      </c>
      <c r="BA23" s="89">
        <f ca="1">+GETPIVOTDATA("XBT4",'binhtrung (2016)'!$A$3,"MA_HT","SKT","MA_QH","TIN")</f>
        <v>0</v>
      </c>
      <c r="BB23" s="50">
        <f ca="1">+GETPIVOTDATA("XBT4",'binhtrung (2016)'!$A$3,"MA_HT","SKT","MA_QH","SON")</f>
        <v>0</v>
      </c>
      <c r="BC23" s="50">
        <f ca="1">+GETPIVOTDATA("XBT4",'binhtrung (2016)'!$A$3,"MA_HT","SKT","MA_QH","MNC")</f>
        <v>0</v>
      </c>
      <c r="BD23" s="22">
        <f ca="1">+GETPIVOTDATA("XBT4",'binhtrung (2016)'!$A$3,"MA_HT","SKT","MA_QH","PNK")</f>
        <v>0</v>
      </c>
      <c r="BE23" s="71">
        <f ca="1">+GETPIVOTDATA("XBT4",'binhtrung (2016)'!$A$3,"MA_HT","SKT","MA_QH","CSD")</f>
        <v>0</v>
      </c>
      <c r="BF23" s="74">
        <f ca="1" t="shared" si="13"/>
        <v>0</v>
      </c>
      <c r="BG23" s="101">
        <f ca="1">V$59-$BF23</f>
        <v>0</v>
      </c>
      <c r="BH23" s="41" t="e">
        <f ca="1" t="shared" si="14"/>
        <v>#REF!</v>
      </c>
      <c r="BI23" s="98"/>
      <c r="BJ23" s="107"/>
      <c r="BK23" s="107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</row>
    <row r="24" s="2" customFormat="1" ht="15.75" customHeight="1" spans="1:79">
      <c r="A24" s="39" t="s">
        <v>8366</v>
      </c>
      <c r="B24" s="53" t="s">
        <v>8367</v>
      </c>
      <c r="C24" s="40" t="s">
        <v>56</v>
      </c>
      <c r="D24" s="41" t="e">
        <f>+#REF!</f>
        <v>#REF!</v>
      </c>
      <c r="E24" s="42">
        <f ca="1" t="shared" si="15"/>
        <v>0</v>
      </c>
      <c r="F24" s="52">
        <f ca="1" t="shared" si="9"/>
        <v>0</v>
      </c>
      <c r="G24" s="22">
        <f ca="1">+GETPIVOTDATA("XBT4",'binhtrung (2016)'!$A$3,"MA_HT","SKN","MA_QH","LUC")</f>
        <v>0</v>
      </c>
      <c r="H24" s="22">
        <f ca="1">+GETPIVOTDATA("XBT4",'binhtrung (2016)'!$A$3,"MA_HT","SKN","MA_QH","LUK")</f>
        <v>0</v>
      </c>
      <c r="I24" s="22">
        <f ca="1">+GETPIVOTDATA("XBT4",'binhtrung (2016)'!$A$3,"MA_HT","SKN","MA_QH","LUN")</f>
        <v>0</v>
      </c>
      <c r="J24" s="22">
        <f ca="1">+GETPIVOTDATA("XBT4",'binhtrung (2016)'!$A$3,"MA_HT","SKN","MA_QH","HNK")</f>
        <v>0</v>
      </c>
      <c r="K24" s="22">
        <f ca="1">+GETPIVOTDATA("XBT4",'binhtrung (2016)'!$A$3,"MA_HT","SKN","MA_QH","CLN")</f>
        <v>0</v>
      </c>
      <c r="L24" s="22">
        <f ca="1">+GETPIVOTDATA("XBT4",'binhtrung (2016)'!$A$3,"MA_HT","SKN","MA_QH","RSX")</f>
        <v>0</v>
      </c>
      <c r="M24" s="22">
        <f ca="1">+GETPIVOTDATA("XBT4",'binhtrung (2016)'!$A$3,"MA_HT","SKN","MA_QH","RPH")</f>
        <v>0</v>
      </c>
      <c r="N24" s="22">
        <f ca="1">+GETPIVOTDATA("XBT4",'binhtrung (2016)'!$A$3,"MA_HT","SKN","MA_QH","RDD")</f>
        <v>0</v>
      </c>
      <c r="O24" s="22">
        <f ca="1">+GETPIVOTDATA("XBT4",'binhtrung (2016)'!$A$3,"MA_HT","SKN","MA_QH","NTS")</f>
        <v>0</v>
      </c>
      <c r="P24" s="22">
        <f ca="1">+GETPIVOTDATA("XBT4",'binhtrung (2016)'!$A$3,"MA_HT","SKN","MA_QH","LMU")</f>
        <v>0</v>
      </c>
      <c r="Q24" s="22">
        <f ca="1">+GETPIVOTDATA("XBT4",'binhtrung (2016)'!$A$3,"MA_HT","SKN","MA_QH","NKH")</f>
        <v>0</v>
      </c>
      <c r="R24" s="42">
        <f ca="1">SUM(S24:V24,X24:AA24,AN24:BD24)</f>
        <v>0</v>
      </c>
      <c r="S24" s="22">
        <f ca="1">+GETPIVOTDATA("XBT4",'binhtrung (2016)'!$A$3,"MA_HT","SKN","MA_QH","CQP")</f>
        <v>0</v>
      </c>
      <c r="T24" s="22">
        <f ca="1">+GETPIVOTDATA("XBT4",'binhtrung (2016)'!$A$3,"MA_HT","SKN","MA_QH","CAN")</f>
        <v>0</v>
      </c>
      <c r="U24" s="22">
        <f ca="1">+GETPIVOTDATA("XBT4",'binhtrung (2016)'!$A$3,"MA_HT","SKN","MA_QH","SKK")</f>
        <v>0</v>
      </c>
      <c r="V24" s="22">
        <f ca="1">+GETPIVOTDATA("XBT4",'binhtrung (2016)'!$A$3,"MA_HT","SKN","MA_QH","SKT")</f>
        <v>0</v>
      </c>
      <c r="W24" s="43" t="e">
        <f ca="1">$D24-$BF24</f>
        <v>#REF!</v>
      </c>
      <c r="X24" s="22">
        <f ca="1">+GETPIVOTDATA("XBT4",'binhtrung (2016)'!$A$3,"MA_HT","SKN","MA_QH","TMD")</f>
        <v>0</v>
      </c>
      <c r="Y24" s="22">
        <f ca="1">+GETPIVOTDATA("XBT4",'binhtrung (2016)'!$A$3,"MA_HT","SKN","MA_QH","SKC")</f>
        <v>0</v>
      </c>
      <c r="Z24" s="22">
        <f ca="1">+GETPIVOTDATA("XBT4",'binhtrung (2016)'!$A$3,"MA_HT","SKN","MA_QH","SKS")</f>
        <v>0</v>
      </c>
      <c r="AA24" s="52">
        <f ca="1" t="shared" si="12"/>
        <v>0</v>
      </c>
      <c r="AB24" s="22">
        <f ca="1">+GETPIVOTDATA("XBT4",'binhtrung (2016)'!$A$3,"MA_HT","SKN","MA_QH","DGT")</f>
        <v>0</v>
      </c>
      <c r="AC24" s="22">
        <f ca="1">+GETPIVOTDATA("XBT4",'binhtrung (2016)'!$A$3,"MA_HT","SKN","MA_QH","DTL")</f>
        <v>0</v>
      </c>
      <c r="AD24" s="22">
        <f ca="1">+GETPIVOTDATA("XBT4",'binhtrung (2016)'!$A$3,"MA_HT","SKN","MA_QH","DNL")</f>
        <v>0</v>
      </c>
      <c r="AE24" s="22">
        <f ca="1">+GETPIVOTDATA("XBT4",'binhtrung (2016)'!$A$3,"MA_HT","SKN","MA_QH","DBV")</f>
        <v>0</v>
      </c>
      <c r="AF24" s="22">
        <f ca="1">+GETPIVOTDATA("XBT4",'binhtrung (2016)'!$A$3,"MA_HT","SKN","MA_QH","DVH")</f>
        <v>0</v>
      </c>
      <c r="AG24" s="22">
        <f ca="1">+GETPIVOTDATA("XBT4",'binhtrung (2016)'!$A$3,"MA_HT","SKN","MA_QH","DYT")</f>
        <v>0</v>
      </c>
      <c r="AH24" s="22">
        <f ca="1">+GETPIVOTDATA("XBT4",'binhtrung (2016)'!$A$3,"MA_HT","SKN","MA_QH","DGD")</f>
        <v>0</v>
      </c>
      <c r="AI24" s="22">
        <f ca="1">+GETPIVOTDATA("XBT4",'binhtrung (2016)'!$A$3,"MA_HT","SKN","MA_QH","DTT")</f>
        <v>0</v>
      </c>
      <c r="AJ24" s="22">
        <f ca="1">+GETPIVOTDATA("XBT4",'binhtrung (2016)'!$A$3,"MA_HT","SKN","MA_QH","NCK")</f>
        <v>0</v>
      </c>
      <c r="AK24" s="22">
        <f ca="1">+GETPIVOTDATA("XBT4",'binhtrung (2016)'!$A$3,"MA_HT","SKN","MA_QH","DXH")</f>
        <v>0</v>
      </c>
      <c r="AL24" s="22">
        <f ca="1">+GETPIVOTDATA("XBT4",'binhtrung (2016)'!$A$3,"MA_HT","SKN","MA_QH","DCH")</f>
        <v>0</v>
      </c>
      <c r="AM24" s="22">
        <f ca="1">+GETPIVOTDATA("XBT4",'binhtrung (2016)'!$A$3,"MA_HT","SKN","MA_QH","DKG")</f>
        <v>0</v>
      </c>
      <c r="AN24" s="22">
        <f ca="1">+GETPIVOTDATA("XBT4",'binhtrung (2016)'!$A$3,"MA_HT","SKN","MA_QH","DDT")</f>
        <v>0</v>
      </c>
      <c r="AO24" s="22">
        <f ca="1">+GETPIVOTDATA("XBT4",'binhtrung (2016)'!$A$3,"MA_HT","SKN","MA_QH","DDL")</f>
        <v>0</v>
      </c>
      <c r="AP24" s="22">
        <f ca="1">+GETPIVOTDATA("XBT4",'binhtrung (2016)'!$A$3,"MA_HT","SKN","MA_QH","DRA")</f>
        <v>0</v>
      </c>
      <c r="AQ24" s="22">
        <f ca="1">+GETPIVOTDATA("XBT4",'binhtrung (2016)'!$A$3,"MA_HT","SKN","MA_QH","ONT")</f>
        <v>0</v>
      </c>
      <c r="AR24" s="22">
        <f ca="1">+GETPIVOTDATA("XBT4",'binhtrung (2016)'!$A$3,"MA_HT","SKN","MA_QH","ODT")</f>
        <v>0</v>
      </c>
      <c r="AS24" s="22">
        <f ca="1">+GETPIVOTDATA("XBT4",'binhtrung (2016)'!$A$3,"MA_HT","SKN","MA_QH","TSC")</f>
        <v>0</v>
      </c>
      <c r="AT24" s="22">
        <f ca="1">+GETPIVOTDATA("XBT4",'binhtrung (2016)'!$A$3,"MA_HT","SKN","MA_QH","DTS")</f>
        <v>0</v>
      </c>
      <c r="AU24" s="22">
        <f ca="1">+GETPIVOTDATA("XBT4",'binhtrung (2016)'!$A$3,"MA_HT","SKN","MA_QH","DNG")</f>
        <v>0</v>
      </c>
      <c r="AV24" s="22">
        <f ca="1">+GETPIVOTDATA("XBT4",'binhtrung (2016)'!$A$3,"MA_HT","SKN","MA_QH","TON")</f>
        <v>0</v>
      </c>
      <c r="AW24" s="22">
        <f ca="1">+GETPIVOTDATA("XBT4",'binhtrung (2016)'!$A$3,"MA_HT","SKN","MA_QH","NTD")</f>
        <v>0</v>
      </c>
      <c r="AX24" s="22">
        <f ca="1">+GETPIVOTDATA("XBT4",'binhtrung (2016)'!$A$3,"MA_HT","SKN","MA_QH","SKX")</f>
        <v>0</v>
      </c>
      <c r="AY24" s="22">
        <f ca="1">+GETPIVOTDATA("XBT4",'binhtrung (2016)'!$A$3,"MA_HT","SKN","MA_QH","DSH")</f>
        <v>0</v>
      </c>
      <c r="AZ24" s="22">
        <f ca="1">+GETPIVOTDATA("XBT4",'binhtrung (2016)'!$A$3,"MA_HT","SKN","MA_QH","DKV")</f>
        <v>0</v>
      </c>
      <c r="BA24" s="89">
        <f ca="1">+GETPIVOTDATA("XBT4",'binhtrung (2016)'!$A$3,"MA_HT","SKN","MA_QH","TIN")</f>
        <v>0</v>
      </c>
      <c r="BB24" s="50">
        <f ca="1">+GETPIVOTDATA("XBT4",'binhtrung (2016)'!$A$3,"MA_HT","SKN","MA_QH","SON")</f>
        <v>0</v>
      </c>
      <c r="BC24" s="50">
        <f ca="1">+GETPIVOTDATA("XBT4",'binhtrung (2016)'!$A$3,"MA_HT","SKN","MA_QH","MNC")</f>
        <v>0</v>
      </c>
      <c r="BD24" s="22">
        <f ca="1">+GETPIVOTDATA("XBT4",'binhtrung (2016)'!$A$3,"MA_HT","SKN","MA_QH","PNK")</f>
        <v>0</v>
      </c>
      <c r="BE24" s="71">
        <f ca="1">+GETPIVOTDATA("XBT4",'binhtrung (2016)'!$A$3,"MA_HT","SKN","MA_QH","CSD")</f>
        <v>0</v>
      </c>
      <c r="BF24" s="74">
        <f ca="1" t="shared" si="13"/>
        <v>0</v>
      </c>
      <c r="BG24" s="101">
        <f ca="1">W$59-$BF24</f>
        <v>0</v>
      </c>
      <c r="BH24" s="41" t="e">
        <f ca="1" t="shared" si="14"/>
        <v>#REF!</v>
      </c>
      <c r="BI24" s="98"/>
      <c r="BJ24" s="107"/>
      <c r="BK24" s="107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</row>
    <row r="25" s="2" customFormat="1" ht="15.75" customHeight="1" spans="1:79">
      <c r="A25" s="39" t="s">
        <v>8368</v>
      </c>
      <c r="B25" s="39" t="s">
        <v>8369</v>
      </c>
      <c r="C25" s="40" t="s">
        <v>265</v>
      </c>
      <c r="D25" s="41" t="e">
        <f>+#REF!</f>
        <v>#REF!</v>
      </c>
      <c r="E25" s="42">
        <f ca="1" t="shared" si="15"/>
        <v>0</v>
      </c>
      <c r="F25" s="52">
        <f ca="1" t="shared" si="9"/>
        <v>0</v>
      </c>
      <c r="G25" s="22">
        <f ca="1">+GETPIVOTDATA("XBT4",'binhtrung (2016)'!$A$3,"MA_HT","TMD","MA_QH","LUC")</f>
        <v>0</v>
      </c>
      <c r="H25" s="22">
        <f ca="1">+GETPIVOTDATA("XBT4",'binhtrung (2016)'!$A$3,"MA_HT","TMD","MA_QH","LUK")</f>
        <v>0</v>
      </c>
      <c r="I25" s="22">
        <f ca="1">+GETPIVOTDATA("XBT4",'binhtrung (2016)'!$A$3,"MA_HT","TMD","MA_QH","LUN")</f>
        <v>0</v>
      </c>
      <c r="J25" s="22">
        <f ca="1">+GETPIVOTDATA("XBT4",'binhtrung (2016)'!$A$3,"MA_HT","TMD","MA_QH","HNK")</f>
        <v>0</v>
      </c>
      <c r="K25" s="22">
        <f ca="1">+GETPIVOTDATA("XBT4",'binhtrung (2016)'!$A$3,"MA_HT","TMD","MA_QH","CLN")</f>
        <v>0</v>
      </c>
      <c r="L25" s="22">
        <f ca="1">+GETPIVOTDATA("XBT4",'binhtrung (2016)'!$A$3,"MA_HT","TMD","MA_QH","RSX")</f>
        <v>0</v>
      </c>
      <c r="M25" s="22">
        <f ca="1">+GETPIVOTDATA("XBT4",'binhtrung (2016)'!$A$3,"MA_HT","TMD","MA_QH","RPH")</f>
        <v>0</v>
      </c>
      <c r="N25" s="22">
        <f ca="1">+GETPIVOTDATA("XBT4",'binhtrung (2016)'!$A$3,"MA_HT","TMD","MA_QH","RDD")</f>
        <v>0</v>
      </c>
      <c r="O25" s="22">
        <f ca="1">+GETPIVOTDATA("XBT4",'binhtrung (2016)'!$A$3,"MA_HT","TMD","MA_QH","NTS")</f>
        <v>0</v>
      </c>
      <c r="P25" s="22">
        <f ca="1">+GETPIVOTDATA("XBT4",'binhtrung (2016)'!$A$3,"MA_HT","TMD","MA_QH","LMU")</f>
        <v>0</v>
      </c>
      <c r="Q25" s="22">
        <f ca="1">+GETPIVOTDATA("XBT4",'binhtrung (2016)'!$A$3,"MA_HT","TMD","MA_QH","NKH")</f>
        <v>0</v>
      </c>
      <c r="R25" s="42">
        <f ca="1">SUM(S25:W25,Y25:AA25,AN25:BD25)</f>
        <v>0</v>
      </c>
      <c r="S25" s="22">
        <f ca="1">+GETPIVOTDATA("XBT4",'binhtrung (2016)'!$A$3,"MA_HT","TMD","MA_QH","CQP")</f>
        <v>0</v>
      </c>
      <c r="T25" s="22">
        <f ca="1">+GETPIVOTDATA("XBT4",'binhtrung (2016)'!$A$3,"MA_HT","TMD","MA_QH","CAN")</f>
        <v>0</v>
      </c>
      <c r="U25" s="22">
        <f ca="1">+GETPIVOTDATA("XBT4",'binhtrung (2016)'!$A$3,"MA_HT","TMD","MA_QH","SKK")</f>
        <v>0</v>
      </c>
      <c r="V25" s="22">
        <f ca="1">+GETPIVOTDATA("XBT4",'binhtrung (2016)'!$A$3,"MA_HT","TMD","MA_QH","SKT")</f>
        <v>0</v>
      </c>
      <c r="W25" s="22">
        <f ca="1">+GETPIVOTDATA("XBT4",'binhtrung (2016)'!$A$3,"MA_HT","TMD","MA_QH","SKN")</f>
        <v>0</v>
      </c>
      <c r="X25" s="43" t="e">
        <f ca="1">$D25-$BF25</f>
        <v>#REF!</v>
      </c>
      <c r="Y25" s="22">
        <f ca="1">+GETPIVOTDATA("XBT4",'binhtrung (2016)'!$A$3,"MA_HT","TMD","MA_QH","SKC")</f>
        <v>0</v>
      </c>
      <c r="Z25" s="22">
        <f ca="1">+GETPIVOTDATA("XBT4",'binhtrung (2016)'!$A$3,"MA_HT","TMD","MA_QH","SKS")</f>
        <v>0</v>
      </c>
      <c r="AA25" s="52">
        <f ca="1" t="shared" si="12"/>
        <v>0</v>
      </c>
      <c r="AB25" s="22">
        <f ca="1">+GETPIVOTDATA("XBT4",'binhtrung (2016)'!$A$3,"MA_HT","TMD","MA_QH","DGT")</f>
        <v>0</v>
      </c>
      <c r="AC25" s="22">
        <f ca="1">+GETPIVOTDATA("XBT4",'binhtrung (2016)'!$A$3,"MA_HT","TMD","MA_QH","DTL")</f>
        <v>0</v>
      </c>
      <c r="AD25" s="22">
        <f ca="1">+GETPIVOTDATA("XBT4",'binhtrung (2016)'!$A$3,"MA_HT","TMD","MA_QH","DNL")</f>
        <v>0</v>
      </c>
      <c r="AE25" s="22">
        <f ca="1">+GETPIVOTDATA("XBT4",'binhtrung (2016)'!$A$3,"MA_HT","TMD","MA_QH","DBV")</f>
        <v>0</v>
      </c>
      <c r="AF25" s="22">
        <f ca="1">+GETPIVOTDATA("XBT4",'binhtrung (2016)'!$A$3,"MA_HT","TMD","MA_QH","DVH")</f>
        <v>0</v>
      </c>
      <c r="AG25" s="22">
        <f ca="1">+GETPIVOTDATA("XBT4",'binhtrung (2016)'!$A$3,"MA_HT","TMD","MA_QH","DYT")</f>
        <v>0</v>
      </c>
      <c r="AH25" s="22">
        <f ca="1">+GETPIVOTDATA("XBT4",'binhtrung (2016)'!$A$3,"MA_HT","TMD","MA_QH","DGD")</f>
        <v>0</v>
      </c>
      <c r="AI25" s="22">
        <f ca="1">+GETPIVOTDATA("XBT4",'binhtrung (2016)'!$A$3,"MA_HT","TMD","MA_QH","DTT")</f>
        <v>0</v>
      </c>
      <c r="AJ25" s="22">
        <f ca="1">+GETPIVOTDATA("XBT4",'binhtrung (2016)'!$A$3,"MA_HT","TMD","MA_QH","NCK")</f>
        <v>0</v>
      </c>
      <c r="AK25" s="22">
        <f ca="1">+GETPIVOTDATA("XBT4",'binhtrung (2016)'!$A$3,"MA_HT","TMD","MA_QH","DXH")</f>
        <v>0</v>
      </c>
      <c r="AL25" s="22">
        <f ca="1">+GETPIVOTDATA("XBT4",'binhtrung (2016)'!$A$3,"MA_HT","TMD","MA_QH","DCH")</f>
        <v>0</v>
      </c>
      <c r="AM25" s="22">
        <f ca="1">+GETPIVOTDATA("XBT4",'binhtrung (2016)'!$A$3,"MA_HT","TMD","MA_QH","DKG")</f>
        <v>0</v>
      </c>
      <c r="AN25" s="22">
        <f ca="1">+GETPIVOTDATA("XBT4",'binhtrung (2016)'!$A$3,"MA_HT","TMD","MA_QH","DDT")</f>
        <v>0</v>
      </c>
      <c r="AO25" s="22">
        <f ca="1">+GETPIVOTDATA("XBT4",'binhtrung (2016)'!$A$3,"MA_HT","TMD","MA_QH","DDL")</f>
        <v>0</v>
      </c>
      <c r="AP25" s="22">
        <f ca="1">+GETPIVOTDATA("XBT4",'binhtrung (2016)'!$A$3,"MA_HT","TMD","MA_QH","DRA")</f>
        <v>0</v>
      </c>
      <c r="AQ25" s="22">
        <f ca="1">+GETPIVOTDATA("XBT4",'binhtrung (2016)'!$A$3,"MA_HT","TMD","MA_QH","ONT")</f>
        <v>0</v>
      </c>
      <c r="AR25" s="22">
        <f ca="1">+GETPIVOTDATA("XBT4",'binhtrung (2016)'!$A$3,"MA_HT","TMD","MA_QH","ODT")</f>
        <v>0</v>
      </c>
      <c r="AS25" s="22">
        <f ca="1">+GETPIVOTDATA("XBT4",'binhtrung (2016)'!$A$3,"MA_HT","TMD","MA_QH","TSC")</f>
        <v>0</v>
      </c>
      <c r="AT25" s="22">
        <f ca="1">+GETPIVOTDATA("XBT4",'binhtrung (2016)'!$A$3,"MA_HT","TMD","MA_QH","DTS")</f>
        <v>0</v>
      </c>
      <c r="AU25" s="22">
        <f ca="1">+GETPIVOTDATA("XBT4",'binhtrung (2016)'!$A$3,"MA_HT","TMD","MA_QH","DNG")</f>
        <v>0</v>
      </c>
      <c r="AV25" s="22">
        <f ca="1">+GETPIVOTDATA("XBT4",'binhtrung (2016)'!$A$3,"MA_HT","TMD","MA_QH","TON")</f>
        <v>0</v>
      </c>
      <c r="AW25" s="22">
        <f ca="1">+GETPIVOTDATA("XBT4",'binhtrung (2016)'!$A$3,"MA_HT","TMD","MA_QH","NTD")</f>
        <v>0</v>
      </c>
      <c r="AX25" s="22">
        <f ca="1">+GETPIVOTDATA("XBT4",'binhtrung (2016)'!$A$3,"MA_HT","TMD","MA_QH","SKX")</f>
        <v>0</v>
      </c>
      <c r="AY25" s="22">
        <f ca="1">+GETPIVOTDATA("XBT4",'binhtrung (2016)'!$A$3,"MA_HT","TMD","MA_QH","DSH")</f>
        <v>0</v>
      </c>
      <c r="AZ25" s="22">
        <f ca="1">+GETPIVOTDATA("XBT4",'binhtrung (2016)'!$A$3,"MA_HT","TMD","MA_QH","DKV")</f>
        <v>0</v>
      </c>
      <c r="BA25" s="89">
        <f ca="1">+GETPIVOTDATA("XBT4",'binhtrung (2016)'!$A$3,"MA_HT","TMD","MA_QH","TIN")</f>
        <v>0</v>
      </c>
      <c r="BB25" s="50">
        <f ca="1">+GETPIVOTDATA("XBT4",'binhtrung (2016)'!$A$3,"MA_HT","TMD","MA_QH","SON")</f>
        <v>0</v>
      </c>
      <c r="BC25" s="50">
        <f ca="1">+GETPIVOTDATA("XBT4",'binhtrung (2016)'!$A$3,"MA_HT","TMD","MA_QH","MNC")</f>
        <v>0</v>
      </c>
      <c r="BD25" s="22">
        <f ca="1">+GETPIVOTDATA("XBT4",'binhtrung (2016)'!$A$3,"MA_HT","TMD","MA_QH","PNK")</f>
        <v>0</v>
      </c>
      <c r="BE25" s="71">
        <f ca="1">+GETPIVOTDATA("XBT4",'binhtrung (2016)'!$A$3,"MA_HT","TMD","MA_QH","CSD")</f>
        <v>0</v>
      </c>
      <c r="BF25" s="74">
        <f ca="1" t="shared" si="13"/>
        <v>0</v>
      </c>
      <c r="BG25" s="101">
        <f ca="1">X$59-$BF25</f>
        <v>0</v>
      </c>
      <c r="BH25" s="41" t="e">
        <f ca="1" t="shared" si="14"/>
        <v>#REF!</v>
      </c>
      <c r="BI25" s="98"/>
      <c r="BJ25" s="107" t="e">
        <f>#REF!</f>
        <v>#REF!</v>
      </c>
      <c r="BK25" s="107" t="e">
        <f ca="1">BH25-BJ25</f>
        <v>#REF!</v>
      </c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</row>
    <row r="26" s="2" customFormat="1" ht="15.75" customHeight="1" spans="1:79">
      <c r="A26" s="39" t="s">
        <v>8370</v>
      </c>
      <c r="B26" s="39" t="s">
        <v>8371</v>
      </c>
      <c r="C26" s="40" t="s">
        <v>204</v>
      </c>
      <c r="D26" s="41" t="e">
        <f>+#REF!</f>
        <v>#REF!</v>
      </c>
      <c r="E26" s="42">
        <f ca="1" t="shared" si="15"/>
        <v>0</v>
      </c>
      <c r="F26" s="52">
        <f ca="1" t="shared" si="9"/>
        <v>0</v>
      </c>
      <c r="G26" s="22">
        <f ca="1">+GETPIVOTDATA("XBT4",'binhtrung (2016)'!$A$3,"MA_HT","SKC","MA_QH","LUC")</f>
        <v>0</v>
      </c>
      <c r="H26" s="22">
        <f ca="1">+GETPIVOTDATA("XBT4",'binhtrung (2016)'!$A$3,"MA_HT","SKC","MA_QH","LUK")</f>
        <v>0</v>
      </c>
      <c r="I26" s="22">
        <f ca="1">+GETPIVOTDATA("XBT4",'binhtrung (2016)'!$A$3,"MA_HT","SKC","MA_QH","LUN")</f>
        <v>0</v>
      </c>
      <c r="J26" s="22">
        <f ca="1">+GETPIVOTDATA("XBT4",'binhtrung (2016)'!$A$3,"MA_HT","SKC","MA_QH","HNK")</f>
        <v>0</v>
      </c>
      <c r="K26" s="22">
        <f ca="1">+GETPIVOTDATA("XBT4",'binhtrung (2016)'!$A$3,"MA_HT","SKC","MA_QH","CLN")</f>
        <v>0</v>
      </c>
      <c r="L26" s="22">
        <f ca="1">+GETPIVOTDATA("XBT4",'binhtrung (2016)'!$A$3,"MA_HT","SKC","MA_QH","RSX")</f>
        <v>0</v>
      </c>
      <c r="M26" s="22">
        <f ca="1">+GETPIVOTDATA("XBT4",'binhtrung (2016)'!$A$3,"MA_HT","SKC","MA_QH","RPH")</f>
        <v>0</v>
      </c>
      <c r="N26" s="22">
        <f ca="1">+GETPIVOTDATA("XBT4",'binhtrung (2016)'!$A$3,"MA_HT","SKC","MA_QH","RDD")</f>
        <v>0</v>
      </c>
      <c r="O26" s="22">
        <f ca="1">+GETPIVOTDATA("XBT4",'binhtrung (2016)'!$A$3,"MA_HT","SKC","MA_QH","NTS")</f>
        <v>0</v>
      </c>
      <c r="P26" s="22">
        <f ca="1">+GETPIVOTDATA("XBT4",'binhtrung (2016)'!$A$3,"MA_HT","SKC","MA_QH","LMU")</f>
        <v>0</v>
      </c>
      <c r="Q26" s="22">
        <f ca="1">+GETPIVOTDATA("XBT4",'binhtrung (2016)'!$A$3,"MA_HT","SKC","MA_QH","NKH")</f>
        <v>0</v>
      </c>
      <c r="R26" s="42">
        <f ca="1">SUM(S26:X26,Z26,AN26:BD26)</f>
        <v>0</v>
      </c>
      <c r="S26" s="22">
        <f ca="1">+GETPIVOTDATA("XBT4",'binhtrung (2016)'!$A$3,"MA_HT","SKC","MA_QH","CQP")</f>
        <v>0</v>
      </c>
      <c r="T26" s="22">
        <f ca="1">+GETPIVOTDATA("XBT4",'binhtrung (2016)'!$A$3,"MA_HT","SKC","MA_QH","CAN")</f>
        <v>0</v>
      </c>
      <c r="U26" s="22">
        <f ca="1">+GETPIVOTDATA("XBT4",'binhtrung (2016)'!$A$3,"MA_HT","SKC","MA_QH","SKK")</f>
        <v>0</v>
      </c>
      <c r="V26" s="22">
        <f ca="1">+GETPIVOTDATA("XBT4",'binhtrung (2016)'!$A$3,"MA_HT","SKC","MA_QH","SKT")</f>
        <v>0</v>
      </c>
      <c r="W26" s="22">
        <f ca="1">+GETPIVOTDATA("XBT4",'binhtrung (2016)'!$A$3,"MA_HT","SKC","MA_QH","SKN")</f>
        <v>0</v>
      </c>
      <c r="X26" s="22">
        <f ca="1">+GETPIVOTDATA("XBT4",'binhtrung (2016)'!$A$3,"MA_HT","SKC","MA_QH","TMD")</f>
        <v>0</v>
      </c>
      <c r="Y26" s="43" t="e">
        <f ca="1">$D26-$BF26</f>
        <v>#REF!</v>
      </c>
      <c r="Z26" s="22">
        <f ca="1">+GETPIVOTDATA("XBT4",'binhtrung (2016)'!$A$3,"MA_HT","SKC","MA_QH","SKS")</f>
        <v>0</v>
      </c>
      <c r="AA26" s="52">
        <f ca="1" t="shared" si="12"/>
        <v>0</v>
      </c>
      <c r="AB26" s="22">
        <f ca="1">+GETPIVOTDATA("XBT4",'binhtrung (2016)'!$A$3,"MA_HT","SKC","MA_QH","DGT")</f>
        <v>0</v>
      </c>
      <c r="AC26" s="22">
        <f ca="1">+GETPIVOTDATA("XBT4",'binhtrung (2016)'!$A$3,"MA_HT","SKC","MA_QH","DTL")</f>
        <v>0</v>
      </c>
      <c r="AD26" s="22">
        <f ca="1">+GETPIVOTDATA("XBT4",'binhtrung (2016)'!$A$3,"MA_HT","SKC","MA_QH","DNL")</f>
        <v>0</v>
      </c>
      <c r="AE26" s="22">
        <f ca="1">+GETPIVOTDATA("XBT4",'binhtrung (2016)'!$A$3,"MA_HT","SKC","MA_QH","DBV")</f>
        <v>0</v>
      </c>
      <c r="AF26" s="22">
        <f ca="1">+GETPIVOTDATA("XBT4",'binhtrung (2016)'!$A$3,"MA_HT","SKC","MA_QH","DVH")</f>
        <v>0</v>
      </c>
      <c r="AG26" s="22">
        <f ca="1">+GETPIVOTDATA("XBT4",'binhtrung (2016)'!$A$3,"MA_HT","SKC","MA_QH","DYT")</f>
        <v>0</v>
      </c>
      <c r="AH26" s="22">
        <f ca="1">+GETPIVOTDATA("XBT4",'binhtrung (2016)'!$A$3,"MA_HT","SKC","MA_QH","DGD")</f>
        <v>0</v>
      </c>
      <c r="AI26" s="22">
        <f ca="1">+GETPIVOTDATA("XBT4",'binhtrung (2016)'!$A$3,"MA_HT","SKC","MA_QH","DTT")</f>
        <v>0</v>
      </c>
      <c r="AJ26" s="22">
        <f ca="1">+GETPIVOTDATA("XBT4",'binhtrung (2016)'!$A$3,"MA_HT","SKC","MA_QH","NCK")</f>
        <v>0</v>
      </c>
      <c r="AK26" s="22">
        <f ca="1">+GETPIVOTDATA("XBT4",'binhtrung (2016)'!$A$3,"MA_HT","SKC","MA_QH","DXH")</f>
        <v>0</v>
      </c>
      <c r="AL26" s="22">
        <f ca="1">+GETPIVOTDATA("XBT4",'binhtrung (2016)'!$A$3,"MA_HT","SKC","MA_QH","DCH")</f>
        <v>0</v>
      </c>
      <c r="AM26" s="22">
        <f ca="1">+GETPIVOTDATA("XBT4",'binhtrung (2016)'!$A$3,"MA_HT","SKC","MA_QH","DKG")</f>
        <v>0</v>
      </c>
      <c r="AN26" s="22">
        <f ca="1">+GETPIVOTDATA("XBT4",'binhtrung (2016)'!$A$3,"MA_HT","SKC","MA_QH","DDT")</f>
        <v>0</v>
      </c>
      <c r="AO26" s="22">
        <f ca="1">+GETPIVOTDATA("XBT4",'binhtrung (2016)'!$A$3,"MA_HT","SKC","MA_QH","DDL")</f>
        <v>0</v>
      </c>
      <c r="AP26" s="22">
        <f ca="1">+GETPIVOTDATA("XBT4",'binhtrung (2016)'!$A$3,"MA_HT","SKC","MA_QH","DRA")</f>
        <v>0</v>
      </c>
      <c r="AQ26" s="22">
        <f ca="1">+GETPIVOTDATA("XBT4",'binhtrung (2016)'!$A$3,"MA_HT","SKC","MA_QH","ONT")</f>
        <v>0</v>
      </c>
      <c r="AR26" s="22">
        <f ca="1">+GETPIVOTDATA("XBT4",'binhtrung (2016)'!$A$3,"MA_HT","SKC","MA_QH","ODT")</f>
        <v>0</v>
      </c>
      <c r="AS26" s="22">
        <f ca="1">+GETPIVOTDATA("XBT4",'binhtrung (2016)'!$A$3,"MA_HT","SKC","MA_QH","TSC")</f>
        <v>0</v>
      </c>
      <c r="AT26" s="22">
        <f ca="1">+GETPIVOTDATA("XBT4",'binhtrung (2016)'!$A$3,"MA_HT","SKC","MA_QH","DTS")</f>
        <v>0</v>
      </c>
      <c r="AU26" s="22">
        <f ca="1">+GETPIVOTDATA("XBT4",'binhtrung (2016)'!$A$3,"MA_HT","SKC","MA_QH","DNG")</f>
        <v>0</v>
      </c>
      <c r="AV26" s="22">
        <f ca="1">+GETPIVOTDATA("XBT4",'binhtrung (2016)'!$A$3,"MA_HT","SKC","MA_QH","TON")</f>
        <v>0</v>
      </c>
      <c r="AW26" s="22">
        <f ca="1">+GETPIVOTDATA("XBT4",'binhtrung (2016)'!$A$3,"MA_HT","SKC","MA_QH","NTD")</f>
        <v>0</v>
      </c>
      <c r="AX26" s="22">
        <f ca="1">+GETPIVOTDATA("XBT4",'binhtrung (2016)'!$A$3,"MA_HT","SKC","MA_QH","SKX")</f>
        <v>0</v>
      </c>
      <c r="AY26" s="22">
        <f ca="1">+GETPIVOTDATA("XBT4",'binhtrung (2016)'!$A$3,"MA_HT","SKC","MA_QH","DSH")</f>
        <v>0</v>
      </c>
      <c r="AZ26" s="22">
        <f ca="1">+GETPIVOTDATA("XBT4",'binhtrung (2016)'!$A$3,"MA_HT","SKC","MA_QH","DKV")</f>
        <v>0</v>
      </c>
      <c r="BA26" s="89">
        <f ca="1">+GETPIVOTDATA("XBT4",'binhtrung (2016)'!$A$3,"MA_HT","SKC","MA_QH","TIN")</f>
        <v>0</v>
      </c>
      <c r="BB26" s="50">
        <f ca="1">+GETPIVOTDATA("XBT4",'binhtrung (2016)'!$A$3,"MA_HT","SKC","MA_QH","SON")</f>
        <v>0</v>
      </c>
      <c r="BC26" s="50">
        <f ca="1">+GETPIVOTDATA("XBT4",'binhtrung (2016)'!$A$3,"MA_HT","SKC","MA_QH","MNC")</f>
        <v>0</v>
      </c>
      <c r="BD26" s="22">
        <f ca="1">+GETPIVOTDATA("XBT4",'binhtrung (2016)'!$A$3,"MA_HT","SKC","MA_QH","PNK")</f>
        <v>0</v>
      </c>
      <c r="BE26" s="71">
        <f ca="1">+GETPIVOTDATA("XBT4",'binhtrung (2016)'!$A$3,"MA_HT","SKC","MA_QH","CSD")</f>
        <v>0</v>
      </c>
      <c r="BF26" s="74">
        <f ca="1" t="shared" si="13"/>
        <v>0</v>
      </c>
      <c r="BG26" s="101">
        <f ca="1">Y$59-$BF26</f>
        <v>0</v>
      </c>
      <c r="BH26" s="41" t="e">
        <f ca="1" t="shared" si="14"/>
        <v>#REF!</v>
      </c>
      <c r="BI26" s="98"/>
      <c r="BJ26" s="107" t="e">
        <f>#REF!</f>
        <v>#REF!</v>
      </c>
      <c r="BK26" s="107" t="e">
        <f ca="1">BH26-BJ26</f>
        <v>#REF!</v>
      </c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</row>
    <row r="27" s="2" customFormat="1" ht="15.75" customHeight="1" spans="1:79">
      <c r="A27" s="39" t="s">
        <v>8372</v>
      </c>
      <c r="B27" s="53" t="s">
        <v>8373</v>
      </c>
      <c r="C27" s="40" t="s">
        <v>174</v>
      </c>
      <c r="D27" s="41" t="e">
        <f>+#REF!</f>
        <v>#REF!</v>
      </c>
      <c r="E27" s="42">
        <f ca="1" t="shared" si="15"/>
        <v>0</v>
      </c>
      <c r="F27" s="52">
        <f ca="1" t="shared" si="9"/>
        <v>0</v>
      </c>
      <c r="G27" s="22">
        <f ca="1">+GETPIVOTDATA("XBT4",'binhtrung (2016)'!$A$3,"MA_HT","SKS","MA_QH","LUC")</f>
        <v>0</v>
      </c>
      <c r="H27" s="22">
        <f ca="1">+GETPIVOTDATA("XBT4",'binhtrung (2016)'!$A$3,"MA_HT","SKS","MA_QH","LUK")</f>
        <v>0</v>
      </c>
      <c r="I27" s="22">
        <f ca="1">+GETPIVOTDATA("XBT4",'binhtrung (2016)'!$A$3,"MA_HT","SKS","MA_QH","LUN")</f>
        <v>0</v>
      </c>
      <c r="J27" s="22">
        <f ca="1">+GETPIVOTDATA("XBT4",'binhtrung (2016)'!$A$3,"MA_HT","SKS","MA_QH","HNK")</f>
        <v>0</v>
      </c>
      <c r="K27" s="22">
        <f ca="1">+GETPIVOTDATA("XBT4",'binhtrung (2016)'!$A$3,"MA_HT","SKS","MA_QH","CLN")</f>
        <v>0</v>
      </c>
      <c r="L27" s="22">
        <f ca="1">+GETPIVOTDATA("XBT4",'binhtrung (2016)'!$A$3,"MA_HT","SKS","MA_QH","RSX")</f>
        <v>0</v>
      </c>
      <c r="M27" s="22">
        <f ca="1">+GETPIVOTDATA("XBT4",'binhtrung (2016)'!$A$3,"MA_HT","SKS","MA_QH","RPH")</f>
        <v>0</v>
      </c>
      <c r="N27" s="22">
        <f ca="1">+GETPIVOTDATA("XBT4",'binhtrung (2016)'!$A$3,"MA_HT","SKS","MA_QH","RDD")</f>
        <v>0</v>
      </c>
      <c r="O27" s="22">
        <f ca="1">+GETPIVOTDATA("XBT4",'binhtrung (2016)'!$A$3,"MA_HT","SKS","MA_QH","NTS")</f>
        <v>0</v>
      </c>
      <c r="P27" s="22">
        <f ca="1">+GETPIVOTDATA("XBT4",'binhtrung (2016)'!$A$3,"MA_HT","SKS","MA_QH","LMU")</f>
        <v>0</v>
      </c>
      <c r="Q27" s="22">
        <f ca="1">+GETPIVOTDATA("XBT4",'binhtrung (2016)'!$A$3,"MA_HT","SKS","MA_QH","NKH")</f>
        <v>0</v>
      </c>
      <c r="R27" s="42">
        <f ca="1">SUM(S27:Y27,AA27,AN27:BD27)</f>
        <v>0</v>
      </c>
      <c r="S27" s="22">
        <f ca="1">+GETPIVOTDATA("XBT4",'binhtrung (2016)'!$A$3,"MA_HT","SKS","MA_QH","CQP")</f>
        <v>0</v>
      </c>
      <c r="T27" s="22">
        <f ca="1">+GETPIVOTDATA("XBT4",'binhtrung (2016)'!$A$3,"MA_HT","SKS","MA_QH","CAN")</f>
        <v>0</v>
      </c>
      <c r="U27" s="22">
        <f ca="1">+GETPIVOTDATA("XBT4",'binhtrung (2016)'!$A$3,"MA_HT","SKS","MA_QH","SKK")</f>
        <v>0</v>
      </c>
      <c r="V27" s="22">
        <f ca="1">+GETPIVOTDATA("XBT4",'binhtrung (2016)'!$A$3,"MA_HT","SKS","MA_QH","SKT")</f>
        <v>0</v>
      </c>
      <c r="W27" s="22">
        <f ca="1">+GETPIVOTDATA("XBT4",'binhtrung (2016)'!$A$3,"MA_HT","SKS","MA_QH","SKN")</f>
        <v>0</v>
      </c>
      <c r="X27" s="22">
        <f ca="1">+GETPIVOTDATA("XBT4",'binhtrung (2016)'!$A$3,"MA_HT","SKS","MA_QH","TMD")</f>
        <v>0</v>
      </c>
      <c r="Y27" s="22">
        <f ca="1">+GETPIVOTDATA("XBT4",'binhtrung (2016)'!$A$3,"MA_HT","SKS","MA_QH","SKC")</f>
        <v>0</v>
      </c>
      <c r="Z27" s="43" t="e">
        <f ca="1">$D27-$BF27</f>
        <v>#REF!</v>
      </c>
      <c r="AA27" s="52">
        <f ca="1" t="shared" si="12"/>
        <v>0</v>
      </c>
      <c r="AB27" s="22">
        <f ca="1">+GETPIVOTDATA("XBT4",'binhtrung (2016)'!$A$3,"MA_HT","SKS","MA_QH","DGT")</f>
        <v>0</v>
      </c>
      <c r="AC27" s="22">
        <f ca="1">+GETPIVOTDATA("XBT4",'binhtrung (2016)'!$A$3,"MA_HT","SKS","MA_QH","DTL")</f>
        <v>0</v>
      </c>
      <c r="AD27" s="22">
        <f ca="1">+GETPIVOTDATA("XBT4",'binhtrung (2016)'!$A$3,"MA_HT","SKS","MA_QH","DNL")</f>
        <v>0</v>
      </c>
      <c r="AE27" s="22">
        <f ca="1">+GETPIVOTDATA("XBT4",'binhtrung (2016)'!$A$3,"MA_HT","SKS","MA_QH","DBV")</f>
        <v>0</v>
      </c>
      <c r="AF27" s="22">
        <f ca="1">+GETPIVOTDATA("XBT4",'binhtrung (2016)'!$A$3,"MA_HT","SKS","MA_QH","DVH")</f>
        <v>0</v>
      </c>
      <c r="AG27" s="22">
        <f ca="1">+GETPIVOTDATA("XBT4",'binhtrung (2016)'!$A$3,"MA_HT","SKS","MA_QH","DYT")</f>
        <v>0</v>
      </c>
      <c r="AH27" s="22">
        <f ca="1">+GETPIVOTDATA("XBT4",'binhtrung (2016)'!$A$3,"MA_HT","SKS","MA_QH","DGD")</f>
        <v>0</v>
      </c>
      <c r="AI27" s="22">
        <f ca="1">+GETPIVOTDATA("XBT4",'binhtrung (2016)'!$A$3,"MA_HT","SKS","MA_QH","DTT")</f>
        <v>0</v>
      </c>
      <c r="AJ27" s="22">
        <f ca="1">+GETPIVOTDATA("XBT4",'binhtrung (2016)'!$A$3,"MA_HT","SKS","MA_QH","NCK")</f>
        <v>0</v>
      </c>
      <c r="AK27" s="22">
        <f ca="1">+GETPIVOTDATA("XBT4",'binhtrung (2016)'!$A$3,"MA_HT","SKS","MA_QH","DXH")</f>
        <v>0</v>
      </c>
      <c r="AL27" s="22">
        <f ca="1">+GETPIVOTDATA("XBT4",'binhtrung (2016)'!$A$3,"MA_HT","SKS","MA_QH","DCH")</f>
        <v>0</v>
      </c>
      <c r="AM27" s="22">
        <f ca="1">+GETPIVOTDATA("XBT4",'binhtrung (2016)'!$A$3,"MA_HT","SKS","MA_QH","DKG")</f>
        <v>0</v>
      </c>
      <c r="AN27" s="22">
        <f ca="1">+GETPIVOTDATA("XBT4",'binhtrung (2016)'!$A$3,"MA_HT","SKS","MA_QH","DDT")</f>
        <v>0</v>
      </c>
      <c r="AO27" s="22">
        <f ca="1">+GETPIVOTDATA("XBT4",'binhtrung (2016)'!$A$3,"MA_HT","SKS","MA_QH","DDL")</f>
        <v>0</v>
      </c>
      <c r="AP27" s="22">
        <f ca="1">+GETPIVOTDATA("XBT4",'binhtrung (2016)'!$A$3,"MA_HT","SKS","MA_QH","DRA")</f>
        <v>0</v>
      </c>
      <c r="AQ27" s="22">
        <f ca="1">+GETPIVOTDATA("XBT4",'binhtrung (2016)'!$A$3,"MA_HT","SKS","MA_QH","ONT")</f>
        <v>0</v>
      </c>
      <c r="AR27" s="22">
        <f ca="1">+GETPIVOTDATA("XBT4",'binhtrung (2016)'!$A$3,"MA_HT","SKS","MA_QH","ODT")</f>
        <v>0</v>
      </c>
      <c r="AS27" s="22">
        <f ca="1">+GETPIVOTDATA("XBT4",'binhtrung (2016)'!$A$3,"MA_HT","SKS","MA_QH","TSC")</f>
        <v>0</v>
      </c>
      <c r="AT27" s="22">
        <f ca="1">+GETPIVOTDATA("XBT4",'binhtrung (2016)'!$A$3,"MA_HT","SKS","MA_QH","DTS")</f>
        <v>0</v>
      </c>
      <c r="AU27" s="22">
        <f ca="1">+GETPIVOTDATA("XBT4",'binhtrung (2016)'!$A$3,"MA_HT","SKS","MA_QH","DNG")</f>
        <v>0</v>
      </c>
      <c r="AV27" s="22">
        <f ca="1">+GETPIVOTDATA("XBT4",'binhtrung (2016)'!$A$3,"MA_HT","SKS","MA_QH","TON")</f>
        <v>0</v>
      </c>
      <c r="AW27" s="22">
        <f ca="1">+GETPIVOTDATA("XBT4",'binhtrung (2016)'!$A$3,"MA_HT","SKS","MA_QH","NTD")</f>
        <v>0</v>
      </c>
      <c r="AX27" s="22">
        <f ca="1">+GETPIVOTDATA("XBT4",'binhtrung (2016)'!$A$3,"MA_HT","SKS","MA_QH","SKX")</f>
        <v>0</v>
      </c>
      <c r="AY27" s="22">
        <f ca="1">+GETPIVOTDATA("XBT4",'binhtrung (2016)'!$A$3,"MA_HT","SKS","MA_QH","DSH")</f>
        <v>0</v>
      </c>
      <c r="AZ27" s="22">
        <f ca="1">+GETPIVOTDATA("XBT4",'binhtrung (2016)'!$A$3,"MA_HT","SKS","MA_QH","DKV")</f>
        <v>0</v>
      </c>
      <c r="BA27" s="89">
        <f ca="1">+GETPIVOTDATA("XBT4",'binhtrung (2016)'!$A$3,"MA_HT","SKS","MA_QH","TIN")</f>
        <v>0</v>
      </c>
      <c r="BB27" s="50">
        <f ca="1">+GETPIVOTDATA("XBT4",'binhtrung (2016)'!$A$3,"MA_HT","SKS","MA_QH","SON")</f>
        <v>0</v>
      </c>
      <c r="BC27" s="50">
        <f ca="1">+GETPIVOTDATA("XBT4",'binhtrung (2016)'!$A$3,"MA_HT","SKS","MA_QH","MNC")</f>
        <v>0</v>
      </c>
      <c r="BD27" s="22">
        <f ca="1">+GETPIVOTDATA("XBT4",'binhtrung (2016)'!$A$3,"MA_HT","SKS","MA_QH","PNK")</f>
        <v>0</v>
      </c>
      <c r="BE27" s="71">
        <f ca="1">+GETPIVOTDATA("XBT4",'binhtrung (2016)'!$A$3,"MA_HT","SKS","MA_QH","CSD")</f>
        <v>0</v>
      </c>
      <c r="BF27" s="74">
        <f ca="1" t="shared" si="13"/>
        <v>0</v>
      </c>
      <c r="BG27" s="101">
        <f ca="1">Z$59-$BF27</f>
        <v>0</v>
      </c>
      <c r="BH27" s="41" t="e">
        <f ca="1" t="shared" si="14"/>
        <v>#REF!</v>
      </c>
      <c r="BI27" s="98"/>
      <c r="BJ27" s="107" t="e">
        <f>#REF!</f>
        <v>#REF!</v>
      </c>
      <c r="BK27" s="107" t="e">
        <f ca="1">BH27-BJ27</f>
        <v>#REF!</v>
      </c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</row>
    <row r="28" s="2" customFormat="1" ht="15.75" customHeight="1" spans="1:79">
      <c r="A28" s="39" t="s">
        <v>8374</v>
      </c>
      <c r="B28" s="53" t="s">
        <v>8375</v>
      </c>
      <c r="C28" s="40" t="s">
        <v>8288</v>
      </c>
      <c r="D28" s="41" t="e">
        <f>+#REF!</f>
        <v>#REF!</v>
      </c>
      <c r="E28" s="42">
        <f ca="1" t="shared" si="15"/>
        <v>0</v>
      </c>
      <c r="F28" s="52">
        <f ca="1" t="shared" si="9"/>
        <v>0</v>
      </c>
      <c r="G28" s="44">
        <f ca="1">SUM(G29:G39)</f>
        <v>0</v>
      </c>
      <c r="H28" s="44">
        <f ca="1" t="shared" ref="H28:Q28" si="16">SUM(H29:H39)</f>
        <v>0</v>
      </c>
      <c r="I28" s="44">
        <f ca="1" t="shared" si="16"/>
        <v>0</v>
      </c>
      <c r="J28" s="44">
        <f ca="1" t="shared" si="16"/>
        <v>0</v>
      </c>
      <c r="K28" s="44">
        <f ca="1" t="shared" si="16"/>
        <v>0</v>
      </c>
      <c r="L28" s="44">
        <f ca="1" t="shared" si="16"/>
        <v>0</v>
      </c>
      <c r="M28" s="44">
        <f ca="1" t="shared" si="16"/>
        <v>0</v>
      </c>
      <c r="N28" s="44">
        <f ca="1" t="shared" si="16"/>
        <v>0</v>
      </c>
      <c r="O28" s="44">
        <f ca="1" t="shared" si="16"/>
        <v>0</v>
      </c>
      <c r="P28" s="44">
        <f ca="1" t="shared" si="16"/>
        <v>0</v>
      </c>
      <c r="Q28" s="44">
        <f ca="1" t="shared" si="16"/>
        <v>0</v>
      </c>
      <c r="R28" s="44">
        <f ca="1">SUM(S28:Z28,AN28:BD28)</f>
        <v>0</v>
      </c>
      <c r="S28" s="44">
        <f ca="1">SUM(S29:S39)</f>
        <v>0</v>
      </c>
      <c r="T28" s="44">
        <f ca="1" t="shared" ref="T28:Z28" si="17">SUM(T29:T39)</f>
        <v>0</v>
      </c>
      <c r="U28" s="44">
        <f ca="1" t="shared" si="17"/>
        <v>0</v>
      </c>
      <c r="V28" s="44">
        <f ca="1" t="shared" si="17"/>
        <v>0</v>
      </c>
      <c r="W28" s="44">
        <f ca="1" t="shared" si="17"/>
        <v>0</v>
      </c>
      <c r="X28" s="44">
        <f ca="1" t="shared" si="17"/>
        <v>0</v>
      </c>
      <c r="Y28" s="44">
        <f ca="1" t="shared" si="17"/>
        <v>0</v>
      </c>
      <c r="Z28" s="44">
        <f ca="1" t="shared" si="17"/>
        <v>0</v>
      </c>
      <c r="AA28" s="43" t="e">
        <f ca="1">$D28-$BF28</f>
        <v>#REF!</v>
      </c>
      <c r="AB28" s="44">
        <f ca="1">SUM(AB30:AB39)</f>
        <v>0</v>
      </c>
      <c r="AC28" s="44">
        <f ca="1">SUM(AC29,AC31:AC39)</f>
        <v>0</v>
      </c>
      <c r="AD28" s="44">
        <f ca="1">SUM(AD29:AD30,AD32:AD39)</f>
        <v>0</v>
      </c>
      <c r="AE28" s="44">
        <f ca="1">SUM(AE29:AE31,AE33:AE39)</f>
        <v>0</v>
      </c>
      <c r="AF28" s="44">
        <f ca="1">SUM(AF29:AF32,AF34:AF39)</f>
        <v>0</v>
      </c>
      <c r="AG28" s="44">
        <f ca="1">SUM(AG29:AG33,AG35:AG39)</f>
        <v>0</v>
      </c>
      <c r="AH28" s="44">
        <f ca="1">SUM(AH29:AH34,AH36:AH39)</f>
        <v>0</v>
      </c>
      <c r="AI28" s="44">
        <f ca="1">SUM(AI29:AI35,AI37:AI39)</f>
        <v>0</v>
      </c>
      <c r="AJ28" s="44">
        <f ca="1">SUM(AJ29:AJ36,AJ38:AJ39)</f>
        <v>0</v>
      </c>
      <c r="AK28" s="44">
        <f ca="1">SUM(AK29:AK37,AK39)</f>
        <v>0</v>
      </c>
      <c r="AL28" s="44">
        <f ca="1">SUM(AL29:AL38)</f>
        <v>0</v>
      </c>
      <c r="AM28" s="44">
        <f ca="1">SUM(AM29:AM38)</f>
        <v>0</v>
      </c>
      <c r="AN28" s="44">
        <f ca="1" t="shared" ref="AN28:BE28" si="18">SUM(AN29:AN39)</f>
        <v>0</v>
      </c>
      <c r="AO28" s="44">
        <f ca="1" t="shared" si="18"/>
        <v>0</v>
      </c>
      <c r="AP28" s="44">
        <f ca="1" t="shared" si="18"/>
        <v>0</v>
      </c>
      <c r="AQ28" s="44">
        <f ca="1" t="shared" si="18"/>
        <v>0</v>
      </c>
      <c r="AR28" s="44">
        <f ca="1" t="shared" si="18"/>
        <v>0</v>
      </c>
      <c r="AS28" s="44">
        <f ca="1" t="shared" si="18"/>
        <v>0</v>
      </c>
      <c r="AT28" s="44">
        <f ca="1" t="shared" si="18"/>
        <v>0</v>
      </c>
      <c r="AU28" s="44">
        <f ca="1" t="shared" si="18"/>
        <v>0</v>
      </c>
      <c r="AV28" s="44">
        <f ca="1" t="shared" si="18"/>
        <v>0</v>
      </c>
      <c r="AW28" s="44">
        <f ca="1" t="shared" si="18"/>
        <v>0</v>
      </c>
      <c r="AX28" s="44">
        <f ca="1" t="shared" si="18"/>
        <v>0</v>
      </c>
      <c r="AY28" s="44">
        <f ca="1" t="shared" si="18"/>
        <v>0</v>
      </c>
      <c r="AZ28" s="44">
        <f ca="1" t="shared" si="18"/>
        <v>0</v>
      </c>
      <c r="BA28" s="44">
        <f ca="1" t="shared" si="18"/>
        <v>0</v>
      </c>
      <c r="BB28" s="44">
        <f ca="1" t="shared" si="18"/>
        <v>0</v>
      </c>
      <c r="BC28" s="44">
        <f ca="1" t="shared" si="18"/>
        <v>0</v>
      </c>
      <c r="BD28" s="44">
        <f ca="1" t="shared" si="18"/>
        <v>0</v>
      </c>
      <c r="BE28" s="44">
        <f ca="1" t="shared" si="18"/>
        <v>0</v>
      </c>
      <c r="BF28" s="74">
        <f ca="1" t="shared" si="13"/>
        <v>0</v>
      </c>
      <c r="BG28" s="101">
        <f ca="1">AA$59-$BF28</f>
        <v>0</v>
      </c>
      <c r="BH28" s="41" t="e">
        <f ca="1" t="shared" si="14"/>
        <v>#REF!</v>
      </c>
      <c r="BI28" s="98"/>
      <c r="BJ28" s="107"/>
      <c r="BK28" s="107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</row>
    <row r="29" s="4" customFormat="1" ht="16.5" customHeight="1" spans="1:79">
      <c r="A29" s="45" t="s">
        <v>8376</v>
      </c>
      <c r="B29" s="45" t="s">
        <v>8377</v>
      </c>
      <c r="C29" s="46" t="s">
        <v>94</v>
      </c>
      <c r="D29" s="47" t="e">
        <f>+#REF!</f>
        <v>#REF!</v>
      </c>
      <c r="E29" s="42">
        <f ca="1" t="shared" si="15"/>
        <v>0</v>
      </c>
      <c r="F29" s="52">
        <f ca="1" t="shared" si="9"/>
        <v>0</v>
      </c>
      <c r="G29" s="50">
        <f ca="1">+GETPIVOTDATA("XBT4",'binhtrung (2016)'!$A$3,"MA_HT","DGT","MA_QH","LUC")</f>
        <v>0</v>
      </c>
      <c r="H29" s="50">
        <f ca="1">+GETPIVOTDATA("XBT4",'binhtrung (2016)'!$A$3,"MA_HT","DGT","MA_QH","LUK")</f>
        <v>0</v>
      </c>
      <c r="I29" s="50">
        <f ca="1">+GETPIVOTDATA("XBT4",'binhtrung (2016)'!$A$3,"MA_HT","DGT","MA_QH","LUN")</f>
        <v>0</v>
      </c>
      <c r="J29" s="50">
        <f ca="1">+GETPIVOTDATA("XBT4",'binhtrung (2016)'!$A$3,"MA_HT","DGT","MA_QH","HNK")</f>
        <v>0</v>
      </c>
      <c r="K29" s="50">
        <f ca="1">+GETPIVOTDATA("XBT4",'binhtrung (2016)'!$A$3,"MA_HT","DGT","MA_QH","CLN")</f>
        <v>0</v>
      </c>
      <c r="L29" s="50">
        <f ca="1">+GETPIVOTDATA("XBT4",'binhtrung (2016)'!$A$3,"MA_HT","DGT","MA_QH","RSX")</f>
        <v>0</v>
      </c>
      <c r="M29" s="50">
        <f ca="1">+GETPIVOTDATA("XBT4",'binhtrung (2016)'!$A$3,"MA_HT","DGT","MA_QH","RPH")</f>
        <v>0</v>
      </c>
      <c r="N29" s="50">
        <f ca="1">+GETPIVOTDATA("XBT4",'binhtrung (2016)'!$A$3,"MA_HT","DGT","MA_QH","RDD")</f>
        <v>0</v>
      </c>
      <c r="O29" s="50">
        <f ca="1">+GETPIVOTDATA("XBT4",'binhtrung (2016)'!$A$3,"MA_HT","DGT","MA_QH","NTS")</f>
        <v>0</v>
      </c>
      <c r="P29" s="50">
        <f ca="1">+GETPIVOTDATA("XBT4",'binhtrung (2016)'!$A$3,"MA_HT","DGT","MA_QH","LMU")</f>
        <v>0</v>
      </c>
      <c r="Q29" s="50">
        <f ca="1">+GETPIVOTDATA("XBT4",'binhtrung (2016)'!$A$3,"MA_HT","DGT","MA_QH","NKH")</f>
        <v>0</v>
      </c>
      <c r="R29" s="48">
        <f ca="1">SUM(S29:AA29,AN29:BD29)</f>
        <v>0</v>
      </c>
      <c r="S29" s="50">
        <f ca="1">+GETPIVOTDATA("XBT4",'binhtrung (2016)'!$A$3,"MA_HT","DGT","MA_QH","CQP")</f>
        <v>0</v>
      </c>
      <c r="T29" s="50">
        <f ca="1">+GETPIVOTDATA("XBT4",'binhtrung (2016)'!$A$3,"MA_HT","DGT","MA_QH","CAN")</f>
        <v>0</v>
      </c>
      <c r="U29" s="50">
        <f ca="1">+GETPIVOTDATA("XBT4",'binhtrung (2016)'!$A$3,"MA_HT","DGT","MA_QH","SKK")</f>
        <v>0</v>
      </c>
      <c r="V29" s="50">
        <f ca="1">+GETPIVOTDATA("XBT4",'binhtrung (2016)'!$A$3,"MA_HT","DGT","MA_QH","SKT")</f>
        <v>0</v>
      </c>
      <c r="W29" s="50">
        <f ca="1">+GETPIVOTDATA("XBT4",'binhtrung (2016)'!$A$3,"MA_HT","DGT","MA_QH","SKN")</f>
        <v>0</v>
      </c>
      <c r="X29" s="50">
        <f ca="1">+GETPIVOTDATA("XBT4",'binhtrung (2016)'!$A$3,"MA_HT","DGT","MA_QH","TMD")</f>
        <v>0</v>
      </c>
      <c r="Y29" s="50">
        <f ca="1">+GETPIVOTDATA("XBT4",'binhtrung (2016)'!$A$3,"MA_HT","DGT","MA_QH","SKC")</f>
        <v>0</v>
      </c>
      <c r="Z29" s="50">
        <f ca="1">+GETPIVOTDATA("XBT4",'binhtrung (2016)'!$A$3,"MA_HT","DGT","MA_QH","SKS")</f>
        <v>0</v>
      </c>
      <c r="AA29" s="52">
        <f ca="1">+SUM(AC29:AM29)</f>
        <v>0</v>
      </c>
      <c r="AB29" s="49" t="e">
        <f ca="1">$D29-$BF29</f>
        <v>#REF!</v>
      </c>
      <c r="AC29" s="50">
        <f ca="1">+GETPIVOTDATA("XBT4",'binhtrung (2016)'!$A$3,"MA_HT","DGT","MA_QH","DTL")</f>
        <v>0</v>
      </c>
      <c r="AD29" s="50">
        <f ca="1">+GETPIVOTDATA("XBT4",'binhtrung (2016)'!$A$3,"MA_HT","DGT","MA_QH","DNL")</f>
        <v>0</v>
      </c>
      <c r="AE29" s="50">
        <f ca="1">+GETPIVOTDATA("XBT4",'binhtrung (2016)'!$A$3,"MA_HT","DGT","MA_QH","DBV")</f>
        <v>0</v>
      </c>
      <c r="AF29" s="50">
        <f ca="1">+GETPIVOTDATA("XBT4",'binhtrung (2016)'!$A$3,"MA_HT","DGT","MA_QH","DVH")</f>
        <v>0</v>
      </c>
      <c r="AG29" s="50">
        <f ca="1">+GETPIVOTDATA("XBT4",'binhtrung (2016)'!$A$3,"MA_HT","DGT","MA_QH","DYT")</f>
        <v>0</v>
      </c>
      <c r="AH29" s="50">
        <f ca="1">+GETPIVOTDATA("XBT4",'binhtrung (2016)'!$A$3,"MA_HT","DGT","MA_QH","DGD")</f>
        <v>0</v>
      </c>
      <c r="AI29" s="50">
        <f ca="1">+GETPIVOTDATA("XBT4",'binhtrung (2016)'!$A$3,"MA_HT","DGT","MA_QH","DTT")</f>
        <v>0</v>
      </c>
      <c r="AJ29" s="50">
        <f ca="1">+GETPIVOTDATA("XBT4",'binhtrung (2016)'!$A$3,"MA_HT","DGT","MA_QH","NCK")</f>
        <v>0</v>
      </c>
      <c r="AK29" s="50">
        <f ca="1">+GETPIVOTDATA("XBT4",'binhtrung (2016)'!$A$3,"MA_HT","DGT","MA_QH","DXH")</f>
        <v>0</v>
      </c>
      <c r="AL29" s="50">
        <f ca="1">+GETPIVOTDATA("XBT4",'binhtrung (2016)'!$A$3,"MA_HT","DGT","MA_QH","DCH")</f>
        <v>0</v>
      </c>
      <c r="AM29" s="50">
        <f ca="1">+GETPIVOTDATA("XBT4",'binhtrung (2016)'!$A$3,"MA_HT","DGT","MA_QH","DKG")</f>
        <v>0</v>
      </c>
      <c r="AN29" s="50">
        <f ca="1">+GETPIVOTDATA("XBT4",'binhtrung (2016)'!$A$3,"MA_HT","DGT","MA_QH","DDT")</f>
        <v>0</v>
      </c>
      <c r="AO29" s="50">
        <f ca="1">+GETPIVOTDATA("XBT4",'binhtrung (2016)'!$A$3,"MA_HT","DGT","MA_QH","DDL")</f>
        <v>0</v>
      </c>
      <c r="AP29" s="50">
        <f ca="1">+GETPIVOTDATA("XBT4",'binhtrung (2016)'!$A$3,"MA_HT","DGT","MA_QH","DRA")</f>
        <v>0</v>
      </c>
      <c r="AQ29" s="50">
        <f ca="1">+GETPIVOTDATA("XBT4",'binhtrung (2016)'!$A$3,"MA_HT","DGT","MA_QH","ONT")</f>
        <v>0</v>
      </c>
      <c r="AR29" s="50">
        <f ca="1">+GETPIVOTDATA("XBT4",'binhtrung (2016)'!$A$3,"MA_HT","DGT","MA_QH","ODT")</f>
        <v>0</v>
      </c>
      <c r="AS29" s="50">
        <f ca="1">+GETPIVOTDATA("XBT4",'binhtrung (2016)'!$A$3,"MA_HT","DGT","MA_QH","TSC")</f>
        <v>0</v>
      </c>
      <c r="AT29" s="50">
        <f ca="1">+GETPIVOTDATA("XBT4",'binhtrung (2016)'!$A$3,"MA_HT","DGT","MA_QH","DTS")</f>
        <v>0</v>
      </c>
      <c r="AU29" s="50">
        <f ca="1">+GETPIVOTDATA("XBT4",'binhtrung (2016)'!$A$3,"MA_HT","DGT","MA_QH","DNG")</f>
        <v>0</v>
      </c>
      <c r="AV29" s="50">
        <f ca="1">+GETPIVOTDATA("XBT4",'binhtrung (2016)'!$A$3,"MA_HT","DGT","MA_QH","TON")</f>
        <v>0</v>
      </c>
      <c r="AW29" s="50">
        <f ca="1">+GETPIVOTDATA("XBT4",'binhtrung (2016)'!$A$3,"MA_HT","DGT","MA_QH","NTD")</f>
        <v>0</v>
      </c>
      <c r="AX29" s="50">
        <f ca="1">+GETPIVOTDATA("XBT4",'binhtrung (2016)'!$A$3,"MA_HT","DGT","MA_QH","SKX")</f>
        <v>0</v>
      </c>
      <c r="AY29" s="50">
        <f ca="1">+GETPIVOTDATA("XBT4",'binhtrung (2016)'!$A$3,"MA_HT","DGT","MA_QH","DSH")</f>
        <v>0</v>
      </c>
      <c r="AZ29" s="50">
        <f ca="1">+GETPIVOTDATA("XBT4",'binhtrung (2016)'!$A$3,"MA_HT","DGT","MA_QH","DKV")</f>
        <v>0</v>
      </c>
      <c r="BA29" s="88">
        <f ca="1">+GETPIVOTDATA("XBT4",'binhtrung (2016)'!$A$3,"MA_HT","DGT","MA_QH","TIN")</f>
        <v>0</v>
      </c>
      <c r="BB29" s="50">
        <f ca="1">+GETPIVOTDATA("XBT4",'binhtrung (2016)'!$A$3,"MA_HT","DGT","MA_QH","SON")</f>
        <v>0</v>
      </c>
      <c r="BC29" s="50">
        <f ca="1">+GETPIVOTDATA("XBT4",'binhtrung (2016)'!$A$3,"MA_HT","DGT","MA_QH","MNC")</f>
        <v>0</v>
      </c>
      <c r="BD29" s="50">
        <f ca="1">+GETPIVOTDATA("XBT4",'binhtrung (2016)'!$A$3,"MA_HT","DGT","MA_QH","PNK")</f>
        <v>0</v>
      </c>
      <c r="BE29" s="80">
        <f ca="1">+GETPIVOTDATA("XBT4",'binhtrung (2016)'!$A$3,"MA_HT","DGT","MA_QH","CSD")</f>
        <v>0</v>
      </c>
      <c r="BF29" s="103">
        <f ca="1" t="shared" si="13"/>
        <v>0</v>
      </c>
      <c r="BG29" s="104">
        <f ca="1">AB$59-$BF29</f>
        <v>0</v>
      </c>
      <c r="BH29" s="47" t="e">
        <f ca="1" t="shared" si="14"/>
        <v>#REF!</v>
      </c>
      <c r="BI29" s="105"/>
      <c r="BJ29" s="105" t="e">
        <f>#REF!</f>
        <v>#REF!</v>
      </c>
      <c r="BK29" s="108" t="e">
        <f ca="1" t="shared" ref="BK29:BK40" si="19">BH29-BJ29</f>
        <v>#REF!</v>
      </c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</row>
    <row r="30" s="4" customFormat="1" ht="16.5" customHeight="1" spans="1:79">
      <c r="A30" s="45" t="s">
        <v>8378</v>
      </c>
      <c r="B30" s="45" t="s">
        <v>8379</v>
      </c>
      <c r="C30" s="46" t="s">
        <v>216</v>
      </c>
      <c r="D30" s="47" t="e">
        <f>+#REF!</f>
        <v>#REF!</v>
      </c>
      <c r="E30" s="42">
        <f ca="1" t="shared" si="15"/>
        <v>0</v>
      </c>
      <c r="F30" s="52">
        <f ca="1" t="shared" si="9"/>
        <v>0</v>
      </c>
      <c r="G30" s="50">
        <f ca="1">+GETPIVOTDATA("XBT4",'binhtrung (2016)'!$A$3,"MA_HT","DTL","MA_QH","LUC")</f>
        <v>0</v>
      </c>
      <c r="H30" s="50">
        <f ca="1">+GETPIVOTDATA("XBT4",'binhtrung (2016)'!$A$3,"MA_HT","DTL","MA_QH","LUK")</f>
        <v>0</v>
      </c>
      <c r="I30" s="50">
        <f ca="1">+GETPIVOTDATA("XBT4",'binhtrung (2016)'!$A$3,"MA_HT","DTL","MA_QH","LUN")</f>
        <v>0</v>
      </c>
      <c r="J30" s="50">
        <f ca="1">+GETPIVOTDATA("XBT4",'binhtrung (2016)'!$A$3,"MA_HT","DTL","MA_QH","HNK")</f>
        <v>0</v>
      </c>
      <c r="K30" s="50">
        <f ca="1">+GETPIVOTDATA("XBT4",'binhtrung (2016)'!$A$3,"MA_HT","DTL","MA_QH","CLN")</f>
        <v>0</v>
      </c>
      <c r="L30" s="50">
        <f ca="1">+GETPIVOTDATA("XBT4",'binhtrung (2016)'!$A$3,"MA_HT","DTL","MA_QH","RSX")</f>
        <v>0</v>
      </c>
      <c r="M30" s="50">
        <f ca="1">+GETPIVOTDATA("XBT4",'binhtrung (2016)'!$A$3,"MA_HT","DTL","MA_QH","RPH")</f>
        <v>0</v>
      </c>
      <c r="N30" s="50">
        <f ca="1">+GETPIVOTDATA("XBT4",'binhtrung (2016)'!$A$3,"MA_HT","DTL","MA_QH","RDD")</f>
        <v>0</v>
      </c>
      <c r="O30" s="50">
        <f ca="1">+GETPIVOTDATA("XBT4",'binhtrung (2016)'!$A$3,"MA_HT","DTL","MA_QH","NTS")</f>
        <v>0</v>
      </c>
      <c r="P30" s="50">
        <f ca="1">+GETPIVOTDATA("XBT4",'binhtrung (2016)'!$A$3,"MA_HT","DTL","MA_QH","LMU")</f>
        <v>0</v>
      </c>
      <c r="Q30" s="50">
        <f ca="1">+GETPIVOTDATA("XBT4",'binhtrung (2016)'!$A$3,"MA_HT","DTL","MA_QH","NKH")</f>
        <v>0</v>
      </c>
      <c r="R30" s="48">
        <f ca="1" t="shared" ref="R30:R40" si="20">SUM(S30:AA30,AN30:BD30)</f>
        <v>0</v>
      </c>
      <c r="S30" s="50">
        <f ca="1">+GETPIVOTDATA("XBT4",'binhtrung (2016)'!$A$3,"MA_HT","DTL","MA_QH","CQP")</f>
        <v>0</v>
      </c>
      <c r="T30" s="50">
        <f ca="1">+GETPIVOTDATA("XBT4",'binhtrung (2016)'!$A$3,"MA_HT","DTL","MA_QH","CAN")</f>
        <v>0</v>
      </c>
      <c r="U30" s="50">
        <f ca="1">+GETPIVOTDATA("XBT4",'binhtrung (2016)'!$A$3,"MA_HT","DTL","MA_QH","SKK")</f>
        <v>0</v>
      </c>
      <c r="V30" s="50">
        <f ca="1">+GETPIVOTDATA("XBT4",'binhtrung (2016)'!$A$3,"MA_HT","DTL","MA_QH","SKT")</f>
        <v>0</v>
      </c>
      <c r="W30" s="50">
        <f ca="1">+GETPIVOTDATA("XBT4",'binhtrung (2016)'!$A$3,"MA_HT","DTL","MA_QH","SKN")</f>
        <v>0</v>
      </c>
      <c r="X30" s="50">
        <f ca="1">+GETPIVOTDATA("XBT4",'binhtrung (2016)'!$A$3,"MA_HT","DTL","MA_QH","TMD")</f>
        <v>0</v>
      </c>
      <c r="Y30" s="50">
        <f ca="1">+GETPIVOTDATA("XBT4",'binhtrung (2016)'!$A$3,"MA_HT","DTL","MA_QH","SKC")</f>
        <v>0</v>
      </c>
      <c r="Z30" s="50">
        <f ca="1">+GETPIVOTDATA("XBT4",'binhtrung (2016)'!$A$3,"MA_HT","DTL","MA_QH","SKS")</f>
        <v>0</v>
      </c>
      <c r="AA30" s="52">
        <f ca="1">+SUM(AB30,AD30:AM30)</f>
        <v>0</v>
      </c>
      <c r="AB30" s="50">
        <f ca="1">+GETPIVOTDATA("XBT4",'binhtrung (2016)'!$A$3,"MA_HT","DTL","MA_QH","DGT")</f>
        <v>0</v>
      </c>
      <c r="AC30" s="49" t="e">
        <f ca="1">$D30-$BF30</f>
        <v>#REF!</v>
      </c>
      <c r="AD30" s="50">
        <f ca="1">+GETPIVOTDATA("XBT4",'binhtrung (2016)'!$A$3,"MA_HT","DTL","MA_QH","DNL")</f>
        <v>0</v>
      </c>
      <c r="AE30" s="50">
        <f ca="1">+GETPIVOTDATA("XBT4",'binhtrung (2016)'!$A$3,"MA_HT","DTL","MA_QH","DBV")</f>
        <v>0</v>
      </c>
      <c r="AF30" s="50">
        <f ca="1">+GETPIVOTDATA("XBT4",'binhtrung (2016)'!$A$3,"MA_HT","DTL","MA_QH","DVH")</f>
        <v>0</v>
      </c>
      <c r="AG30" s="50">
        <f ca="1">+GETPIVOTDATA("XBT4",'binhtrung (2016)'!$A$3,"MA_HT","DTL","MA_QH","DYT")</f>
        <v>0</v>
      </c>
      <c r="AH30" s="50">
        <f ca="1">+GETPIVOTDATA("XBT4",'binhtrung (2016)'!$A$3,"MA_HT","DTL","MA_QH","DGD")</f>
        <v>0</v>
      </c>
      <c r="AI30" s="50">
        <f ca="1">+GETPIVOTDATA("XBT4",'binhtrung (2016)'!$A$3,"MA_HT","DTL","MA_QH","DTT")</f>
        <v>0</v>
      </c>
      <c r="AJ30" s="50">
        <f ca="1">+GETPIVOTDATA("XBT4",'binhtrung (2016)'!$A$3,"MA_HT","DTL","MA_QH","NCK")</f>
        <v>0</v>
      </c>
      <c r="AK30" s="50">
        <f ca="1">+GETPIVOTDATA("XBT4",'binhtrung (2016)'!$A$3,"MA_HT","DTL","MA_QH","DXH")</f>
        <v>0</v>
      </c>
      <c r="AL30" s="50">
        <f ca="1">+GETPIVOTDATA("XBT4",'binhtrung (2016)'!$A$3,"MA_HT","DTL","MA_QH","DCH")</f>
        <v>0</v>
      </c>
      <c r="AM30" s="50">
        <f ca="1">+GETPIVOTDATA("XBT4",'binhtrung (2016)'!$A$3,"MA_HT","DTL","MA_QH","DKG")</f>
        <v>0</v>
      </c>
      <c r="AN30" s="50">
        <f ca="1">+GETPIVOTDATA("XBT4",'binhtrung (2016)'!$A$3,"MA_HT","DTL","MA_QH","DDT")</f>
        <v>0</v>
      </c>
      <c r="AO30" s="50">
        <f ca="1">+GETPIVOTDATA("XBT4",'binhtrung (2016)'!$A$3,"MA_HT","DTL","MA_QH","DDL")</f>
        <v>0</v>
      </c>
      <c r="AP30" s="50">
        <f ca="1">+GETPIVOTDATA("XBT4",'binhtrung (2016)'!$A$3,"MA_HT","DTL","MA_QH","DRA")</f>
        <v>0</v>
      </c>
      <c r="AQ30" s="50">
        <f ca="1">+GETPIVOTDATA("XBT4",'binhtrung (2016)'!$A$3,"MA_HT","DTL","MA_QH","ONT")</f>
        <v>0</v>
      </c>
      <c r="AR30" s="50">
        <f ca="1">+GETPIVOTDATA("XBT4",'binhtrung (2016)'!$A$3,"MA_HT","DTL","MA_QH","ODT")</f>
        <v>0</v>
      </c>
      <c r="AS30" s="50">
        <f ca="1">+GETPIVOTDATA("XBT4",'binhtrung (2016)'!$A$3,"MA_HT","DTL","MA_QH","TSC")</f>
        <v>0</v>
      </c>
      <c r="AT30" s="50">
        <f ca="1">+GETPIVOTDATA("XBT4",'binhtrung (2016)'!$A$3,"MA_HT","DTL","MA_QH","DTS")</f>
        <v>0</v>
      </c>
      <c r="AU30" s="50">
        <f ca="1">+GETPIVOTDATA("XBT4",'binhtrung (2016)'!$A$3,"MA_HT","DTL","MA_QH","DNG")</f>
        <v>0</v>
      </c>
      <c r="AV30" s="50">
        <f ca="1">+GETPIVOTDATA("XBT4",'binhtrung (2016)'!$A$3,"MA_HT","DTL","MA_QH","TON")</f>
        <v>0</v>
      </c>
      <c r="AW30" s="50">
        <f ca="1">+GETPIVOTDATA("XBT4",'binhtrung (2016)'!$A$3,"MA_HT","DTL","MA_QH","NTD")</f>
        <v>0</v>
      </c>
      <c r="AX30" s="50">
        <f ca="1">+GETPIVOTDATA("XBT4",'binhtrung (2016)'!$A$3,"MA_HT","DTL","MA_QH","SKX")</f>
        <v>0</v>
      </c>
      <c r="AY30" s="50">
        <f ca="1">+GETPIVOTDATA("XBT4",'binhtrung (2016)'!$A$3,"MA_HT","DTL","MA_QH","DSH")</f>
        <v>0</v>
      </c>
      <c r="AZ30" s="50">
        <f ca="1">+GETPIVOTDATA("XBT4",'binhtrung (2016)'!$A$3,"MA_HT","DTL","MA_QH","DKV")</f>
        <v>0</v>
      </c>
      <c r="BA30" s="88">
        <f ca="1">+GETPIVOTDATA("XBT4",'binhtrung (2016)'!$A$3,"MA_HT","DTL","MA_QH","TIN")</f>
        <v>0</v>
      </c>
      <c r="BB30" s="50">
        <f ca="1">+GETPIVOTDATA("XBT4",'binhtrung (2016)'!$A$3,"MA_HT","DTL","MA_QH","SON")</f>
        <v>0</v>
      </c>
      <c r="BC30" s="50">
        <f ca="1">+GETPIVOTDATA("XBT4",'binhtrung (2016)'!$A$3,"MA_HT","DTL","MA_QH","MNC")</f>
        <v>0</v>
      </c>
      <c r="BD30" s="50">
        <f ca="1">+GETPIVOTDATA("XBT4",'binhtrung (2016)'!$A$3,"MA_HT","DTL","MA_QH","PNK")</f>
        <v>0</v>
      </c>
      <c r="BE30" s="80">
        <f ca="1">+GETPIVOTDATA("XBT4",'binhtrung (2016)'!$A$3,"MA_HT","DTL","MA_QH","CSD")</f>
        <v>0</v>
      </c>
      <c r="BF30" s="103">
        <f ca="1" t="shared" si="13"/>
        <v>0</v>
      </c>
      <c r="BG30" s="104">
        <f ca="1">AC$59-$BF30</f>
        <v>0</v>
      </c>
      <c r="BH30" s="47" t="e">
        <f ca="1" t="shared" si="14"/>
        <v>#REF!</v>
      </c>
      <c r="BI30" s="105"/>
      <c r="BJ30" s="105" t="e">
        <f>#REF!</f>
        <v>#REF!</v>
      </c>
      <c r="BK30" s="108" t="e">
        <f ca="1" t="shared" si="19"/>
        <v>#REF!</v>
      </c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</row>
    <row r="31" s="4" customFormat="1" ht="16.5" customHeight="1" spans="1:79">
      <c r="A31" s="45" t="s">
        <v>8380</v>
      </c>
      <c r="B31" s="45" t="s">
        <v>8381</v>
      </c>
      <c r="C31" s="46" t="s">
        <v>71</v>
      </c>
      <c r="D31" s="47" t="e">
        <f>+#REF!</f>
        <v>#REF!</v>
      </c>
      <c r="E31" s="42">
        <f ca="1" t="shared" si="15"/>
        <v>0</v>
      </c>
      <c r="F31" s="52">
        <f ca="1" t="shared" si="9"/>
        <v>0</v>
      </c>
      <c r="G31" s="50">
        <f ca="1">+GETPIVOTDATA("XBT4",'binhtrung (2016)'!$A$3,"MA_HT","DNL","MA_QH","LUC")</f>
        <v>0</v>
      </c>
      <c r="H31" s="50">
        <f ca="1">+GETPIVOTDATA("XBT4",'binhtrung (2016)'!$A$3,"MA_HT","DNL","MA_QH","LUK")</f>
        <v>0</v>
      </c>
      <c r="I31" s="50">
        <f ca="1">+GETPIVOTDATA("XBT4",'binhtrung (2016)'!$A$3,"MA_HT","DNL","MA_QH","LUN")</f>
        <v>0</v>
      </c>
      <c r="J31" s="50">
        <f ca="1">+GETPIVOTDATA("XBT4",'binhtrung (2016)'!$A$3,"MA_HT","DNL","MA_QH","HNK")</f>
        <v>0</v>
      </c>
      <c r="K31" s="50">
        <f ca="1">+GETPIVOTDATA("XBT4",'binhtrung (2016)'!$A$3,"MA_HT","DNL","MA_QH","CLN")</f>
        <v>0</v>
      </c>
      <c r="L31" s="50">
        <f ca="1">+GETPIVOTDATA("XBT4",'binhtrung (2016)'!$A$3,"MA_HT","DNL","MA_QH","RSX")</f>
        <v>0</v>
      </c>
      <c r="M31" s="50">
        <f ca="1">+GETPIVOTDATA("XBT4",'binhtrung (2016)'!$A$3,"MA_HT","DNL","MA_QH","RPH")</f>
        <v>0</v>
      </c>
      <c r="N31" s="50">
        <f ca="1">+GETPIVOTDATA("XBT4",'binhtrung (2016)'!$A$3,"MA_HT","DNL","MA_QH","RDD")</f>
        <v>0</v>
      </c>
      <c r="O31" s="50">
        <f ca="1">+GETPIVOTDATA("XBT4",'binhtrung (2016)'!$A$3,"MA_HT","DNL","MA_QH","NTS")</f>
        <v>0</v>
      </c>
      <c r="P31" s="50">
        <f ca="1">+GETPIVOTDATA("XBT4",'binhtrung (2016)'!$A$3,"MA_HT","DNL","MA_QH","LMU")</f>
        <v>0</v>
      </c>
      <c r="Q31" s="50">
        <f ca="1">+GETPIVOTDATA("XBT4",'binhtrung (2016)'!$A$3,"MA_HT","DNL","MA_QH","NKH")</f>
        <v>0</v>
      </c>
      <c r="R31" s="48">
        <f ca="1" t="shared" si="20"/>
        <v>0</v>
      </c>
      <c r="S31" s="50">
        <f ca="1">+GETPIVOTDATA("XBT4",'binhtrung (2016)'!$A$3,"MA_HT","DNL","MA_QH","CQP")</f>
        <v>0</v>
      </c>
      <c r="T31" s="50">
        <f ca="1">+GETPIVOTDATA("XBT4",'binhtrung (2016)'!$A$3,"MA_HT","DNL","MA_QH","CAN")</f>
        <v>0</v>
      </c>
      <c r="U31" s="50">
        <f ca="1">+GETPIVOTDATA("XBT4",'binhtrung (2016)'!$A$3,"MA_HT","DNL","MA_QH","SKK")</f>
        <v>0</v>
      </c>
      <c r="V31" s="50">
        <f ca="1">+GETPIVOTDATA("XBT4",'binhtrung (2016)'!$A$3,"MA_HT","DNL","MA_QH","SKT")</f>
        <v>0</v>
      </c>
      <c r="W31" s="50">
        <f ca="1">+GETPIVOTDATA("XBT4",'binhtrung (2016)'!$A$3,"MA_HT","DNL","MA_QH","SKN")</f>
        <v>0</v>
      </c>
      <c r="X31" s="50">
        <f ca="1">+GETPIVOTDATA("XBT4",'binhtrung (2016)'!$A$3,"MA_HT","DNL","MA_QH","TMD")</f>
        <v>0</v>
      </c>
      <c r="Y31" s="50">
        <f ca="1">+GETPIVOTDATA("XBT4",'binhtrung (2016)'!$A$3,"MA_HT","DNL","MA_QH","SKC")</f>
        <v>0</v>
      </c>
      <c r="Z31" s="50">
        <f ca="1">+GETPIVOTDATA("XBT4",'binhtrung (2016)'!$A$3,"MA_HT","DNL","MA_QH","SKS")</f>
        <v>0</v>
      </c>
      <c r="AA31" s="52">
        <f ca="1">+SUM(AB31:AC31,AE31:AM31)</f>
        <v>0</v>
      </c>
      <c r="AB31" s="50">
        <f ca="1">+GETPIVOTDATA("XBT4",'binhtrung (2016)'!$A$3,"MA_HT","DNL","MA_QH","DGT")</f>
        <v>0</v>
      </c>
      <c r="AC31" s="50">
        <f ca="1">+GETPIVOTDATA("XBT4",'binhtrung (2016)'!$A$3,"MA_HT","DNL","MA_QH","DTL")</f>
        <v>0</v>
      </c>
      <c r="AD31" s="49" t="e">
        <f ca="1">$D31-$BF31</f>
        <v>#REF!</v>
      </c>
      <c r="AE31" s="50">
        <f ca="1">+GETPIVOTDATA("XBT4",'binhtrung (2016)'!$A$3,"MA_HT","DNL","MA_QH","DBV")</f>
        <v>0</v>
      </c>
      <c r="AF31" s="50">
        <f ca="1">+GETPIVOTDATA("XBT4",'binhtrung (2016)'!$A$3,"MA_HT","DNL","MA_QH","DVH")</f>
        <v>0</v>
      </c>
      <c r="AG31" s="50">
        <f ca="1">+GETPIVOTDATA("XBT4",'binhtrung (2016)'!$A$3,"MA_HT","DNL","MA_QH","DYT")</f>
        <v>0</v>
      </c>
      <c r="AH31" s="50">
        <f ca="1">+GETPIVOTDATA("XBT4",'binhtrung (2016)'!$A$3,"MA_HT","DNL","MA_QH","DGD")</f>
        <v>0</v>
      </c>
      <c r="AI31" s="50">
        <f ca="1">+GETPIVOTDATA("XBT4",'binhtrung (2016)'!$A$3,"MA_HT","DNL","MA_QH","DTT")</f>
        <v>0</v>
      </c>
      <c r="AJ31" s="50">
        <f ca="1">+GETPIVOTDATA("XBT4",'binhtrung (2016)'!$A$3,"MA_HT","DNL","MA_QH","NCK")</f>
        <v>0</v>
      </c>
      <c r="AK31" s="50">
        <f ca="1">+GETPIVOTDATA("XBT4",'binhtrung (2016)'!$A$3,"MA_HT","DNL","MA_QH","DXH")</f>
        <v>0</v>
      </c>
      <c r="AL31" s="50">
        <f ca="1">+GETPIVOTDATA("XBT4",'binhtrung (2016)'!$A$3,"MA_HT","DNL","MA_QH","DCH")</f>
        <v>0</v>
      </c>
      <c r="AM31" s="50">
        <f ca="1">+GETPIVOTDATA("XBT4",'binhtrung (2016)'!$A$3,"MA_HT","DNL","MA_QH","DKG")</f>
        <v>0</v>
      </c>
      <c r="AN31" s="50">
        <f ca="1">+GETPIVOTDATA("XBT4",'binhtrung (2016)'!$A$3,"MA_HT","DNL","MA_QH","DDT")</f>
        <v>0</v>
      </c>
      <c r="AO31" s="50">
        <f ca="1">+GETPIVOTDATA("XBT4",'binhtrung (2016)'!$A$3,"MA_HT","DNL","MA_QH","DDL")</f>
        <v>0</v>
      </c>
      <c r="AP31" s="50">
        <f ca="1">+GETPIVOTDATA("XBT4",'binhtrung (2016)'!$A$3,"MA_HT","DNL","MA_QH","DRA")</f>
        <v>0</v>
      </c>
      <c r="AQ31" s="50">
        <f ca="1">+GETPIVOTDATA("XBT4",'binhtrung (2016)'!$A$3,"MA_HT","DNL","MA_QH","ONT")</f>
        <v>0</v>
      </c>
      <c r="AR31" s="50">
        <f ca="1">+GETPIVOTDATA("XBT4",'binhtrung (2016)'!$A$3,"MA_HT","DNL","MA_QH","ODT")</f>
        <v>0</v>
      </c>
      <c r="AS31" s="50">
        <f ca="1">+GETPIVOTDATA("XBT4",'binhtrung (2016)'!$A$3,"MA_HT","DNL","MA_QH","TSC")</f>
        <v>0</v>
      </c>
      <c r="AT31" s="50">
        <f ca="1">+GETPIVOTDATA("XBT4",'binhtrung (2016)'!$A$3,"MA_HT","DNL","MA_QH","DTS")</f>
        <v>0</v>
      </c>
      <c r="AU31" s="50">
        <f ca="1">+GETPIVOTDATA("XBT4",'binhtrung (2016)'!$A$3,"MA_HT","DNL","MA_QH","DNG")</f>
        <v>0</v>
      </c>
      <c r="AV31" s="50">
        <f ca="1">+GETPIVOTDATA("XBT4",'binhtrung (2016)'!$A$3,"MA_HT","DNL","MA_QH","TON")</f>
        <v>0</v>
      </c>
      <c r="AW31" s="50">
        <f ca="1">+GETPIVOTDATA("XBT4",'binhtrung (2016)'!$A$3,"MA_HT","DNL","MA_QH","NTD")</f>
        <v>0</v>
      </c>
      <c r="AX31" s="50">
        <f ca="1">+GETPIVOTDATA("XBT4",'binhtrung (2016)'!$A$3,"MA_HT","DNL","MA_QH","SKX")</f>
        <v>0</v>
      </c>
      <c r="AY31" s="50">
        <f ca="1">+GETPIVOTDATA("XBT4",'binhtrung (2016)'!$A$3,"MA_HT","DNL","MA_QH","DSH")</f>
        <v>0</v>
      </c>
      <c r="AZ31" s="50">
        <f ca="1">+GETPIVOTDATA("XBT4",'binhtrung (2016)'!$A$3,"MA_HT","DNL","MA_QH","DKV")</f>
        <v>0</v>
      </c>
      <c r="BA31" s="88">
        <f ca="1">+GETPIVOTDATA("XBT4",'binhtrung (2016)'!$A$3,"MA_HT","DNL","MA_QH","TIN")</f>
        <v>0</v>
      </c>
      <c r="BB31" s="50">
        <f ca="1">+GETPIVOTDATA("XBT4",'binhtrung (2016)'!$A$3,"MA_HT","DNL","MA_QH","SON")</f>
        <v>0</v>
      </c>
      <c r="BC31" s="50">
        <f ca="1">+GETPIVOTDATA("XBT4",'binhtrung (2016)'!$A$3,"MA_HT","DNL","MA_QH","MNC")</f>
        <v>0</v>
      </c>
      <c r="BD31" s="50">
        <f ca="1">+GETPIVOTDATA("XBT4",'binhtrung (2016)'!$A$3,"MA_HT","DNL","MA_QH","PNK")</f>
        <v>0</v>
      </c>
      <c r="BE31" s="80">
        <f ca="1">+GETPIVOTDATA("XBT4",'binhtrung (2016)'!$A$3,"MA_HT","DNL","MA_QH","CSD")</f>
        <v>0</v>
      </c>
      <c r="BF31" s="103">
        <f ca="1" t="shared" si="13"/>
        <v>0</v>
      </c>
      <c r="BG31" s="104">
        <f ca="1">AD$59-$BF31</f>
        <v>0</v>
      </c>
      <c r="BH31" s="47" t="e">
        <f ca="1" t="shared" si="14"/>
        <v>#REF!</v>
      </c>
      <c r="BI31" s="105"/>
      <c r="BJ31" s="105" t="e">
        <f>#REF!</f>
        <v>#REF!</v>
      </c>
      <c r="BK31" s="108" t="e">
        <f ca="1" t="shared" si="19"/>
        <v>#REF!</v>
      </c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</row>
    <row r="32" s="4" customFormat="1" ht="16.5" customHeight="1" spans="1:79">
      <c r="A32" s="45" t="s">
        <v>8382</v>
      </c>
      <c r="B32" s="45" t="s">
        <v>8383</v>
      </c>
      <c r="C32" s="46" t="s">
        <v>8285</v>
      </c>
      <c r="D32" s="47" t="e">
        <f>+#REF!</f>
        <v>#REF!</v>
      </c>
      <c r="E32" s="42">
        <f ca="1" t="shared" si="15"/>
        <v>0</v>
      </c>
      <c r="F32" s="52">
        <f ca="1" t="shared" si="9"/>
        <v>0</v>
      </c>
      <c r="G32" s="50">
        <f ca="1">+GETPIVOTDATA("XBT4",'binhtrung (2016)'!$A$3,"MA_HT","DBV","MA_QH","LUC")</f>
        <v>0</v>
      </c>
      <c r="H32" s="50">
        <f ca="1">+GETPIVOTDATA("XBT4",'binhtrung (2016)'!$A$3,"MA_HT","DBV","MA_QH","LUK")</f>
        <v>0</v>
      </c>
      <c r="I32" s="50">
        <f ca="1">+GETPIVOTDATA("XBT4",'binhtrung (2016)'!$A$3,"MA_HT","DBV","MA_QH","LUN")</f>
        <v>0</v>
      </c>
      <c r="J32" s="50">
        <f ca="1">+GETPIVOTDATA("XBT4",'binhtrung (2016)'!$A$3,"MA_HT","DBV","MA_QH","HNK")</f>
        <v>0</v>
      </c>
      <c r="K32" s="50">
        <f ca="1">+GETPIVOTDATA("XBT4",'binhtrung (2016)'!$A$3,"MA_HT","DBV","MA_QH","CLN")</f>
        <v>0</v>
      </c>
      <c r="L32" s="50">
        <f ca="1">+GETPIVOTDATA("XBT4",'binhtrung (2016)'!$A$3,"MA_HT","DBV","MA_QH","RSX")</f>
        <v>0</v>
      </c>
      <c r="M32" s="50">
        <f ca="1">+GETPIVOTDATA("XBT4",'binhtrung (2016)'!$A$3,"MA_HT","DBV","MA_QH","RPH")</f>
        <v>0</v>
      </c>
      <c r="N32" s="50">
        <f ca="1">+GETPIVOTDATA("XBT4",'binhtrung (2016)'!$A$3,"MA_HT","DBV","MA_QH","RDD")</f>
        <v>0</v>
      </c>
      <c r="O32" s="50">
        <f ca="1">+GETPIVOTDATA("XBT4",'binhtrung (2016)'!$A$3,"MA_HT","DBV","MA_QH","NTS")</f>
        <v>0</v>
      </c>
      <c r="P32" s="50">
        <f ca="1">+GETPIVOTDATA("XBT4",'binhtrung (2016)'!$A$3,"MA_HT","DBV","MA_QH","LMU")</f>
        <v>0</v>
      </c>
      <c r="Q32" s="50">
        <f ca="1">+GETPIVOTDATA("XBT4",'binhtrung (2016)'!$A$3,"MA_HT","DBV","MA_QH","NKH")</f>
        <v>0</v>
      </c>
      <c r="R32" s="48">
        <f ca="1" t="shared" si="20"/>
        <v>0</v>
      </c>
      <c r="S32" s="50">
        <f ca="1">+GETPIVOTDATA("XBT4",'binhtrung (2016)'!$A$3,"MA_HT","DBV","MA_QH","CQP")</f>
        <v>0</v>
      </c>
      <c r="T32" s="50">
        <f ca="1">+GETPIVOTDATA("XBT4",'binhtrung (2016)'!$A$3,"MA_HT","DBV","MA_QH","CAN")</f>
        <v>0</v>
      </c>
      <c r="U32" s="50">
        <f ca="1">+GETPIVOTDATA("XBT4",'binhtrung (2016)'!$A$3,"MA_HT","DBV","MA_QH","SKK")</f>
        <v>0</v>
      </c>
      <c r="V32" s="50">
        <f ca="1">+GETPIVOTDATA("XBT4",'binhtrung (2016)'!$A$3,"MA_HT","DBV","MA_QH","SKT")</f>
        <v>0</v>
      </c>
      <c r="W32" s="50">
        <f ca="1">+GETPIVOTDATA("XBT4",'binhtrung (2016)'!$A$3,"MA_HT","DBV","MA_QH","SKN")</f>
        <v>0</v>
      </c>
      <c r="X32" s="50">
        <f ca="1">+GETPIVOTDATA("XBT4",'binhtrung (2016)'!$A$3,"MA_HT","DBV","MA_QH","TMD")</f>
        <v>0</v>
      </c>
      <c r="Y32" s="50">
        <f ca="1">+GETPIVOTDATA("XBT4",'binhtrung (2016)'!$A$3,"MA_HT","DBV","MA_QH","SKC")</f>
        <v>0</v>
      </c>
      <c r="Z32" s="50">
        <f ca="1">+GETPIVOTDATA("XBT4",'binhtrung (2016)'!$A$3,"MA_HT","DBV","MA_QH","SKS")</f>
        <v>0</v>
      </c>
      <c r="AA32" s="52">
        <f ca="1">+SUM(AB32:AD32,AF32:AM32)</f>
        <v>0</v>
      </c>
      <c r="AB32" s="50">
        <f ca="1">+GETPIVOTDATA("XBT4",'binhtrung (2016)'!$A$3,"MA_HT","DBV","MA_QH","DGT")</f>
        <v>0</v>
      </c>
      <c r="AC32" s="50">
        <f ca="1">+GETPIVOTDATA("XBT4",'binhtrung (2016)'!$A$3,"MA_HT","DBV","MA_QH","DTL")</f>
        <v>0</v>
      </c>
      <c r="AD32" s="50">
        <f ca="1">+GETPIVOTDATA("XBT4",'binhtrung (2016)'!$A$3,"MA_HT","DBV","MA_QH","DNL")</f>
        <v>0</v>
      </c>
      <c r="AE32" s="49" t="e">
        <f ca="1">$D32-$BF32</f>
        <v>#REF!</v>
      </c>
      <c r="AF32" s="50">
        <f ca="1">+GETPIVOTDATA("XBT4",'binhtrung (2016)'!$A$3,"MA_HT","DBV","MA_QH","DVH")</f>
        <v>0</v>
      </c>
      <c r="AG32" s="50">
        <f ca="1">+GETPIVOTDATA("XBT4",'binhtrung (2016)'!$A$3,"MA_HT","DBV","MA_QH","DYT")</f>
        <v>0</v>
      </c>
      <c r="AH32" s="50">
        <f ca="1">+GETPIVOTDATA("XBT4",'binhtrung (2016)'!$A$3,"MA_HT","DBV","MA_QH","DGD")</f>
        <v>0</v>
      </c>
      <c r="AI32" s="50">
        <f ca="1">+GETPIVOTDATA("XBT4",'binhtrung (2016)'!$A$3,"MA_HT","DBV","MA_QH","DTT")</f>
        <v>0</v>
      </c>
      <c r="AJ32" s="50">
        <f ca="1">+GETPIVOTDATA("XBT4",'binhtrung (2016)'!$A$3,"MA_HT","DBV","MA_QH","NCK")</f>
        <v>0</v>
      </c>
      <c r="AK32" s="50">
        <f ca="1">+GETPIVOTDATA("XBT4",'binhtrung (2016)'!$A$3,"MA_HT","DBV","MA_QH","DXH")</f>
        <v>0</v>
      </c>
      <c r="AL32" s="50">
        <f ca="1">+GETPIVOTDATA("XBT4",'binhtrung (2016)'!$A$3,"MA_HT","DBV","MA_QH","DCH")</f>
        <v>0</v>
      </c>
      <c r="AM32" s="50">
        <f ca="1">+GETPIVOTDATA("XBT4",'binhtrung (2016)'!$A$3,"MA_HT","DBV","MA_QH","DKG")</f>
        <v>0</v>
      </c>
      <c r="AN32" s="50">
        <f ca="1">+GETPIVOTDATA("XBT4",'binhtrung (2016)'!$A$3,"MA_HT","DBV","MA_QH","DDT")</f>
        <v>0</v>
      </c>
      <c r="AO32" s="50">
        <f ca="1">+GETPIVOTDATA("XBT4",'binhtrung (2016)'!$A$3,"MA_HT","DBV","MA_QH","DDL")</f>
        <v>0</v>
      </c>
      <c r="AP32" s="50">
        <f ca="1">+GETPIVOTDATA("XBT4",'binhtrung (2016)'!$A$3,"MA_HT","DBV","MA_QH","DRA")</f>
        <v>0</v>
      </c>
      <c r="AQ32" s="50">
        <f ca="1">+GETPIVOTDATA("XBT4",'binhtrung (2016)'!$A$3,"MA_HT","DBV","MA_QH","ONT")</f>
        <v>0</v>
      </c>
      <c r="AR32" s="50">
        <f ca="1">+GETPIVOTDATA("XBT4",'binhtrung (2016)'!$A$3,"MA_HT","DBV","MA_QH","ODT")</f>
        <v>0</v>
      </c>
      <c r="AS32" s="50">
        <f ca="1">+GETPIVOTDATA("XBT4",'binhtrung (2016)'!$A$3,"MA_HT","DBV","MA_QH","TSC")</f>
        <v>0</v>
      </c>
      <c r="AT32" s="50">
        <f ca="1">+GETPIVOTDATA("XBT4",'binhtrung (2016)'!$A$3,"MA_HT","DBV","MA_QH","DTS")</f>
        <v>0</v>
      </c>
      <c r="AU32" s="50">
        <f ca="1">+GETPIVOTDATA("XBT4",'binhtrung (2016)'!$A$3,"MA_HT","DBV","MA_QH","DNG")</f>
        <v>0</v>
      </c>
      <c r="AV32" s="50">
        <f ca="1">+GETPIVOTDATA("XBT4",'binhtrung (2016)'!$A$3,"MA_HT","DBV","MA_QH","TON")</f>
        <v>0</v>
      </c>
      <c r="AW32" s="50">
        <f ca="1">+GETPIVOTDATA("XBT4",'binhtrung (2016)'!$A$3,"MA_HT","DBV","MA_QH","NTD")</f>
        <v>0</v>
      </c>
      <c r="AX32" s="50">
        <f ca="1">+GETPIVOTDATA("XBT4",'binhtrung (2016)'!$A$3,"MA_HT","DBV","MA_QH","SKX")</f>
        <v>0</v>
      </c>
      <c r="AY32" s="50">
        <f ca="1">+GETPIVOTDATA("XBT4",'binhtrung (2016)'!$A$3,"MA_HT","DBV","MA_QH","DSH")</f>
        <v>0</v>
      </c>
      <c r="AZ32" s="50">
        <f ca="1">+GETPIVOTDATA("XBT4",'binhtrung (2016)'!$A$3,"MA_HT","DBV","MA_QH","DKV")</f>
        <v>0</v>
      </c>
      <c r="BA32" s="88">
        <f ca="1">+GETPIVOTDATA("XBT4",'binhtrung (2016)'!$A$3,"MA_HT","DBV","MA_QH","TIN")</f>
        <v>0</v>
      </c>
      <c r="BB32" s="50">
        <f ca="1">+GETPIVOTDATA("XBT4",'binhtrung (2016)'!$A$3,"MA_HT","DBV","MA_QH","SON")</f>
        <v>0</v>
      </c>
      <c r="BC32" s="50">
        <f ca="1">+GETPIVOTDATA("XBT4",'binhtrung (2016)'!$A$3,"MA_HT","DBV","MA_QH","MNC")</f>
        <v>0</v>
      </c>
      <c r="BD32" s="50">
        <f ca="1">+GETPIVOTDATA("XBT4",'binhtrung (2016)'!$A$3,"MA_HT","DBV","MA_QH","PNK")</f>
        <v>0</v>
      </c>
      <c r="BE32" s="80">
        <f ca="1">+GETPIVOTDATA("XBT4",'binhtrung (2016)'!$A$3,"MA_HT","DBV","MA_QH","CSD")</f>
        <v>0</v>
      </c>
      <c r="BF32" s="103">
        <f ca="1" t="shared" si="13"/>
        <v>0</v>
      </c>
      <c r="BG32" s="104">
        <f ca="1">AE$59-$BF32</f>
        <v>0</v>
      </c>
      <c r="BH32" s="47" t="e">
        <f ca="1" t="shared" si="14"/>
        <v>#REF!</v>
      </c>
      <c r="BI32" s="105"/>
      <c r="BJ32" s="105" t="e">
        <f>#REF!</f>
        <v>#REF!</v>
      </c>
      <c r="BK32" s="108" t="e">
        <f ca="1" t="shared" si="19"/>
        <v>#REF!</v>
      </c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</row>
    <row r="33" s="4" customFormat="1" ht="16.5" customHeight="1" spans="1:79">
      <c r="A33" s="45" t="s">
        <v>8384</v>
      </c>
      <c r="B33" s="45" t="s">
        <v>8385</v>
      </c>
      <c r="C33" s="46" t="s">
        <v>212</v>
      </c>
      <c r="D33" s="47" t="e">
        <f>+#REF!</f>
        <v>#REF!</v>
      </c>
      <c r="E33" s="42">
        <f ca="1" t="shared" si="15"/>
        <v>0</v>
      </c>
      <c r="F33" s="52">
        <f ca="1" t="shared" si="9"/>
        <v>0</v>
      </c>
      <c r="G33" s="50">
        <f ca="1">+GETPIVOTDATA("XBT4",'binhtrung (2016)'!$A$3,"MA_HT","DVH","MA_QH","LUC")</f>
        <v>0</v>
      </c>
      <c r="H33" s="50">
        <f ca="1">+GETPIVOTDATA("XBT4",'binhtrung (2016)'!$A$3,"MA_HT","DVH","MA_QH","LUK")</f>
        <v>0</v>
      </c>
      <c r="I33" s="50">
        <f ca="1">+GETPIVOTDATA("XBT4",'binhtrung (2016)'!$A$3,"MA_HT","DVH","MA_QH","LUN")</f>
        <v>0</v>
      </c>
      <c r="J33" s="50">
        <f ca="1">+GETPIVOTDATA("XBT4",'binhtrung (2016)'!$A$3,"MA_HT","DVH","MA_QH","HNK")</f>
        <v>0</v>
      </c>
      <c r="K33" s="50">
        <f ca="1">+GETPIVOTDATA("XBT4",'binhtrung (2016)'!$A$3,"MA_HT","DVH","MA_QH","CLN")</f>
        <v>0</v>
      </c>
      <c r="L33" s="50">
        <f ca="1">+GETPIVOTDATA("XBT4",'binhtrung (2016)'!$A$3,"MA_HT","DVH","MA_QH","RSX")</f>
        <v>0</v>
      </c>
      <c r="M33" s="50">
        <f ca="1">+GETPIVOTDATA("XBT4",'binhtrung (2016)'!$A$3,"MA_HT","DVH","MA_QH","RPH")</f>
        <v>0</v>
      </c>
      <c r="N33" s="50">
        <f ca="1">+GETPIVOTDATA("XBT4",'binhtrung (2016)'!$A$3,"MA_HT","DVH","MA_QH","RDD")</f>
        <v>0</v>
      </c>
      <c r="O33" s="50">
        <f ca="1">+GETPIVOTDATA("XBT4",'binhtrung (2016)'!$A$3,"MA_HT","DVH","MA_QH","NTS")</f>
        <v>0</v>
      </c>
      <c r="P33" s="50">
        <f ca="1">+GETPIVOTDATA("XBT4",'binhtrung (2016)'!$A$3,"MA_HT","DVH","MA_QH","LMU")</f>
        <v>0</v>
      </c>
      <c r="Q33" s="50">
        <f ca="1">+GETPIVOTDATA("XBT4",'binhtrung (2016)'!$A$3,"MA_HT","DVH","MA_QH","NKH")</f>
        <v>0</v>
      </c>
      <c r="R33" s="48">
        <f ca="1" t="shared" si="20"/>
        <v>0</v>
      </c>
      <c r="S33" s="50">
        <f ca="1">+GETPIVOTDATA("XBT4",'binhtrung (2016)'!$A$3,"MA_HT","DVH","MA_QH","CQP")</f>
        <v>0</v>
      </c>
      <c r="T33" s="50">
        <f ca="1">+GETPIVOTDATA("XBT4",'binhtrung (2016)'!$A$3,"MA_HT","DVH","MA_QH","CAN")</f>
        <v>0</v>
      </c>
      <c r="U33" s="50">
        <f ca="1">+GETPIVOTDATA("XBT4",'binhtrung (2016)'!$A$3,"MA_HT","DVH","MA_QH","SKK")</f>
        <v>0</v>
      </c>
      <c r="V33" s="50">
        <f ca="1">+GETPIVOTDATA("XBT4",'binhtrung (2016)'!$A$3,"MA_HT","DVH","MA_QH","SKT")</f>
        <v>0</v>
      </c>
      <c r="W33" s="50">
        <f ca="1">+GETPIVOTDATA("XBT4",'binhtrung (2016)'!$A$3,"MA_HT","DVH","MA_QH","SKN")</f>
        <v>0</v>
      </c>
      <c r="X33" s="50">
        <f ca="1">+GETPIVOTDATA("XBT4",'binhtrung (2016)'!$A$3,"MA_HT","DVH","MA_QH","TMD")</f>
        <v>0</v>
      </c>
      <c r="Y33" s="50">
        <f ca="1">+GETPIVOTDATA("XBT4",'binhtrung (2016)'!$A$3,"MA_HT","DVH","MA_QH","SKC")</f>
        <v>0</v>
      </c>
      <c r="Z33" s="50">
        <f ca="1">+GETPIVOTDATA("XBT4",'binhtrung (2016)'!$A$3,"MA_HT","DVH","MA_QH","SKS")</f>
        <v>0</v>
      </c>
      <c r="AA33" s="52">
        <f ca="1">+SUM(AB33:AE33,AG33:AM33)</f>
        <v>0</v>
      </c>
      <c r="AB33" s="50">
        <f ca="1">+GETPIVOTDATA("XBT4",'binhtrung (2016)'!$A$3,"MA_HT","DVH","MA_QH","DGT")</f>
        <v>0</v>
      </c>
      <c r="AC33" s="50">
        <f ca="1">+GETPIVOTDATA("XBT4",'binhtrung (2016)'!$A$3,"MA_HT","DVH","MA_QH","DTL")</f>
        <v>0</v>
      </c>
      <c r="AD33" s="50">
        <f ca="1">+GETPIVOTDATA("XBT4",'binhtrung (2016)'!$A$3,"MA_HT","DVH","MA_QH","DNL")</f>
        <v>0</v>
      </c>
      <c r="AE33" s="50">
        <f ca="1">+GETPIVOTDATA("XBT4",'binhtrung (2016)'!$A$3,"MA_HT","DVH","MA_QH","DBV")</f>
        <v>0</v>
      </c>
      <c r="AF33" s="49" t="e">
        <f ca="1">$D33-$BF33</f>
        <v>#REF!</v>
      </c>
      <c r="AG33" s="50">
        <f ca="1">+GETPIVOTDATA("XBT4",'binhtrung (2016)'!$A$3,"MA_HT","DVH","MA_QH","DYT")</f>
        <v>0</v>
      </c>
      <c r="AH33" s="50">
        <f ca="1">+GETPIVOTDATA("XBT4",'binhtrung (2016)'!$A$3,"MA_HT","DVH","MA_QH","DGD")</f>
        <v>0</v>
      </c>
      <c r="AI33" s="50">
        <f ca="1">+GETPIVOTDATA("XBT4",'binhtrung (2016)'!$A$3,"MA_HT","DVH","MA_QH","DTT")</f>
        <v>0</v>
      </c>
      <c r="AJ33" s="50">
        <f ca="1">+GETPIVOTDATA("XBT4",'binhtrung (2016)'!$A$3,"MA_HT","DVH","MA_QH","NCK")</f>
        <v>0</v>
      </c>
      <c r="AK33" s="50">
        <f ca="1">+GETPIVOTDATA("XBT4",'binhtrung (2016)'!$A$3,"MA_HT","DVH","MA_QH","DXH")</f>
        <v>0</v>
      </c>
      <c r="AL33" s="50">
        <f ca="1">+GETPIVOTDATA("XBT4",'binhtrung (2016)'!$A$3,"MA_HT","DVH","MA_QH","DCH")</f>
        <v>0</v>
      </c>
      <c r="AM33" s="50">
        <f ca="1">+GETPIVOTDATA("XBT4",'binhtrung (2016)'!$A$3,"MA_HT","DVH","MA_QH","DKG")</f>
        <v>0</v>
      </c>
      <c r="AN33" s="50">
        <f ca="1">+GETPIVOTDATA("XBT4",'binhtrung (2016)'!$A$3,"MA_HT","DVH","MA_QH","DDT")</f>
        <v>0</v>
      </c>
      <c r="AO33" s="50">
        <f ca="1">+GETPIVOTDATA("XBT4",'binhtrung (2016)'!$A$3,"MA_HT","DVH","MA_QH","DDL")</f>
        <v>0</v>
      </c>
      <c r="AP33" s="50">
        <f ca="1">+GETPIVOTDATA("XBT4",'binhtrung (2016)'!$A$3,"MA_HT","DVH","MA_QH","DRA")</f>
        <v>0</v>
      </c>
      <c r="AQ33" s="50">
        <f ca="1">+GETPIVOTDATA("XBT4",'binhtrung (2016)'!$A$3,"MA_HT","DVH","MA_QH","ONT")</f>
        <v>0</v>
      </c>
      <c r="AR33" s="50">
        <f ca="1">+GETPIVOTDATA("XBT4",'binhtrung (2016)'!$A$3,"MA_HT","DVH","MA_QH","ODT")</f>
        <v>0</v>
      </c>
      <c r="AS33" s="50">
        <f ca="1">+GETPIVOTDATA("XBT4",'binhtrung (2016)'!$A$3,"MA_HT","DVH","MA_QH","TSC")</f>
        <v>0</v>
      </c>
      <c r="AT33" s="50">
        <f ca="1">+GETPIVOTDATA("XBT4",'binhtrung (2016)'!$A$3,"MA_HT","DVH","MA_QH","DTS")</f>
        <v>0</v>
      </c>
      <c r="AU33" s="50">
        <f ca="1">+GETPIVOTDATA("XBT4",'binhtrung (2016)'!$A$3,"MA_HT","DVH","MA_QH","DNG")</f>
        <v>0</v>
      </c>
      <c r="AV33" s="50">
        <f ca="1">+GETPIVOTDATA("XBT4",'binhtrung (2016)'!$A$3,"MA_HT","DVH","MA_QH","TON")</f>
        <v>0</v>
      </c>
      <c r="AW33" s="50">
        <f ca="1">+GETPIVOTDATA("XBT4",'binhtrung (2016)'!$A$3,"MA_HT","DVH","MA_QH","NTD")</f>
        <v>0</v>
      </c>
      <c r="AX33" s="50">
        <f ca="1">+GETPIVOTDATA("XBT4",'binhtrung (2016)'!$A$3,"MA_HT","DVH","MA_QH","SKX")</f>
        <v>0</v>
      </c>
      <c r="AY33" s="50">
        <f ca="1">+GETPIVOTDATA("XBT4",'binhtrung (2016)'!$A$3,"MA_HT","DVH","MA_QH","DSH")</f>
        <v>0</v>
      </c>
      <c r="AZ33" s="50">
        <f ca="1">+GETPIVOTDATA("XBT4",'binhtrung (2016)'!$A$3,"MA_HT","DVH","MA_QH","DKV")</f>
        <v>0</v>
      </c>
      <c r="BA33" s="88">
        <f ca="1">+GETPIVOTDATA("XBT4",'binhtrung (2016)'!$A$3,"MA_HT","DVH","MA_QH","TIN")</f>
        <v>0</v>
      </c>
      <c r="BB33" s="50">
        <f ca="1">+GETPIVOTDATA("XBT4",'binhtrung (2016)'!$A$3,"MA_HT","DVH","MA_QH","SON")</f>
        <v>0</v>
      </c>
      <c r="BC33" s="50">
        <f ca="1">+GETPIVOTDATA("XBT4",'binhtrung (2016)'!$A$3,"MA_HT","DVH","MA_QH","MNC")</f>
        <v>0</v>
      </c>
      <c r="BD33" s="50">
        <f ca="1">+GETPIVOTDATA("XBT4",'binhtrung (2016)'!$A$3,"MA_HT","DVH","MA_QH","PNK")</f>
        <v>0</v>
      </c>
      <c r="BE33" s="80">
        <f ca="1">+GETPIVOTDATA("XBT4",'binhtrung (2016)'!$A$3,"MA_HT","DVH","MA_QH","CSD")</f>
        <v>0</v>
      </c>
      <c r="BF33" s="103">
        <f ca="1" t="shared" si="13"/>
        <v>0</v>
      </c>
      <c r="BG33" s="104">
        <f ca="1">AF$59-$BF33</f>
        <v>0</v>
      </c>
      <c r="BH33" s="47" t="e">
        <f ca="1" t="shared" si="14"/>
        <v>#REF!</v>
      </c>
      <c r="BI33" s="105"/>
      <c r="BJ33" s="105" t="e">
        <f>#REF!</f>
        <v>#REF!</v>
      </c>
      <c r="BK33" s="108" t="e">
        <f ca="1" t="shared" si="19"/>
        <v>#REF!</v>
      </c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</row>
    <row r="34" s="4" customFormat="1" ht="16.5" customHeight="1" spans="1:79">
      <c r="A34" s="45" t="s">
        <v>8386</v>
      </c>
      <c r="B34" s="45" t="s">
        <v>8387</v>
      </c>
      <c r="C34" s="46" t="s">
        <v>8296</v>
      </c>
      <c r="D34" s="47" t="e">
        <f>+#REF!</f>
        <v>#REF!</v>
      </c>
      <c r="E34" s="42">
        <f ca="1" t="shared" si="15"/>
        <v>0</v>
      </c>
      <c r="F34" s="52">
        <f ca="1" t="shared" si="9"/>
        <v>0</v>
      </c>
      <c r="G34" s="50">
        <f ca="1">+GETPIVOTDATA("XBT4",'binhtrung (2016)'!$A$3,"MA_HT","DYT","MA_QH","LUC")</f>
        <v>0</v>
      </c>
      <c r="H34" s="50">
        <f ca="1">+GETPIVOTDATA("XBT4",'binhtrung (2016)'!$A$3,"MA_HT","DYT","MA_QH","LUK")</f>
        <v>0</v>
      </c>
      <c r="I34" s="50">
        <f ca="1">+GETPIVOTDATA("XBT4",'binhtrung (2016)'!$A$3,"MA_HT","DYT","MA_QH","LUN")</f>
        <v>0</v>
      </c>
      <c r="J34" s="50">
        <f ca="1">+GETPIVOTDATA("XBT4",'binhtrung (2016)'!$A$3,"MA_HT","DYT","MA_QH","HNK")</f>
        <v>0</v>
      </c>
      <c r="K34" s="50">
        <f ca="1">+GETPIVOTDATA("XBT4",'binhtrung (2016)'!$A$3,"MA_HT","DYT","MA_QH","CLN")</f>
        <v>0</v>
      </c>
      <c r="L34" s="50">
        <f ca="1">+GETPIVOTDATA("XBT4",'binhtrung (2016)'!$A$3,"MA_HT","DYT","MA_QH","RSX")</f>
        <v>0</v>
      </c>
      <c r="M34" s="50">
        <f ca="1">+GETPIVOTDATA("XBT4",'binhtrung (2016)'!$A$3,"MA_HT","DYT","MA_QH","RPH")</f>
        <v>0</v>
      </c>
      <c r="N34" s="50">
        <f ca="1">+GETPIVOTDATA("XBT4",'binhtrung (2016)'!$A$3,"MA_HT","DYT","MA_QH","RDD")</f>
        <v>0</v>
      </c>
      <c r="O34" s="50">
        <f ca="1">+GETPIVOTDATA("XBT4",'binhtrung (2016)'!$A$3,"MA_HT","DYT","MA_QH","NTS")</f>
        <v>0</v>
      </c>
      <c r="P34" s="50">
        <f ca="1">+GETPIVOTDATA("XBT4",'binhtrung (2016)'!$A$3,"MA_HT","DYT","MA_QH","LMU")</f>
        <v>0</v>
      </c>
      <c r="Q34" s="50">
        <f ca="1">+GETPIVOTDATA("XBT4",'binhtrung (2016)'!$A$3,"MA_HT","DYT","MA_QH","NKH")</f>
        <v>0</v>
      </c>
      <c r="R34" s="48">
        <f ca="1" t="shared" si="20"/>
        <v>0</v>
      </c>
      <c r="S34" s="50">
        <f ca="1">+GETPIVOTDATA("XBT4",'binhtrung (2016)'!$A$3,"MA_HT","DYT","MA_QH","CQP")</f>
        <v>0</v>
      </c>
      <c r="T34" s="50">
        <f ca="1">+GETPIVOTDATA("XBT4",'binhtrung (2016)'!$A$3,"MA_HT","DYT","MA_QH","CAN")</f>
        <v>0</v>
      </c>
      <c r="U34" s="50">
        <f ca="1">+GETPIVOTDATA("XBT4",'binhtrung (2016)'!$A$3,"MA_HT","DYT","MA_QH","SKK")</f>
        <v>0</v>
      </c>
      <c r="V34" s="50">
        <f ca="1">+GETPIVOTDATA("XBT4",'binhtrung (2016)'!$A$3,"MA_HT","DYT","MA_QH","SKT")</f>
        <v>0</v>
      </c>
      <c r="W34" s="50">
        <f ca="1">+GETPIVOTDATA("XBT4",'binhtrung (2016)'!$A$3,"MA_HT","DYT","MA_QH","SKN")</f>
        <v>0</v>
      </c>
      <c r="X34" s="50">
        <f ca="1">+GETPIVOTDATA("XBT4",'binhtrung (2016)'!$A$3,"MA_HT","DYT","MA_QH","TMD")</f>
        <v>0</v>
      </c>
      <c r="Y34" s="50">
        <f ca="1">+GETPIVOTDATA("XBT4",'binhtrung (2016)'!$A$3,"MA_HT","DYT","MA_QH","SKC")</f>
        <v>0</v>
      </c>
      <c r="Z34" s="50">
        <f ca="1">+GETPIVOTDATA("XBT4",'binhtrung (2016)'!$A$3,"MA_HT","DYT","MA_QH","SKS")</f>
        <v>0</v>
      </c>
      <c r="AA34" s="52">
        <f ca="1">+SUM(AB34:AF34,AH34:AM34)</f>
        <v>0</v>
      </c>
      <c r="AB34" s="50">
        <f ca="1">+GETPIVOTDATA("XBT4",'binhtrung (2016)'!$A$3,"MA_HT","DYT","MA_QH","DGT")</f>
        <v>0</v>
      </c>
      <c r="AC34" s="50">
        <f ca="1">+GETPIVOTDATA("XBT4",'binhtrung (2016)'!$A$3,"MA_HT","DYT","MA_QH","DTL")</f>
        <v>0</v>
      </c>
      <c r="AD34" s="50">
        <f ca="1">+GETPIVOTDATA("XBT4",'binhtrung (2016)'!$A$3,"MA_HT","DYT","MA_QH","DNL")</f>
        <v>0</v>
      </c>
      <c r="AE34" s="50">
        <f ca="1">+GETPIVOTDATA("XBT4",'binhtrung (2016)'!$A$3,"MA_HT","DYT","MA_QH","DBV")</f>
        <v>0</v>
      </c>
      <c r="AF34" s="50">
        <f ca="1">+GETPIVOTDATA("XBT4",'binhtrung (2016)'!$A$3,"MA_HT","DYT","MA_QH","DVH")</f>
        <v>0</v>
      </c>
      <c r="AG34" s="49" t="e">
        <f ca="1">$D34-$BF34</f>
        <v>#REF!</v>
      </c>
      <c r="AH34" s="50">
        <f ca="1">+GETPIVOTDATA("XBT4",'binhtrung (2016)'!$A$3,"MA_HT","DYT","MA_QH","DGD")</f>
        <v>0</v>
      </c>
      <c r="AI34" s="50">
        <f ca="1">+GETPIVOTDATA("XBT4",'binhtrung (2016)'!$A$3,"MA_HT","DYT","MA_QH","DTT")</f>
        <v>0</v>
      </c>
      <c r="AJ34" s="50">
        <f ca="1">+GETPIVOTDATA("XBT4",'binhtrung (2016)'!$A$3,"MA_HT","DYT","MA_QH","NCK")</f>
        <v>0</v>
      </c>
      <c r="AK34" s="50">
        <f ca="1">+GETPIVOTDATA("XBT4",'binhtrung (2016)'!$A$3,"MA_HT","DYT","MA_QH","DXH")</f>
        <v>0</v>
      </c>
      <c r="AL34" s="50">
        <f ca="1">+GETPIVOTDATA("XBT4",'binhtrung (2016)'!$A$3,"MA_HT","DYT","MA_QH","DCH")</f>
        <v>0</v>
      </c>
      <c r="AM34" s="50">
        <f ca="1">+GETPIVOTDATA("XBT4",'binhtrung (2016)'!$A$3,"MA_HT","DYT","MA_QH","DKG")</f>
        <v>0</v>
      </c>
      <c r="AN34" s="50">
        <f ca="1">+GETPIVOTDATA("XBT4",'binhtrung (2016)'!$A$3,"MA_HT","DYT","MA_QH","DDT")</f>
        <v>0</v>
      </c>
      <c r="AO34" s="50">
        <f ca="1">+GETPIVOTDATA("XBT4",'binhtrung (2016)'!$A$3,"MA_HT","DYT","MA_QH","DDL")</f>
        <v>0</v>
      </c>
      <c r="AP34" s="50">
        <f ca="1">+GETPIVOTDATA("XBT4",'binhtrung (2016)'!$A$3,"MA_HT","DYT","MA_QH","DRA")</f>
        <v>0</v>
      </c>
      <c r="AQ34" s="50">
        <f ca="1">+GETPIVOTDATA("XBT4",'binhtrung (2016)'!$A$3,"MA_HT","DYT","MA_QH","ONT")</f>
        <v>0</v>
      </c>
      <c r="AR34" s="50">
        <f ca="1">+GETPIVOTDATA("XBT4",'binhtrung (2016)'!$A$3,"MA_HT","DYT","MA_QH","ODT")</f>
        <v>0</v>
      </c>
      <c r="AS34" s="50">
        <f ca="1">+GETPIVOTDATA("XBT4",'binhtrung (2016)'!$A$3,"MA_HT","DYT","MA_QH","TSC")</f>
        <v>0</v>
      </c>
      <c r="AT34" s="50">
        <f ca="1">+GETPIVOTDATA("XBT4",'binhtrung (2016)'!$A$3,"MA_HT","DYT","MA_QH","DTS")</f>
        <v>0</v>
      </c>
      <c r="AU34" s="50">
        <f ca="1">+GETPIVOTDATA("XBT4",'binhtrung (2016)'!$A$3,"MA_HT","DYT","MA_QH","DNG")</f>
        <v>0</v>
      </c>
      <c r="AV34" s="50">
        <f ca="1">+GETPIVOTDATA("XBT4",'binhtrung (2016)'!$A$3,"MA_HT","DYT","MA_QH","TON")</f>
        <v>0</v>
      </c>
      <c r="AW34" s="50">
        <f ca="1">+GETPIVOTDATA("XBT4",'binhtrung (2016)'!$A$3,"MA_HT","DYT","MA_QH","NTD")</f>
        <v>0</v>
      </c>
      <c r="AX34" s="50">
        <f ca="1">+GETPIVOTDATA("XBT4",'binhtrung (2016)'!$A$3,"MA_HT","DYT","MA_QH","SKX")</f>
        <v>0</v>
      </c>
      <c r="AY34" s="50">
        <f ca="1">+GETPIVOTDATA("XBT4",'binhtrung (2016)'!$A$3,"MA_HT","DYT","MA_QH","DSH")</f>
        <v>0</v>
      </c>
      <c r="AZ34" s="50">
        <f ca="1">+GETPIVOTDATA("XBT4",'binhtrung (2016)'!$A$3,"MA_HT","DYT","MA_QH","DKV")</f>
        <v>0</v>
      </c>
      <c r="BA34" s="88">
        <f ca="1">+GETPIVOTDATA("XBT4",'binhtrung (2016)'!$A$3,"MA_HT","DYT","MA_QH","TIN")</f>
        <v>0</v>
      </c>
      <c r="BB34" s="50">
        <f ca="1">+GETPIVOTDATA("XBT4",'binhtrung (2016)'!$A$3,"MA_HT","DYT","MA_QH","SON")</f>
        <v>0</v>
      </c>
      <c r="BC34" s="50">
        <f ca="1">+GETPIVOTDATA("XBT4",'binhtrung (2016)'!$A$3,"MA_HT","DYT","MA_QH","MNC")</f>
        <v>0</v>
      </c>
      <c r="BD34" s="50">
        <f ca="1">+GETPIVOTDATA("XBT4",'binhtrung (2016)'!$A$3,"MA_HT","DYT","MA_QH","PNK")</f>
        <v>0</v>
      </c>
      <c r="BE34" s="80">
        <f ca="1">+GETPIVOTDATA("XBT4",'binhtrung (2016)'!$A$3,"MA_HT","DYT","MA_QH","CSD")</f>
        <v>0</v>
      </c>
      <c r="BF34" s="103">
        <f ca="1" t="shared" si="13"/>
        <v>0</v>
      </c>
      <c r="BG34" s="104">
        <f ca="1">AG$59-$BF34</f>
        <v>0</v>
      </c>
      <c r="BH34" s="47" t="e">
        <f ca="1" t="shared" si="14"/>
        <v>#REF!</v>
      </c>
      <c r="BI34" s="105"/>
      <c r="BJ34" s="105" t="e">
        <f>#REF!</f>
        <v>#REF!</v>
      </c>
      <c r="BK34" s="108" t="e">
        <f ca="1" t="shared" si="19"/>
        <v>#REF!</v>
      </c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</row>
    <row r="35" s="4" customFormat="1" ht="16.5" customHeight="1" spans="1:79">
      <c r="A35" s="45" t="s">
        <v>8388</v>
      </c>
      <c r="B35" s="45" t="s">
        <v>8389</v>
      </c>
      <c r="C35" s="46" t="s">
        <v>165</v>
      </c>
      <c r="D35" s="47" t="e">
        <f>+#REF!</f>
        <v>#REF!</v>
      </c>
      <c r="E35" s="42">
        <f ca="1" t="shared" si="15"/>
        <v>0</v>
      </c>
      <c r="F35" s="52">
        <f ca="1" t="shared" si="9"/>
        <v>0</v>
      </c>
      <c r="G35" s="50">
        <f ca="1">+GETPIVOTDATA("XBT4",'binhtrung (2016)'!$A$3,"MA_HT","DGD","MA_QH","LUC")</f>
        <v>0</v>
      </c>
      <c r="H35" s="50">
        <f ca="1">+GETPIVOTDATA("XBT4",'binhtrung (2016)'!$A$3,"MA_HT","DGD","MA_QH","LUK")</f>
        <v>0</v>
      </c>
      <c r="I35" s="50">
        <f ca="1">+GETPIVOTDATA("XBT4",'binhtrung (2016)'!$A$3,"MA_HT","DGD","MA_QH","LUN")</f>
        <v>0</v>
      </c>
      <c r="J35" s="50">
        <f ca="1">+GETPIVOTDATA("XBT4",'binhtrung (2016)'!$A$3,"MA_HT","DGD","MA_QH","HNK")</f>
        <v>0</v>
      </c>
      <c r="K35" s="50">
        <f ca="1">+GETPIVOTDATA("XBT4",'binhtrung (2016)'!$A$3,"MA_HT","DGD","MA_QH","CLN")</f>
        <v>0</v>
      </c>
      <c r="L35" s="50">
        <f ca="1">+GETPIVOTDATA("XBT4",'binhtrung (2016)'!$A$3,"MA_HT","DGD","MA_QH","RSX")</f>
        <v>0</v>
      </c>
      <c r="M35" s="50">
        <f ca="1">+GETPIVOTDATA("XBT4",'binhtrung (2016)'!$A$3,"MA_HT","DGD","MA_QH","RPH")</f>
        <v>0</v>
      </c>
      <c r="N35" s="50">
        <f ca="1">+GETPIVOTDATA("XBT4",'binhtrung (2016)'!$A$3,"MA_HT","DGD","MA_QH","RDD")</f>
        <v>0</v>
      </c>
      <c r="O35" s="50">
        <f ca="1">+GETPIVOTDATA("XBT4",'binhtrung (2016)'!$A$3,"MA_HT","DGD","MA_QH","NTS")</f>
        <v>0</v>
      </c>
      <c r="P35" s="50">
        <f ca="1">+GETPIVOTDATA("XBT4",'binhtrung (2016)'!$A$3,"MA_HT","DGD","MA_QH","LMU")</f>
        <v>0</v>
      </c>
      <c r="Q35" s="50">
        <f ca="1">+GETPIVOTDATA("XBT4",'binhtrung (2016)'!$A$3,"MA_HT","DGD","MA_QH","NKH")</f>
        <v>0</v>
      </c>
      <c r="R35" s="48">
        <f ca="1" t="shared" si="20"/>
        <v>0</v>
      </c>
      <c r="S35" s="50">
        <f ca="1">+GETPIVOTDATA("XBT4",'binhtrung (2016)'!$A$3,"MA_HT","DGD","MA_QH","CQP")</f>
        <v>0</v>
      </c>
      <c r="T35" s="50">
        <f ca="1">+GETPIVOTDATA("XBT4",'binhtrung (2016)'!$A$3,"MA_HT","DGD","MA_QH","CAN")</f>
        <v>0</v>
      </c>
      <c r="U35" s="50">
        <f ca="1">+GETPIVOTDATA("XBT4",'binhtrung (2016)'!$A$3,"MA_HT","DGD","MA_QH","SKK")</f>
        <v>0</v>
      </c>
      <c r="V35" s="50">
        <f ca="1">+GETPIVOTDATA("XBT4",'binhtrung (2016)'!$A$3,"MA_HT","DGD","MA_QH","SKT")</f>
        <v>0</v>
      </c>
      <c r="W35" s="50">
        <f ca="1">+GETPIVOTDATA("XBT4",'binhtrung (2016)'!$A$3,"MA_HT","DGD","MA_QH","SKN")</f>
        <v>0</v>
      </c>
      <c r="X35" s="50">
        <f ca="1">+GETPIVOTDATA("XBT4",'binhtrung (2016)'!$A$3,"MA_HT","DGD","MA_QH","TMD")</f>
        <v>0</v>
      </c>
      <c r="Y35" s="50">
        <f ca="1">+GETPIVOTDATA("XBT4",'binhtrung (2016)'!$A$3,"MA_HT","DGD","MA_QH","SKC")</f>
        <v>0</v>
      </c>
      <c r="Z35" s="50">
        <f ca="1">+GETPIVOTDATA("XBT4",'binhtrung (2016)'!$A$3,"MA_HT","DGD","MA_QH","SKS")</f>
        <v>0</v>
      </c>
      <c r="AA35" s="52">
        <f ca="1">+SUM(AB35:AG35,AI35:AM35)</f>
        <v>0</v>
      </c>
      <c r="AB35" s="50">
        <f ca="1">+GETPIVOTDATA("XBT4",'binhtrung (2016)'!$A$3,"MA_HT","DGD","MA_QH","DGT")</f>
        <v>0</v>
      </c>
      <c r="AC35" s="50">
        <f ca="1">+GETPIVOTDATA("XBT4",'binhtrung (2016)'!$A$3,"MA_HT","DGD","MA_QH","DTL")</f>
        <v>0</v>
      </c>
      <c r="AD35" s="50">
        <f ca="1">+GETPIVOTDATA("XBT4",'binhtrung (2016)'!$A$3,"MA_HT","DGD","MA_QH","DNL")</f>
        <v>0</v>
      </c>
      <c r="AE35" s="50">
        <f ca="1">+GETPIVOTDATA("XBT4",'binhtrung (2016)'!$A$3,"MA_HT","DGD","MA_QH","DBV")</f>
        <v>0</v>
      </c>
      <c r="AF35" s="50">
        <f ca="1">+GETPIVOTDATA("XBT4",'binhtrung (2016)'!$A$3,"MA_HT","DGD","MA_QH","DVH")</f>
        <v>0</v>
      </c>
      <c r="AG35" s="50">
        <f ca="1">+GETPIVOTDATA("XBT4",'binhtrung (2016)'!$A$3,"MA_HT","DGD","MA_QH","DYT")</f>
        <v>0</v>
      </c>
      <c r="AH35" s="49" t="e">
        <f ca="1">$D35-$BF35</f>
        <v>#REF!</v>
      </c>
      <c r="AI35" s="50">
        <f ca="1">+GETPIVOTDATA("XBT4",'binhtrung (2016)'!$A$3,"MA_HT","DGD","MA_QH","DTT")</f>
        <v>0</v>
      </c>
      <c r="AJ35" s="50">
        <f ca="1">+GETPIVOTDATA("XBT4",'binhtrung (2016)'!$A$3,"MA_HT","DGD","MA_QH","NCK")</f>
        <v>0</v>
      </c>
      <c r="AK35" s="50">
        <f ca="1">+GETPIVOTDATA("XBT4",'binhtrung (2016)'!$A$3,"MA_HT","DGD","MA_QH","DXH")</f>
        <v>0</v>
      </c>
      <c r="AL35" s="50">
        <f ca="1">+GETPIVOTDATA("XBT4",'binhtrung (2016)'!$A$3,"MA_HT","DGD","MA_QH","DCH")</f>
        <v>0</v>
      </c>
      <c r="AM35" s="50">
        <f ca="1">+GETPIVOTDATA("XBT4",'binhtrung (2016)'!$A$3,"MA_HT","DGD","MA_QH","DKG")</f>
        <v>0</v>
      </c>
      <c r="AN35" s="50">
        <f ca="1">+GETPIVOTDATA("XBT4",'binhtrung (2016)'!$A$3,"MA_HT","DGD","MA_QH","DDT")</f>
        <v>0</v>
      </c>
      <c r="AO35" s="50">
        <f ca="1">+GETPIVOTDATA("XBT4",'binhtrung (2016)'!$A$3,"MA_HT","DGD","MA_QH","DDL")</f>
        <v>0</v>
      </c>
      <c r="AP35" s="50">
        <f ca="1">+GETPIVOTDATA("XBT4",'binhtrung (2016)'!$A$3,"MA_HT","DGD","MA_QH","DRA")</f>
        <v>0</v>
      </c>
      <c r="AQ35" s="50">
        <f ca="1">+GETPIVOTDATA("XBT4",'binhtrung (2016)'!$A$3,"MA_HT","DGD","MA_QH","ONT")</f>
        <v>0</v>
      </c>
      <c r="AR35" s="50">
        <f ca="1">+GETPIVOTDATA("XBT4",'binhtrung (2016)'!$A$3,"MA_HT","DGD","MA_QH","ODT")</f>
        <v>0</v>
      </c>
      <c r="AS35" s="50">
        <f ca="1">+GETPIVOTDATA("XBT4",'binhtrung (2016)'!$A$3,"MA_HT","DGD","MA_QH","TSC")</f>
        <v>0</v>
      </c>
      <c r="AT35" s="50">
        <f ca="1">+GETPIVOTDATA("XBT4",'binhtrung (2016)'!$A$3,"MA_HT","DGD","MA_QH","DTS")</f>
        <v>0</v>
      </c>
      <c r="AU35" s="50">
        <f ca="1">+GETPIVOTDATA("XBT4",'binhtrung (2016)'!$A$3,"MA_HT","DGD","MA_QH","DNG")</f>
        <v>0</v>
      </c>
      <c r="AV35" s="50">
        <f ca="1">+GETPIVOTDATA("XBT4",'binhtrung (2016)'!$A$3,"MA_HT","DGD","MA_QH","TON")</f>
        <v>0</v>
      </c>
      <c r="AW35" s="50">
        <f ca="1">+GETPIVOTDATA("XBT4",'binhtrung (2016)'!$A$3,"MA_HT","DGD","MA_QH","NTD")</f>
        <v>0</v>
      </c>
      <c r="AX35" s="50">
        <f ca="1">+GETPIVOTDATA("XBT4",'binhtrung (2016)'!$A$3,"MA_HT","DGD","MA_QH","SKX")</f>
        <v>0</v>
      </c>
      <c r="AY35" s="50">
        <f ca="1">+GETPIVOTDATA("XBT4",'binhtrung (2016)'!$A$3,"MA_HT","DGD","MA_QH","DSH")</f>
        <v>0</v>
      </c>
      <c r="AZ35" s="50">
        <f ca="1">+GETPIVOTDATA("XBT4",'binhtrung (2016)'!$A$3,"MA_HT","DGD","MA_QH","DKV")</f>
        <v>0</v>
      </c>
      <c r="BA35" s="88">
        <f ca="1">+GETPIVOTDATA("XBT4",'binhtrung (2016)'!$A$3,"MA_HT","DGD","MA_QH","TIN")</f>
        <v>0</v>
      </c>
      <c r="BB35" s="50">
        <f ca="1">+GETPIVOTDATA("XBT4",'binhtrung (2016)'!$A$3,"MA_HT","DGD","MA_QH","SON")</f>
        <v>0</v>
      </c>
      <c r="BC35" s="50">
        <f ca="1">+GETPIVOTDATA("XBT4",'binhtrung (2016)'!$A$3,"MA_HT","DGD","MA_QH","MNC")</f>
        <v>0</v>
      </c>
      <c r="BD35" s="50">
        <f ca="1">+GETPIVOTDATA("XBT4",'binhtrung (2016)'!$A$3,"MA_HT","DGD","MA_QH","PNK")</f>
        <v>0</v>
      </c>
      <c r="BE35" s="80">
        <f ca="1">+GETPIVOTDATA("XBT4",'binhtrung (2016)'!$A$3,"MA_HT","DGD","MA_QH","CSD")</f>
        <v>0</v>
      </c>
      <c r="BF35" s="103">
        <f ca="1" t="shared" si="13"/>
        <v>0</v>
      </c>
      <c r="BG35" s="104">
        <f ca="1">AH$59-$BF35</f>
        <v>0</v>
      </c>
      <c r="BH35" s="47" t="e">
        <f ca="1" t="shared" si="14"/>
        <v>#REF!</v>
      </c>
      <c r="BI35" s="105"/>
      <c r="BJ35" s="105" t="e">
        <f>#REF!</f>
        <v>#REF!</v>
      </c>
      <c r="BK35" s="108" t="e">
        <f ca="1" t="shared" si="19"/>
        <v>#REF!</v>
      </c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</row>
    <row r="36" s="4" customFormat="1" ht="16.5" customHeight="1" spans="1:79">
      <c r="A36" s="45" t="s">
        <v>8390</v>
      </c>
      <c r="B36" s="45" t="s">
        <v>8391</v>
      </c>
      <c r="C36" s="46" t="s">
        <v>8294</v>
      </c>
      <c r="D36" s="47" t="e">
        <f>+#REF!</f>
        <v>#REF!</v>
      </c>
      <c r="E36" s="42">
        <f ca="1" t="shared" si="15"/>
        <v>0</v>
      </c>
      <c r="F36" s="52">
        <f ca="1" t="shared" si="9"/>
        <v>0</v>
      </c>
      <c r="G36" s="50">
        <f ca="1">+GETPIVOTDATA("XBT4",'binhtrung (2016)'!$A$3,"MA_HT","DTT","MA_QH","LUC")</f>
        <v>0</v>
      </c>
      <c r="H36" s="50">
        <f ca="1">+GETPIVOTDATA("XBT4",'binhtrung (2016)'!$A$3,"MA_HT","DTT","MA_QH","LUK")</f>
        <v>0</v>
      </c>
      <c r="I36" s="50">
        <f ca="1">+GETPIVOTDATA("XBT4",'binhtrung (2016)'!$A$3,"MA_HT","DTT","MA_QH","LUN")</f>
        <v>0</v>
      </c>
      <c r="J36" s="50">
        <f ca="1">+GETPIVOTDATA("XBT4",'binhtrung (2016)'!$A$3,"MA_HT","DTT","MA_QH","HNK")</f>
        <v>0</v>
      </c>
      <c r="K36" s="50">
        <f ca="1">+GETPIVOTDATA("XBT4",'binhtrung (2016)'!$A$3,"MA_HT","DTT","MA_QH","CLN")</f>
        <v>0</v>
      </c>
      <c r="L36" s="50">
        <f ca="1">+GETPIVOTDATA("XBT4",'binhtrung (2016)'!$A$3,"MA_HT","DTT","MA_QH","RSX")</f>
        <v>0</v>
      </c>
      <c r="M36" s="50">
        <f ca="1">+GETPIVOTDATA("XBT4",'binhtrung (2016)'!$A$3,"MA_HT","DTT","MA_QH","RPH")</f>
        <v>0</v>
      </c>
      <c r="N36" s="50">
        <f ca="1">+GETPIVOTDATA("XBT4",'binhtrung (2016)'!$A$3,"MA_HT","DTT","MA_QH","RDD")</f>
        <v>0</v>
      </c>
      <c r="O36" s="50">
        <f ca="1">+GETPIVOTDATA("XBT4",'binhtrung (2016)'!$A$3,"MA_HT","DTT","MA_QH","NTS")</f>
        <v>0</v>
      </c>
      <c r="P36" s="50">
        <f ca="1">+GETPIVOTDATA("XBT4",'binhtrung (2016)'!$A$3,"MA_HT","DTT","MA_QH","LMU")</f>
        <v>0</v>
      </c>
      <c r="Q36" s="50">
        <f ca="1">+GETPIVOTDATA("XBT4",'binhtrung (2016)'!$A$3,"MA_HT","DTT","MA_QH","NKH")</f>
        <v>0</v>
      </c>
      <c r="R36" s="48">
        <f ca="1" t="shared" si="20"/>
        <v>0</v>
      </c>
      <c r="S36" s="50">
        <f ca="1">+GETPIVOTDATA("XBT4",'binhtrung (2016)'!$A$3,"MA_HT","DTT","MA_QH","CQP")</f>
        <v>0</v>
      </c>
      <c r="T36" s="50">
        <f ca="1">+GETPIVOTDATA("XBT4",'binhtrung (2016)'!$A$3,"MA_HT","DTT","MA_QH","CAN")</f>
        <v>0</v>
      </c>
      <c r="U36" s="50">
        <f ca="1">+GETPIVOTDATA("XBT4",'binhtrung (2016)'!$A$3,"MA_HT","DTT","MA_QH","SKK")</f>
        <v>0</v>
      </c>
      <c r="V36" s="50">
        <f ca="1">+GETPIVOTDATA("XBT4",'binhtrung (2016)'!$A$3,"MA_HT","DTT","MA_QH","SKT")</f>
        <v>0</v>
      </c>
      <c r="W36" s="50">
        <f ca="1">+GETPIVOTDATA("XBT4",'binhtrung (2016)'!$A$3,"MA_HT","DTT","MA_QH","SKN")</f>
        <v>0</v>
      </c>
      <c r="X36" s="50">
        <f ca="1">+GETPIVOTDATA("XBT4",'binhtrung (2016)'!$A$3,"MA_HT","DTT","MA_QH","TMD")</f>
        <v>0</v>
      </c>
      <c r="Y36" s="50">
        <f ca="1">+GETPIVOTDATA("XBT4",'binhtrung (2016)'!$A$3,"MA_HT","DTT","MA_QH","SKC")</f>
        <v>0</v>
      </c>
      <c r="Z36" s="50">
        <f ca="1">+GETPIVOTDATA("XBT4",'binhtrung (2016)'!$A$3,"MA_HT","DTT","MA_QH","SKS")</f>
        <v>0</v>
      </c>
      <c r="AA36" s="52">
        <f ca="1">+SUM(AB36:AH36,AJ36:AM36)</f>
        <v>0</v>
      </c>
      <c r="AB36" s="50">
        <f ca="1">+GETPIVOTDATA("XBT4",'binhtrung (2016)'!$A$3,"MA_HT","DTT","MA_QH","DGT")</f>
        <v>0</v>
      </c>
      <c r="AC36" s="50">
        <f ca="1">+GETPIVOTDATA("XBT4",'binhtrung (2016)'!$A$3,"MA_HT","DTT","MA_QH","DTL")</f>
        <v>0</v>
      </c>
      <c r="AD36" s="50">
        <f ca="1">+GETPIVOTDATA("XBT4",'binhtrung (2016)'!$A$3,"MA_HT","DTT","MA_QH","DNL")</f>
        <v>0</v>
      </c>
      <c r="AE36" s="50">
        <f ca="1">+GETPIVOTDATA("XBT4",'binhtrung (2016)'!$A$3,"MA_HT","DTT","MA_QH","DBV")</f>
        <v>0</v>
      </c>
      <c r="AF36" s="50">
        <f ca="1">+GETPIVOTDATA("XBT4",'binhtrung (2016)'!$A$3,"MA_HT","DTT","MA_QH","DVH")</f>
        <v>0</v>
      </c>
      <c r="AG36" s="50">
        <f ca="1">+GETPIVOTDATA("XBT4",'binhtrung (2016)'!$A$3,"MA_HT","DTT","MA_QH","DYT")</f>
        <v>0</v>
      </c>
      <c r="AH36" s="50">
        <f ca="1">+GETPIVOTDATA("XBT4",'binhtrung (2016)'!$A$3,"MA_HT","DTT","MA_QH","DGD")</f>
        <v>0</v>
      </c>
      <c r="AI36" s="49" t="e">
        <f ca="1">$D36-$BF36</f>
        <v>#REF!</v>
      </c>
      <c r="AJ36" s="50">
        <f ca="1">+GETPIVOTDATA("XBT4",'binhtrung (2016)'!$A$3,"MA_HT","DTT","MA_QH","NCK")</f>
        <v>0</v>
      </c>
      <c r="AK36" s="50">
        <f ca="1">+GETPIVOTDATA("XBT4",'binhtrung (2016)'!$A$3,"MA_HT","DTT","MA_QH","DXH")</f>
        <v>0</v>
      </c>
      <c r="AL36" s="50">
        <f ca="1">+GETPIVOTDATA("XBT4",'binhtrung (2016)'!$A$3,"MA_HT","DTT","MA_QH","DCH")</f>
        <v>0</v>
      </c>
      <c r="AM36" s="50">
        <f ca="1">+GETPIVOTDATA("XBT4",'binhtrung (2016)'!$A$3,"MA_HT","DTT","MA_QH","DKG")</f>
        <v>0</v>
      </c>
      <c r="AN36" s="50">
        <f ca="1">+GETPIVOTDATA("XBT4",'binhtrung (2016)'!$A$3,"MA_HT","DTT","MA_QH","DDT")</f>
        <v>0</v>
      </c>
      <c r="AO36" s="50">
        <f ca="1">+GETPIVOTDATA("XBT4",'binhtrung (2016)'!$A$3,"MA_HT","DTT","MA_QH","DDL")</f>
        <v>0</v>
      </c>
      <c r="AP36" s="50">
        <f ca="1">+GETPIVOTDATA("XBT4",'binhtrung (2016)'!$A$3,"MA_HT","DTT","MA_QH","DRA")</f>
        <v>0</v>
      </c>
      <c r="AQ36" s="50">
        <f ca="1">+GETPIVOTDATA("XBT4",'binhtrung (2016)'!$A$3,"MA_HT","DTT","MA_QH","ONT")</f>
        <v>0</v>
      </c>
      <c r="AR36" s="50">
        <f ca="1">+GETPIVOTDATA("XBT4",'binhtrung (2016)'!$A$3,"MA_HT","DTT","MA_QH","ODT")</f>
        <v>0</v>
      </c>
      <c r="AS36" s="50">
        <f ca="1">+GETPIVOTDATA("XBT4",'binhtrung (2016)'!$A$3,"MA_HT","DTT","MA_QH","TSC")</f>
        <v>0</v>
      </c>
      <c r="AT36" s="50">
        <f ca="1">+GETPIVOTDATA("XBT4",'binhtrung (2016)'!$A$3,"MA_HT","DTT","MA_QH","DTS")</f>
        <v>0</v>
      </c>
      <c r="AU36" s="50">
        <f ca="1">+GETPIVOTDATA("XBT4",'binhtrung (2016)'!$A$3,"MA_HT","DTT","MA_QH","DNG")</f>
        <v>0</v>
      </c>
      <c r="AV36" s="50">
        <f ca="1">+GETPIVOTDATA("XBT4",'binhtrung (2016)'!$A$3,"MA_HT","DTT","MA_QH","TON")</f>
        <v>0</v>
      </c>
      <c r="AW36" s="50">
        <f ca="1">+GETPIVOTDATA("XBT4",'binhtrung (2016)'!$A$3,"MA_HT","DTT","MA_QH","NTD")</f>
        <v>0</v>
      </c>
      <c r="AX36" s="50">
        <f ca="1">+GETPIVOTDATA("XBT4",'binhtrung (2016)'!$A$3,"MA_HT","DTT","MA_QH","SKX")</f>
        <v>0</v>
      </c>
      <c r="AY36" s="50">
        <f ca="1">+GETPIVOTDATA("XBT4",'binhtrung (2016)'!$A$3,"MA_HT","DTT","MA_QH","DSH")</f>
        <v>0</v>
      </c>
      <c r="AZ36" s="50">
        <f ca="1">+GETPIVOTDATA("XBT4",'binhtrung (2016)'!$A$3,"MA_HT","DTT","MA_QH","DKV")</f>
        <v>0</v>
      </c>
      <c r="BA36" s="88">
        <f ca="1">+GETPIVOTDATA("XBT4",'binhtrung (2016)'!$A$3,"MA_HT","DTT","MA_QH","TIN")</f>
        <v>0</v>
      </c>
      <c r="BB36" s="50">
        <f ca="1">+GETPIVOTDATA("XBT4",'binhtrung (2016)'!$A$3,"MA_HT","DTT","MA_QH","SON")</f>
        <v>0</v>
      </c>
      <c r="BC36" s="50">
        <f ca="1">+GETPIVOTDATA("XBT4",'binhtrung (2016)'!$A$3,"MA_HT","DTT","MA_QH","MNC")</f>
        <v>0</v>
      </c>
      <c r="BD36" s="50">
        <f ca="1">+GETPIVOTDATA("XBT4",'binhtrung (2016)'!$A$3,"MA_HT","DTT","MA_QH","PNK")</f>
        <v>0</v>
      </c>
      <c r="BE36" s="80">
        <f ca="1">+GETPIVOTDATA("XBT4",'binhtrung (2016)'!$A$3,"MA_HT","DTT","MA_QH","CSD")</f>
        <v>0</v>
      </c>
      <c r="BF36" s="103">
        <f ca="1" t="shared" si="13"/>
        <v>0</v>
      </c>
      <c r="BG36" s="104">
        <f ca="1">AI$59-$BF36</f>
        <v>0</v>
      </c>
      <c r="BH36" s="47" t="e">
        <f ca="1" t="shared" si="14"/>
        <v>#REF!</v>
      </c>
      <c r="BI36" s="105"/>
      <c r="BJ36" s="105" t="e">
        <f>#REF!</f>
        <v>#REF!</v>
      </c>
      <c r="BK36" s="108" t="e">
        <f ca="1" t="shared" si="19"/>
        <v>#REF!</v>
      </c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</row>
    <row r="37" s="4" customFormat="1" ht="16.5" customHeight="1" spans="1:79">
      <c r="A37" s="45" t="s">
        <v>8392</v>
      </c>
      <c r="B37" s="45" t="s">
        <v>8393</v>
      </c>
      <c r="C37" s="46" t="s">
        <v>8302</v>
      </c>
      <c r="D37" s="47" t="e">
        <f>+#REF!</f>
        <v>#REF!</v>
      </c>
      <c r="E37" s="42">
        <f ca="1" t="shared" si="15"/>
        <v>0</v>
      </c>
      <c r="F37" s="52">
        <f ca="1" t="shared" si="9"/>
        <v>0</v>
      </c>
      <c r="G37" s="50">
        <f ca="1">+GETPIVOTDATA("XBT4",'binhtrung (2016)'!$A$3,"MA_HT","NCK","MA_QH","LUC")</f>
        <v>0</v>
      </c>
      <c r="H37" s="50">
        <f ca="1">+GETPIVOTDATA("XBT4",'binhtrung (2016)'!$A$3,"MA_HT","NCK","MA_QH","LUK")</f>
        <v>0</v>
      </c>
      <c r="I37" s="50">
        <f ca="1">+GETPIVOTDATA("XBT4",'binhtrung (2016)'!$A$3,"MA_HT","NCK","MA_QH","LUN")</f>
        <v>0</v>
      </c>
      <c r="J37" s="50">
        <f ca="1">+GETPIVOTDATA("XBT4",'binhtrung (2016)'!$A$3,"MA_HT","NCK","MA_QH","HNK")</f>
        <v>0</v>
      </c>
      <c r="K37" s="50">
        <f ca="1">+GETPIVOTDATA("XBT4",'binhtrung (2016)'!$A$3,"MA_HT","NCK","MA_QH","CLN")</f>
        <v>0</v>
      </c>
      <c r="L37" s="50">
        <f ca="1">+GETPIVOTDATA("XBT4",'binhtrung (2016)'!$A$3,"MA_HT","NCK","MA_QH","RSX")</f>
        <v>0</v>
      </c>
      <c r="M37" s="50">
        <f ca="1">+GETPIVOTDATA("XBT4",'binhtrung (2016)'!$A$3,"MA_HT","NCK","MA_QH","RPH")</f>
        <v>0</v>
      </c>
      <c r="N37" s="50">
        <f ca="1">+GETPIVOTDATA("XBT4",'binhtrung (2016)'!$A$3,"MA_HT","NCK","MA_QH","RDD")</f>
        <v>0</v>
      </c>
      <c r="O37" s="50">
        <f ca="1">+GETPIVOTDATA("XBT4",'binhtrung (2016)'!$A$3,"MA_HT","NCK","MA_QH","NTS")</f>
        <v>0</v>
      </c>
      <c r="P37" s="50">
        <f ca="1">+GETPIVOTDATA("XBT4",'binhtrung (2016)'!$A$3,"MA_HT","NCK","MA_QH","LMU")</f>
        <v>0</v>
      </c>
      <c r="Q37" s="50">
        <f ca="1">+GETPIVOTDATA("XBT4",'binhtrung (2016)'!$A$3,"MA_HT","NCK","MA_QH","NKH")</f>
        <v>0</v>
      </c>
      <c r="R37" s="48">
        <f ca="1" t="shared" si="20"/>
        <v>0</v>
      </c>
      <c r="S37" s="50">
        <f ca="1">+GETPIVOTDATA("XBT4",'binhtrung (2016)'!$A$3,"MA_HT","NCK","MA_QH","CQP")</f>
        <v>0</v>
      </c>
      <c r="T37" s="50">
        <f ca="1">+GETPIVOTDATA("XBT4",'binhtrung (2016)'!$A$3,"MA_HT","NCK","MA_QH","CAN")</f>
        <v>0</v>
      </c>
      <c r="U37" s="50">
        <f ca="1">+GETPIVOTDATA("XBT4",'binhtrung (2016)'!$A$3,"MA_HT","NCK","MA_QH","SKK")</f>
        <v>0</v>
      </c>
      <c r="V37" s="50">
        <f ca="1">+GETPIVOTDATA("XBT4",'binhtrung (2016)'!$A$3,"MA_HT","NCK","MA_QH","SKT")</f>
        <v>0</v>
      </c>
      <c r="W37" s="50">
        <f ca="1">+GETPIVOTDATA("XBT4",'binhtrung (2016)'!$A$3,"MA_HT","NCK","MA_QH","SKN")</f>
        <v>0</v>
      </c>
      <c r="X37" s="50">
        <f ca="1">+GETPIVOTDATA("XBT4",'binhtrung (2016)'!$A$3,"MA_HT","NCK","MA_QH","TMD")</f>
        <v>0</v>
      </c>
      <c r="Y37" s="50">
        <f ca="1">+GETPIVOTDATA("XBT4",'binhtrung (2016)'!$A$3,"MA_HT","NCK","MA_QH","SKC")</f>
        <v>0</v>
      </c>
      <c r="Z37" s="50">
        <f ca="1">+GETPIVOTDATA("XBT4",'binhtrung (2016)'!$A$3,"MA_HT","NCK","MA_QH","SKS")</f>
        <v>0</v>
      </c>
      <c r="AA37" s="52">
        <f ca="1">+SUM(AB37:AI37,AK37:AM37)</f>
        <v>0</v>
      </c>
      <c r="AB37" s="50">
        <f ca="1">+GETPIVOTDATA("XBT4",'binhtrung (2016)'!$A$3,"MA_HT","NCK","MA_QH","DGT")</f>
        <v>0</v>
      </c>
      <c r="AC37" s="50">
        <f ca="1">+GETPIVOTDATA("XBT4",'binhtrung (2016)'!$A$3,"MA_HT","NCK","MA_QH","DTL")</f>
        <v>0</v>
      </c>
      <c r="AD37" s="50">
        <f ca="1">+GETPIVOTDATA("XBT4",'binhtrung (2016)'!$A$3,"MA_HT","NCK","MA_QH","DNL")</f>
        <v>0</v>
      </c>
      <c r="AE37" s="50">
        <f ca="1">+GETPIVOTDATA("XBT4",'binhtrung (2016)'!$A$3,"MA_HT","NCK","MA_QH","DBV")</f>
        <v>0</v>
      </c>
      <c r="AF37" s="50">
        <f ca="1">+GETPIVOTDATA("XBT4",'binhtrung (2016)'!$A$3,"MA_HT","NCK","MA_QH","DVH")</f>
        <v>0</v>
      </c>
      <c r="AG37" s="50">
        <f ca="1">+GETPIVOTDATA("XBT4",'binhtrung (2016)'!$A$3,"MA_HT","NCK","MA_QH","DYT")</f>
        <v>0</v>
      </c>
      <c r="AH37" s="50">
        <f ca="1">+GETPIVOTDATA("XBT4",'binhtrung (2016)'!$A$3,"MA_HT","NCK","MA_QH","DGD")</f>
        <v>0</v>
      </c>
      <c r="AI37" s="50">
        <f ca="1">+GETPIVOTDATA("XBT4",'binhtrung (2016)'!$A$3,"MA_HT","NCK","MA_QH","DTT")</f>
        <v>0</v>
      </c>
      <c r="AJ37" s="49" t="e">
        <f ca="1">$D37-$BF37</f>
        <v>#REF!</v>
      </c>
      <c r="AK37" s="50">
        <f ca="1">+GETPIVOTDATA("XBT4",'binhtrung (2016)'!$A$3,"MA_HT","NCK","MA_QH","DXH")</f>
        <v>0</v>
      </c>
      <c r="AL37" s="50">
        <f ca="1">+GETPIVOTDATA("XBT4",'binhtrung (2016)'!$A$3,"MA_HT","NCK","MA_QH","DCH")</f>
        <v>0</v>
      </c>
      <c r="AM37" s="50">
        <f ca="1">+GETPIVOTDATA("XBT4",'binhtrung (2016)'!$A$3,"MA_HT","NCK","MA_QH","DKG")</f>
        <v>0</v>
      </c>
      <c r="AN37" s="50">
        <f ca="1">+GETPIVOTDATA("XBT4",'binhtrung (2016)'!$A$3,"MA_HT","NCK","MA_QH","DDT")</f>
        <v>0</v>
      </c>
      <c r="AO37" s="50">
        <f ca="1">+GETPIVOTDATA("XBT4",'binhtrung (2016)'!$A$3,"MA_HT","NCK","MA_QH","DDL")</f>
        <v>0</v>
      </c>
      <c r="AP37" s="50">
        <f ca="1">+GETPIVOTDATA("XBT4",'binhtrung (2016)'!$A$3,"MA_HT","NCK","MA_QH","DRA")</f>
        <v>0</v>
      </c>
      <c r="AQ37" s="50">
        <f ca="1">+GETPIVOTDATA("XBT4",'binhtrung (2016)'!$A$3,"MA_HT","NCK","MA_QH","ONT")</f>
        <v>0</v>
      </c>
      <c r="AR37" s="50">
        <f ca="1">+GETPIVOTDATA("XBT4",'binhtrung (2016)'!$A$3,"MA_HT","NCK","MA_QH","ODT")</f>
        <v>0</v>
      </c>
      <c r="AS37" s="50">
        <f ca="1">+GETPIVOTDATA("XBT4",'binhtrung (2016)'!$A$3,"MA_HT","NCK","MA_QH","TSC")</f>
        <v>0</v>
      </c>
      <c r="AT37" s="50">
        <f ca="1">+GETPIVOTDATA("XBT4",'binhtrung (2016)'!$A$3,"MA_HT","NCK","MA_QH","DTS")</f>
        <v>0</v>
      </c>
      <c r="AU37" s="50">
        <f ca="1">+GETPIVOTDATA("XBT4",'binhtrung (2016)'!$A$3,"MA_HT","NCK","MA_QH","DNG")</f>
        <v>0</v>
      </c>
      <c r="AV37" s="50">
        <f ca="1">+GETPIVOTDATA("XBT4",'binhtrung (2016)'!$A$3,"MA_HT","NCK","MA_QH","TON")</f>
        <v>0</v>
      </c>
      <c r="AW37" s="50">
        <f ca="1">+GETPIVOTDATA("XBT4",'binhtrung (2016)'!$A$3,"MA_HT","NCK","MA_QH","NTD")</f>
        <v>0</v>
      </c>
      <c r="AX37" s="50">
        <f ca="1">+GETPIVOTDATA("XBT4",'binhtrung (2016)'!$A$3,"MA_HT","NCK","MA_QH","SKX")</f>
        <v>0</v>
      </c>
      <c r="AY37" s="50">
        <f ca="1">+GETPIVOTDATA("XBT4",'binhtrung (2016)'!$A$3,"MA_HT","NCK","MA_QH","DSH")</f>
        <v>0</v>
      </c>
      <c r="AZ37" s="50">
        <f ca="1">+GETPIVOTDATA("XBT4",'binhtrung (2016)'!$A$3,"MA_HT","NCK","MA_QH","DKV")</f>
        <v>0</v>
      </c>
      <c r="BA37" s="88">
        <f ca="1">+GETPIVOTDATA("XBT4",'binhtrung (2016)'!$A$3,"MA_HT","NCK","MA_QH","TIN")</f>
        <v>0</v>
      </c>
      <c r="BB37" s="50">
        <f ca="1">+GETPIVOTDATA("XBT4",'binhtrung (2016)'!$A$3,"MA_HT","NCK","MA_QH","SON")</f>
        <v>0</v>
      </c>
      <c r="BC37" s="50">
        <f ca="1">+GETPIVOTDATA("XBT4",'binhtrung (2016)'!$A$3,"MA_HT","NCK","MA_QH","MNC")</f>
        <v>0</v>
      </c>
      <c r="BD37" s="50">
        <f ca="1">+GETPIVOTDATA("XBT4",'binhtrung (2016)'!$A$3,"MA_HT","NCK","MA_QH","PNK")</f>
        <v>0</v>
      </c>
      <c r="BE37" s="80">
        <f ca="1">+GETPIVOTDATA("XBT4",'binhtrung (2016)'!$A$3,"MA_HT","NCK","MA_QH","CSD")</f>
        <v>0</v>
      </c>
      <c r="BF37" s="103">
        <f ca="1" t="shared" si="13"/>
        <v>0</v>
      </c>
      <c r="BG37" s="104">
        <f ca="1">AJ$59-$BF37</f>
        <v>0</v>
      </c>
      <c r="BH37" s="47" t="e">
        <f ca="1" t="shared" si="14"/>
        <v>#REF!</v>
      </c>
      <c r="BI37" s="105"/>
      <c r="BJ37" s="105" t="e">
        <f>#REF!</f>
        <v>#REF!</v>
      </c>
      <c r="BK37" s="108" t="e">
        <f ca="1" t="shared" si="19"/>
        <v>#REF!</v>
      </c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</row>
    <row r="38" s="4" customFormat="1" ht="16.5" customHeight="1" spans="1:79">
      <c r="A38" s="45" t="s">
        <v>8394</v>
      </c>
      <c r="B38" s="45" t="s">
        <v>8395</v>
      </c>
      <c r="C38" s="46" t="s">
        <v>8295</v>
      </c>
      <c r="D38" s="47" t="e">
        <f>+#REF!</f>
        <v>#REF!</v>
      </c>
      <c r="E38" s="42">
        <f ca="1" t="shared" si="15"/>
        <v>0</v>
      </c>
      <c r="F38" s="52">
        <f ca="1" t="shared" si="9"/>
        <v>0</v>
      </c>
      <c r="G38" s="50">
        <f ca="1">+GETPIVOTDATA("XBT4",'binhtrung (2016)'!$A$3,"MA_HT","DXH","MA_QH","LUC")</f>
        <v>0</v>
      </c>
      <c r="H38" s="50">
        <f ca="1">+GETPIVOTDATA("XBT4",'binhtrung (2016)'!$A$3,"MA_HT","DXH","MA_QH","LUK")</f>
        <v>0</v>
      </c>
      <c r="I38" s="50">
        <f ca="1">+GETPIVOTDATA("XBT4",'binhtrung (2016)'!$A$3,"MA_HT","DXH","MA_QH","LUN")</f>
        <v>0</v>
      </c>
      <c r="J38" s="50">
        <f ca="1">+GETPIVOTDATA("XBT4",'binhtrung (2016)'!$A$3,"MA_HT","DXH","MA_QH","HNK")</f>
        <v>0</v>
      </c>
      <c r="K38" s="50">
        <f ca="1">+GETPIVOTDATA("XBT4",'binhtrung (2016)'!$A$3,"MA_HT","DXH","MA_QH","CLN")</f>
        <v>0</v>
      </c>
      <c r="L38" s="50">
        <f ca="1">+GETPIVOTDATA("XBT4",'binhtrung (2016)'!$A$3,"MA_HT","DXH","MA_QH","RSX")</f>
        <v>0</v>
      </c>
      <c r="M38" s="50">
        <f ca="1">+GETPIVOTDATA("XBT4",'binhtrung (2016)'!$A$3,"MA_HT","DXH","MA_QH","RPH")</f>
        <v>0</v>
      </c>
      <c r="N38" s="50">
        <f ca="1">+GETPIVOTDATA("XBT4",'binhtrung (2016)'!$A$3,"MA_HT","DXH","MA_QH","RDD")</f>
        <v>0</v>
      </c>
      <c r="O38" s="50">
        <f ca="1">+GETPIVOTDATA("XBT4",'binhtrung (2016)'!$A$3,"MA_HT","DXH","MA_QH","NTS")</f>
        <v>0</v>
      </c>
      <c r="P38" s="50">
        <f ca="1">+GETPIVOTDATA("XBT4",'binhtrung (2016)'!$A$3,"MA_HT","DXH","MA_QH","LMU")</f>
        <v>0</v>
      </c>
      <c r="Q38" s="50">
        <f ca="1">+GETPIVOTDATA("XBT4",'binhtrung (2016)'!$A$3,"MA_HT","DXH","MA_QH","NKH")</f>
        <v>0</v>
      </c>
      <c r="R38" s="48">
        <f ca="1" t="shared" si="20"/>
        <v>0</v>
      </c>
      <c r="S38" s="50">
        <f ca="1">+GETPIVOTDATA("XBT4",'binhtrung (2016)'!$A$3,"MA_HT","DXH","MA_QH","CQP")</f>
        <v>0</v>
      </c>
      <c r="T38" s="50">
        <f ca="1">+GETPIVOTDATA("XBT4",'binhtrung (2016)'!$A$3,"MA_HT","DXH","MA_QH","CAN")</f>
        <v>0</v>
      </c>
      <c r="U38" s="50">
        <f ca="1">+GETPIVOTDATA("XBT4",'binhtrung (2016)'!$A$3,"MA_HT","DXH","MA_QH","SKK")</f>
        <v>0</v>
      </c>
      <c r="V38" s="50">
        <f ca="1">+GETPIVOTDATA("XBT4",'binhtrung (2016)'!$A$3,"MA_HT","DXH","MA_QH","SKT")</f>
        <v>0</v>
      </c>
      <c r="W38" s="50">
        <f ca="1">+GETPIVOTDATA("XBT4",'binhtrung (2016)'!$A$3,"MA_HT","DXH","MA_QH","SKN")</f>
        <v>0</v>
      </c>
      <c r="X38" s="50">
        <f ca="1">+GETPIVOTDATA("XBT4",'binhtrung (2016)'!$A$3,"MA_HT","DXH","MA_QH","TMD")</f>
        <v>0</v>
      </c>
      <c r="Y38" s="50">
        <f ca="1">+GETPIVOTDATA("XBT4",'binhtrung (2016)'!$A$3,"MA_HT","DXH","MA_QH","SKC")</f>
        <v>0</v>
      </c>
      <c r="Z38" s="50">
        <f ca="1">+GETPIVOTDATA("XBT4",'binhtrung (2016)'!$A$3,"MA_HT","DXH","MA_QH","SKS")</f>
        <v>0</v>
      </c>
      <c r="AA38" s="52">
        <f ca="1">+SUM(AB38:AJ38,AL38:AM38)</f>
        <v>0</v>
      </c>
      <c r="AB38" s="50">
        <f ca="1">+GETPIVOTDATA("XBT4",'binhtrung (2016)'!$A$3,"MA_HT","DXH","MA_QH","DGT")</f>
        <v>0</v>
      </c>
      <c r="AC38" s="50">
        <f ca="1">+GETPIVOTDATA("XBT4",'binhtrung (2016)'!$A$3,"MA_HT","DXH","MA_QH","DTL")</f>
        <v>0</v>
      </c>
      <c r="AD38" s="50">
        <f ca="1">+GETPIVOTDATA("XBT4",'binhtrung (2016)'!$A$3,"MA_HT","DXH","MA_QH","DNL")</f>
        <v>0</v>
      </c>
      <c r="AE38" s="50">
        <f ca="1">+GETPIVOTDATA("XBT4",'binhtrung (2016)'!$A$3,"MA_HT","DXH","MA_QH","DBV")</f>
        <v>0</v>
      </c>
      <c r="AF38" s="50">
        <f ca="1">+GETPIVOTDATA("XBT4",'binhtrung (2016)'!$A$3,"MA_HT","DXH","MA_QH","DVH")</f>
        <v>0</v>
      </c>
      <c r="AG38" s="50">
        <f ca="1">+GETPIVOTDATA("XBT4",'binhtrung (2016)'!$A$3,"MA_HT","DXH","MA_QH","DYT")</f>
        <v>0</v>
      </c>
      <c r="AH38" s="50">
        <f ca="1">+GETPIVOTDATA("XBT4",'binhtrung (2016)'!$A$3,"MA_HT","DXH","MA_QH","DGD")</f>
        <v>0</v>
      </c>
      <c r="AI38" s="50">
        <f ca="1">+GETPIVOTDATA("XBT4",'binhtrung (2016)'!$A$3,"MA_HT","DXH","MA_QH","DTT")</f>
        <v>0</v>
      </c>
      <c r="AJ38" s="50">
        <f ca="1">+GETPIVOTDATA("XBT4",'binhtrung (2016)'!$A$3,"MA_HT","DXH","MA_QH","NCK")</f>
        <v>0</v>
      </c>
      <c r="AK38" s="49" t="e">
        <f ca="1">$D38-$BF38</f>
        <v>#REF!</v>
      </c>
      <c r="AL38" s="50">
        <f ca="1">+GETPIVOTDATA("XBT4",'binhtrung (2016)'!$A$3,"MA_HT","DXH","MA_QH","DCH")</f>
        <v>0</v>
      </c>
      <c r="AM38" s="50">
        <f ca="1">+GETPIVOTDATA("XBT4",'binhtrung (2016)'!$A$3,"MA_HT","DXH","MA_QH","DKG")</f>
        <v>0</v>
      </c>
      <c r="AN38" s="50">
        <f ca="1">+GETPIVOTDATA("XBT4",'binhtrung (2016)'!$A$3,"MA_HT","DXH","MA_QH","DDT")</f>
        <v>0</v>
      </c>
      <c r="AO38" s="50">
        <f ca="1">+GETPIVOTDATA("XBT4",'binhtrung (2016)'!$A$3,"MA_HT","DXH","MA_QH","DDL")</f>
        <v>0</v>
      </c>
      <c r="AP38" s="50">
        <f ca="1">+GETPIVOTDATA("XBT4",'binhtrung (2016)'!$A$3,"MA_HT","DXH","MA_QH","DRA")</f>
        <v>0</v>
      </c>
      <c r="AQ38" s="50">
        <f ca="1">+GETPIVOTDATA("XBT4",'binhtrung (2016)'!$A$3,"MA_HT","DXH","MA_QH","ONT")</f>
        <v>0</v>
      </c>
      <c r="AR38" s="50">
        <f ca="1">+GETPIVOTDATA("XBT4",'binhtrung (2016)'!$A$3,"MA_HT","DXH","MA_QH","ODT")</f>
        <v>0</v>
      </c>
      <c r="AS38" s="50">
        <f ca="1">+GETPIVOTDATA("XBT4",'binhtrung (2016)'!$A$3,"MA_HT","DXH","MA_QH","TSC")</f>
        <v>0</v>
      </c>
      <c r="AT38" s="50">
        <f ca="1">+GETPIVOTDATA("XBT4",'binhtrung (2016)'!$A$3,"MA_HT","DXH","MA_QH","DTS")</f>
        <v>0</v>
      </c>
      <c r="AU38" s="50">
        <f ca="1">+GETPIVOTDATA("XBT4",'binhtrung (2016)'!$A$3,"MA_HT","DXH","MA_QH","DNG")</f>
        <v>0</v>
      </c>
      <c r="AV38" s="50">
        <f ca="1">+GETPIVOTDATA("XBT4",'binhtrung (2016)'!$A$3,"MA_HT","DXH","MA_QH","TON")</f>
        <v>0</v>
      </c>
      <c r="AW38" s="50">
        <f ca="1">+GETPIVOTDATA("XBT4",'binhtrung (2016)'!$A$3,"MA_HT","DXH","MA_QH","NTD")</f>
        <v>0</v>
      </c>
      <c r="AX38" s="50">
        <f ca="1">+GETPIVOTDATA("XBT4",'binhtrung (2016)'!$A$3,"MA_HT","DXH","MA_QH","SKX")</f>
        <v>0</v>
      </c>
      <c r="AY38" s="50">
        <f ca="1">+GETPIVOTDATA("XBT4",'binhtrung (2016)'!$A$3,"MA_HT","DXH","MA_QH","DSH")</f>
        <v>0</v>
      </c>
      <c r="AZ38" s="50">
        <f ca="1">+GETPIVOTDATA("XBT4",'binhtrung (2016)'!$A$3,"MA_HT","DXH","MA_QH","DKV")</f>
        <v>0</v>
      </c>
      <c r="BA38" s="88">
        <f ca="1">+GETPIVOTDATA("XBT4",'binhtrung (2016)'!$A$3,"MA_HT","DXH","MA_QH","TIN")</f>
        <v>0</v>
      </c>
      <c r="BB38" s="50">
        <f ca="1">+GETPIVOTDATA("XBT4",'binhtrung (2016)'!$A$3,"MA_HT","DXH","MA_QH","SON")</f>
        <v>0</v>
      </c>
      <c r="BC38" s="50">
        <f ca="1">+GETPIVOTDATA("XBT4",'binhtrung (2016)'!$A$3,"MA_HT","DXH","MA_QH","MNC")</f>
        <v>0</v>
      </c>
      <c r="BD38" s="50">
        <f ca="1">+GETPIVOTDATA("XBT4",'binhtrung (2016)'!$A$3,"MA_HT","DXH","MA_QH","PNK")</f>
        <v>0</v>
      </c>
      <c r="BE38" s="80">
        <f ca="1">+GETPIVOTDATA("XBT4",'binhtrung (2016)'!$A$3,"MA_HT","DXH","MA_QH","CSD")</f>
        <v>0</v>
      </c>
      <c r="BF38" s="103">
        <f ca="1" t="shared" si="13"/>
        <v>0</v>
      </c>
      <c r="BG38" s="104">
        <f ca="1">AK$59-$BF38</f>
        <v>0</v>
      </c>
      <c r="BH38" s="47" t="e">
        <f ca="1" t="shared" si="14"/>
        <v>#REF!</v>
      </c>
      <c r="BI38" s="105"/>
      <c r="BJ38" s="105" t="e">
        <f>#REF!</f>
        <v>#REF!</v>
      </c>
      <c r="BK38" s="108" t="e">
        <f ca="1" t="shared" si="19"/>
        <v>#REF!</v>
      </c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</row>
    <row r="39" s="5" customFormat="1" ht="16.5" customHeight="1" spans="1:79">
      <c r="A39" s="45" t="s">
        <v>8396</v>
      </c>
      <c r="B39" s="45" t="s">
        <v>8397</v>
      </c>
      <c r="C39" s="46" t="s">
        <v>178</v>
      </c>
      <c r="D39" s="47" t="e">
        <f>+#REF!</f>
        <v>#REF!</v>
      </c>
      <c r="E39" s="42">
        <f ca="1" t="shared" si="15"/>
        <v>0</v>
      </c>
      <c r="F39" s="52">
        <f ca="1" t="shared" si="9"/>
        <v>0</v>
      </c>
      <c r="G39" s="50">
        <f ca="1">+GETPIVOTDATA("XBT4",'binhtrung (2016)'!$A$3,"MA_HT","DCH","MA_QH","LUC")</f>
        <v>0</v>
      </c>
      <c r="H39" s="50">
        <f ca="1">+GETPIVOTDATA("XBT4",'binhtrung (2016)'!$A$3,"MA_HT","DCH","MA_QH","LUK")</f>
        <v>0</v>
      </c>
      <c r="I39" s="50">
        <f ca="1">+GETPIVOTDATA("XBT4",'binhtrung (2016)'!$A$3,"MA_HT","DCH","MA_QH","LUN")</f>
        <v>0</v>
      </c>
      <c r="J39" s="50">
        <f ca="1">+GETPIVOTDATA("XBT4",'binhtrung (2016)'!$A$3,"MA_HT","DCH","MA_QH","HNK")</f>
        <v>0</v>
      </c>
      <c r="K39" s="50">
        <f ca="1">+GETPIVOTDATA("XBT4",'binhtrung (2016)'!$A$3,"MA_HT","DCH","MA_QH","CLN")</f>
        <v>0</v>
      </c>
      <c r="L39" s="50">
        <f ca="1">+GETPIVOTDATA("XBT4",'binhtrung (2016)'!$A$3,"MA_HT","DCH","MA_QH","RSX")</f>
        <v>0</v>
      </c>
      <c r="M39" s="50">
        <f ca="1">+GETPIVOTDATA("XBT4",'binhtrung (2016)'!$A$3,"MA_HT","DCH","MA_QH","RPH")</f>
        <v>0</v>
      </c>
      <c r="N39" s="50">
        <f ca="1">+GETPIVOTDATA("XBT4",'binhtrung (2016)'!$A$3,"MA_HT","DCH","MA_QH","RDD")</f>
        <v>0</v>
      </c>
      <c r="O39" s="50">
        <f ca="1">+GETPIVOTDATA("XBT4",'binhtrung (2016)'!$A$3,"MA_HT","DCH","MA_QH","NTS")</f>
        <v>0</v>
      </c>
      <c r="P39" s="50">
        <f ca="1">+GETPIVOTDATA("XBT4",'binhtrung (2016)'!$A$3,"MA_HT","DCH","MA_QH","LMU")</f>
        <v>0</v>
      </c>
      <c r="Q39" s="50">
        <f ca="1">+GETPIVOTDATA("XBT4",'binhtrung (2016)'!$A$3,"MA_HT","DCH","MA_QH","NKH")</f>
        <v>0</v>
      </c>
      <c r="R39" s="48">
        <f ca="1" t="shared" si="20"/>
        <v>0</v>
      </c>
      <c r="S39" s="50">
        <f ca="1">+GETPIVOTDATA("XBT4",'binhtrung (2016)'!$A$3,"MA_HT","DCH","MA_QH","CQP")</f>
        <v>0</v>
      </c>
      <c r="T39" s="50">
        <f ca="1">+GETPIVOTDATA("XBT4",'binhtrung (2016)'!$A$3,"MA_HT","DCH","MA_QH","CAN")</f>
        <v>0</v>
      </c>
      <c r="U39" s="50">
        <f ca="1">+GETPIVOTDATA("XBT4",'binhtrung (2016)'!$A$3,"MA_HT","DCH","MA_QH","SKK")</f>
        <v>0</v>
      </c>
      <c r="V39" s="50">
        <f ca="1">+GETPIVOTDATA("XBT4",'binhtrung (2016)'!$A$3,"MA_HT","DCH","MA_QH","SKT")</f>
        <v>0</v>
      </c>
      <c r="W39" s="50">
        <f ca="1">+GETPIVOTDATA("XBT4",'binhtrung (2016)'!$A$3,"MA_HT","DCH","MA_QH","SKN")</f>
        <v>0</v>
      </c>
      <c r="X39" s="50">
        <f ca="1">+GETPIVOTDATA("XBT4",'binhtrung (2016)'!$A$3,"MA_HT","DCH","MA_QH","TMD")</f>
        <v>0</v>
      </c>
      <c r="Y39" s="50">
        <f ca="1">+GETPIVOTDATA("XBT4",'binhtrung (2016)'!$A$3,"MA_HT","DCH","MA_QH","SKC")</f>
        <v>0</v>
      </c>
      <c r="Z39" s="50">
        <f ca="1">+GETPIVOTDATA("XBT4",'binhtrung (2016)'!$A$3,"MA_HT","DCH","MA_QH","SKS")</f>
        <v>0</v>
      </c>
      <c r="AA39" s="52">
        <f ca="1">+SUM(AB39:AK39,AM39)</f>
        <v>0</v>
      </c>
      <c r="AB39" s="50">
        <f ca="1">+GETPIVOTDATA("XBT4",'binhtrung (2016)'!$A$3,"MA_HT","DCH","MA_QH","DGT")</f>
        <v>0</v>
      </c>
      <c r="AC39" s="50">
        <f ca="1">+GETPIVOTDATA("XBT4",'binhtrung (2016)'!$A$3,"MA_HT","DCH","MA_QH","DTL")</f>
        <v>0</v>
      </c>
      <c r="AD39" s="50">
        <f ca="1">+GETPIVOTDATA("XBT4",'binhtrung (2016)'!$A$3,"MA_HT","DCH","MA_QH","DNL")</f>
        <v>0</v>
      </c>
      <c r="AE39" s="50">
        <f ca="1">+GETPIVOTDATA("XBT4",'binhtrung (2016)'!$A$3,"MA_HT","DCH","MA_QH","DBV")</f>
        <v>0</v>
      </c>
      <c r="AF39" s="50">
        <f ca="1">+GETPIVOTDATA("XBT4",'binhtrung (2016)'!$A$3,"MA_HT","DCH","MA_QH","DVH")</f>
        <v>0</v>
      </c>
      <c r="AG39" s="50">
        <f ca="1">+GETPIVOTDATA("XBT4",'binhtrung (2016)'!$A$3,"MA_HT","DCH","MA_QH","DYT")</f>
        <v>0</v>
      </c>
      <c r="AH39" s="50">
        <f ca="1">+GETPIVOTDATA("XBT4",'binhtrung (2016)'!$A$3,"MA_HT","DCH","MA_QH","DGD")</f>
        <v>0</v>
      </c>
      <c r="AI39" s="50">
        <f ca="1">+GETPIVOTDATA("XBT4",'binhtrung (2016)'!$A$3,"MA_HT","DCH","MA_QH","DTT")</f>
        <v>0</v>
      </c>
      <c r="AJ39" s="50">
        <f ca="1">+GETPIVOTDATA("XBT4",'binhtrung (2016)'!$A$3,"MA_HT","DCH","MA_QH","NCK")</f>
        <v>0</v>
      </c>
      <c r="AK39" s="50">
        <f ca="1">+GETPIVOTDATA("XBT4",'binhtrung (2016)'!$A$3,"MA_HT","DCH","MA_QH","DXH")</f>
        <v>0</v>
      </c>
      <c r="AL39" s="49" t="e">
        <f ca="1">$D39-$BF39</f>
        <v>#REF!</v>
      </c>
      <c r="AM39" s="50">
        <f ca="1">+GETPIVOTDATA("XBT4",'binhtrung (2016)'!$A$3,"MA_HT","DXH","MA_QH","DKG")</f>
        <v>0</v>
      </c>
      <c r="AN39" s="50">
        <f ca="1">+GETPIVOTDATA("XBT4",'binhtrung (2016)'!$A$3,"MA_HT","DCH","MA_QH","DDT")</f>
        <v>0</v>
      </c>
      <c r="AO39" s="50">
        <f ca="1">+GETPIVOTDATA("XBT4",'binhtrung (2016)'!$A$3,"MA_HT","DCH","MA_QH","DDL")</f>
        <v>0</v>
      </c>
      <c r="AP39" s="50">
        <f ca="1">+GETPIVOTDATA("XBT4",'binhtrung (2016)'!$A$3,"MA_HT","DCH","MA_QH","DRA")</f>
        <v>0</v>
      </c>
      <c r="AQ39" s="50">
        <f ca="1">+GETPIVOTDATA("XBT4",'binhtrung (2016)'!$A$3,"MA_HT","DCH","MA_QH","ONT")</f>
        <v>0</v>
      </c>
      <c r="AR39" s="50">
        <f ca="1">+GETPIVOTDATA("XBT4",'binhtrung (2016)'!$A$3,"MA_HT","DCH","MA_QH","ODT")</f>
        <v>0</v>
      </c>
      <c r="AS39" s="50">
        <f ca="1">+GETPIVOTDATA("XBT4",'binhtrung (2016)'!$A$3,"MA_HT","DCH","MA_QH","TSC")</f>
        <v>0</v>
      </c>
      <c r="AT39" s="50">
        <f ca="1">+GETPIVOTDATA("XBT4",'binhtrung (2016)'!$A$3,"MA_HT","DCH","MA_QH","DTS")</f>
        <v>0</v>
      </c>
      <c r="AU39" s="50">
        <f ca="1">+GETPIVOTDATA("XBT4",'binhtrung (2016)'!$A$3,"MA_HT","DCH","MA_QH","DNG")</f>
        <v>0</v>
      </c>
      <c r="AV39" s="50">
        <f ca="1">+GETPIVOTDATA("XBT4",'binhtrung (2016)'!$A$3,"MA_HT","DCH","MA_QH","TON")</f>
        <v>0</v>
      </c>
      <c r="AW39" s="50">
        <f ca="1">+GETPIVOTDATA("XBT4",'binhtrung (2016)'!$A$3,"MA_HT","DCH","MA_QH","NTD")</f>
        <v>0</v>
      </c>
      <c r="AX39" s="50">
        <f ca="1">+GETPIVOTDATA("XBT4",'binhtrung (2016)'!$A$3,"MA_HT","DCH","MA_QH","SKX")</f>
        <v>0</v>
      </c>
      <c r="AY39" s="50">
        <f ca="1">+GETPIVOTDATA("XBT4",'binhtrung (2016)'!$A$3,"MA_HT","DCH","MA_QH","DSH")</f>
        <v>0</v>
      </c>
      <c r="AZ39" s="50">
        <f ca="1">+GETPIVOTDATA("XBT4",'binhtrung (2016)'!$A$3,"MA_HT","DCH","MA_QH","DKV")</f>
        <v>0</v>
      </c>
      <c r="BA39" s="88">
        <f ca="1">+GETPIVOTDATA("XBT4",'binhtrung (2016)'!$A$3,"MA_HT","DCH","MA_QH","TIN")</f>
        <v>0</v>
      </c>
      <c r="BB39" s="50">
        <f ca="1">+GETPIVOTDATA("XBT4",'binhtrung (2016)'!$A$3,"MA_HT","DCH","MA_QH","SON")</f>
        <v>0</v>
      </c>
      <c r="BC39" s="50">
        <f ca="1">+GETPIVOTDATA("XBT4",'binhtrung (2016)'!$A$3,"MA_HT","DCH","MA_QH","MNC")</f>
        <v>0</v>
      </c>
      <c r="BD39" s="50">
        <f ca="1">+GETPIVOTDATA("XBT4",'binhtrung (2016)'!$A$3,"MA_HT","DCH","MA_QH","PNK")</f>
        <v>0</v>
      </c>
      <c r="BE39" s="80">
        <f ca="1">+GETPIVOTDATA("XBT4",'binhtrung (2016)'!$A$3,"MA_HT","DCH","MA_QH","CSD")</f>
        <v>0</v>
      </c>
      <c r="BF39" s="103">
        <f ca="1" t="shared" si="13"/>
        <v>0</v>
      </c>
      <c r="BG39" s="104">
        <f ca="1">AL$59-$BF39</f>
        <v>0</v>
      </c>
      <c r="BH39" s="47" t="e">
        <f ca="1" t="shared" si="14"/>
        <v>#REF!</v>
      </c>
      <c r="BI39" s="109"/>
      <c r="BJ39" s="109" t="e">
        <f>#REF!</f>
        <v>#REF!</v>
      </c>
      <c r="BK39" s="110" t="e">
        <f ca="1" t="shared" si="19"/>
        <v>#REF!</v>
      </c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</row>
    <row r="40" s="5" customFormat="1" ht="16.5" customHeight="1" spans="1:79">
      <c r="A40" s="45" t="s">
        <v>8398</v>
      </c>
      <c r="B40" s="45" t="s">
        <v>8399</v>
      </c>
      <c r="C40" s="46" t="s">
        <v>8312</v>
      </c>
      <c r="D40" s="47" t="e">
        <f>+#REF!</f>
        <v>#REF!</v>
      </c>
      <c r="E40" s="42">
        <f ca="1" t="shared" si="15"/>
        <v>0</v>
      </c>
      <c r="F40" s="52">
        <f ca="1" t="shared" si="9"/>
        <v>0</v>
      </c>
      <c r="G40" s="50">
        <f ca="1">+GETPIVOTDATA("XBT4",'binhtrung (2016)'!$A$3,"MA_HT","DKG","MA_QH","LUC")</f>
        <v>0</v>
      </c>
      <c r="H40" s="50">
        <f ca="1">+GETPIVOTDATA("XBT4",'binhtrung (2016)'!$A$3,"MA_HT","DKG","MA_QH","LUK")</f>
        <v>0</v>
      </c>
      <c r="I40" s="50">
        <f ca="1">+GETPIVOTDATA("XBT4",'binhtrung (2016)'!$A$3,"MA_HT","DKG","MA_QH","LUN")</f>
        <v>0</v>
      </c>
      <c r="J40" s="50">
        <f ca="1">+GETPIVOTDATA("XBT4",'binhtrung (2016)'!$A$3,"MA_HT","DKG","MA_QH","HNK")</f>
        <v>0</v>
      </c>
      <c r="K40" s="50">
        <f ca="1">+GETPIVOTDATA("XBT4",'binhtrung (2016)'!$A$3,"MA_HT","DKG","MA_QH","CLN")</f>
        <v>0</v>
      </c>
      <c r="L40" s="50">
        <f ca="1">+GETPIVOTDATA("XBT4",'binhtrung (2016)'!$A$3,"MA_HT","DKG","MA_QH","RSX")</f>
        <v>0</v>
      </c>
      <c r="M40" s="50">
        <f ca="1">+GETPIVOTDATA("XBT4",'binhtrung (2016)'!$A$3,"MA_HT","DKG","MA_QH","RPH")</f>
        <v>0</v>
      </c>
      <c r="N40" s="50">
        <f ca="1">+GETPIVOTDATA("XBT4",'binhtrung (2016)'!$A$3,"MA_HT","DKG","MA_QH","RDD")</f>
        <v>0</v>
      </c>
      <c r="O40" s="50">
        <f ca="1">+GETPIVOTDATA("XBT4",'binhtrung (2016)'!$A$3,"MA_HT","DKG","MA_QH","NTS")</f>
        <v>0</v>
      </c>
      <c r="P40" s="50">
        <f ca="1">+GETPIVOTDATA("XBT4",'binhtrung (2016)'!$A$3,"MA_HT","DKG","MA_QH","LMU")</f>
        <v>0</v>
      </c>
      <c r="Q40" s="50">
        <f ca="1">+GETPIVOTDATA("XBT4",'binhtrung (2016)'!$A$3,"MA_HT","DKG","MA_QH","NKH")</f>
        <v>0</v>
      </c>
      <c r="R40" s="48">
        <f ca="1" t="shared" si="20"/>
        <v>0</v>
      </c>
      <c r="S40" s="50">
        <f ca="1">+GETPIVOTDATA("XBT4",'binhtrung (2016)'!$A$3,"MA_HT","DKG","MA_QH","CQP")</f>
        <v>0</v>
      </c>
      <c r="T40" s="50">
        <f ca="1">+GETPIVOTDATA("XBT4",'binhtrung (2016)'!$A$3,"MA_HT","DKG","MA_QH","CAN")</f>
        <v>0</v>
      </c>
      <c r="U40" s="50">
        <f ca="1">+GETPIVOTDATA("XBT4",'binhtrung (2016)'!$A$3,"MA_HT","DKG","MA_QH","SKK")</f>
        <v>0</v>
      </c>
      <c r="V40" s="50">
        <f ca="1">+GETPIVOTDATA("XBT4",'binhtrung (2016)'!$A$3,"MA_HT","DKG","MA_QH","SKT")</f>
        <v>0</v>
      </c>
      <c r="W40" s="50">
        <f ca="1">+GETPIVOTDATA("XBT4",'binhtrung (2016)'!$A$3,"MA_HT","DKG","MA_QH","SKN")</f>
        <v>0</v>
      </c>
      <c r="X40" s="50">
        <f ca="1">+GETPIVOTDATA("XBT4",'binhtrung (2016)'!$A$3,"MA_HT","DKG","MA_QH","TMD")</f>
        <v>0</v>
      </c>
      <c r="Y40" s="50">
        <f ca="1">+GETPIVOTDATA("XBT4",'binhtrung (2016)'!$A$3,"MA_HT","DKG","MA_QH","SKC")</f>
        <v>0</v>
      </c>
      <c r="Z40" s="50">
        <f ca="1">+GETPIVOTDATA("XBT4",'binhtrung (2016)'!$A$3,"MA_HT","DKG","MA_QH","SKS")</f>
        <v>0</v>
      </c>
      <c r="AA40" s="52">
        <f ca="1">+SUM(AB40:AL40)</f>
        <v>0</v>
      </c>
      <c r="AB40" s="50">
        <f ca="1">+GETPIVOTDATA("XBT4",'binhtrung (2016)'!$A$3,"MA_HT","DKG","MA_QH","DGT")</f>
        <v>0</v>
      </c>
      <c r="AC40" s="50">
        <f ca="1">+GETPIVOTDATA("XBT4",'binhtrung (2016)'!$A$3,"MA_HT","DKG","MA_QH","DTL")</f>
        <v>0</v>
      </c>
      <c r="AD40" s="50">
        <f ca="1">+GETPIVOTDATA("XBT4",'binhtrung (2016)'!$A$3,"MA_HT","DKG","MA_QH","DNL")</f>
        <v>0</v>
      </c>
      <c r="AE40" s="50">
        <f ca="1">+GETPIVOTDATA("XBT4",'binhtrung (2016)'!$A$3,"MA_HT","DKG","MA_QH","DBV")</f>
        <v>0</v>
      </c>
      <c r="AF40" s="50">
        <f ca="1">+GETPIVOTDATA("XBT4",'binhtrung (2016)'!$A$3,"MA_HT","DKG","MA_QH","DVH")</f>
        <v>0</v>
      </c>
      <c r="AG40" s="50">
        <f ca="1">+GETPIVOTDATA("XBT4",'binhtrung (2016)'!$A$3,"MA_HT","DKG","MA_QH","DYT")</f>
        <v>0</v>
      </c>
      <c r="AH40" s="50">
        <f ca="1">+GETPIVOTDATA("XBT4",'binhtrung (2016)'!$A$3,"MA_HT","DKG","MA_QH","DGD")</f>
        <v>0</v>
      </c>
      <c r="AI40" s="50">
        <f ca="1">+GETPIVOTDATA("XBT4",'binhtrung (2016)'!$A$3,"MA_HT","DKG","MA_QH","DTT")</f>
        <v>0</v>
      </c>
      <c r="AJ40" s="50">
        <f ca="1">+GETPIVOTDATA("XBT4",'binhtrung (2016)'!$A$3,"MA_HT","DKG","MA_QH","NCK")</f>
        <v>0</v>
      </c>
      <c r="AK40" s="50">
        <f ca="1">+GETPIVOTDATA("XBT4",'binhtrung (2016)'!$A$3,"MA_HT","DKG","MA_QH","DXH")</f>
        <v>0</v>
      </c>
      <c r="AL40" s="60">
        <f ca="1">+GETPIVOTDATA("XBT4",'binhtrung (2016)'!$A$3,"MA_HT","DDT","MA_QH","DKG")</f>
        <v>0</v>
      </c>
      <c r="AM40" s="49" t="e">
        <f ca="1">$D40-$BF40</f>
        <v>#REF!</v>
      </c>
      <c r="AN40" s="50">
        <f ca="1">+GETPIVOTDATA("XBT4",'binhtrung (2016)'!$A$3,"MA_HT","DKG","MA_QH","DDT")</f>
        <v>0</v>
      </c>
      <c r="AO40" s="50">
        <f ca="1">+GETPIVOTDATA("XBT4",'binhtrung (2016)'!$A$3,"MA_HT","DKG","MA_QH","DDL")</f>
        <v>0</v>
      </c>
      <c r="AP40" s="50">
        <f ca="1">+GETPIVOTDATA("XBT4",'binhtrung (2016)'!$A$3,"MA_HT","DKG","MA_QH","DRA")</f>
        <v>0</v>
      </c>
      <c r="AQ40" s="50">
        <f ca="1">+GETPIVOTDATA("XBT4",'binhtrung (2016)'!$A$3,"MA_HT","DKG","MA_QH","ONT")</f>
        <v>0</v>
      </c>
      <c r="AR40" s="50">
        <f ca="1">+GETPIVOTDATA("XBT4",'binhtrung (2016)'!$A$3,"MA_HT","DKG","MA_QH","ODT")</f>
        <v>0</v>
      </c>
      <c r="AS40" s="50">
        <f ca="1">+GETPIVOTDATA("XBT4",'binhtrung (2016)'!$A$3,"MA_HT","DKG","MA_QH","TSC")</f>
        <v>0</v>
      </c>
      <c r="AT40" s="50">
        <f ca="1">+GETPIVOTDATA("XBT4",'binhtrung (2016)'!$A$3,"MA_HT","DKG","MA_QH","DTS")</f>
        <v>0</v>
      </c>
      <c r="AU40" s="50">
        <f ca="1">+GETPIVOTDATA("XBT4",'binhtrung (2016)'!$A$3,"MA_HT","DKG","MA_QH","DNG")</f>
        <v>0</v>
      </c>
      <c r="AV40" s="50">
        <f ca="1">+GETPIVOTDATA("XBT4",'binhtrung (2016)'!$A$3,"MA_HT","DKG","MA_QH","TON")</f>
        <v>0</v>
      </c>
      <c r="AW40" s="50">
        <f ca="1">+GETPIVOTDATA("XBT4",'binhtrung (2016)'!$A$3,"MA_HT","DKG","MA_QH","NTD")</f>
        <v>0</v>
      </c>
      <c r="AX40" s="50">
        <f ca="1">+GETPIVOTDATA("XBT4",'binhtrung (2016)'!$A$3,"MA_HT","DKG","MA_QH","SKX")</f>
        <v>0</v>
      </c>
      <c r="AY40" s="50">
        <f ca="1">+GETPIVOTDATA("XBT4",'binhtrung (2016)'!$A$3,"MA_HT","DKG","MA_QH","DSH")</f>
        <v>0</v>
      </c>
      <c r="AZ40" s="50">
        <f ca="1">+GETPIVOTDATA("XBT4",'binhtrung (2016)'!$A$3,"MA_HT","DKG","MA_QH","DKV")</f>
        <v>0</v>
      </c>
      <c r="BA40" s="88">
        <f ca="1">+GETPIVOTDATA("XBT4",'binhtrung (2016)'!$A$3,"MA_HT","DKG","MA_QH","TIN")</f>
        <v>0</v>
      </c>
      <c r="BB40" s="50">
        <f ca="1">+GETPIVOTDATA("XBT4",'binhtrung (2016)'!$A$3,"MA_HT","DKG","MA_QH","SON")</f>
        <v>0</v>
      </c>
      <c r="BC40" s="50">
        <f ca="1">+GETPIVOTDATA("XBT4",'binhtrung (2016)'!$A$3,"MA_HT","DKG","MA_QH","MNC")</f>
        <v>0</v>
      </c>
      <c r="BD40" s="50">
        <f ca="1">+GETPIVOTDATA("XBT4",'binhtrung (2016)'!$A$3,"MA_HT","DKG","MA_QH","PNK")</f>
        <v>0</v>
      </c>
      <c r="BE40" s="80">
        <f ca="1">+GETPIVOTDATA("XBT4",'binhtrung (2016)'!$A$3,"MA_HT","DKG","MA_QH","CSD")</f>
        <v>0</v>
      </c>
      <c r="BF40" s="103">
        <f ca="1" t="shared" si="13"/>
        <v>0</v>
      </c>
      <c r="BG40" s="104">
        <f ca="1">AM$59-$BF40</f>
        <v>0</v>
      </c>
      <c r="BH40" s="47" t="e">
        <f ca="1" t="shared" si="14"/>
        <v>#REF!</v>
      </c>
      <c r="BI40" s="109"/>
      <c r="BJ40" s="109" t="e">
        <f>#REF!</f>
        <v>#REF!</v>
      </c>
      <c r="BK40" s="110" t="e">
        <f ca="1" t="shared" si="19"/>
        <v>#REF!</v>
      </c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</row>
    <row r="41" s="6" customFormat="1" ht="15.75" customHeight="1" spans="1:79">
      <c r="A41" s="54" t="s">
        <v>8400</v>
      </c>
      <c r="B41" s="55" t="s">
        <v>8401</v>
      </c>
      <c r="C41" s="56" t="s">
        <v>8287</v>
      </c>
      <c r="D41" s="57" t="e">
        <f>+#REF!</f>
        <v>#REF!</v>
      </c>
      <c r="E41" s="58">
        <f ca="1" t="shared" si="15"/>
        <v>0</v>
      </c>
      <c r="F41" s="59">
        <f ca="1" t="shared" si="9"/>
        <v>0</v>
      </c>
      <c r="G41" s="60">
        <f ca="1">+GETPIVOTDATA("XBT4",'binhtrung (2016)'!$A$3,"MA_HT","DDT","MA_QH","LUC")</f>
        <v>0</v>
      </c>
      <c r="H41" s="60">
        <f ca="1">+GETPIVOTDATA("XBT4",'binhtrung (2016)'!$A$3,"MA_HT","DDT","MA_QH","LUK")</f>
        <v>0</v>
      </c>
      <c r="I41" s="60">
        <f ca="1">+GETPIVOTDATA("XBT4",'binhtrung (2016)'!$A$3,"MA_HT","DDT","MA_QH","LUN")</f>
        <v>0</v>
      </c>
      <c r="J41" s="60">
        <f ca="1">+GETPIVOTDATA("XBT4",'binhtrung (2016)'!$A$3,"MA_HT","DDT","MA_QH","HNK")</f>
        <v>0</v>
      </c>
      <c r="K41" s="60">
        <f ca="1">+GETPIVOTDATA("XBT4",'binhtrung (2016)'!$A$3,"MA_HT","DDT","MA_QH","CLN")</f>
        <v>0</v>
      </c>
      <c r="L41" s="60">
        <f ca="1">+GETPIVOTDATA("XBT4",'binhtrung (2016)'!$A$3,"MA_HT","DDT","MA_QH","RSX")</f>
        <v>0</v>
      </c>
      <c r="M41" s="60">
        <f ca="1">+GETPIVOTDATA("XBT4",'binhtrung (2016)'!$A$3,"MA_HT","DDT","MA_QH","RPH")</f>
        <v>0</v>
      </c>
      <c r="N41" s="60">
        <f ca="1">+GETPIVOTDATA("XBT4",'binhtrung (2016)'!$A$3,"MA_HT","DDT","MA_QH","RDD")</f>
        <v>0</v>
      </c>
      <c r="O41" s="60">
        <f ca="1">+GETPIVOTDATA("XBT4",'binhtrung (2016)'!$A$3,"MA_HT","DDT","MA_QH","NTS")</f>
        <v>0</v>
      </c>
      <c r="P41" s="60">
        <f ca="1">+GETPIVOTDATA("XBT4",'binhtrung (2016)'!$A$3,"MA_HT","DDT","MA_QH","LMU")</f>
        <v>0</v>
      </c>
      <c r="Q41" s="60">
        <f ca="1">+GETPIVOTDATA("XBT4",'binhtrung (2016)'!$A$3,"MA_HT","DDT","MA_QH","NKH")</f>
        <v>0</v>
      </c>
      <c r="R41" s="78">
        <f ca="1">SUM(S41:AA41,AO41:BD41)</f>
        <v>0</v>
      </c>
      <c r="S41" s="60">
        <f ca="1">+GETPIVOTDATA("XBT4",'binhtrung (2016)'!$A$3,"MA_HT","DDT","MA_QH","CQP")</f>
        <v>0</v>
      </c>
      <c r="T41" s="60">
        <f ca="1">+GETPIVOTDATA("XBT4",'binhtrung (2016)'!$A$3,"MA_HT","DDT","MA_QH","CAN")</f>
        <v>0</v>
      </c>
      <c r="U41" s="60">
        <f ca="1">+GETPIVOTDATA("XBT4",'binhtrung (2016)'!$A$3,"MA_HT","DDT","MA_QH","SKK")</f>
        <v>0</v>
      </c>
      <c r="V41" s="60">
        <f ca="1">+GETPIVOTDATA("XBT4",'binhtrung (2016)'!$A$3,"MA_HT","DDT","MA_QH","SKT")</f>
        <v>0</v>
      </c>
      <c r="W41" s="60">
        <f ca="1">+GETPIVOTDATA("XBT4",'binhtrung (2016)'!$A$3,"MA_HT","DDT","MA_QH","SKN")</f>
        <v>0</v>
      </c>
      <c r="X41" s="60">
        <f ca="1">+GETPIVOTDATA("XBT4",'binhtrung (2016)'!$A$3,"MA_HT","DDT","MA_QH","TMD")</f>
        <v>0</v>
      </c>
      <c r="Y41" s="60">
        <f ca="1">+GETPIVOTDATA("XBT4",'binhtrung (2016)'!$A$3,"MA_HT","DDT","MA_QH","SKC")</f>
        <v>0</v>
      </c>
      <c r="Z41" s="60">
        <f ca="1">+GETPIVOTDATA("XBT4",'binhtrung (2016)'!$A$3,"MA_HT","DDT","MA_QH","SKS")</f>
        <v>0</v>
      </c>
      <c r="AA41" s="59">
        <f ca="1" t="shared" ref="AA41:AA58" si="21">+SUM(AB41:AM41)</f>
        <v>0</v>
      </c>
      <c r="AB41" s="60">
        <f ca="1">+GETPIVOTDATA("XBT4",'binhtrung (2016)'!$A$3,"MA_HT","DDT","MA_QH","DGT")</f>
        <v>0</v>
      </c>
      <c r="AC41" s="60">
        <f ca="1">+GETPIVOTDATA("XBT4",'binhtrung (2016)'!$A$3,"MA_HT","DDT","MA_QH","DTL")</f>
        <v>0</v>
      </c>
      <c r="AD41" s="60">
        <f ca="1">+GETPIVOTDATA("XBT4",'binhtrung (2016)'!$A$3,"MA_HT","DDT","MA_QH","DNL")</f>
        <v>0</v>
      </c>
      <c r="AE41" s="60">
        <f ca="1">+GETPIVOTDATA("XBT4",'binhtrung (2016)'!$A$3,"MA_HT","DDT","MA_QH","DBV")</f>
        <v>0</v>
      </c>
      <c r="AF41" s="60">
        <f ca="1">+GETPIVOTDATA("XBT4",'binhtrung (2016)'!$A$3,"MA_HT","DDT","MA_QH","DVH")</f>
        <v>0</v>
      </c>
      <c r="AG41" s="60">
        <f ca="1">+GETPIVOTDATA("XBT4",'binhtrung (2016)'!$A$3,"MA_HT","DDT","MA_QH","DYT")</f>
        <v>0</v>
      </c>
      <c r="AH41" s="60">
        <f ca="1">+GETPIVOTDATA("XBT4",'binhtrung (2016)'!$A$3,"MA_HT","DDT","MA_QH","DGD")</f>
        <v>0</v>
      </c>
      <c r="AI41" s="60">
        <f ca="1">+GETPIVOTDATA("XBT4",'binhtrung (2016)'!$A$3,"MA_HT","DDT","MA_QH","DTT")</f>
        <v>0</v>
      </c>
      <c r="AJ41" s="60">
        <f ca="1">+GETPIVOTDATA("XBT4",'binhtrung (2016)'!$A$3,"MA_HT","DDT","MA_QH","NCK")</f>
        <v>0</v>
      </c>
      <c r="AK41" s="60">
        <f ca="1">+GETPIVOTDATA("XBT4",'binhtrung (2016)'!$A$3,"MA_HT","DDT","MA_QH","DXH")</f>
        <v>0</v>
      </c>
      <c r="AL41" s="60">
        <f ca="1">+GETPIVOTDATA("XBT4",'binhtrung (2016)'!$A$3,"MA_HT","DDT","MA_QH","DCH")</f>
        <v>0</v>
      </c>
      <c r="AM41" s="60">
        <f ca="1">+GETPIVOTDATA("XBT4",'binhtrung (2016)'!$A$3,"MA_HT","DDT","MA_QH","DKG")</f>
        <v>0</v>
      </c>
      <c r="AN41" s="81" t="e">
        <f ca="1">$D41-$BF41</f>
        <v>#REF!</v>
      </c>
      <c r="AO41" s="60">
        <f ca="1">+GETPIVOTDATA("XBT4",'binhtrung (2016)'!$A$3,"MA_HT","DDT","MA_QH","DDL")</f>
        <v>0</v>
      </c>
      <c r="AP41" s="60">
        <f ca="1">+GETPIVOTDATA("XBT4",'binhtrung (2016)'!$A$3,"MA_HT","DDT","MA_QH","DRA")</f>
        <v>0</v>
      </c>
      <c r="AQ41" s="60">
        <f ca="1">+GETPIVOTDATA("XBT4",'binhtrung (2016)'!$A$3,"MA_HT","DDT","MA_QH","ONT")</f>
        <v>0</v>
      </c>
      <c r="AR41" s="60">
        <f ca="1">+GETPIVOTDATA("XBT4",'binhtrung (2016)'!$A$3,"MA_HT","DDT","MA_QH","ODT")</f>
        <v>0</v>
      </c>
      <c r="AS41" s="60">
        <f ca="1">+GETPIVOTDATA("XBT4",'binhtrung (2016)'!$A$3,"MA_HT","DDT","MA_QH","TSC")</f>
        <v>0</v>
      </c>
      <c r="AT41" s="60">
        <f ca="1">+GETPIVOTDATA("XBT4",'binhtrung (2016)'!$A$3,"MA_HT","DDT","MA_QH","DTS")</f>
        <v>0</v>
      </c>
      <c r="AU41" s="60">
        <f ca="1">+GETPIVOTDATA("XBT4",'binhtrung (2016)'!$A$3,"MA_HT","DDT","MA_QH","DNG")</f>
        <v>0</v>
      </c>
      <c r="AV41" s="60">
        <f ca="1">+GETPIVOTDATA("XBT4",'binhtrung (2016)'!$A$3,"MA_HT","DDT","MA_QH","TON")</f>
        <v>0</v>
      </c>
      <c r="AW41" s="60">
        <f ca="1">+GETPIVOTDATA("XBT4",'binhtrung (2016)'!$A$3,"MA_HT","DDT","MA_QH","NTD")</f>
        <v>0</v>
      </c>
      <c r="AX41" s="60">
        <f ca="1">+GETPIVOTDATA("XBT4",'binhtrung (2016)'!$A$3,"MA_HT","DDT","MA_QH","SKX")</f>
        <v>0</v>
      </c>
      <c r="AY41" s="60">
        <f ca="1">+GETPIVOTDATA("XBT4",'binhtrung (2016)'!$A$3,"MA_HT","DDT","MA_QH","DSH")</f>
        <v>0</v>
      </c>
      <c r="AZ41" s="60">
        <f ca="1">+GETPIVOTDATA("XBT4",'binhtrung (2016)'!$A$3,"MA_HT","DDT","MA_QH","DKV")</f>
        <v>0</v>
      </c>
      <c r="BA41" s="90">
        <f ca="1">+GETPIVOTDATA("XBT4",'binhtrung (2016)'!$A$3,"MA_HT","DDT","MA_QH","TIN")</f>
        <v>0</v>
      </c>
      <c r="BB41" s="91">
        <f ca="1">+GETPIVOTDATA("XBT4",'binhtrung (2016)'!$A$3,"MA_HT","DDT","MA_QH","SON")</f>
        <v>0</v>
      </c>
      <c r="BC41" s="91">
        <f ca="1">+GETPIVOTDATA("XBT4",'binhtrung (2016)'!$A$3,"MA_HT","DDT","MA_QH","MNC")</f>
        <v>0</v>
      </c>
      <c r="BD41" s="60">
        <f ca="1">+GETPIVOTDATA("XBT4",'binhtrung (2016)'!$A$3,"MA_HT","DDT","MA_QH","PNK")</f>
        <v>0</v>
      </c>
      <c r="BE41" s="111">
        <f ca="1">+GETPIVOTDATA("XBT4",'binhtrung (2016)'!$A$3,"MA_HT","DDT","MA_QH","CSD")</f>
        <v>0</v>
      </c>
      <c r="BF41" s="112">
        <f ca="1" t="shared" si="13"/>
        <v>0</v>
      </c>
      <c r="BG41" s="113">
        <f ca="1">AN$59-$BF41</f>
        <v>0</v>
      </c>
      <c r="BH41" s="57" t="e">
        <f ca="1" t="shared" si="14"/>
        <v>#REF!</v>
      </c>
      <c r="BI41" s="114"/>
      <c r="BJ41" s="115"/>
      <c r="BK41" s="115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</row>
    <row r="42" s="2" customFormat="1" ht="15.75" customHeight="1" spans="1:79">
      <c r="A42" s="39" t="s">
        <v>8402</v>
      </c>
      <c r="B42" s="53" t="s">
        <v>8403</v>
      </c>
      <c r="C42" s="40" t="s">
        <v>8286</v>
      </c>
      <c r="D42" s="41" t="e">
        <f>+#REF!</f>
        <v>#REF!</v>
      </c>
      <c r="E42" s="42">
        <f ca="1" t="shared" si="15"/>
        <v>0</v>
      </c>
      <c r="F42" s="52">
        <f ca="1" t="shared" si="9"/>
        <v>0</v>
      </c>
      <c r="G42" s="22">
        <f ca="1">+GETPIVOTDATA("XBT4",'binhtrung (2016)'!$A$3,"MA_HT","DDL","MA_QH","LUC")</f>
        <v>0</v>
      </c>
      <c r="H42" s="22">
        <f ca="1">+GETPIVOTDATA("XBT4",'binhtrung (2016)'!$A$3,"MA_HT","DDL","MA_QH","LUK")</f>
        <v>0</v>
      </c>
      <c r="I42" s="22">
        <f ca="1">+GETPIVOTDATA("XBT4",'binhtrung (2016)'!$A$3,"MA_HT","DDL","MA_QH","LUN")</f>
        <v>0</v>
      </c>
      <c r="J42" s="22">
        <f ca="1">+GETPIVOTDATA("XBT4",'binhtrung (2016)'!$A$3,"MA_HT","DDL","MA_QH","HNK")</f>
        <v>0</v>
      </c>
      <c r="K42" s="22">
        <f ca="1">+GETPIVOTDATA("XBT4",'binhtrung (2016)'!$A$3,"MA_HT","DDL","MA_QH","CLN")</f>
        <v>0</v>
      </c>
      <c r="L42" s="22">
        <f ca="1">+GETPIVOTDATA("XBT4",'binhtrung (2016)'!$A$3,"MA_HT","DDL","MA_QH","RSX")</f>
        <v>0</v>
      </c>
      <c r="M42" s="22">
        <f ca="1">+GETPIVOTDATA("XBT4",'binhtrung (2016)'!$A$3,"MA_HT","DDL","MA_QH","RPH")</f>
        <v>0</v>
      </c>
      <c r="N42" s="22">
        <f ca="1">+GETPIVOTDATA("XBT4",'binhtrung (2016)'!$A$3,"MA_HT","DDL","MA_QH","RDD")</f>
        <v>0</v>
      </c>
      <c r="O42" s="22">
        <f ca="1">+GETPIVOTDATA("XBT4",'binhtrung (2016)'!$A$3,"MA_HT","DDL","MA_QH","NTS")</f>
        <v>0</v>
      </c>
      <c r="P42" s="22">
        <f ca="1">+GETPIVOTDATA("XBT4",'binhtrung (2016)'!$A$3,"MA_HT","DDL","MA_QH","LMU")</f>
        <v>0</v>
      </c>
      <c r="Q42" s="22">
        <f ca="1">+GETPIVOTDATA("XBT4",'binhtrung (2016)'!$A$3,"MA_HT","DDL","MA_QH","NKH")</f>
        <v>0</v>
      </c>
      <c r="R42" s="79">
        <f ca="1">SUM(S42:AA42,AN42,AP42:BD42)</f>
        <v>0</v>
      </c>
      <c r="S42" s="22">
        <f ca="1">+GETPIVOTDATA("XBT4",'binhtrung (2016)'!$A$3,"MA_HT","DDL","MA_QH","CQP")</f>
        <v>0</v>
      </c>
      <c r="T42" s="22">
        <f ca="1">+GETPIVOTDATA("XBT4",'binhtrung (2016)'!$A$3,"MA_HT","DDL","MA_QH","CAN")</f>
        <v>0</v>
      </c>
      <c r="U42" s="22">
        <f ca="1">+GETPIVOTDATA("XBT4",'binhtrung (2016)'!$A$3,"MA_HT","DDL","MA_QH","SKK")</f>
        <v>0</v>
      </c>
      <c r="V42" s="22">
        <f ca="1">+GETPIVOTDATA("XBT4",'binhtrung (2016)'!$A$3,"MA_HT","DDL","MA_QH","SKT")</f>
        <v>0</v>
      </c>
      <c r="W42" s="22">
        <f ca="1">+GETPIVOTDATA("XBT4",'binhtrung (2016)'!$A$3,"MA_HT","DDL","MA_QH","SKN")</f>
        <v>0</v>
      </c>
      <c r="X42" s="22">
        <f ca="1">+GETPIVOTDATA("XBT4",'binhtrung (2016)'!$A$3,"MA_HT","DDL","MA_QH","TMD")</f>
        <v>0</v>
      </c>
      <c r="Y42" s="22">
        <f ca="1">+GETPIVOTDATA("XBT4",'binhtrung (2016)'!$A$3,"MA_HT","DDL","MA_QH","SKC")</f>
        <v>0</v>
      </c>
      <c r="Z42" s="22">
        <f ca="1">+GETPIVOTDATA("XBT4",'binhtrung (2016)'!$A$3,"MA_HT","DDL","MA_QH","SKS")</f>
        <v>0</v>
      </c>
      <c r="AA42" s="52">
        <f ca="1" t="shared" si="21"/>
        <v>0</v>
      </c>
      <c r="AB42" s="22">
        <f ca="1">+GETPIVOTDATA("XBT4",'binhtrung (2016)'!$A$3,"MA_HT","DDL","MA_QH","DGT")</f>
        <v>0</v>
      </c>
      <c r="AC42" s="22">
        <f ca="1">+GETPIVOTDATA("XBT4",'binhtrung (2016)'!$A$3,"MA_HT","DDL","MA_QH","DTL")</f>
        <v>0</v>
      </c>
      <c r="AD42" s="22">
        <f ca="1">+GETPIVOTDATA("XBT4",'binhtrung (2016)'!$A$3,"MA_HT","DDL","MA_QH","DNL")</f>
        <v>0</v>
      </c>
      <c r="AE42" s="22">
        <f ca="1">+GETPIVOTDATA("XBT4",'binhtrung (2016)'!$A$3,"MA_HT","DDL","MA_QH","DBV")</f>
        <v>0</v>
      </c>
      <c r="AF42" s="22">
        <f ca="1">+GETPIVOTDATA("XBT4",'binhtrung (2016)'!$A$3,"MA_HT","DDL","MA_QH","DVH")</f>
        <v>0</v>
      </c>
      <c r="AG42" s="22">
        <f ca="1">+GETPIVOTDATA("XBT4",'binhtrung (2016)'!$A$3,"MA_HT","DDL","MA_QH","DYT")</f>
        <v>0</v>
      </c>
      <c r="AH42" s="22">
        <f ca="1">+GETPIVOTDATA("XBT4",'binhtrung (2016)'!$A$3,"MA_HT","DDL","MA_QH","DGD")</f>
        <v>0</v>
      </c>
      <c r="AI42" s="22">
        <f ca="1">+GETPIVOTDATA("XBT4",'binhtrung (2016)'!$A$3,"MA_HT","DDL","MA_QH","DTT")</f>
        <v>0</v>
      </c>
      <c r="AJ42" s="22">
        <f ca="1">+GETPIVOTDATA("XBT4",'binhtrung (2016)'!$A$3,"MA_HT","DDL","MA_QH","NCK")</f>
        <v>0</v>
      </c>
      <c r="AK42" s="22">
        <f ca="1">+GETPIVOTDATA("XBT4",'binhtrung (2016)'!$A$3,"MA_HT","DDL","MA_QH","DXH")</f>
        <v>0</v>
      </c>
      <c r="AL42" s="22">
        <f ca="1">+GETPIVOTDATA("XBT4",'binhtrung (2016)'!$A$3,"MA_HT","DDL","MA_QH","DCH")</f>
        <v>0</v>
      </c>
      <c r="AM42" s="22">
        <f ca="1">+GETPIVOTDATA("XBT4",'binhtrung (2016)'!$A$3,"MA_HT","DDL","MA_QH","DKG")</f>
        <v>0</v>
      </c>
      <c r="AN42" s="22">
        <f ca="1">+GETPIVOTDATA("XBT4",'binhtrung (2016)'!$A$3,"MA_HT","DDL","MA_QH","DDT")</f>
        <v>0</v>
      </c>
      <c r="AO42" s="43" t="e">
        <f ca="1">$D42-$BF42</f>
        <v>#REF!</v>
      </c>
      <c r="AP42" s="22">
        <f ca="1">+GETPIVOTDATA("XBT4",'binhtrung (2016)'!$A$3,"MA_HT","DDL","MA_QH","DRA")</f>
        <v>0</v>
      </c>
      <c r="AQ42" s="22">
        <f ca="1">+GETPIVOTDATA("XBT4",'binhtrung (2016)'!$A$3,"MA_HT","DDL","MA_QH","ONT")</f>
        <v>0</v>
      </c>
      <c r="AR42" s="22">
        <f ca="1">+GETPIVOTDATA("XBT4",'binhtrung (2016)'!$A$3,"MA_HT","DDL","MA_QH","ODT")</f>
        <v>0</v>
      </c>
      <c r="AS42" s="22">
        <f ca="1">+GETPIVOTDATA("XBT4",'binhtrung (2016)'!$A$3,"MA_HT","DDL","MA_QH","TSC")</f>
        <v>0</v>
      </c>
      <c r="AT42" s="22">
        <f ca="1">+GETPIVOTDATA("XBT4",'binhtrung (2016)'!$A$3,"MA_HT","DDL","MA_QH","DTS")</f>
        <v>0</v>
      </c>
      <c r="AU42" s="22">
        <f ca="1">+GETPIVOTDATA("XBT4",'binhtrung (2016)'!$A$3,"MA_HT","DDL","MA_QH","DNG")</f>
        <v>0</v>
      </c>
      <c r="AV42" s="22">
        <f ca="1">+GETPIVOTDATA("XBT4",'binhtrung (2016)'!$A$3,"MA_HT","DDL","MA_QH","TON")</f>
        <v>0</v>
      </c>
      <c r="AW42" s="22">
        <f ca="1">+GETPIVOTDATA("XBT4",'binhtrung (2016)'!$A$3,"MA_HT","DDL","MA_QH","NTD")</f>
        <v>0</v>
      </c>
      <c r="AX42" s="22">
        <f ca="1">+GETPIVOTDATA("XBT4",'binhtrung (2016)'!$A$3,"MA_HT","DDL","MA_QH","SKX")</f>
        <v>0</v>
      </c>
      <c r="AY42" s="22">
        <f ca="1">+GETPIVOTDATA("XBT4",'binhtrung (2016)'!$A$3,"MA_HT","DDL","MA_QH","DSH")</f>
        <v>0</v>
      </c>
      <c r="AZ42" s="22">
        <f ca="1">+GETPIVOTDATA("XBT4",'binhtrung (2016)'!$A$3,"MA_HT","DDL","MA_QH","DKV")</f>
        <v>0</v>
      </c>
      <c r="BA42" s="89">
        <f ca="1">+GETPIVOTDATA("XBT4",'binhtrung (2016)'!$A$3,"MA_HT","DDL","MA_QH","TIN")</f>
        <v>0</v>
      </c>
      <c r="BB42" s="50">
        <f ca="1">+GETPIVOTDATA("XBT4",'binhtrung (2016)'!$A$3,"MA_HT","DDL","MA_QH","SON")</f>
        <v>0</v>
      </c>
      <c r="BC42" s="50">
        <f ca="1">+GETPIVOTDATA("XBT4",'binhtrung (2016)'!$A$3,"MA_HT","DDL","MA_QH","MNC")</f>
        <v>0</v>
      </c>
      <c r="BD42" s="22">
        <f ca="1">+GETPIVOTDATA("XBT4",'binhtrung (2016)'!$A$3,"MA_HT","DDL","MA_QH","PNK")</f>
        <v>0</v>
      </c>
      <c r="BE42" s="71">
        <f ca="1">+GETPIVOTDATA("XBT4",'binhtrung (2016)'!$A$3,"MA_HT","DDL","MA_QH","CSD")</f>
        <v>0</v>
      </c>
      <c r="BF42" s="74">
        <f ca="1" t="shared" si="13"/>
        <v>0</v>
      </c>
      <c r="BG42" s="101">
        <f ca="1">AO$59-$BF42</f>
        <v>0</v>
      </c>
      <c r="BH42" s="41" t="e">
        <f ca="1" t="shared" si="14"/>
        <v>#REF!</v>
      </c>
      <c r="BI42" s="98"/>
      <c r="BJ42" s="107"/>
      <c r="BK42" s="10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</row>
    <row r="43" s="2" customFormat="1" ht="15.75" customHeight="1" spans="1:79">
      <c r="A43" s="39" t="s">
        <v>8404</v>
      </c>
      <c r="B43" s="53" t="s">
        <v>8405</v>
      </c>
      <c r="C43" s="40" t="s">
        <v>8291</v>
      </c>
      <c r="D43" s="41" t="e">
        <f>+#REF!</f>
        <v>#REF!</v>
      </c>
      <c r="E43" s="42">
        <f ca="1" t="shared" si="15"/>
        <v>0</v>
      </c>
      <c r="F43" s="52">
        <f ca="1" t="shared" si="9"/>
        <v>0</v>
      </c>
      <c r="G43" s="22">
        <f ca="1">+GETPIVOTDATA("XBT4",'binhtrung (2016)'!$A$3,"MA_HT","DRA","MA_QH","LUC")</f>
        <v>0</v>
      </c>
      <c r="H43" s="22">
        <f ca="1">+GETPIVOTDATA("XBT4",'binhtrung (2016)'!$A$3,"MA_HT","DRA","MA_QH","LUK")</f>
        <v>0</v>
      </c>
      <c r="I43" s="22">
        <f ca="1">+GETPIVOTDATA("XBT4",'binhtrung (2016)'!$A$3,"MA_HT","DRA","MA_QH","LUN")</f>
        <v>0</v>
      </c>
      <c r="J43" s="22">
        <f ca="1">+GETPIVOTDATA("XBT4",'binhtrung (2016)'!$A$3,"MA_HT","DRA","MA_QH","HNK")</f>
        <v>0</v>
      </c>
      <c r="K43" s="22">
        <f ca="1">+GETPIVOTDATA("XBT4",'binhtrung (2016)'!$A$3,"MA_HT","DRA","MA_QH","CLN")</f>
        <v>0</v>
      </c>
      <c r="L43" s="22">
        <f ca="1">+GETPIVOTDATA("XBT4",'binhtrung (2016)'!$A$3,"MA_HT","DRA","MA_QH","RSX")</f>
        <v>0</v>
      </c>
      <c r="M43" s="22">
        <f ca="1">+GETPIVOTDATA("XBT4",'binhtrung (2016)'!$A$3,"MA_HT","DRA","MA_QH","RPH")</f>
        <v>0</v>
      </c>
      <c r="N43" s="22">
        <f ca="1">+GETPIVOTDATA("XBT4",'binhtrung (2016)'!$A$3,"MA_HT","DRA","MA_QH","RDD")</f>
        <v>0</v>
      </c>
      <c r="O43" s="22">
        <f ca="1">+GETPIVOTDATA("XBT4",'binhtrung (2016)'!$A$3,"MA_HT","DRA","MA_QH","NTS")</f>
        <v>0</v>
      </c>
      <c r="P43" s="22">
        <f ca="1">+GETPIVOTDATA("XBT4",'binhtrung (2016)'!$A$3,"MA_HT","DRA","MA_QH","LMU")</f>
        <v>0</v>
      </c>
      <c r="Q43" s="22">
        <f ca="1">+GETPIVOTDATA("XBT4",'binhtrung (2016)'!$A$3,"MA_HT","DRA","MA_QH","NKH")</f>
        <v>0</v>
      </c>
      <c r="R43" s="79">
        <f ca="1">SUM(S43:AA43,AN43:AO43,AQ43:BD43)</f>
        <v>0</v>
      </c>
      <c r="S43" s="22">
        <f ca="1">+GETPIVOTDATA("XBT4",'binhtrung (2016)'!$A$3,"MA_HT","DRA","MA_QH","CQP")</f>
        <v>0</v>
      </c>
      <c r="T43" s="22">
        <f ca="1">+GETPIVOTDATA("XBT4",'binhtrung (2016)'!$A$3,"MA_HT","DRA","MA_QH","CAN")</f>
        <v>0</v>
      </c>
      <c r="U43" s="22">
        <f ca="1">+GETPIVOTDATA("XBT4",'binhtrung (2016)'!$A$3,"MA_HT","DRA","MA_QH","SKK")</f>
        <v>0</v>
      </c>
      <c r="V43" s="22">
        <f ca="1">+GETPIVOTDATA("XBT4",'binhtrung (2016)'!$A$3,"MA_HT","DRA","MA_QH","SKT")</f>
        <v>0</v>
      </c>
      <c r="W43" s="22">
        <f ca="1">+GETPIVOTDATA("XBT4",'binhtrung (2016)'!$A$3,"MA_HT","DRA","MA_QH","SKN")</f>
        <v>0</v>
      </c>
      <c r="X43" s="22">
        <f ca="1">+GETPIVOTDATA("XBT4",'binhtrung (2016)'!$A$3,"MA_HT","DRA","MA_QH","TMD")</f>
        <v>0</v>
      </c>
      <c r="Y43" s="22">
        <f ca="1">+GETPIVOTDATA("XBT4",'binhtrung (2016)'!$A$3,"MA_HT","DRA","MA_QH","SKC")</f>
        <v>0</v>
      </c>
      <c r="Z43" s="22">
        <f ca="1">+GETPIVOTDATA("XBT4",'binhtrung (2016)'!$A$3,"MA_HT","DRA","MA_QH","SKS")</f>
        <v>0</v>
      </c>
      <c r="AA43" s="52">
        <f ca="1" t="shared" si="21"/>
        <v>0</v>
      </c>
      <c r="AB43" s="22">
        <f ca="1">+GETPIVOTDATA("XBT4",'binhtrung (2016)'!$A$3,"MA_HT","DRA","MA_QH","DGT")</f>
        <v>0</v>
      </c>
      <c r="AC43" s="22">
        <f ca="1">+GETPIVOTDATA("XBT4",'binhtrung (2016)'!$A$3,"MA_HT","DRA","MA_QH","DTL")</f>
        <v>0</v>
      </c>
      <c r="AD43" s="22">
        <f ca="1">+GETPIVOTDATA("XBT4",'binhtrung (2016)'!$A$3,"MA_HT","DRA","MA_QH","DNL")</f>
        <v>0</v>
      </c>
      <c r="AE43" s="22">
        <f ca="1">+GETPIVOTDATA("XBT4",'binhtrung (2016)'!$A$3,"MA_HT","DRA","MA_QH","DBV")</f>
        <v>0</v>
      </c>
      <c r="AF43" s="22">
        <f ca="1">+GETPIVOTDATA("XBT4",'binhtrung (2016)'!$A$3,"MA_HT","DRA","MA_QH","DVH")</f>
        <v>0</v>
      </c>
      <c r="AG43" s="22">
        <f ca="1">+GETPIVOTDATA("XBT4",'binhtrung (2016)'!$A$3,"MA_HT","DRA","MA_QH","DYT")</f>
        <v>0</v>
      </c>
      <c r="AH43" s="22">
        <f ca="1">+GETPIVOTDATA("XBT4",'binhtrung (2016)'!$A$3,"MA_HT","DRA","MA_QH","DGD")</f>
        <v>0</v>
      </c>
      <c r="AI43" s="22">
        <f ca="1">+GETPIVOTDATA("XBT4",'binhtrung (2016)'!$A$3,"MA_HT","DRA","MA_QH","DTT")</f>
        <v>0</v>
      </c>
      <c r="AJ43" s="22">
        <f ca="1">+GETPIVOTDATA("XBT4",'binhtrung (2016)'!$A$3,"MA_HT","DRA","MA_QH","NCK")</f>
        <v>0</v>
      </c>
      <c r="AK43" s="22">
        <f ca="1">+GETPIVOTDATA("XBT4",'binhtrung (2016)'!$A$3,"MA_HT","DRA","MA_QH","DXH")</f>
        <v>0</v>
      </c>
      <c r="AL43" s="22">
        <f ca="1">+GETPIVOTDATA("XBT4",'binhtrung (2016)'!$A$3,"MA_HT","DRA","MA_QH","DCH")</f>
        <v>0</v>
      </c>
      <c r="AM43" s="22">
        <f ca="1">+GETPIVOTDATA("XBT4",'binhtrung (2016)'!$A$3,"MA_HT","DRA","MA_QH","DKG")</f>
        <v>0</v>
      </c>
      <c r="AN43" s="22">
        <f ca="1">+GETPIVOTDATA("XBT4",'binhtrung (2016)'!$A$3,"MA_HT","DRA","MA_QH","DDT")</f>
        <v>0</v>
      </c>
      <c r="AO43" s="22">
        <f ca="1">+GETPIVOTDATA("XBT4",'binhtrung (2016)'!$A$3,"MA_HT","DRA","MA_QH","DDL")</f>
        <v>0</v>
      </c>
      <c r="AP43" s="43" t="e">
        <f ca="1">$D43-$BF43</f>
        <v>#REF!</v>
      </c>
      <c r="AQ43" s="22">
        <f ca="1">+GETPIVOTDATA("XBT4",'binhtrung (2016)'!$A$3,"MA_HT","DRA","MA_QH","ONT")</f>
        <v>0</v>
      </c>
      <c r="AR43" s="22">
        <f ca="1">+GETPIVOTDATA("XBT4",'binhtrung (2016)'!$A$3,"MA_HT","DRA","MA_QH","ODT")</f>
        <v>0</v>
      </c>
      <c r="AS43" s="22">
        <f ca="1">+GETPIVOTDATA("XBT4",'binhtrung (2016)'!$A$3,"MA_HT","DRA","MA_QH","TSC")</f>
        <v>0</v>
      </c>
      <c r="AT43" s="22">
        <f ca="1">+GETPIVOTDATA("XBT4",'binhtrung (2016)'!$A$3,"MA_HT","DRA","MA_QH","DTS")</f>
        <v>0</v>
      </c>
      <c r="AU43" s="22">
        <f ca="1">+GETPIVOTDATA("XBT4",'binhtrung (2016)'!$A$3,"MA_HT","DRA","MA_QH","DNG")</f>
        <v>0</v>
      </c>
      <c r="AV43" s="22">
        <f ca="1">+GETPIVOTDATA("XBT4",'binhtrung (2016)'!$A$3,"MA_HT","DRA","MA_QH","TON")</f>
        <v>0</v>
      </c>
      <c r="AW43" s="22">
        <f ca="1">+GETPIVOTDATA("XBT4",'binhtrung (2016)'!$A$3,"MA_HT","DRA","MA_QH","NTD")</f>
        <v>0</v>
      </c>
      <c r="AX43" s="22">
        <f ca="1">+GETPIVOTDATA("XBT4",'binhtrung (2016)'!$A$3,"MA_HT","DRA","MA_QH","SKX")</f>
        <v>0</v>
      </c>
      <c r="AY43" s="22">
        <f ca="1">+GETPIVOTDATA("XBT4",'binhtrung (2016)'!$A$3,"MA_HT","DRA","MA_QH","DSH")</f>
        <v>0</v>
      </c>
      <c r="AZ43" s="22">
        <f ca="1">+GETPIVOTDATA("XBT4",'binhtrung (2016)'!$A$3,"MA_HT","DRA","MA_QH","DKV")</f>
        <v>0</v>
      </c>
      <c r="BA43" s="89">
        <f ca="1">+GETPIVOTDATA("XBT4",'binhtrung (2016)'!$A$3,"MA_HT","DRA","MA_QH","TIN")</f>
        <v>0</v>
      </c>
      <c r="BB43" s="50">
        <f ca="1">+GETPIVOTDATA("XBT4",'binhtrung (2016)'!$A$3,"MA_HT","DRA","MA_QH","SON")</f>
        <v>0</v>
      </c>
      <c r="BC43" s="50">
        <f ca="1">+GETPIVOTDATA("XBT4",'binhtrung (2016)'!$A$3,"MA_HT","DRA","MA_QH","MNC")</f>
        <v>0</v>
      </c>
      <c r="BD43" s="22">
        <f ca="1">+GETPIVOTDATA("XBT4",'binhtrung (2016)'!$A$3,"MA_HT","DRA","MA_QH","PNK")</f>
        <v>0</v>
      </c>
      <c r="BE43" s="71">
        <f ca="1">+GETPIVOTDATA("XBT4",'binhtrung (2016)'!$A$3,"MA_HT","DRA","MA_QH","CSD")</f>
        <v>0</v>
      </c>
      <c r="BF43" s="74">
        <f ca="1" t="shared" si="13"/>
        <v>0</v>
      </c>
      <c r="BG43" s="101">
        <f ca="1">AP$59-$BF43</f>
        <v>0</v>
      </c>
      <c r="BH43" s="41" t="e">
        <f ca="1" t="shared" si="14"/>
        <v>#REF!</v>
      </c>
      <c r="BI43" s="98"/>
      <c r="BJ43" s="107" t="e">
        <f>#REF!</f>
        <v>#REF!</v>
      </c>
      <c r="BK43" s="107" t="e">
        <f ca="1">BH43-BJ43</f>
        <v>#REF!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</row>
    <row r="44" s="2" customFormat="1" ht="15.75" customHeight="1" spans="1:79">
      <c r="A44" s="39" t="s">
        <v>8406</v>
      </c>
      <c r="B44" s="53" t="s">
        <v>8407</v>
      </c>
      <c r="C44" s="40" t="s">
        <v>188</v>
      </c>
      <c r="D44" s="41" t="e">
        <f>+#REF!</f>
        <v>#REF!</v>
      </c>
      <c r="E44" s="42">
        <f ca="1" t="shared" si="15"/>
        <v>0</v>
      </c>
      <c r="F44" s="52">
        <f ca="1" t="shared" si="9"/>
        <v>0</v>
      </c>
      <c r="G44" s="22">
        <f ca="1">+GETPIVOTDATA("XBT4",'binhtrung (2016)'!$A$3,"MA_HT","ONT","MA_QH","LUC")</f>
        <v>0</v>
      </c>
      <c r="H44" s="22">
        <f ca="1">+GETPIVOTDATA("XBT4",'binhtrung (2016)'!$A$3,"MA_HT","ONT","MA_QH","LUK")</f>
        <v>0</v>
      </c>
      <c r="I44" s="22">
        <f ca="1">+GETPIVOTDATA("XBT4",'binhtrung (2016)'!$A$3,"MA_HT","ONT","MA_QH","LUN")</f>
        <v>0</v>
      </c>
      <c r="J44" s="22">
        <f ca="1">+GETPIVOTDATA("XBT4",'binhtrung (2016)'!$A$3,"MA_HT","ONT","MA_QH","HNK")</f>
        <v>0</v>
      </c>
      <c r="K44" s="22">
        <f ca="1">+GETPIVOTDATA("XBT4",'binhtrung (2016)'!$A$3,"MA_HT","ONT","MA_QH","CLN")</f>
        <v>0</v>
      </c>
      <c r="L44" s="22">
        <f ca="1">+GETPIVOTDATA("XBT4",'binhtrung (2016)'!$A$3,"MA_HT","ONT","MA_QH","RSX")</f>
        <v>0</v>
      </c>
      <c r="M44" s="22">
        <f ca="1">+GETPIVOTDATA("XBT4",'binhtrung (2016)'!$A$3,"MA_HT","ONT","MA_QH","RPH")</f>
        <v>0</v>
      </c>
      <c r="N44" s="22">
        <f ca="1">+GETPIVOTDATA("XBT4",'binhtrung (2016)'!$A$3,"MA_HT","ONT","MA_QH","RDD")</f>
        <v>0</v>
      </c>
      <c r="O44" s="22">
        <f ca="1">+GETPIVOTDATA("XBT4",'binhtrung (2016)'!$A$3,"MA_HT","ONT","MA_QH","NTS")</f>
        <v>0</v>
      </c>
      <c r="P44" s="22">
        <f ca="1">+GETPIVOTDATA("XBT4",'binhtrung (2016)'!$A$3,"MA_HT","ONT","MA_QH","LMU")</f>
        <v>0</v>
      </c>
      <c r="Q44" s="22">
        <f ca="1">+GETPIVOTDATA("XBT4",'binhtrung (2016)'!$A$3,"MA_HT","ONT","MA_QH","NKH")</f>
        <v>0</v>
      </c>
      <c r="R44" s="79">
        <f ca="1">SUM(S44:AA44,AN44:AP44,AR44:BD44)</f>
        <v>0</v>
      </c>
      <c r="S44" s="22">
        <f ca="1">+GETPIVOTDATA("XBT4",'binhtrung (2016)'!$A$3,"MA_HT","ONT","MA_QH","CQP")</f>
        <v>0</v>
      </c>
      <c r="T44" s="22">
        <f ca="1">+GETPIVOTDATA("XBT4",'binhtrung (2016)'!$A$3,"MA_HT","ONT","MA_QH","CAN")</f>
        <v>0</v>
      </c>
      <c r="U44" s="22">
        <f ca="1">+GETPIVOTDATA("XBT4",'binhtrung (2016)'!$A$3,"MA_HT","ONT","MA_QH","SKK")</f>
        <v>0</v>
      </c>
      <c r="V44" s="22">
        <f ca="1">+GETPIVOTDATA("XBT4",'binhtrung (2016)'!$A$3,"MA_HT","ONT","MA_QH","SKT")</f>
        <v>0</v>
      </c>
      <c r="W44" s="22">
        <f ca="1">+GETPIVOTDATA("XBT4",'binhtrung (2016)'!$A$3,"MA_HT","ONT","MA_QH","SKN")</f>
        <v>0</v>
      </c>
      <c r="X44" s="22">
        <f ca="1">+GETPIVOTDATA("XBT4",'binhtrung (2016)'!$A$3,"MA_HT","ONT","MA_QH","TMD")</f>
        <v>0</v>
      </c>
      <c r="Y44" s="22">
        <f ca="1">+GETPIVOTDATA("XBT4",'binhtrung (2016)'!$A$3,"MA_HT","ONT","MA_QH","SKC")</f>
        <v>0</v>
      </c>
      <c r="Z44" s="22">
        <f ca="1">+GETPIVOTDATA("XBT4",'binhtrung (2016)'!$A$3,"MA_HT","ONT","MA_QH","SKS")</f>
        <v>0</v>
      </c>
      <c r="AA44" s="52">
        <f ca="1" t="shared" si="21"/>
        <v>0</v>
      </c>
      <c r="AB44" s="22">
        <f ca="1">+GETPIVOTDATA("XBT4",'binhtrung (2016)'!$A$3,"MA_HT","ONT","MA_QH","DGT")</f>
        <v>0</v>
      </c>
      <c r="AC44" s="22">
        <f ca="1">+GETPIVOTDATA("XBT4",'binhtrung (2016)'!$A$3,"MA_HT","ONT","MA_QH","DTL")</f>
        <v>0</v>
      </c>
      <c r="AD44" s="22">
        <f ca="1">+GETPIVOTDATA("XBT4",'binhtrung (2016)'!$A$3,"MA_HT","ONT","MA_QH","DNL")</f>
        <v>0</v>
      </c>
      <c r="AE44" s="22">
        <f ca="1">+GETPIVOTDATA("XBT4",'binhtrung (2016)'!$A$3,"MA_HT","ONT","MA_QH","DBV")</f>
        <v>0</v>
      </c>
      <c r="AF44" s="22">
        <f ca="1">+GETPIVOTDATA("XBT4",'binhtrung (2016)'!$A$3,"MA_HT","ONT","MA_QH","DVH")</f>
        <v>0</v>
      </c>
      <c r="AG44" s="22">
        <f ca="1">+GETPIVOTDATA("XBT4",'binhtrung (2016)'!$A$3,"MA_HT","ONT","MA_QH","DYT")</f>
        <v>0</v>
      </c>
      <c r="AH44" s="22">
        <f ca="1">+GETPIVOTDATA("XBT4",'binhtrung (2016)'!$A$3,"MA_HT","ONT","MA_QH","DGD")</f>
        <v>0</v>
      </c>
      <c r="AI44" s="22">
        <f ca="1">+GETPIVOTDATA("XBT4",'binhtrung (2016)'!$A$3,"MA_HT","ONT","MA_QH","DTT")</f>
        <v>0</v>
      </c>
      <c r="AJ44" s="22">
        <f ca="1">+GETPIVOTDATA("XBT4",'binhtrung (2016)'!$A$3,"MA_HT","ONT","MA_QH","NCK")</f>
        <v>0</v>
      </c>
      <c r="AK44" s="22">
        <f ca="1">+GETPIVOTDATA("XBT4",'binhtrung (2016)'!$A$3,"MA_HT","ONT","MA_QH","DXH")</f>
        <v>0</v>
      </c>
      <c r="AL44" s="22">
        <f ca="1">+GETPIVOTDATA("XBT4",'binhtrung (2016)'!$A$3,"MA_HT","ONT","MA_QH","DCH")</f>
        <v>0</v>
      </c>
      <c r="AM44" s="22">
        <f ca="1">+GETPIVOTDATA("XBT4",'binhtrung (2016)'!$A$3,"MA_HT","ONT","MA_QH","DKG")</f>
        <v>0</v>
      </c>
      <c r="AN44" s="22">
        <f ca="1">+GETPIVOTDATA("XBT4",'binhtrung (2016)'!$A$3,"MA_HT","ONT","MA_QH","DDT")</f>
        <v>0</v>
      </c>
      <c r="AO44" s="22">
        <f ca="1">+GETPIVOTDATA("XBT4",'binhtrung (2016)'!$A$3,"MA_HT","ONT","MA_QH","DDL")</f>
        <v>0</v>
      </c>
      <c r="AP44" s="22">
        <f ca="1">+GETPIVOTDATA("XBT4",'binhtrung (2016)'!$A$3,"MA_HT","ONT","MA_QH","DRA")</f>
        <v>0</v>
      </c>
      <c r="AQ44" s="43" t="e">
        <f ca="1">$D44-$BF44</f>
        <v>#REF!</v>
      </c>
      <c r="AR44" s="22">
        <f ca="1">+GETPIVOTDATA("XBT4",'binhtrung (2016)'!$A$3,"MA_HT","ONT","MA_QH","ODT")</f>
        <v>0</v>
      </c>
      <c r="AS44" s="22">
        <f ca="1">+GETPIVOTDATA("XBT4",'binhtrung (2016)'!$A$3,"MA_HT","ONT","MA_QH","TSC")</f>
        <v>0</v>
      </c>
      <c r="AT44" s="22">
        <f ca="1">+GETPIVOTDATA("XBT4",'binhtrung (2016)'!$A$3,"MA_HT","ONT","MA_QH","DTS")</f>
        <v>0</v>
      </c>
      <c r="AU44" s="22">
        <f ca="1">+GETPIVOTDATA("XBT4",'binhtrung (2016)'!$A$3,"MA_HT","ONT","MA_QH","DNG")</f>
        <v>0</v>
      </c>
      <c r="AV44" s="22">
        <f ca="1">+GETPIVOTDATA("XBT4",'binhtrung (2016)'!$A$3,"MA_HT","ONT","MA_QH","TON")</f>
        <v>0</v>
      </c>
      <c r="AW44" s="22">
        <f ca="1">+GETPIVOTDATA("XBT4",'binhtrung (2016)'!$A$3,"MA_HT","ONT","MA_QH","NTD")</f>
        <v>0</v>
      </c>
      <c r="AX44" s="22">
        <f ca="1">+GETPIVOTDATA("XBT4",'binhtrung (2016)'!$A$3,"MA_HT","ONT","MA_QH","SKX")</f>
        <v>0</v>
      </c>
      <c r="AY44" s="22">
        <f ca="1">+GETPIVOTDATA("XBT4",'binhtrung (2016)'!$A$3,"MA_HT","ONT","MA_QH","DSH")</f>
        <v>0</v>
      </c>
      <c r="AZ44" s="22">
        <f ca="1">+GETPIVOTDATA("XBT4",'binhtrung (2016)'!$A$3,"MA_HT","ONT","MA_QH","DKV")</f>
        <v>0</v>
      </c>
      <c r="BA44" s="89">
        <f ca="1">+GETPIVOTDATA("XBT4",'binhtrung (2016)'!$A$3,"MA_HT","ONT","MA_QH","TIN")</f>
        <v>0</v>
      </c>
      <c r="BB44" s="50">
        <f ca="1">+GETPIVOTDATA("XBT4",'binhtrung (2016)'!$A$3,"MA_HT","ONT","MA_QH","SON")</f>
        <v>0</v>
      </c>
      <c r="BC44" s="50">
        <f ca="1">+GETPIVOTDATA("XBT4",'binhtrung (2016)'!$A$3,"MA_HT","ONT","MA_QH","MNC")</f>
        <v>0</v>
      </c>
      <c r="BD44" s="22">
        <f ca="1">+GETPIVOTDATA("XBT4",'binhtrung (2016)'!$A$3,"MA_HT","ONT","MA_QH","PNK")</f>
        <v>0</v>
      </c>
      <c r="BE44" s="71">
        <f ca="1">+GETPIVOTDATA("XBT4",'binhtrung (2016)'!$A$3,"MA_HT","ONT","MA_QH","CSD")</f>
        <v>0</v>
      </c>
      <c r="BF44" s="74">
        <f ca="1" t="shared" si="13"/>
        <v>0</v>
      </c>
      <c r="BG44" s="101">
        <f ca="1">AQ$59-$BF44</f>
        <v>0</v>
      </c>
      <c r="BH44" s="41" t="e">
        <f ca="1" t="shared" si="14"/>
        <v>#REF!</v>
      </c>
      <c r="BI44" s="98"/>
      <c r="BJ44" s="107" t="e">
        <f>#REF!</f>
        <v>#REF!</v>
      </c>
      <c r="BK44" s="107" t="e">
        <f ca="1">BH44-BJ44</f>
        <v>#REF!</v>
      </c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</row>
    <row r="45" s="2" customFormat="1" ht="15.75" customHeight="1" spans="1:79">
      <c r="A45" s="61" t="s">
        <v>8408</v>
      </c>
      <c r="B45" s="62" t="s">
        <v>8409</v>
      </c>
      <c r="C45" s="63" t="s">
        <v>201</v>
      </c>
      <c r="D45" s="64" t="e">
        <f>+#REF!</f>
        <v>#REF!</v>
      </c>
      <c r="E45" s="65">
        <f ca="1" t="shared" si="15"/>
        <v>0</v>
      </c>
      <c r="F45" s="66">
        <f ca="1" t="shared" si="9"/>
        <v>0</v>
      </c>
      <c r="G45" s="67">
        <f ca="1">+GETPIVOTDATA("XBT4",'binhtrung (2016)'!$A$3,"MA_HT","ODT","MA_QH","LUC")</f>
        <v>0</v>
      </c>
      <c r="H45" s="67">
        <f ca="1">+GETPIVOTDATA("XBT4",'binhtrung (2016)'!$A$3,"MA_HT","ODT","MA_QH","LUK")</f>
        <v>0</v>
      </c>
      <c r="I45" s="67">
        <f ca="1">+GETPIVOTDATA("XBT4",'binhtrung (2016)'!$A$3,"MA_HT","ODT","MA_QH","LUN")</f>
        <v>0</v>
      </c>
      <c r="J45" s="67">
        <f ca="1">+GETPIVOTDATA("XBT4",'binhtrung (2016)'!$A$3,"MA_HT","ODT","MA_QH","HNK")</f>
        <v>0</v>
      </c>
      <c r="K45" s="67">
        <f ca="1">+GETPIVOTDATA("XBT4",'binhtrung (2016)'!$A$3,"MA_HT","ODT","MA_QH","CLN")</f>
        <v>0</v>
      </c>
      <c r="L45" s="67">
        <f ca="1">+GETPIVOTDATA("XBT4",'binhtrung (2016)'!$A$3,"MA_HT","ODT","MA_QH","RSX")</f>
        <v>0</v>
      </c>
      <c r="M45" s="67">
        <f ca="1">+GETPIVOTDATA("XBT4",'binhtrung (2016)'!$A$3,"MA_HT","ODT","MA_QH","RPH")</f>
        <v>0</v>
      </c>
      <c r="N45" s="67">
        <f ca="1">+GETPIVOTDATA("XBT4",'binhtrung (2016)'!$A$3,"MA_HT","ODT","MA_QH","RDD")</f>
        <v>0</v>
      </c>
      <c r="O45" s="67">
        <f ca="1">+GETPIVOTDATA("XBT4",'binhtrung (2016)'!$A$3,"MA_HT","ODT","MA_QH","NTS")</f>
        <v>0</v>
      </c>
      <c r="P45" s="67">
        <f ca="1">+GETPIVOTDATA("XBT4",'binhtrung (2016)'!$A$3,"MA_HT","ODT","MA_QH","LMU")</f>
        <v>0</v>
      </c>
      <c r="Q45" s="67">
        <f ca="1">+GETPIVOTDATA("XBT4",'binhtrung (2016)'!$A$3,"MA_HT","ODT","MA_QH","NKH")</f>
        <v>0</v>
      </c>
      <c r="R45" s="79">
        <f ca="1">SUM(S45:AA45,AN45:AQ45,AS45:BD45)</f>
        <v>0</v>
      </c>
      <c r="S45" s="67">
        <f ca="1">+GETPIVOTDATA("XBT4",'binhtrung (2016)'!$A$3,"MA_HT","ODT","MA_QH","CQP")</f>
        <v>0</v>
      </c>
      <c r="T45" s="67">
        <f ca="1">+GETPIVOTDATA("XBT4",'binhtrung (2016)'!$A$3,"MA_HT","ODT","MA_QH","CAN")</f>
        <v>0</v>
      </c>
      <c r="U45" s="67">
        <f ca="1">+GETPIVOTDATA("XBT4",'binhtrung (2016)'!$A$3,"MA_HT","ODT","MA_QH","SKK")</f>
        <v>0</v>
      </c>
      <c r="V45" s="67">
        <f ca="1">+GETPIVOTDATA("XBT4",'binhtrung (2016)'!$A$3,"MA_HT","ODT","MA_QH","SKT")</f>
        <v>0</v>
      </c>
      <c r="W45" s="67">
        <f ca="1">+GETPIVOTDATA("XBT4",'binhtrung (2016)'!$A$3,"MA_HT","ODT","MA_QH","SKN")</f>
        <v>0</v>
      </c>
      <c r="X45" s="67">
        <f ca="1">+GETPIVOTDATA("XBT4",'binhtrung (2016)'!$A$3,"MA_HT","ODT","MA_QH","TMD")</f>
        <v>0</v>
      </c>
      <c r="Y45" s="67">
        <f ca="1">+GETPIVOTDATA("XBT4",'binhtrung (2016)'!$A$3,"MA_HT","ODT","MA_QH","SKC")</f>
        <v>0</v>
      </c>
      <c r="Z45" s="67">
        <f ca="1">+GETPIVOTDATA("XBT4",'binhtrung (2016)'!$A$3,"MA_HT","ODT","MA_QH","SKS")</f>
        <v>0</v>
      </c>
      <c r="AA45" s="66">
        <f ca="1" t="shared" si="21"/>
        <v>0</v>
      </c>
      <c r="AB45" s="67">
        <f ca="1">+GETPIVOTDATA("XBT4",'binhtrung (2016)'!$A$3,"MA_HT","ODT","MA_QH","DGT")</f>
        <v>0</v>
      </c>
      <c r="AC45" s="67">
        <f ca="1">+GETPIVOTDATA("XBT4",'binhtrung (2016)'!$A$3,"MA_HT","ODT","MA_QH","DTL")</f>
        <v>0</v>
      </c>
      <c r="AD45" s="67">
        <f ca="1">+GETPIVOTDATA("XBT4",'binhtrung (2016)'!$A$3,"MA_HT","ODT","MA_QH","DNL")</f>
        <v>0</v>
      </c>
      <c r="AE45" s="67">
        <f ca="1">+GETPIVOTDATA("XBT4",'binhtrung (2016)'!$A$3,"MA_HT","ODT","MA_QH","DBV")</f>
        <v>0</v>
      </c>
      <c r="AF45" s="67">
        <f ca="1">+GETPIVOTDATA("XBT4",'binhtrung (2016)'!$A$3,"MA_HT","ODT","MA_QH","DVH")</f>
        <v>0</v>
      </c>
      <c r="AG45" s="67">
        <f ca="1">+GETPIVOTDATA("XBT4",'binhtrung (2016)'!$A$3,"MA_HT","ODT","MA_QH","DYT")</f>
        <v>0</v>
      </c>
      <c r="AH45" s="67">
        <f ca="1">+GETPIVOTDATA("XBT4",'binhtrung (2016)'!$A$3,"MA_HT","ODT","MA_QH","DGD")</f>
        <v>0</v>
      </c>
      <c r="AI45" s="67">
        <f ca="1">+GETPIVOTDATA("XBT4",'binhtrung (2016)'!$A$3,"MA_HT","ODT","MA_QH","DTT")</f>
        <v>0</v>
      </c>
      <c r="AJ45" s="67">
        <f ca="1">+GETPIVOTDATA("XBT4",'binhtrung (2016)'!$A$3,"MA_HT","ODT","MA_QH","NCK")</f>
        <v>0</v>
      </c>
      <c r="AK45" s="67">
        <f ca="1">+GETPIVOTDATA("XBT4",'binhtrung (2016)'!$A$3,"MA_HT","ODT","MA_QH","DXH")</f>
        <v>0</v>
      </c>
      <c r="AL45" s="67">
        <f ca="1">+GETPIVOTDATA("XBT4",'binhtrung (2016)'!$A$3,"MA_HT","ODT","MA_QH","DCH")</f>
        <v>0</v>
      </c>
      <c r="AM45" s="67">
        <f ca="1">+GETPIVOTDATA("XBT4",'binhtrung (2016)'!$A$3,"MA_HT","ODT","MA_QH","DKG")</f>
        <v>0</v>
      </c>
      <c r="AN45" s="67">
        <f ca="1">+GETPIVOTDATA("XBT4",'binhtrung (2016)'!$A$3,"MA_HT","ODT","MA_QH","DDT")</f>
        <v>0</v>
      </c>
      <c r="AO45" s="67">
        <f ca="1">+GETPIVOTDATA("XBT4",'binhtrung (2016)'!$A$3,"MA_HT","ODT","MA_QH","DDL")</f>
        <v>0</v>
      </c>
      <c r="AP45" s="67">
        <f ca="1">+GETPIVOTDATA("XBT4",'binhtrung (2016)'!$A$3,"MA_HT","ODT","MA_QH","DRA")</f>
        <v>0</v>
      </c>
      <c r="AQ45" s="67">
        <f ca="1">+GETPIVOTDATA("XBT4",'binhtrung (2016)'!$A$3,"MA_HT","ODT","MA_QH","ONT")</f>
        <v>0</v>
      </c>
      <c r="AR45" s="82" t="e">
        <f ca="1">$D45-$BF45</f>
        <v>#REF!</v>
      </c>
      <c r="AS45" s="67">
        <f ca="1">+GETPIVOTDATA("XBT4",'binhtrung (2016)'!$A$3,"MA_HT","ODT","MA_QH","TSC")</f>
        <v>0</v>
      </c>
      <c r="AT45" s="67">
        <f ca="1">+GETPIVOTDATA("XBT4",'binhtrung (2016)'!$A$3,"MA_HT","ODT","MA_QH","DTS")</f>
        <v>0</v>
      </c>
      <c r="AU45" s="67">
        <f ca="1">+GETPIVOTDATA("XBT4",'binhtrung (2016)'!$A$3,"MA_HT","ODT","MA_QH","DNG")</f>
        <v>0</v>
      </c>
      <c r="AV45" s="67">
        <f ca="1">+GETPIVOTDATA("XBT4",'binhtrung (2016)'!$A$3,"MA_HT","ODT","MA_QH","TON")</f>
        <v>0</v>
      </c>
      <c r="AW45" s="67">
        <f ca="1">+GETPIVOTDATA("XBT4",'binhtrung (2016)'!$A$3,"MA_HT","ODT","MA_QH","NTD")</f>
        <v>0</v>
      </c>
      <c r="AX45" s="67">
        <f ca="1">+GETPIVOTDATA("XBT4",'binhtrung (2016)'!$A$3,"MA_HT","ODT","MA_QH","SKX")</f>
        <v>0</v>
      </c>
      <c r="AY45" s="67">
        <f ca="1">+GETPIVOTDATA("XBT4",'binhtrung (2016)'!$A$3,"MA_HT","ODT","MA_QH","DSH")</f>
        <v>0</v>
      </c>
      <c r="AZ45" s="67">
        <f ca="1">+GETPIVOTDATA("XBT4",'binhtrung (2016)'!$A$3,"MA_HT","ODT","MA_QH","DKV")</f>
        <v>0</v>
      </c>
      <c r="BA45" s="92">
        <f ca="1">+GETPIVOTDATA("XBT4",'binhtrung (2016)'!$A$3,"MA_HT","ODT","MA_QH","TIN")</f>
        <v>0</v>
      </c>
      <c r="BB45" s="93">
        <f ca="1">+GETPIVOTDATA("XBT4",'binhtrung (2016)'!$A$3,"MA_HT","ODT","MA_QH","SON")</f>
        <v>0</v>
      </c>
      <c r="BC45" s="93">
        <f ca="1">+GETPIVOTDATA("XBT4",'binhtrung (2016)'!$A$3,"MA_HT","ODT","MA_QH","MNC")</f>
        <v>0</v>
      </c>
      <c r="BD45" s="67">
        <f ca="1">+GETPIVOTDATA("XBT4",'binhtrung (2016)'!$A$3,"MA_HT","ODT","MA_QH","PNK")</f>
        <v>0</v>
      </c>
      <c r="BE45" s="116">
        <f ca="1">+GETPIVOTDATA("XBT4",'binhtrung (2016)'!$A$3,"MA_HT","ODT","MA_QH","CSD")</f>
        <v>0</v>
      </c>
      <c r="BF45" s="117">
        <f ca="1" t="shared" si="13"/>
        <v>0</v>
      </c>
      <c r="BG45" s="118">
        <f ca="1">AR$59-$BF45</f>
        <v>0</v>
      </c>
      <c r="BH45" s="64" t="e">
        <f ca="1" t="shared" si="14"/>
        <v>#REF!</v>
      </c>
      <c r="BI45" s="98"/>
      <c r="BJ45" s="107" t="e">
        <f>#REF!</f>
        <v>#REF!</v>
      </c>
      <c r="BK45" s="107" t="e">
        <f ca="1">BH45-BJ45</f>
        <v>#REF!</v>
      </c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</row>
    <row r="46" s="6" customFormat="1" ht="15.75" customHeight="1" spans="1:79">
      <c r="A46" s="39" t="s">
        <v>8410</v>
      </c>
      <c r="B46" s="53" t="s">
        <v>8411</v>
      </c>
      <c r="C46" s="40" t="s">
        <v>336</v>
      </c>
      <c r="D46" s="41" t="e">
        <f>+#REF!</f>
        <v>#REF!</v>
      </c>
      <c r="E46" s="42">
        <f ca="1" t="shared" si="15"/>
        <v>0</v>
      </c>
      <c r="F46" s="52">
        <f ca="1" t="shared" si="9"/>
        <v>0</v>
      </c>
      <c r="G46" s="22">
        <f ca="1">+GETPIVOTDATA("XBT4",'binhtrung (2016)'!$A$3,"MA_HT","TSC","MA_QH","LUC")</f>
        <v>0</v>
      </c>
      <c r="H46" s="22">
        <f ca="1">+GETPIVOTDATA("XBT4",'binhtrung (2016)'!$A$3,"MA_HT","TSC","MA_QH","LUK")</f>
        <v>0</v>
      </c>
      <c r="I46" s="22">
        <f ca="1">+GETPIVOTDATA("XBT4",'binhtrung (2016)'!$A$3,"MA_HT","TSC","MA_QH","LUN")</f>
        <v>0</v>
      </c>
      <c r="J46" s="22">
        <f ca="1">+GETPIVOTDATA("XBT4",'binhtrung (2016)'!$A$3,"MA_HT","TSC","MA_QH","HNK")</f>
        <v>0</v>
      </c>
      <c r="K46" s="22">
        <f ca="1">+GETPIVOTDATA("XBT4",'binhtrung (2016)'!$A$3,"MA_HT","TSC","MA_QH","CLN")</f>
        <v>0</v>
      </c>
      <c r="L46" s="22">
        <f ca="1">+GETPIVOTDATA("XBT4",'binhtrung (2016)'!$A$3,"MA_HT","TSC","MA_QH","RSX")</f>
        <v>0</v>
      </c>
      <c r="M46" s="22">
        <f ca="1">+GETPIVOTDATA("XBT4",'binhtrung (2016)'!$A$3,"MA_HT","TSC","MA_QH","RPH")</f>
        <v>0</v>
      </c>
      <c r="N46" s="22">
        <f ca="1">+GETPIVOTDATA("XBT4",'binhtrung (2016)'!$A$3,"MA_HT","TSC","MA_QH","RDD")</f>
        <v>0</v>
      </c>
      <c r="O46" s="22">
        <f ca="1">+GETPIVOTDATA("XBT4",'binhtrung (2016)'!$A$3,"MA_HT","TSC","MA_QH","NTS")</f>
        <v>0</v>
      </c>
      <c r="P46" s="22">
        <f ca="1">+GETPIVOTDATA("XBT4",'binhtrung (2016)'!$A$3,"MA_HT","TSC","MA_QH","LMU")</f>
        <v>0</v>
      </c>
      <c r="Q46" s="22">
        <f ca="1">+GETPIVOTDATA("XBT4",'binhtrung (2016)'!$A$3,"MA_HT","TSC","MA_QH","NKH")</f>
        <v>0</v>
      </c>
      <c r="R46" s="48">
        <f ca="1">SUM(S46:AA46,AN46:AR46,AT46:BD46)</f>
        <v>0</v>
      </c>
      <c r="S46" s="22">
        <f ca="1">+GETPIVOTDATA("XBT4",'binhtrung (2016)'!$A$3,"MA_HT","TSC","MA_QH","CQP")</f>
        <v>0</v>
      </c>
      <c r="T46" s="22">
        <f ca="1">+GETPIVOTDATA("XBT4",'binhtrung (2016)'!$A$3,"MA_HT","TSC","MA_QH","CAN")</f>
        <v>0</v>
      </c>
      <c r="U46" s="22">
        <f ca="1">+GETPIVOTDATA("XBT4",'binhtrung (2016)'!$A$3,"MA_HT","TSC","MA_QH","SKK")</f>
        <v>0</v>
      </c>
      <c r="V46" s="22">
        <f ca="1">+GETPIVOTDATA("XBT4",'binhtrung (2016)'!$A$3,"MA_HT","TSC","MA_QH","SKT")</f>
        <v>0</v>
      </c>
      <c r="W46" s="22">
        <f ca="1">+GETPIVOTDATA("XBT4",'binhtrung (2016)'!$A$3,"MA_HT","TSC","MA_QH","SKN")</f>
        <v>0</v>
      </c>
      <c r="X46" s="22">
        <f ca="1">+GETPIVOTDATA("XBT4",'binhtrung (2016)'!$A$3,"MA_HT","TSC","MA_QH","TMD")</f>
        <v>0</v>
      </c>
      <c r="Y46" s="22">
        <f ca="1">+GETPIVOTDATA("XBT4",'binhtrung (2016)'!$A$3,"MA_HT","TSC","MA_QH","SKC")</f>
        <v>0</v>
      </c>
      <c r="Z46" s="22">
        <f ca="1">+GETPIVOTDATA("XBT4",'binhtrung (2016)'!$A$3,"MA_HT","TSC","MA_QH","SKS")</f>
        <v>0</v>
      </c>
      <c r="AA46" s="52">
        <f ca="1" t="shared" si="21"/>
        <v>0</v>
      </c>
      <c r="AB46" s="22">
        <f ca="1">+GETPIVOTDATA("XBT4",'binhtrung (2016)'!$A$3,"MA_HT","TSC","MA_QH","DGT")</f>
        <v>0</v>
      </c>
      <c r="AC46" s="22">
        <f ca="1">+GETPIVOTDATA("XBT4",'binhtrung (2016)'!$A$3,"MA_HT","TSC","MA_QH","DTL")</f>
        <v>0</v>
      </c>
      <c r="AD46" s="22">
        <f ca="1">+GETPIVOTDATA("XBT4",'binhtrung (2016)'!$A$3,"MA_HT","TSC","MA_QH","DNL")</f>
        <v>0</v>
      </c>
      <c r="AE46" s="22">
        <f ca="1">+GETPIVOTDATA("XBT4",'binhtrung (2016)'!$A$3,"MA_HT","TSC","MA_QH","DBV")</f>
        <v>0</v>
      </c>
      <c r="AF46" s="22">
        <f ca="1">+GETPIVOTDATA("XBT4",'binhtrung (2016)'!$A$3,"MA_HT","TSC","MA_QH","DVH")</f>
        <v>0</v>
      </c>
      <c r="AG46" s="22">
        <f ca="1">+GETPIVOTDATA("XBT4",'binhtrung (2016)'!$A$3,"MA_HT","TSC","MA_QH","DYT")</f>
        <v>0</v>
      </c>
      <c r="AH46" s="22">
        <f ca="1">+GETPIVOTDATA("XBT4",'binhtrung (2016)'!$A$3,"MA_HT","TSC","MA_QH","DGD")</f>
        <v>0</v>
      </c>
      <c r="AI46" s="22">
        <f ca="1">+GETPIVOTDATA("XBT4",'binhtrung (2016)'!$A$3,"MA_HT","TSC","MA_QH","DTT")</f>
        <v>0</v>
      </c>
      <c r="AJ46" s="22">
        <f ca="1">+GETPIVOTDATA("XBT4",'binhtrung (2016)'!$A$3,"MA_HT","TSC","MA_QH","NCK")</f>
        <v>0</v>
      </c>
      <c r="AK46" s="22">
        <f ca="1">+GETPIVOTDATA("XBT4",'binhtrung (2016)'!$A$3,"MA_HT","TSC","MA_QH","DXH")</f>
        <v>0</v>
      </c>
      <c r="AL46" s="22">
        <f ca="1">+GETPIVOTDATA("XBT4",'binhtrung (2016)'!$A$3,"MA_HT","TSC","MA_QH","DCH")</f>
        <v>0</v>
      </c>
      <c r="AM46" s="22">
        <f ca="1">+GETPIVOTDATA("XBT4",'binhtrung (2016)'!$A$3,"MA_HT","TSC","MA_QH","DKG")</f>
        <v>0</v>
      </c>
      <c r="AN46" s="22">
        <f ca="1">+GETPIVOTDATA("XBT4",'binhtrung (2016)'!$A$3,"MA_HT","TSC","MA_QH","DDT")</f>
        <v>0</v>
      </c>
      <c r="AO46" s="22">
        <f ca="1">+GETPIVOTDATA("XBT4",'binhtrung (2016)'!$A$3,"MA_HT","TSC","MA_QH","DDL")</f>
        <v>0</v>
      </c>
      <c r="AP46" s="22">
        <f ca="1">+GETPIVOTDATA("XBT4",'binhtrung (2016)'!$A$3,"MA_HT","TSC","MA_QH","DRA")</f>
        <v>0</v>
      </c>
      <c r="AQ46" s="22">
        <f ca="1">+GETPIVOTDATA("XBT4",'binhtrung (2016)'!$A$3,"MA_HT","TSC","MA_QH","ONT")</f>
        <v>0</v>
      </c>
      <c r="AR46" s="22">
        <f ca="1">+GETPIVOTDATA("XBT4",'binhtrung (2016)'!$A$3,"MA_HT","TSC","MA_QH","ODT")</f>
        <v>0</v>
      </c>
      <c r="AS46" s="43" t="e">
        <f ca="1">$D46-$BF46</f>
        <v>#REF!</v>
      </c>
      <c r="AT46" s="22">
        <f ca="1">+GETPIVOTDATA("XBT4",'binhtrung (2016)'!$A$3,"MA_HT","TSC","MA_QH","DTS")</f>
        <v>0</v>
      </c>
      <c r="AU46" s="22">
        <f ca="1">+GETPIVOTDATA("XBT4",'binhtrung (2016)'!$A$3,"MA_HT","TSC","MA_QH","DNG")</f>
        <v>0</v>
      </c>
      <c r="AV46" s="22">
        <f ca="1">+GETPIVOTDATA("XBT4",'binhtrung (2016)'!$A$3,"MA_HT","TSC","MA_QH","TON")</f>
        <v>0</v>
      </c>
      <c r="AW46" s="22">
        <f ca="1">+GETPIVOTDATA("XBT4",'binhtrung (2016)'!$A$3,"MA_HT","TSC","MA_QH","NTD")</f>
        <v>0</v>
      </c>
      <c r="AX46" s="22">
        <f ca="1">+GETPIVOTDATA("XBT4",'binhtrung (2016)'!$A$3,"MA_HT","TSC","MA_QH","SKX")</f>
        <v>0</v>
      </c>
      <c r="AY46" s="22">
        <f ca="1">+GETPIVOTDATA("XBT4",'binhtrung (2016)'!$A$3,"MA_HT","TSC","MA_QH","DSH")</f>
        <v>0</v>
      </c>
      <c r="AZ46" s="22">
        <f ca="1">+GETPIVOTDATA("XBT4",'binhtrung (2016)'!$A$3,"MA_HT","TSC","MA_QH","DKV")</f>
        <v>0</v>
      </c>
      <c r="BA46" s="89">
        <f ca="1">+GETPIVOTDATA("XBT4",'binhtrung (2016)'!$A$3,"MA_HT","TSC","MA_QH","TIN")</f>
        <v>0</v>
      </c>
      <c r="BB46" s="50">
        <f ca="1">+GETPIVOTDATA("XBT4",'binhtrung (2016)'!$A$3,"MA_HT","TSC","MA_QH","SON")</f>
        <v>0</v>
      </c>
      <c r="BC46" s="50">
        <f ca="1">+GETPIVOTDATA("XBT4",'binhtrung (2016)'!$A$3,"MA_HT","TSC","MA_QH","MNC")</f>
        <v>0</v>
      </c>
      <c r="BD46" s="22">
        <f ca="1">+GETPIVOTDATA("XBT4",'binhtrung (2016)'!$A$3,"MA_HT","TSC","MA_QH","PNK")</f>
        <v>0</v>
      </c>
      <c r="BE46" s="71">
        <f ca="1">+GETPIVOTDATA("XBT4",'binhtrung (2016)'!$A$3,"MA_HT","TSC","MA_QH","CSD")</f>
        <v>0</v>
      </c>
      <c r="BF46" s="74">
        <f ca="1" t="shared" si="13"/>
        <v>0</v>
      </c>
      <c r="BG46" s="101">
        <f ca="1">AS$59-$BF46</f>
        <v>0</v>
      </c>
      <c r="BH46" s="41" t="e">
        <f ca="1" t="shared" si="14"/>
        <v>#REF!</v>
      </c>
      <c r="BI46" s="114"/>
      <c r="BJ46" s="114" t="e">
        <f>#REF!</f>
        <v>#REF!</v>
      </c>
      <c r="BK46" s="115" t="e">
        <f ca="1">BH46-BJ46</f>
        <v>#REF!</v>
      </c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</row>
    <row r="47" s="2" customFormat="1" ht="15.75" customHeight="1" spans="1:79">
      <c r="A47" s="54" t="s">
        <v>8412</v>
      </c>
      <c r="B47" s="55" t="s">
        <v>8413</v>
      </c>
      <c r="C47" s="56" t="s">
        <v>8293</v>
      </c>
      <c r="D47" s="57" t="e">
        <f>+#REF!</f>
        <v>#REF!</v>
      </c>
      <c r="E47" s="58">
        <f ca="1" t="shared" si="15"/>
        <v>0</v>
      </c>
      <c r="F47" s="59">
        <f ca="1" t="shared" si="9"/>
        <v>0</v>
      </c>
      <c r="G47" s="60">
        <f ca="1">+GETPIVOTDATA("XBT4",'binhtrung (2016)'!$A$3,"MA_HT","DTS","MA_QH","LUC")</f>
        <v>0</v>
      </c>
      <c r="H47" s="60">
        <f ca="1">+GETPIVOTDATA("XBT4",'binhtrung (2016)'!$A$3,"MA_HT","DTS","MA_QH","LUK")</f>
        <v>0</v>
      </c>
      <c r="I47" s="60">
        <f ca="1">+GETPIVOTDATA("XBT4",'binhtrung (2016)'!$A$3,"MA_HT","DTS","MA_QH","LUN")</f>
        <v>0</v>
      </c>
      <c r="J47" s="60">
        <f ca="1">+GETPIVOTDATA("XBT4",'binhtrung (2016)'!$A$3,"MA_HT","DTS","MA_QH","HNK")</f>
        <v>0</v>
      </c>
      <c r="K47" s="60">
        <f ca="1">+GETPIVOTDATA("XBT4",'binhtrung (2016)'!$A$3,"MA_HT","DTS","MA_QH","CLN")</f>
        <v>0</v>
      </c>
      <c r="L47" s="60">
        <f ca="1">+GETPIVOTDATA("XBT4",'binhtrung (2016)'!$A$3,"MA_HT","DTS","MA_QH","RSX")</f>
        <v>0</v>
      </c>
      <c r="M47" s="60">
        <f ca="1">+GETPIVOTDATA("XBT4",'binhtrung (2016)'!$A$3,"MA_HT","DTS","MA_QH","RPH")</f>
        <v>0</v>
      </c>
      <c r="N47" s="60">
        <f ca="1">+GETPIVOTDATA("XBT4",'binhtrung (2016)'!$A$3,"MA_HT","DTS","MA_QH","RDD")</f>
        <v>0</v>
      </c>
      <c r="O47" s="60">
        <f ca="1">+GETPIVOTDATA("XBT4",'binhtrung (2016)'!$A$3,"MA_HT","DTS","MA_QH","NTS")</f>
        <v>0</v>
      </c>
      <c r="P47" s="60">
        <f ca="1">+GETPIVOTDATA("XBT4",'binhtrung (2016)'!$A$3,"MA_HT","DTS","MA_QH","LMU")</f>
        <v>0</v>
      </c>
      <c r="Q47" s="60">
        <f ca="1">+GETPIVOTDATA("XBT4",'binhtrung (2016)'!$A$3,"MA_HT","DTS","MA_QH","NKH")</f>
        <v>0</v>
      </c>
      <c r="R47" s="78">
        <f ca="1">SUM(S47:AA47,AN47:AS47,AU47:BD47)</f>
        <v>0</v>
      </c>
      <c r="S47" s="60">
        <f ca="1">+GETPIVOTDATA("XBT4",'binhtrung (2016)'!$A$3,"MA_HT","DTS","MA_QH","CQP")</f>
        <v>0</v>
      </c>
      <c r="T47" s="60">
        <f ca="1">+GETPIVOTDATA("XBT4",'binhtrung (2016)'!$A$3,"MA_HT","DTS","MA_QH","CAN")</f>
        <v>0</v>
      </c>
      <c r="U47" s="60">
        <f ca="1">+GETPIVOTDATA("XBT4",'binhtrung (2016)'!$A$3,"MA_HT","DTS","MA_QH","SKK")</f>
        <v>0</v>
      </c>
      <c r="V47" s="60">
        <f ca="1">+GETPIVOTDATA("XBT4",'binhtrung (2016)'!$A$3,"MA_HT","DTS","MA_QH","SKT")</f>
        <v>0</v>
      </c>
      <c r="W47" s="60">
        <f ca="1">+GETPIVOTDATA("XBT4",'binhtrung (2016)'!$A$3,"MA_HT","DTS","MA_QH","SKN")</f>
        <v>0</v>
      </c>
      <c r="X47" s="60">
        <f ca="1">+GETPIVOTDATA("XBT4",'binhtrung (2016)'!$A$3,"MA_HT","DTS","MA_QH","TMD")</f>
        <v>0</v>
      </c>
      <c r="Y47" s="60">
        <f ca="1">+GETPIVOTDATA("XBT4",'binhtrung (2016)'!$A$3,"MA_HT","DTS","MA_QH","SKC")</f>
        <v>0</v>
      </c>
      <c r="Z47" s="60">
        <f ca="1">+GETPIVOTDATA("XBT4",'binhtrung (2016)'!$A$3,"MA_HT","DTS","MA_QH","SKS")</f>
        <v>0</v>
      </c>
      <c r="AA47" s="59">
        <f ca="1" t="shared" si="21"/>
        <v>0</v>
      </c>
      <c r="AB47" s="60">
        <f ca="1">+GETPIVOTDATA("XBT4",'binhtrung (2016)'!$A$3,"MA_HT","DTS","MA_QH","DGT")</f>
        <v>0</v>
      </c>
      <c r="AC47" s="60">
        <f ca="1">+GETPIVOTDATA("XBT4",'binhtrung (2016)'!$A$3,"MA_HT","DTS","MA_QH","DTL")</f>
        <v>0</v>
      </c>
      <c r="AD47" s="60">
        <f ca="1">+GETPIVOTDATA("XBT4",'binhtrung (2016)'!$A$3,"MA_HT","DTS","MA_QH","DNL")</f>
        <v>0</v>
      </c>
      <c r="AE47" s="60">
        <f ca="1">+GETPIVOTDATA("XBT4",'binhtrung (2016)'!$A$3,"MA_HT","DTS","MA_QH","DBV")</f>
        <v>0</v>
      </c>
      <c r="AF47" s="60">
        <f ca="1">+GETPIVOTDATA("XBT4",'binhtrung (2016)'!$A$3,"MA_HT","DTS","MA_QH","DVH")</f>
        <v>0</v>
      </c>
      <c r="AG47" s="60">
        <f ca="1">+GETPIVOTDATA("XBT4",'binhtrung (2016)'!$A$3,"MA_HT","DTS","MA_QH","DYT")</f>
        <v>0</v>
      </c>
      <c r="AH47" s="60">
        <f ca="1">+GETPIVOTDATA("XBT4",'binhtrung (2016)'!$A$3,"MA_HT","DTS","MA_QH","DGD")</f>
        <v>0</v>
      </c>
      <c r="AI47" s="60">
        <f ca="1">+GETPIVOTDATA("XBT4",'binhtrung (2016)'!$A$3,"MA_HT","DTS","MA_QH","DTT")</f>
        <v>0</v>
      </c>
      <c r="AJ47" s="60">
        <f ca="1">+GETPIVOTDATA("XBT4",'binhtrung (2016)'!$A$3,"MA_HT","DTS","MA_QH","NCK")</f>
        <v>0</v>
      </c>
      <c r="AK47" s="60">
        <f ca="1">+GETPIVOTDATA("XBT4",'binhtrung (2016)'!$A$3,"MA_HT","DTS","MA_QH","DXH")</f>
        <v>0</v>
      </c>
      <c r="AL47" s="60">
        <f ca="1">+GETPIVOTDATA("XBT4",'binhtrung (2016)'!$A$3,"MA_HT","DTS","MA_QH","DCH")</f>
        <v>0</v>
      </c>
      <c r="AM47" s="60">
        <f ca="1">+GETPIVOTDATA("XBT4",'binhtrung (2016)'!$A$3,"MA_HT","DTS","MA_QH","DKG")</f>
        <v>0</v>
      </c>
      <c r="AN47" s="60">
        <f ca="1">+GETPIVOTDATA("XBT4",'binhtrung (2016)'!$A$3,"MA_HT","DTS","MA_QH","DDT")</f>
        <v>0</v>
      </c>
      <c r="AO47" s="60">
        <f ca="1">+GETPIVOTDATA("XBT4",'binhtrung (2016)'!$A$3,"MA_HT","DTS","MA_QH","DDL")</f>
        <v>0</v>
      </c>
      <c r="AP47" s="60">
        <f ca="1">+GETPIVOTDATA("XBT4",'binhtrung (2016)'!$A$3,"MA_HT","DTS","MA_QH","DRA")</f>
        <v>0</v>
      </c>
      <c r="AQ47" s="60">
        <f ca="1">+GETPIVOTDATA("XBT4",'binhtrung (2016)'!$A$3,"MA_HT","DTS","MA_QH","ONT")</f>
        <v>0</v>
      </c>
      <c r="AR47" s="60">
        <f ca="1">+GETPIVOTDATA("XBT4",'binhtrung (2016)'!$A$3,"MA_HT","DTS","MA_QH","ODT")</f>
        <v>0</v>
      </c>
      <c r="AS47" s="60">
        <f ca="1">+GETPIVOTDATA("XBT4",'binhtrung (2016)'!$A$3,"MA_HT","DTS","MA_QH","TSC")</f>
        <v>0</v>
      </c>
      <c r="AT47" s="81" t="e">
        <f ca="1">$D47-$BF47</f>
        <v>#REF!</v>
      </c>
      <c r="AU47" s="60">
        <f ca="1">+GETPIVOTDATA("XBT4",'binhtrung (2016)'!$A$3,"MA_HT","DTS","MA_QH","DNG")</f>
        <v>0</v>
      </c>
      <c r="AV47" s="60">
        <f ca="1">+GETPIVOTDATA("XBT4",'binhtrung (2016)'!$A$3,"MA_HT","DTS","MA_QH","TON")</f>
        <v>0</v>
      </c>
      <c r="AW47" s="60">
        <f ca="1">+GETPIVOTDATA("XBT4",'binhtrung (2016)'!$A$3,"MA_HT","DTS","MA_QH","NTD")</f>
        <v>0</v>
      </c>
      <c r="AX47" s="60">
        <f ca="1">+GETPIVOTDATA("XBT4",'binhtrung (2016)'!$A$3,"MA_HT","DTS","MA_QH","SKX")</f>
        <v>0</v>
      </c>
      <c r="AY47" s="60">
        <f ca="1">+GETPIVOTDATA("XBT4",'binhtrung (2016)'!$A$3,"MA_HT","DTS","MA_QH","DSH")</f>
        <v>0</v>
      </c>
      <c r="AZ47" s="60">
        <f ca="1">+GETPIVOTDATA("XBT4",'binhtrung (2016)'!$A$3,"MA_HT","DTS","MA_QH","DKV")</f>
        <v>0</v>
      </c>
      <c r="BA47" s="90">
        <f ca="1">+GETPIVOTDATA("XBT4",'binhtrung (2016)'!$A$3,"MA_HT","DTS","MA_QH","TIN")</f>
        <v>0</v>
      </c>
      <c r="BB47" s="91">
        <f ca="1">+GETPIVOTDATA("XBT4",'binhtrung (2016)'!$A$3,"MA_HT","DTS","MA_QH","SON")</f>
        <v>0</v>
      </c>
      <c r="BC47" s="91">
        <f ca="1">+GETPIVOTDATA("XBT4",'binhtrung (2016)'!$A$3,"MA_HT","DTS","MA_QH","MNC")</f>
        <v>0</v>
      </c>
      <c r="BD47" s="60">
        <f ca="1">+GETPIVOTDATA("XBT4",'binhtrung (2016)'!$A$3,"MA_HT","DTS","MA_QH","PNK")</f>
        <v>0</v>
      </c>
      <c r="BE47" s="111">
        <f ca="1">+GETPIVOTDATA("XBT4",'binhtrung (2016)'!$A$3,"MA_HT","DTS","MA_QH","CSD")</f>
        <v>0</v>
      </c>
      <c r="BF47" s="112">
        <f ca="1" t="shared" si="13"/>
        <v>0</v>
      </c>
      <c r="BG47" s="113">
        <f ca="1">AT$59-$BF47</f>
        <v>0</v>
      </c>
      <c r="BH47" s="57" t="e">
        <f ca="1" t="shared" si="14"/>
        <v>#REF!</v>
      </c>
      <c r="BI47" s="98"/>
      <c r="BJ47" s="98"/>
      <c r="BK47" s="107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</row>
    <row r="48" s="2" customFormat="1" ht="15.75" customHeight="1" spans="1:79">
      <c r="A48" s="39" t="s">
        <v>8414</v>
      </c>
      <c r="B48" s="53" t="s">
        <v>8415</v>
      </c>
      <c r="C48" s="40" t="s">
        <v>8290</v>
      </c>
      <c r="D48" s="41" t="e">
        <f>+#REF!</f>
        <v>#REF!</v>
      </c>
      <c r="E48" s="42">
        <f ca="1" t="shared" si="15"/>
        <v>0</v>
      </c>
      <c r="F48" s="52">
        <f ca="1" t="shared" si="9"/>
        <v>0</v>
      </c>
      <c r="G48" s="22">
        <f ca="1">+GETPIVOTDATA("XBT4",'binhtrung (2016)'!$A$3,"MA_HT","DNG","MA_QH","LUC")</f>
        <v>0</v>
      </c>
      <c r="H48" s="22">
        <f ca="1">+GETPIVOTDATA("XBT4",'binhtrung (2016)'!$A$3,"MA_HT","DNG","MA_QH","LUK")</f>
        <v>0</v>
      </c>
      <c r="I48" s="22">
        <f ca="1">+GETPIVOTDATA("XBT4",'binhtrung (2016)'!$A$3,"MA_HT","DNG","MA_QH","LUN")</f>
        <v>0</v>
      </c>
      <c r="J48" s="22">
        <f ca="1">+GETPIVOTDATA("XBT4",'binhtrung (2016)'!$A$3,"MA_HT","DNG","MA_QH","HNK")</f>
        <v>0</v>
      </c>
      <c r="K48" s="22">
        <f ca="1">+GETPIVOTDATA("XBT4",'binhtrung (2016)'!$A$3,"MA_HT","DNG","MA_QH","CLN")</f>
        <v>0</v>
      </c>
      <c r="L48" s="22">
        <f ca="1">+GETPIVOTDATA("XBT4",'binhtrung (2016)'!$A$3,"MA_HT","DNG","MA_QH","RSX")</f>
        <v>0</v>
      </c>
      <c r="M48" s="22">
        <f ca="1">+GETPIVOTDATA("XBT4",'binhtrung (2016)'!$A$3,"MA_HT","DNG","MA_QH","RPH")</f>
        <v>0</v>
      </c>
      <c r="N48" s="22">
        <f ca="1">+GETPIVOTDATA("XBT4",'binhtrung (2016)'!$A$3,"MA_HT","DNG","MA_QH","RDD")</f>
        <v>0</v>
      </c>
      <c r="O48" s="22">
        <f ca="1">+GETPIVOTDATA("XBT4",'binhtrung (2016)'!$A$3,"MA_HT","DNG","MA_QH","NTS")</f>
        <v>0</v>
      </c>
      <c r="P48" s="22">
        <f ca="1">+GETPIVOTDATA("XBT4",'binhtrung (2016)'!$A$3,"MA_HT","DNG","MA_QH","LMU")</f>
        <v>0</v>
      </c>
      <c r="Q48" s="22">
        <f ca="1">+GETPIVOTDATA("XBT4",'binhtrung (2016)'!$A$3,"MA_HT","DNG","MA_QH","NKH")</f>
        <v>0</v>
      </c>
      <c r="R48" s="79">
        <f ca="1">SUM(S48:AA48,AN48:AT48,AV48:BD48)</f>
        <v>0</v>
      </c>
      <c r="S48" s="22">
        <f ca="1">+GETPIVOTDATA("XBT4",'binhtrung (2016)'!$A$3,"MA_HT","DNG","MA_QH","CQP")</f>
        <v>0</v>
      </c>
      <c r="T48" s="22">
        <f ca="1">+GETPIVOTDATA("XBT4",'binhtrung (2016)'!$A$3,"MA_HT","DNG","MA_QH","CAN")</f>
        <v>0</v>
      </c>
      <c r="U48" s="22">
        <f ca="1">+GETPIVOTDATA("XBT4",'binhtrung (2016)'!$A$3,"MA_HT","DNG","MA_QH","SKK")</f>
        <v>0</v>
      </c>
      <c r="V48" s="22">
        <f ca="1">+GETPIVOTDATA("XBT4",'binhtrung (2016)'!$A$3,"MA_HT","DNG","MA_QH","SKT")</f>
        <v>0</v>
      </c>
      <c r="W48" s="22">
        <f ca="1">+GETPIVOTDATA("XBT4",'binhtrung (2016)'!$A$3,"MA_HT","DNG","MA_QH","SKN")</f>
        <v>0</v>
      </c>
      <c r="X48" s="22">
        <f ca="1">+GETPIVOTDATA("XBT4",'binhtrung (2016)'!$A$3,"MA_HT","DNG","MA_QH","TMD")</f>
        <v>0</v>
      </c>
      <c r="Y48" s="22">
        <f ca="1">+GETPIVOTDATA("XBT4",'binhtrung (2016)'!$A$3,"MA_HT","DNG","MA_QH","SKC")</f>
        <v>0</v>
      </c>
      <c r="Z48" s="22">
        <f ca="1">+GETPIVOTDATA("XBT4",'binhtrung (2016)'!$A$3,"MA_HT","DNG","MA_QH","SKS")</f>
        <v>0</v>
      </c>
      <c r="AA48" s="52">
        <f ca="1" t="shared" si="21"/>
        <v>0</v>
      </c>
      <c r="AB48" s="22">
        <f ca="1">+GETPIVOTDATA("XBT4",'binhtrung (2016)'!$A$3,"MA_HT","DNG","MA_QH","DGT")</f>
        <v>0</v>
      </c>
      <c r="AC48" s="22">
        <f ca="1">+GETPIVOTDATA("XBT4",'binhtrung (2016)'!$A$3,"MA_HT","DNG","MA_QH","DTL")</f>
        <v>0</v>
      </c>
      <c r="AD48" s="22">
        <f ca="1">+GETPIVOTDATA("XBT4",'binhtrung (2016)'!$A$3,"MA_HT","DNG","MA_QH","DNL")</f>
        <v>0</v>
      </c>
      <c r="AE48" s="22">
        <f ca="1">+GETPIVOTDATA("XBT4",'binhtrung (2016)'!$A$3,"MA_HT","DNG","MA_QH","DBV")</f>
        <v>0</v>
      </c>
      <c r="AF48" s="22">
        <f ca="1">+GETPIVOTDATA("XBT4",'binhtrung (2016)'!$A$3,"MA_HT","DNG","MA_QH","DVH")</f>
        <v>0</v>
      </c>
      <c r="AG48" s="22">
        <f ca="1">+GETPIVOTDATA("XBT4",'binhtrung (2016)'!$A$3,"MA_HT","DNG","MA_QH","DYT")</f>
        <v>0</v>
      </c>
      <c r="AH48" s="22">
        <f ca="1">+GETPIVOTDATA("XBT4",'binhtrung (2016)'!$A$3,"MA_HT","DNG","MA_QH","DGD")</f>
        <v>0</v>
      </c>
      <c r="AI48" s="22">
        <f ca="1">+GETPIVOTDATA("XBT4",'binhtrung (2016)'!$A$3,"MA_HT","DNG","MA_QH","DTT")</f>
        <v>0</v>
      </c>
      <c r="AJ48" s="22">
        <f ca="1">+GETPIVOTDATA("XBT4",'binhtrung (2016)'!$A$3,"MA_HT","DNG","MA_QH","NCK")</f>
        <v>0</v>
      </c>
      <c r="AK48" s="22">
        <f ca="1">+GETPIVOTDATA("XBT4",'binhtrung (2016)'!$A$3,"MA_HT","DNG","MA_QH","DXH")</f>
        <v>0</v>
      </c>
      <c r="AL48" s="22">
        <f ca="1">+GETPIVOTDATA("XBT4",'binhtrung (2016)'!$A$3,"MA_HT","DNG","MA_QH","DCH")</f>
        <v>0</v>
      </c>
      <c r="AM48" s="22">
        <f ca="1">+GETPIVOTDATA("XBT4",'binhtrung (2016)'!$A$3,"MA_HT","DNG","MA_QH","DKG")</f>
        <v>0</v>
      </c>
      <c r="AN48" s="22">
        <f ca="1">+GETPIVOTDATA("XBT4",'binhtrung (2016)'!$A$3,"MA_HT","DNG","MA_QH","DDT")</f>
        <v>0</v>
      </c>
      <c r="AO48" s="22">
        <f ca="1">+GETPIVOTDATA("XBT4",'binhtrung (2016)'!$A$3,"MA_HT","DNG","MA_QH","DDL")</f>
        <v>0</v>
      </c>
      <c r="AP48" s="22">
        <f ca="1">+GETPIVOTDATA("XBT4",'binhtrung (2016)'!$A$3,"MA_HT","DNG","MA_QH","DRA")</f>
        <v>0</v>
      </c>
      <c r="AQ48" s="22">
        <f ca="1">+GETPIVOTDATA("XBT4",'binhtrung (2016)'!$A$3,"MA_HT","DNG","MA_QH","ONT")</f>
        <v>0</v>
      </c>
      <c r="AR48" s="22">
        <f ca="1">+GETPIVOTDATA("XBT4",'binhtrung (2016)'!$A$3,"MA_HT","DNG","MA_QH","ODT")</f>
        <v>0</v>
      </c>
      <c r="AS48" s="22">
        <f ca="1">+GETPIVOTDATA("XBT4",'binhtrung (2016)'!$A$3,"MA_HT","DNG","MA_QH","TSC")</f>
        <v>0</v>
      </c>
      <c r="AT48" s="22">
        <f ca="1">+GETPIVOTDATA("XBT4",'binhtrung (2016)'!$A$3,"MA_HT","DNG","MA_QH","DTS")</f>
        <v>0</v>
      </c>
      <c r="AU48" s="43" t="e">
        <f ca="1">$D48-$BF48</f>
        <v>#REF!</v>
      </c>
      <c r="AV48" s="22">
        <f ca="1">+GETPIVOTDATA("XBT4",'binhtrung (2016)'!$A$3,"MA_HT","DNG","MA_QH","TON")</f>
        <v>0</v>
      </c>
      <c r="AW48" s="22">
        <f ca="1">+GETPIVOTDATA("XBT4",'binhtrung (2016)'!$A$3,"MA_HT","DNG","MA_QH","NTD")</f>
        <v>0</v>
      </c>
      <c r="AX48" s="22">
        <f ca="1">+GETPIVOTDATA("XBT4",'binhtrung (2016)'!$A$3,"MA_HT","DNG","MA_QH","SKX")</f>
        <v>0</v>
      </c>
      <c r="AY48" s="22">
        <f ca="1">+GETPIVOTDATA("XBT4",'binhtrung (2016)'!$A$3,"MA_HT","DNG","MA_QH","DSH")</f>
        <v>0</v>
      </c>
      <c r="AZ48" s="22">
        <f ca="1">+GETPIVOTDATA("XBT4",'binhtrung (2016)'!$A$3,"MA_HT","DNG","MA_QH","DKV")</f>
        <v>0</v>
      </c>
      <c r="BA48" s="89">
        <f ca="1">+GETPIVOTDATA("XBT4",'binhtrung (2016)'!$A$3,"MA_HT","DNG","MA_QH","TIN")</f>
        <v>0</v>
      </c>
      <c r="BB48" s="50">
        <f ca="1">+GETPIVOTDATA("XBT4",'binhtrung (2016)'!$A$3,"MA_HT","DNG","MA_QH","SON")</f>
        <v>0</v>
      </c>
      <c r="BC48" s="50">
        <f ca="1">+GETPIVOTDATA("XBT4",'binhtrung (2016)'!$A$3,"MA_HT","DNG","MA_QH","MNC")</f>
        <v>0</v>
      </c>
      <c r="BD48" s="22">
        <f ca="1">+GETPIVOTDATA("XBT4",'binhtrung (2016)'!$A$3,"MA_HT","DNG","MA_QH","PNK")</f>
        <v>0</v>
      </c>
      <c r="BE48" s="71">
        <f ca="1">+GETPIVOTDATA("XBT4",'binhtrung (2016)'!$A$3,"MA_HT","DNG","MA_QH","CSD")</f>
        <v>0</v>
      </c>
      <c r="BF48" s="74">
        <f ca="1" t="shared" si="13"/>
        <v>0</v>
      </c>
      <c r="BG48" s="101">
        <f ca="1">AU$59-$BF48</f>
        <v>0</v>
      </c>
      <c r="BH48" s="41" t="e">
        <f ca="1" t="shared" si="14"/>
        <v>#REF!</v>
      </c>
      <c r="BI48" s="98"/>
      <c r="BJ48" s="98" t="e">
        <f>#REF!</f>
        <v>#REF!</v>
      </c>
      <c r="BK48" s="107" t="e">
        <f ca="1">BH48-BJ48</f>
        <v>#REF!</v>
      </c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</row>
    <row r="49" s="2" customFormat="1" ht="15.75" customHeight="1" spans="1:79">
      <c r="A49" s="39" t="s">
        <v>8416</v>
      </c>
      <c r="B49" s="53" t="s">
        <v>8417</v>
      </c>
      <c r="C49" s="40" t="s">
        <v>324</v>
      </c>
      <c r="D49" s="41" t="e">
        <f>+#REF!</f>
        <v>#REF!</v>
      </c>
      <c r="E49" s="42">
        <f ca="1" t="shared" si="15"/>
        <v>0</v>
      </c>
      <c r="F49" s="52">
        <f ca="1" t="shared" si="9"/>
        <v>0</v>
      </c>
      <c r="G49" s="22">
        <f ca="1">+GETPIVOTDATA("XBT4",'binhtrung (2016)'!$A$3,"MA_HT","TON","MA_QH","LUC")</f>
        <v>0</v>
      </c>
      <c r="H49" s="22">
        <f ca="1">+GETPIVOTDATA("XBT4",'binhtrung (2016)'!$A$3,"MA_HT","TON","MA_QH","LUK")</f>
        <v>0</v>
      </c>
      <c r="I49" s="22">
        <f ca="1">+GETPIVOTDATA("XBT4",'binhtrung (2016)'!$A$3,"MA_HT","TON","MA_QH","LUN")</f>
        <v>0</v>
      </c>
      <c r="J49" s="22">
        <f ca="1">+GETPIVOTDATA("XBT4",'binhtrung (2016)'!$A$3,"MA_HT","TON","MA_QH","HNK")</f>
        <v>0</v>
      </c>
      <c r="K49" s="22">
        <f ca="1">+GETPIVOTDATA("XBT4",'binhtrung (2016)'!$A$3,"MA_HT","TON","MA_QH","CLN")</f>
        <v>0</v>
      </c>
      <c r="L49" s="22">
        <f ca="1">+GETPIVOTDATA("XBT4",'binhtrung (2016)'!$A$3,"MA_HT","TON","MA_QH","RSX")</f>
        <v>0</v>
      </c>
      <c r="M49" s="22">
        <f ca="1">+GETPIVOTDATA("XBT4",'binhtrung (2016)'!$A$3,"MA_HT","TON","MA_QH","RPH")</f>
        <v>0</v>
      </c>
      <c r="N49" s="22">
        <f ca="1">+GETPIVOTDATA("XBT4",'binhtrung (2016)'!$A$3,"MA_HT","TON","MA_QH","RDD")</f>
        <v>0</v>
      </c>
      <c r="O49" s="22">
        <f ca="1">+GETPIVOTDATA("XBT4",'binhtrung (2016)'!$A$3,"MA_HT","TON","MA_QH","NTS")</f>
        <v>0</v>
      </c>
      <c r="P49" s="22">
        <f ca="1">+GETPIVOTDATA("XBT4",'binhtrung (2016)'!$A$3,"MA_HT","TON","MA_QH","LMU")</f>
        <v>0</v>
      </c>
      <c r="Q49" s="22">
        <f ca="1">+GETPIVOTDATA("XBT4",'binhtrung (2016)'!$A$3,"MA_HT","TON","MA_QH","NKH")</f>
        <v>0</v>
      </c>
      <c r="R49" s="79">
        <f ca="1">SUM(S49:AA49,AN49:AU49,AW49:BD49)</f>
        <v>0</v>
      </c>
      <c r="S49" s="22">
        <f ca="1">+GETPIVOTDATA("XBT4",'binhtrung (2016)'!$A$3,"MA_HT","TON","MA_QH","CQP")</f>
        <v>0</v>
      </c>
      <c r="T49" s="22">
        <f ca="1">+GETPIVOTDATA("XBT4",'binhtrung (2016)'!$A$3,"MA_HT","TON","MA_QH","CAN")</f>
        <v>0</v>
      </c>
      <c r="U49" s="22">
        <f ca="1">+GETPIVOTDATA("XBT4",'binhtrung (2016)'!$A$3,"MA_HT","TON","MA_QH","SKK")</f>
        <v>0</v>
      </c>
      <c r="V49" s="22">
        <f ca="1">+GETPIVOTDATA("XBT4",'binhtrung (2016)'!$A$3,"MA_HT","TON","MA_QH","SKT")</f>
        <v>0</v>
      </c>
      <c r="W49" s="22">
        <f ca="1">+GETPIVOTDATA("XBT4",'binhtrung (2016)'!$A$3,"MA_HT","TON","MA_QH","SKN")</f>
        <v>0</v>
      </c>
      <c r="X49" s="22">
        <f ca="1">+GETPIVOTDATA("XBT4",'binhtrung (2016)'!$A$3,"MA_HT","TON","MA_QH","TMD")</f>
        <v>0</v>
      </c>
      <c r="Y49" s="22">
        <f ca="1">+GETPIVOTDATA("XBT4",'binhtrung (2016)'!$A$3,"MA_HT","TON","MA_QH","SKC")</f>
        <v>0</v>
      </c>
      <c r="Z49" s="22">
        <f ca="1">+GETPIVOTDATA("XBT4",'binhtrung (2016)'!$A$3,"MA_HT","TON","MA_QH","SKS")</f>
        <v>0</v>
      </c>
      <c r="AA49" s="52">
        <f ca="1" t="shared" si="21"/>
        <v>0</v>
      </c>
      <c r="AB49" s="22">
        <f ca="1">+GETPIVOTDATA("XBT4",'binhtrung (2016)'!$A$3,"MA_HT","TON","MA_QH","DGT")</f>
        <v>0</v>
      </c>
      <c r="AC49" s="22">
        <f ca="1">+GETPIVOTDATA("XBT4",'binhtrung (2016)'!$A$3,"MA_HT","TON","MA_QH","DTL")</f>
        <v>0</v>
      </c>
      <c r="AD49" s="22">
        <f ca="1">+GETPIVOTDATA("XBT4",'binhtrung (2016)'!$A$3,"MA_HT","TON","MA_QH","DNL")</f>
        <v>0</v>
      </c>
      <c r="AE49" s="22">
        <f ca="1">+GETPIVOTDATA("XBT4",'binhtrung (2016)'!$A$3,"MA_HT","TON","MA_QH","DBV")</f>
        <v>0</v>
      </c>
      <c r="AF49" s="22">
        <f ca="1">+GETPIVOTDATA("XBT4",'binhtrung (2016)'!$A$3,"MA_HT","TON","MA_QH","DVH")</f>
        <v>0</v>
      </c>
      <c r="AG49" s="22">
        <f ca="1">+GETPIVOTDATA("XBT4",'binhtrung (2016)'!$A$3,"MA_HT","TON","MA_QH","DYT")</f>
        <v>0</v>
      </c>
      <c r="AH49" s="22">
        <f ca="1">+GETPIVOTDATA("XBT4",'binhtrung (2016)'!$A$3,"MA_HT","TON","MA_QH","DGD")</f>
        <v>0</v>
      </c>
      <c r="AI49" s="22">
        <f ca="1">+GETPIVOTDATA("XBT4",'binhtrung (2016)'!$A$3,"MA_HT","TON","MA_QH","DTT")</f>
        <v>0</v>
      </c>
      <c r="AJ49" s="22">
        <f ca="1">+GETPIVOTDATA("XBT4",'binhtrung (2016)'!$A$3,"MA_HT","TON","MA_QH","NCK")</f>
        <v>0</v>
      </c>
      <c r="AK49" s="22">
        <f ca="1">+GETPIVOTDATA("XBT4",'binhtrung (2016)'!$A$3,"MA_HT","TON","MA_QH","DXH")</f>
        <v>0</v>
      </c>
      <c r="AL49" s="22">
        <f ca="1">+GETPIVOTDATA("XBT4",'binhtrung (2016)'!$A$3,"MA_HT","TON","MA_QH","DCH")</f>
        <v>0</v>
      </c>
      <c r="AM49" s="22">
        <f ca="1">+GETPIVOTDATA("XBT4",'binhtrung (2016)'!$A$3,"MA_HT","TON","MA_QH","DKG")</f>
        <v>0</v>
      </c>
      <c r="AN49" s="22">
        <f ca="1">+GETPIVOTDATA("XBT4",'binhtrung (2016)'!$A$3,"MA_HT","TON","MA_QH","DDT")</f>
        <v>0</v>
      </c>
      <c r="AO49" s="22">
        <f ca="1">+GETPIVOTDATA("XBT4",'binhtrung (2016)'!$A$3,"MA_HT","TON","MA_QH","DDL")</f>
        <v>0</v>
      </c>
      <c r="AP49" s="22">
        <f ca="1">+GETPIVOTDATA("XBT4",'binhtrung (2016)'!$A$3,"MA_HT","TON","MA_QH","DRA")</f>
        <v>0</v>
      </c>
      <c r="AQ49" s="22">
        <f ca="1">+GETPIVOTDATA("XBT4",'binhtrung (2016)'!$A$3,"MA_HT","TON","MA_QH","ONT")</f>
        <v>0</v>
      </c>
      <c r="AR49" s="22">
        <f ca="1">+GETPIVOTDATA("XBT4",'binhtrung (2016)'!$A$3,"MA_HT","TON","MA_QH","ODT")</f>
        <v>0</v>
      </c>
      <c r="AS49" s="22">
        <f ca="1">+GETPIVOTDATA("XBT4",'binhtrung (2016)'!$A$3,"MA_HT","TON","MA_QH","TSC")</f>
        <v>0</v>
      </c>
      <c r="AT49" s="22">
        <f ca="1">+GETPIVOTDATA("XBT4",'binhtrung (2016)'!$A$3,"MA_HT","TON","MA_QH","DTS")</f>
        <v>0</v>
      </c>
      <c r="AU49" s="22">
        <f ca="1">+GETPIVOTDATA("XBT4",'binhtrung (2016)'!$A$3,"MA_HT","TON","MA_QH","DNG")</f>
        <v>0</v>
      </c>
      <c r="AV49" s="43" t="e">
        <f ca="1">$D49-$BF49</f>
        <v>#REF!</v>
      </c>
      <c r="AW49" s="22">
        <f ca="1">+GETPIVOTDATA("XBT4",'binhtrung (2016)'!$A$3,"MA_HT","TON","MA_QH","NTD")</f>
        <v>0</v>
      </c>
      <c r="AX49" s="22">
        <f ca="1">+GETPIVOTDATA("XBT4",'binhtrung (2016)'!$A$3,"MA_HT","TON","MA_QH","SKX")</f>
        <v>0</v>
      </c>
      <c r="AY49" s="22">
        <f ca="1">+GETPIVOTDATA("XBT4",'binhtrung (2016)'!$A$3,"MA_HT","TON","MA_QH","DSH")</f>
        <v>0</v>
      </c>
      <c r="AZ49" s="22">
        <f ca="1">+GETPIVOTDATA("XBT4",'binhtrung (2016)'!$A$3,"MA_HT","TON","MA_QH","DKV")</f>
        <v>0</v>
      </c>
      <c r="BA49" s="89">
        <f ca="1">+GETPIVOTDATA("XBT4",'binhtrung (2016)'!$A$3,"MA_HT","TON","MA_QH","TIN")</f>
        <v>0</v>
      </c>
      <c r="BB49" s="50">
        <f ca="1">+GETPIVOTDATA("XBT4",'binhtrung (2016)'!$A$3,"MA_HT","TON","MA_QH","SON")</f>
        <v>0</v>
      </c>
      <c r="BC49" s="50">
        <f ca="1">+GETPIVOTDATA("XBT4",'binhtrung (2016)'!$A$3,"MA_HT","TON","MA_QH","MNC")</f>
        <v>0</v>
      </c>
      <c r="BD49" s="22">
        <f ca="1">+GETPIVOTDATA("XBT4",'binhtrung (2016)'!$A$3,"MA_HT","TON","MA_QH","PNK")</f>
        <v>0</v>
      </c>
      <c r="BE49" s="71">
        <f ca="1">+GETPIVOTDATA("XBT4",'binhtrung (2016)'!$A$3,"MA_HT","TON","MA_QH","CSD")</f>
        <v>0</v>
      </c>
      <c r="BF49" s="74">
        <f ca="1" t="shared" si="13"/>
        <v>0</v>
      </c>
      <c r="BG49" s="101">
        <f ca="1">AV$59-$BF49</f>
        <v>0</v>
      </c>
      <c r="BH49" s="41" t="e">
        <f ca="1" t="shared" si="14"/>
        <v>#REF!</v>
      </c>
      <c r="BI49" s="98"/>
      <c r="BJ49" s="98" t="e">
        <f>#REF!</f>
        <v>#REF!</v>
      </c>
      <c r="BK49" s="107" t="e">
        <f ca="1">BH49-BJ49</f>
        <v>#REF!</v>
      </c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</row>
    <row r="50" s="2" customFormat="1" ht="15.75" customHeight="1" spans="1:79">
      <c r="A50" s="39" t="s">
        <v>8418</v>
      </c>
      <c r="B50" s="53" t="s">
        <v>8419</v>
      </c>
      <c r="C50" s="40" t="s">
        <v>182</v>
      </c>
      <c r="D50" s="41" t="e">
        <f>+#REF!</f>
        <v>#REF!</v>
      </c>
      <c r="E50" s="42">
        <f ca="1" t="shared" si="15"/>
        <v>0</v>
      </c>
      <c r="F50" s="52">
        <f ca="1" t="shared" si="9"/>
        <v>0</v>
      </c>
      <c r="G50" s="22">
        <f ca="1">+GETPIVOTDATA("XBT4",'binhtrung (2016)'!$A$3,"MA_HT","NTD","MA_QH","LUC")</f>
        <v>0</v>
      </c>
      <c r="H50" s="22">
        <f ca="1">+GETPIVOTDATA("XBT4",'binhtrung (2016)'!$A$3,"MA_HT","NTD","MA_QH","LUK")</f>
        <v>0</v>
      </c>
      <c r="I50" s="22">
        <f ca="1">+GETPIVOTDATA("XBT4",'binhtrung (2016)'!$A$3,"MA_HT","NTD","MA_QH","LUN")</f>
        <v>0</v>
      </c>
      <c r="J50" s="22">
        <f ca="1">+GETPIVOTDATA("XBT4",'binhtrung (2016)'!$A$3,"MA_HT","NTD","MA_QH","HNK")</f>
        <v>0</v>
      </c>
      <c r="K50" s="22">
        <f ca="1">+GETPIVOTDATA("XBT4",'binhtrung (2016)'!$A$3,"MA_HT","NTD","MA_QH","CLN")</f>
        <v>0</v>
      </c>
      <c r="L50" s="22">
        <f ca="1">+GETPIVOTDATA("XBT4",'binhtrung (2016)'!$A$3,"MA_HT","NTD","MA_QH","RSX")</f>
        <v>0</v>
      </c>
      <c r="M50" s="22">
        <f ca="1">+GETPIVOTDATA("XBT4",'binhtrung (2016)'!$A$3,"MA_HT","NTD","MA_QH","RPH")</f>
        <v>0</v>
      </c>
      <c r="N50" s="22">
        <f ca="1">+GETPIVOTDATA("XBT4",'binhtrung (2016)'!$A$3,"MA_HT","NTD","MA_QH","RDD")</f>
        <v>0</v>
      </c>
      <c r="O50" s="22">
        <f ca="1">+GETPIVOTDATA("XBT4",'binhtrung (2016)'!$A$3,"MA_HT","NTD","MA_QH","NTS")</f>
        <v>0</v>
      </c>
      <c r="P50" s="22">
        <f ca="1">+GETPIVOTDATA("XBT4",'binhtrung (2016)'!$A$3,"MA_HT","NTD","MA_QH","LMU")</f>
        <v>0</v>
      </c>
      <c r="Q50" s="22">
        <f ca="1">+GETPIVOTDATA("XBT4",'binhtrung (2016)'!$A$3,"MA_HT","NTD","MA_QH","NKH")</f>
        <v>0</v>
      </c>
      <c r="R50" s="79">
        <f ca="1">SUM(S50:AA50,AN50:AV50,AX50:BD50)</f>
        <v>0</v>
      </c>
      <c r="S50" s="22">
        <f ca="1">+GETPIVOTDATA("XBT4",'binhtrung (2016)'!$A$3,"MA_HT","NTD","MA_QH","CQP")</f>
        <v>0</v>
      </c>
      <c r="T50" s="22">
        <f ca="1">+GETPIVOTDATA("XBT4",'binhtrung (2016)'!$A$3,"MA_HT","NTD","MA_QH","CAN")</f>
        <v>0</v>
      </c>
      <c r="U50" s="22">
        <f ca="1">+GETPIVOTDATA("XBT4",'binhtrung (2016)'!$A$3,"MA_HT","NTD","MA_QH","SKK")</f>
        <v>0</v>
      </c>
      <c r="V50" s="22">
        <f ca="1">+GETPIVOTDATA("XBT4",'binhtrung (2016)'!$A$3,"MA_HT","NTD","MA_QH","SKT")</f>
        <v>0</v>
      </c>
      <c r="W50" s="22">
        <f ca="1">+GETPIVOTDATA("XBT4",'binhtrung (2016)'!$A$3,"MA_HT","NTD","MA_QH","SKN")</f>
        <v>0</v>
      </c>
      <c r="X50" s="22">
        <f ca="1">+GETPIVOTDATA("XBT4",'binhtrung (2016)'!$A$3,"MA_HT","NTD","MA_QH","TMD")</f>
        <v>0</v>
      </c>
      <c r="Y50" s="22">
        <f ca="1">+GETPIVOTDATA("XBT4",'binhtrung (2016)'!$A$3,"MA_HT","NTD","MA_QH","SKC")</f>
        <v>0</v>
      </c>
      <c r="Z50" s="22">
        <f ca="1">+GETPIVOTDATA("XBT4",'binhtrung (2016)'!$A$3,"MA_HT","NTD","MA_QH","SKS")</f>
        <v>0</v>
      </c>
      <c r="AA50" s="52">
        <f ca="1" t="shared" si="21"/>
        <v>0</v>
      </c>
      <c r="AB50" s="22">
        <f ca="1">+GETPIVOTDATA("XBT4",'binhtrung (2016)'!$A$3,"MA_HT","NTD","MA_QH","DGT")</f>
        <v>0</v>
      </c>
      <c r="AC50" s="22">
        <f ca="1">+GETPIVOTDATA("XBT4",'binhtrung (2016)'!$A$3,"MA_HT","NTD","MA_QH","DTL")</f>
        <v>0</v>
      </c>
      <c r="AD50" s="22">
        <f ca="1">+GETPIVOTDATA("XBT4",'binhtrung (2016)'!$A$3,"MA_HT","NTD","MA_QH","DNL")</f>
        <v>0</v>
      </c>
      <c r="AE50" s="22">
        <f ca="1">+GETPIVOTDATA("XBT4",'binhtrung (2016)'!$A$3,"MA_HT","NTD","MA_QH","DBV")</f>
        <v>0</v>
      </c>
      <c r="AF50" s="22">
        <f ca="1">+GETPIVOTDATA("XBT4",'binhtrung (2016)'!$A$3,"MA_HT","NTD","MA_QH","DVH")</f>
        <v>0</v>
      </c>
      <c r="AG50" s="22">
        <f ca="1">+GETPIVOTDATA("XBT4",'binhtrung (2016)'!$A$3,"MA_HT","NTD","MA_QH","DYT")</f>
        <v>0</v>
      </c>
      <c r="AH50" s="22">
        <f ca="1">+GETPIVOTDATA("XBT4",'binhtrung (2016)'!$A$3,"MA_HT","NTD","MA_QH","DGD")</f>
        <v>0</v>
      </c>
      <c r="AI50" s="22">
        <f ca="1">+GETPIVOTDATA("XBT4",'binhtrung (2016)'!$A$3,"MA_HT","NTD","MA_QH","DTT")</f>
        <v>0</v>
      </c>
      <c r="AJ50" s="22">
        <f ca="1">+GETPIVOTDATA("XBT4",'binhtrung (2016)'!$A$3,"MA_HT","NTD","MA_QH","NCK")</f>
        <v>0</v>
      </c>
      <c r="AK50" s="22">
        <f ca="1">+GETPIVOTDATA("XBT4",'binhtrung (2016)'!$A$3,"MA_HT","NTD","MA_QH","DXH")</f>
        <v>0</v>
      </c>
      <c r="AL50" s="22">
        <f ca="1">+GETPIVOTDATA("XBT4",'binhtrung (2016)'!$A$3,"MA_HT","NTD","MA_QH","DCH")</f>
        <v>0</v>
      </c>
      <c r="AM50" s="22">
        <f ca="1">+GETPIVOTDATA("XBT4",'binhtrung (2016)'!$A$3,"MA_HT","NTD","MA_QH","DKG")</f>
        <v>0</v>
      </c>
      <c r="AN50" s="22">
        <f ca="1">+GETPIVOTDATA("XBT4",'binhtrung (2016)'!$A$3,"MA_HT","NTD","MA_QH","DDT")</f>
        <v>0</v>
      </c>
      <c r="AO50" s="22">
        <f ca="1">+GETPIVOTDATA("XBT4",'binhtrung (2016)'!$A$3,"MA_HT","NTD","MA_QH","DDL")</f>
        <v>0</v>
      </c>
      <c r="AP50" s="22">
        <f ca="1">+GETPIVOTDATA("XBT4",'binhtrung (2016)'!$A$3,"MA_HT","NTD","MA_QH","DRA")</f>
        <v>0</v>
      </c>
      <c r="AQ50" s="22">
        <f ca="1">+GETPIVOTDATA("XBT4",'binhtrung (2016)'!$A$3,"MA_HT","NTD","MA_QH","ONT")</f>
        <v>0</v>
      </c>
      <c r="AR50" s="22">
        <f ca="1">+GETPIVOTDATA("XBT4",'binhtrung (2016)'!$A$3,"MA_HT","NTD","MA_QH","ODT")</f>
        <v>0</v>
      </c>
      <c r="AS50" s="22">
        <f ca="1">+GETPIVOTDATA("XBT4",'binhtrung (2016)'!$A$3,"MA_HT","NTD","MA_QH","TSC")</f>
        <v>0</v>
      </c>
      <c r="AT50" s="22">
        <f ca="1">+GETPIVOTDATA("XBT4",'binhtrung (2016)'!$A$3,"MA_HT","NTD","MA_QH","DTS")</f>
        <v>0</v>
      </c>
      <c r="AU50" s="22">
        <f ca="1">+GETPIVOTDATA("XBT4",'binhtrung (2016)'!$A$3,"MA_HT","NTD","MA_QH","DNG")</f>
        <v>0</v>
      </c>
      <c r="AV50" s="22">
        <f ca="1">+GETPIVOTDATA("XBT4",'binhtrung (2016)'!$A$3,"MA_HT","NTD","MA_QH","TON")</f>
        <v>0</v>
      </c>
      <c r="AW50" s="43" t="e">
        <f ca="1">$D50-$BF50</f>
        <v>#REF!</v>
      </c>
      <c r="AX50" s="22">
        <f ca="1">+GETPIVOTDATA("XBT4",'binhtrung (2016)'!$A$3,"MA_HT","NTD","MA_QH","SKX")</f>
        <v>0</v>
      </c>
      <c r="AY50" s="22">
        <f ca="1">+GETPIVOTDATA("XBT4",'binhtrung (2016)'!$A$3,"MA_HT","NTD","MA_QH","DSH")</f>
        <v>0</v>
      </c>
      <c r="AZ50" s="22">
        <f ca="1">+GETPIVOTDATA("XBT4",'binhtrung (2016)'!$A$3,"MA_HT","NTD","MA_QH","DKV")</f>
        <v>0</v>
      </c>
      <c r="BA50" s="89">
        <f ca="1">+GETPIVOTDATA("XBT4",'binhtrung (2016)'!$A$3,"MA_HT","NTD","MA_QH","TIN")</f>
        <v>0</v>
      </c>
      <c r="BB50" s="50">
        <f ca="1">+GETPIVOTDATA("XBT4",'binhtrung (2016)'!$A$3,"MA_HT","NTD","MA_QH","SON")</f>
        <v>0</v>
      </c>
      <c r="BC50" s="50">
        <f ca="1">+GETPIVOTDATA("XBT4",'binhtrung (2016)'!$A$3,"MA_HT","NTD","MA_QH","MNC")</f>
        <v>0</v>
      </c>
      <c r="BD50" s="22">
        <f ca="1">+GETPIVOTDATA("XBT4",'binhtrung (2016)'!$A$3,"MA_HT","NTD","MA_QH","PNK")</f>
        <v>0</v>
      </c>
      <c r="BE50" s="71">
        <f ca="1">+GETPIVOTDATA("XBT4",'binhtrung (2016)'!$A$3,"MA_HT","NTD","MA_QH","CSD")</f>
        <v>0</v>
      </c>
      <c r="BF50" s="74">
        <f ca="1" t="shared" si="13"/>
        <v>0</v>
      </c>
      <c r="BG50" s="101">
        <f ca="1">AW$59-$BF50</f>
        <v>0</v>
      </c>
      <c r="BH50" s="41" t="e">
        <f ca="1" t="shared" si="14"/>
        <v>#REF!</v>
      </c>
      <c r="BI50" s="98"/>
      <c r="BJ50" s="98"/>
      <c r="BK50" s="107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</row>
    <row r="51" s="2" customFormat="1" ht="15.75" customHeight="1" spans="1:79">
      <c r="A51" s="39" t="s">
        <v>8420</v>
      </c>
      <c r="B51" s="39" t="s">
        <v>8421</v>
      </c>
      <c r="C51" s="40" t="s">
        <v>236</v>
      </c>
      <c r="D51" s="41" t="e">
        <f>+#REF!</f>
        <v>#REF!</v>
      </c>
      <c r="E51" s="42">
        <f ca="1" t="shared" si="15"/>
        <v>0</v>
      </c>
      <c r="F51" s="52">
        <f ca="1" t="shared" si="9"/>
        <v>0</v>
      </c>
      <c r="G51" s="22">
        <f ca="1">+GETPIVOTDATA("XBT4",'binhtrung (2016)'!$A$3,"MA_HT","SKX","MA_QH","LUC")</f>
        <v>0</v>
      </c>
      <c r="H51" s="22">
        <f ca="1">+GETPIVOTDATA("XBT4",'binhtrung (2016)'!$A$3,"MA_HT","SKX","MA_QH","LUK")</f>
        <v>0</v>
      </c>
      <c r="I51" s="22">
        <f ca="1">+GETPIVOTDATA("XBT4",'binhtrung (2016)'!$A$3,"MA_HT","SKX","MA_QH","LUN")</f>
        <v>0</v>
      </c>
      <c r="J51" s="22">
        <f ca="1">+GETPIVOTDATA("XBT4",'binhtrung (2016)'!$A$3,"MA_HT","SKX","MA_QH","HNK")</f>
        <v>0</v>
      </c>
      <c r="K51" s="22">
        <f ca="1">+GETPIVOTDATA("XBT4",'binhtrung (2016)'!$A$3,"MA_HT","SKX","MA_QH","CLN")</f>
        <v>0</v>
      </c>
      <c r="L51" s="22">
        <f ca="1">+GETPIVOTDATA("XBT4",'binhtrung (2016)'!$A$3,"MA_HT","SKX","MA_QH","RSX")</f>
        <v>0</v>
      </c>
      <c r="M51" s="22">
        <f ca="1">+GETPIVOTDATA("XBT4",'binhtrung (2016)'!$A$3,"MA_HT","SKX","MA_QH","RPH")</f>
        <v>0</v>
      </c>
      <c r="N51" s="22">
        <f ca="1">+GETPIVOTDATA("XBT4",'binhtrung (2016)'!$A$3,"MA_HT","SKX","MA_QH","RDD")</f>
        <v>0</v>
      </c>
      <c r="O51" s="22">
        <f ca="1">+GETPIVOTDATA("XBT4",'binhtrung (2016)'!$A$3,"MA_HT","SKX","MA_QH","NTS")</f>
        <v>0</v>
      </c>
      <c r="P51" s="22">
        <f ca="1">+GETPIVOTDATA("XBT4",'binhtrung (2016)'!$A$3,"MA_HT","SKX","MA_QH","LMU")</f>
        <v>0</v>
      </c>
      <c r="Q51" s="22">
        <f ca="1">+GETPIVOTDATA("XBT4",'binhtrung (2016)'!$A$3,"MA_HT","SKX","MA_QH","NKH")</f>
        <v>0</v>
      </c>
      <c r="R51" s="79">
        <f ca="1">SUM(S51:AA51,AN51:AW51,AY51:BD51)</f>
        <v>0</v>
      </c>
      <c r="S51" s="22">
        <f ca="1">+GETPIVOTDATA("XBT4",'binhtrung (2016)'!$A$3,"MA_HT","SKX","MA_QH","CQP")</f>
        <v>0</v>
      </c>
      <c r="T51" s="22">
        <f ca="1">+GETPIVOTDATA("XBT4",'binhtrung (2016)'!$A$3,"MA_HT","SKX","MA_QH","CAN")</f>
        <v>0</v>
      </c>
      <c r="U51" s="22">
        <f ca="1">+GETPIVOTDATA("XBT4",'binhtrung (2016)'!$A$3,"MA_HT","SKX","MA_QH","SKK")</f>
        <v>0</v>
      </c>
      <c r="V51" s="22">
        <f ca="1">+GETPIVOTDATA("XBT4",'binhtrung (2016)'!$A$3,"MA_HT","SKX","MA_QH","SKT")</f>
        <v>0</v>
      </c>
      <c r="W51" s="22">
        <f ca="1">+GETPIVOTDATA("XBT4",'binhtrung (2016)'!$A$3,"MA_HT","SKX","MA_QH","SKN")</f>
        <v>0</v>
      </c>
      <c r="X51" s="22">
        <f ca="1">+GETPIVOTDATA("XBT4",'binhtrung (2016)'!$A$3,"MA_HT","SKX","MA_QH","TMD")</f>
        <v>0</v>
      </c>
      <c r="Y51" s="22">
        <f ca="1">+GETPIVOTDATA("XBT4",'binhtrung (2016)'!$A$3,"MA_HT","SKX","MA_QH","SKC")</f>
        <v>0</v>
      </c>
      <c r="Z51" s="22">
        <f ca="1">+GETPIVOTDATA("XBT4",'binhtrung (2016)'!$A$3,"MA_HT","SKX","MA_QH","SKS")</f>
        <v>0</v>
      </c>
      <c r="AA51" s="52">
        <f ca="1" t="shared" si="21"/>
        <v>0</v>
      </c>
      <c r="AB51" s="22">
        <f ca="1">+GETPIVOTDATA("XBT4",'binhtrung (2016)'!$A$3,"MA_HT","SKX","MA_QH","DGT")</f>
        <v>0</v>
      </c>
      <c r="AC51" s="22">
        <f ca="1">+GETPIVOTDATA("XBT4",'binhtrung (2016)'!$A$3,"MA_HT","SKX","MA_QH","DTL")</f>
        <v>0</v>
      </c>
      <c r="AD51" s="22">
        <f ca="1">+GETPIVOTDATA("XBT4",'binhtrung (2016)'!$A$3,"MA_HT","SKX","MA_QH","DNL")</f>
        <v>0</v>
      </c>
      <c r="AE51" s="22">
        <f ca="1">+GETPIVOTDATA("XBT4",'binhtrung (2016)'!$A$3,"MA_HT","SKX","MA_QH","DBV")</f>
        <v>0</v>
      </c>
      <c r="AF51" s="22">
        <f ca="1">+GETPIVOTDATA("XBT4",'binhtrung (2016)'!$A$3,"MA_HT","SKX","MA_QH","DVH")</f>
        <v>0</v>
      </c>
      <c r="AG51" s="22">
        <f ca="1">+GETPIVOTDATA("XBT4",'binhtrung (2016)'!$A$3,"MA_HT","SKX","MA_QH","DYT")</f>
        <v>0</v>
      </c>
      <c r="AH51" s="22">
        <f ca="1">+GETPIVOTDATA("XBT4",'binhtrung (2016)'!$A$3,"MA_HT","SKX","MA_QH","DGD")</f>
        <v>0</v>
      </c>
      <c r="AI51" s="22">
        <f ca="1">+GETPIVOTDATA("XBT4",'binhtrung (2016)'!$A$3,"MA_HT","SKX","MA_QH","DTT")</f>
        <v>0</v>
      </c>
      <c r="AJ51" s="22">
        <f ca="1">+GETPIVOTDATA("XBT4",'binhtrung (2016)'!$A$3,"MA_HT","SKX","MA_QH","NCK")</f>
        <v>0</v>
      </c>
      <c r="AK51" s="22">
        <f ca="1">+GETPIVOTDATA("XBT4",'binhtrung (2016)'!$A$3,"MA_HT","SKX","MA_QH","DXH")</f>
        <v>0</v>
      </c>
      <c r="AL51" s="22">
        <f ca="1">+GETPIVOTDATA("XBT4",'binhtrung (2016)'!$A$3,"MA_HT","SKX","MA_QH","DCH")</f>
        <v>0</v>
      </c>
      <c r="AM51" s="22">
        <f ca="1">+GETPIVOTDATA("XBT4",'binhtrung (2016)'!$A$3,"MA_HT","SKX","MA_QH","DKG")</f>
        <v>0</v>
      </c>
      <c r="AN51" s="22">
        <f ca="1">+GETPIVOTDATA("XBT4",'binhtrung (2016)'!$A$3,"MA_HT","SKX","MA_QH","DDT")</f>
        <v>0</v>
      </c>
      <c r="AO51" s="22">
        <f ca="1">+GETPIVOTDATA("XBT4",'binhtrung (2016)'!$A$3,"MA_HT","SKX","MA_QH","DDL")</f>
        <v>0</v>
      </c>
      <c r="AP51" s="22">
        <f ca="1">+GETPIVOTDATA("XBT4",'binhtrung (2016)'!$A$3,"MA_HT","SKX","MA_QH","DRA")</f>
        <v>0</v>
      </c>
      <c r="AQ51" s="22">
        <f ca="1">+GETPIVOTDATA("XBT4",'binhtrung (2016)'!$A$3,"MA_HT","SKX","MA_QH","ONT")</f>
        <v>0</v>
      </c>
      <c r="AR51" s="22">
        <f ca="1">+GETPIVOTDATA("XBT4",'binhtrung (2016)'!$A$3,"MA_HT","SKX","MA_QH","ODT")</f>
        <v>0</v>
      </c>
      <c r="AS51" s="22">
        <f ca="1">+GETPIVOTDATA("XBT4",'binhtrung (2016)'!$A$3,"MA_HT","SKX","MA_QH","TSC")</f>
        <v>0</v>
      </c>
      <c r="AT51" s="22">
        <f ca="1">+GETPIVOTDATA("XBT4",'binhtrung (2016)'!$A$3,"MA_HT","SKX","MA_QH","DTS")</f>
        <v>0</v>
      </c>
      <c r="AU51" s="22">
        <f ca="1">+GETPIVOTDATA("XBT4",'binhtrung (2016)'!$A$3,"MA_HT","SKX","MA_QH","DNG")</f>
        <v>0</v>
      </c>
      <c r="AV51" s="22">
        <f ca="1">+GETPIVOTDATA("XBT4",'binhtrung (2016)'!$A$3,"MA_HT","SKX","MA_QH","TON")</f>
        <v>0</v>
      </c>
      <c r="AW51" s="22">
        <f ca="1">+GETPIVOTDATA("XBT4",'binhtrung (2016)'!$A$3,"MA_HT","SKX","MA_QH","NTD")</f>
        <v>0</v>
      </c>
      <c r="AX51" s="43" t="e">
        <f ca="1">$D51-$BF51</f>
        <v>#REF!</v>
      </c>
      <c r="AY51" s="22">
        <f ca="1">+GETPIVOTDATA("XBT4",'binhtrung (2016)'!$A$3,"MA_HT","SKX","MA_QH","DSH")</f>
        <v>0</v>
      </c>
      <c r="AZ51" s="22">
        <f ca="1">+GETPIVOTDATA("XBT4",'binhtrung (2016)'!$A$3,"MA_HT","SKX","MA_QH","DKV")</f>
        <v>0</v>
      </c>
      <c r="BA51" s="89">
        <f ca="1">+GETPIVOTDATA("XBT4",'binhtrung (2016)'!$A$3,"MA_HT","SKX","MA_QH","TIN")</f>
        <v>0</v>
      </c>
      <c r="BB51" s="50">
        <f ca="1">+GETPIVOTDATA("XBT4",'binhtrung (2016)'!$A$3,"MA_HT","SKX","MA_QH","SON")</f>
        <v>0</v>
      </c>
      <c r="BC51" s="50">
        <f ca="1">+GETPIVOTDATA("XBT4",'binhtrung (2016)'!$A$3,"MA_HT","SKX","MA_QH","MNC")</f>
        <v>0</v>
      </c>
      <c r="BD51" s="22">
        <f ca="1">+GETPIVOTDATA("XBT4",'binhtrung (2016)'!$A$3,"MA_HT","SKX","MA_QH","PNK")</f>
        <v>0</v>
      </c>
      <c r="BE51" s="71">
        <f ca="1">+GETPIVOTDATA("XBT4",'binhtrung (2016)'!$A$3,"MA_HT","SKX","MA_QH","CSD")</f>
        <v>0</v>
      </c>
      <c r="BF51" s="74">
        <f ca="1" t="shared" si="13"/>
        <v>0</v>
      </c>
      <c r="BG51" s="101">
        <f ca="1">AX$59-$BF51</f>
        <v>0</v>
      </c>
      <c r="BH51" s="41" t="e">
        <f ca="1" t="shared" si="14"/>
        <v>#REF!</v>
      </c>
      <c r="BI51" s="98"/>
      <c r="BJ51" s="98" t="e">
        <f>#REF!</f>
        <v>#REF!</v>
      </c>
      <c r="BK51" s="107" t="e">
        <f ca="1">BH51-BJ51</f>
        <v>#REF!</v>
      </c>
      <c r="BL51" s="98"/>
      <c r="BM51" s="122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</row>
    <row r="52" s="2" customFormat="1" ht="15.75" customHeight="1" spans="1:79">
      <c r="A52" s="39" t="s">
        <v>8422</v>
      </c>
      <c r="B52" s="39" t="s">
        <v>8423</v>
      </c>
      <c r="C52" s="40" t="s">
        <v>8292</v>
      </c>
      <c r="D52" s="41" t="e">
        <f>+#REF!</f>
        <v>#REF!</v>
      </c>
      <c r="E52" s="42">
        <f ca="1" t="shared" si="15"/>
        <v>0</v>
      </c>
      <c r="F52" s="52">
        <f ca="1" t="shared" si="9"/>
        <v>0</v>
      </c>
      <c r="G52" s="22">
        <f ca="1">+GETPIVOTDATA("XBT4",'binhtrung (2016)'!$A$3,"MA_HT","DSH","MA_QH","LUC")</f>
        <v>0</v>
      </c>
      <c r="H52" s="22">
        <f ca="1">+GETPIVOTDATA("XBT4",'binhtrung (2016)'!$A$3,"MA_HT","DSH","MA_QH","LUK")</f>
        <v>0</v>
      </c>
      <c r="I52" s="22">
        <f ca="1">+GETPIVOTDATA("XBT4",'binhtrung (2016)'!$A$3,"MA_HT","DSH","MA_QH","LUN")</f>
        <v>0</v>
      </c>
      <c r="J52" s="22">
        <f ca="1">+GETPIVOTDATA("XBT4",'binhtrung (2016)'!$A$3,"MA_HT","DSH","MA_QH","HNK")</f>
        <v>0</v>
      </c>
      <c r="K52" s="22">
        <f ca="1">+GETPIVOTDATA("XBT4",'binhtrung (2016)'!$A$3,"MA_HT","DSH","MA_QH","CLN")</f>
        <v>0</v>
      </c>
      <c r="L52" s="22">
        <f ca="1">+GETPIVOTDATA("XBT4",'binhtrung (2016)'!$A$3,"MA_HT","DSH","MA_QH","RSX")</f>
        <v>0</v>
      </c>
      <c r="M52" s="22">
        <f ca="1">+GETPIVOTDATA("XBT4",'binhtrung (2016)'!$A$3,"MA_HT","DSH","MA_QH","RPH")</f>
        <v>0</v>
      </c>
      <c r="N52" s="22">
        <f ca="1">+GETPIVOTDATA("XBT4",'binhtrung (2016)'!$A$3,"MA_HT","DSH","MA_QH","RDD")</f>
        <v>0</v>
      </c>
      <c r="O52" s="22">
        <f ca="1">+GETPIVOTDATA("XBT4",'binhtrung (2016)'!$A$3,"MA_HT","DSH","MA_QH","NTS")</f>
        <v>0</v>
      </c>
      <c r="P52" s="22">
        <f ca="1">+GETPIVOTDATA("XBT4",'binhtrung (2016)'!$A$3,"MA_HT","DSH","MA_QH","LMU")</f>
        <v>0</v>
      </c>
      <c r="Q52" s="22">
        <f ca="1">+GETPIVOTDATA("XBT4",'binhtrung (2016)'!$A$3,"MA_HT","DSH","MA_QH","NKH")</f>
        <v>0</v>
      </c>
      <c r="R52" s="79">
        <f ca="1">SUM(S52:AA52,AN52:AX52,AZ52:BD52)</f>
        <v>0</v>
      </c>
      <c r="S52" s="22">
        <f ca="1">+GETPIVOTDATA("XBT4",'binhtrung (2016)'!$A$3,"MA_HT","DSH","MA_QH","CQP")</f>
        <v>0</v>
      </c>
      <c r="T52" s="22">
        <f ca="1">+GETPIVOTDATA("XBT4",'binhtrung (2016)'!$A$3,"MA_HT","DSH","MA_QH","CAN")</f>
        <v>0</v>
      </c>
      <c r="U52" s="22">
        <f ca="1">+GETPIVOTDATA("XBT4",'binhtrung (2016)'!$A$3,"MA_HT","DSH","MA_QH","SKK")</f>
        <v>0</v>
      </c>
      <c r="V52" s="22">
        <f ca="1">+GETPIVOTDATA("XBT4",'binhtrung (2016)'!$A$3,"MA_HT","DSH","MA_QH","SKT")</f>
        <v>0</v>
      </c>
      <c r="W52" s="22">
        <f ca="1">+GETPIVOTDATA("XBT4",'binhtrung (2016)'!$A$3,"MA_HT","DSH","MA_QH","SKN")</f>
        <v>0</v>
      </c>
      <c r="X52" s="22">
        <f ca="1">+GETPIVOTDATA("XBT4",'binhtrung (2016)'!$A$3,"MA_HT","DSH","MA_QH","TMD")</f>
        <v>0</v>
      </c>
      <c r="Y52" s="22">
        <f ca="1">+GETPIVOTDATA("XBT4",'binhtrung (2016)'!$A$3,"MA_HT","DSH","MA_QH","SKC")</f>
        <v>0</v>
      </c>
      <c r="Z52" s="22">
        <f ca="1">+GETPIVOTDATA("XBT4",'binhtrung (2016)'!$A$3,"MA_HT","DSH","MA_QH","SKS")</f>
        <v>0</v>
      </c>
      <c r="AA52" s="52">
        <f ca="1" t="shared" si="21"/>
        <v>0</v>
      </c>
      <c r="AB52" s="22">
        <f ca="1">+GETPIVOTDATA("XBT4",'binhtrung (2016)'!$A$3,"MA_HT","DSH","MA_QH","DGT")</f>
        <v>0</v>
      </c>
      <c r="AC52" s="22">
        <f ca="1">+GETPIVOTDATA("XBT4",'binhtrung (2016)'!$A$3,"MA_HT","DSH","MA_QH","DTL")</f>
        <v>0</v>
      </c>
      <c r="AD52" s="22">
        <f ca="1">+GETPIVOTDATA("XBT4",'binhtrung (2016)'!$A$3,"MA_HT","DSH","MA_QH","DNL")</f>
        <v>0</v>
      </c>
      <c r="AE52" s="22">
        <f ca="1">+GETPIVOTDATA("XBT4",'binhtrung (2016)'!$A$3,"MA_HT","DSH","MA_QH","DBV")</f>
        <v>0</v>
      </c>
      <c r="AF52" s="22">
        <f ca="1">+GETPIVOTDATA("XBT4",'binhtrung (2016)'!$A$3,"MA_HT","DSH","MA_QH","DVH")</f>
        <v>0</v>
      </c>
      <c r="AG52" s="22">
        <f ca="1">+GETPIVOTDATA("XBT4",'binhtrung (2016)'!$A$3,"MA_HT","DSH","MA_QH","DYT")</f>
        <v>0</v>
      </c>
      <c r="AH52" s="22">
        <f ca="1">+GETPIVOTDATA("XBT4",'binhtrung (2016)'!$A$3,"MA_HT","DSH","MA_QH","DGD")</f>
        <v>0</v>
      </c>
      <c r="AI52" s="22">
        <f ca="1">+GETPIVOTDATA("XBT4",'binhtrung (2016)'!$A$3,"MA_HT","DSH","MA_QH","DTT")</f>
        <v>0</v>
      </c>
      <c r="AJ52" s="22">
        <f ca="1">+GETPIVOTDATA("XBT4",'binhtrung (2016)'!$A$3,"MA_HT","DSH","MA_QH","NCK")</f>
        <v>0</v>
      </c>
      <c r="AK52" s="22">
        <f ca="1">+GETPIVOTDATA("XBT4",'binhtrung (2016)'!$A$3,"MA_HT","DSH","MA_QH","DXH")</f>
        <v>0</v>
      </c>
      <c r="AL52" s="22">
        <f ca="1">+GETPIVOTDATA("XBT4",'binhtrung (2016)'!$A$3,"MA_HT","DSH","MA_QH","DCH")</f>
        <v>0</v>
      </c>
      <c r="AM52" s="22">
        <f ca="1">+GETPIVOTDATA("XBT4",'binhtrung (2016)'!$A$3,"MA_HT","DSH","MA_QH","DKG")</f>
        <v>0</v>
      </c>
      <c r="AN52" s="22">
        <f ca="1">+GETPIVOTDATA("XBT4",'binhtrung (2016)'!$A$3,"MA_HT","DSH","MA_QH","DDT")</f>
        <v>0</v>
      </c>
      <c r="AO52" s="22">
        <f ca="1">+GETPIVOTDATA("XBT4",'binhtrung (2016)'!$A$3,"MA_HT","DSH","MA_QH","DDL")</f>
        <v>0</v>
      </c>
      <c r="AP52" s="22">
        <f ca="1">+GETPIVOTDATA("XBT4",'binhtrung (2016)'!$A$3,"MA_HT","DSH","MA_QH","DRA")</f>
        <v>0</v>
      </c>
      <c r="AQ52" s="22">
        <f ca="1">+GETPIVOTDATA("XBT4",'binhtrung (2016)'!$A$3,"MA_HT","DSH","MA_QH","ONT")</f>
        <v>0</v>
      </c>
      <c r="AR52" s="22">
        <f ca="1">+GETPIVOTDATA("XBT4",'binhtrung (2016)'!$A$3,"MA_HT","DSH","MA_QH","ODT")</f>
        <v>0</v>
      </c>
      <c r="AS52" s="22">
        <f ca="1">+GETPIVOTDATA("XBT4",'binhtrung (2016)'!$A$3,"MA_HT","DSH","MA_QH","TSC")</f>
        <v>0</v>
      </c>
      <c r="AT52" s="22">
        <f ca="1">+GETPIVOTDATA("XBT4",'binhtrung (2016)'!$A$3,"MA_HT","DSH","MA_QH","DTS")</f>
        <v>0</v>
      </c>
      <c r="AU52" s="22">
        <f ca="1">+GETPIVOTDATA("XBT4",'binhtrung (2016)'!$A$3,"MA_HT","DSH","MA_QH","DNG")</f>
        <v>0</v>
      </c>
      <c r="AV52" s="22">
        <f ca="1">+GETPIVOTDATA("XBT4",'binhtrung (2016)'!$A$3,"MA_HT","DSH","MA_QH","TON")</f>
        <v>0</v>
      </c>
      <c r="AW52" s="22">
        <f ca="1">+GETPIVOTDATA("XBT4",'binhtrung (2016)'!$A$3,"MA_HT","DSH","MA_QH","NTD")</f>
        <v>0</v>
      </c>
      <c r="AX52" s="22">
        <f ca="1">+GETPIVOTDATA("XBT4",'binhtrung (2016)'!$A$3,"MA_HT","DSH","MA_QH","SKX")</f>
        <v>0</v>
      </c>
      <c r="AY52" s="43" t="e">
        <f ca="1">$D52-$BF52</f>
        <v>#REF!</v>
      </c>
      <c r="AZ52" s="22">
        <f ca="1">+GETPIVOTDATA("XBT4",'binhtrung (2016)'!$A$3,"MA_HT","DSH","MA_QH","DKV")</f>
        <v>0</v>
      </c>
      <c r="BA52" s="89">
        <f ca="1">+GETPIVOTDATA("XBT4",'binhtrung (2016)'!$A$3,"MA_HT","DSH","MA_QH","TIN")</f>
        <v>0</v>
      </c>
      <c r="BB52" s="50">
        <f ca="1">+GETPIVOTDATA("XBT4",'binhtrung (2016)'!$A$3,"MA_HT","DSH","MA_QH","SON")</f>
        <v>0</v>
      </c>
      <c r="BC52" s="50">
        <f ca="1">+GETPIVOTDATA("XBT4",'binhtrung (2016)'!$A$3,"MA_HT","DSH","MA_QH","MNC")</f>
        <v>0</v>
      </c>
      <c r="BD52" s="22">
        <f ca="1">+GETPIVOTDATA("XBT4",'binhtrung (2016)'!$A$3,"MA_HT","DSH","MA_QH","PNK")</f>
        <v>0</v>
      </c>
      <c r="BE52" s="71">
        <f ca="1">+GETPIVOTDATA("XBT4",'binhtrung (2016)'!$A$3,"MA_HT","DSH","MA_QH","CSD")</f>
        <v>0</v>
      </c>
      <c r="BF52" s="74">
        <f ca="1" t="shared" si="13"/>
        <v>0</v>
      </c>
      <c r="BG52" s="101">
        <f ca="1">AY$59-$BF52</f>
        <v>0</v>
      </c>
      <c r="BH52" s="41" t="e">
        <f ca="1" t="shared" si="14"/>
        <v>#REF!</v>
      </c>
      <c r="BI52" s="98"/>
      <c r="BJ52" s="98" t="e">
        <f>#REF!</f>
        <v>#REF!</v>
      </c>
      <c r="BK52" s="107" t="e">
        <f ca="1">BH52-BJ52</f>
        <v>#REF!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</row>
    <row r="53" s="2" customFormat="1" ht="15.75" customHeight="1" spans="1:79">
      <c r="A53" s="39" t="s">
        <v>8424</v>
      </c>
      <c r="B53" s="39" t="s">
        <v>8425</v>
      </c>
      <c r="C53" s="40" t="s">
        <v>8289</v>
      </c>
      <c r="D53" s="41" t="e">
        <f>+#REF!</f>
        <v>#REF!</v>
      </c>
      <c r="E53" s="42">
        <f ca="1" t="shared" si="15"/>
        <v>0</v>
      </c>
      <c r="F53" s="52">
        <f ca="1" t="shared" si="9"/>
        <v>0</v>
      </c>
      <c r="G53" s="22">
        <f ca="1">+GETPIVOTDATA("XBT4",'binhtrung (2016)'!$A$3,"MA_HT","DKV","MA_QH","LUC")</f>
        <v>0</v>
      </c>
      <c r="H53" s="22">
        <f ca="1">+GETPIVOTDATA("XBT4",'binhtrung (2016)'!$A$3,"MA_HT","DKV","MA_QH","LUK")</f>
        <v>0</v>
      </c>
      <c r="I53" s="22">
        <f ca="1">+GETPIVOTDATA("XBT4",'binhtrung (2016)'!$A$3,"MA_HT","DKV","MA_QH","LUN")</f>
        <v>0</v>
      </c>
      <c r="J53" s="22">
        <f ca="1">+GETPIVOTDATA("XBT4",'binhtrung (2016)'!$A$3,"MA_HT","DKV","MA_QH","HNK")</f>
        <v>0</v>
      </c>
      <c r="K53" s="22">
        <f ca="1">+GETPIVOTDATA("XBT4",'binhtrung (2016)'!$A$3,"MA_HT","DKV","MA_QH","CLN")</f>
        <v>0</v>
      </c>
      <c r="L53" s="22">
        <f ca="1">+GETPIVOTDATA("XBT4",'binhtrung (2016)'!$A$3,"MA_HT","DKV","MA_QH","RSX")</f>
        <v>0</v>
      </c>
      <c r="M53" s="22">
        <f ca="1">+GETPIVOTDATA("XBT4",'binhtrung (2016)'!$A$3,"MA_HT","DKV","MA_QH","RPH")</f>
        <v>0</v>
      </c>
      <c r="N53" s="22">
        <f ca="1">+GETPIVOTDATA("XBT4",'binhtrung (2016)'!$A$3,"MA_HT","DKV","MA_QH","RDD")</f>
        <v>0</v>
      </c>
      <c r="O53" s="22">
        <f ca="1">+GETPIVOTDATA("XBT4",'binhtrung (2016)'!$A$3,"MA_HT","DKV","MA_QH","NTS")</f>
        <v>0</v>
      </c>
      <c r="P53" s="22">
        <f ca="1">+GETPIVOTDATA("XBT4",'binhtrung (2016)'!$A$3,"MA_HT","DKV","MA_QH","LMU")</f>
        <v>0</v>
      </c>
      <c r="Q53" s="22">
        <f ca="1">+GETPIVOTDATA("XBT4",'binhtrung (2016)'!$A$3,"MA_HT","DKV","MA_QH","NKH")</f>
        <v>0</v>
      </c>
      <c r="R53" s="79">
        <f ca="1">SUM(S53:AA53,AN53:AY53,BB53:BD53)</f>
        <v>0</v>
      </c>
      <c r="S53" s="22">
        <f ca="1">+GETPIVOTDATA("XBT4",'binhtrung (2016)'!$A$3,"MA_HT","DKV","MA_QH","CQP")</f>
        <v>0</v>
      </c>
      <c r="T53" s="22">
        <f ca="1">+GETPIVOTDATA("XBT4",'binhtrung (2016)'!$A$3,"MA_HT","DKV","MA_QH","CAN")</f>
        <v>0</v>
      </c>
      <c r="U53" s="22">
        <f ca="1">+GETPIVOTDATA("XBT4",'binhtrung (2016)'!$A$3,"MA_HT","DKV","MA_QH","SKK")</f>
        <v>0</v>
      </c>
      <c r="V53" s="22">
        <f ca="1">+GETPIVOTDATA("XBT4",'binhtrung (2016)'!$A$3,"MA_HT","DKV","MA_QH","SKT")</f>
        <v>0</v>
      </c>
      <c r="W53" s="22">
        <f ca="1">+GETPIVOTDATA("XBT4",'binhtrung (2016)'!$A$3,"MA_HT","DKV","MA_QH","SKN")</f>
        <v>0</v>
      </c>
      <c r="X53" s="22">
        <f ca="1">+GETPIVOTDATA("XBT4",'binhtrung (2016)'!$A$3,"MA_HT","DKV","MA_QH","TMD")</f>
        <v>0</v>
      </c>
      <c r="Y53" s="22">
        <f ca="1">+GETPIVOTDATA("XBT4",'binhtrung (2016)'!$A$3,"MA_HT","DKV","MA_QH","SKC")</f>
        <v>0</v>
      </c>
      <c r="Z53" s="22">
        <f ca="1">+GETPIVOTDATA("XBT4",'binhtrung (2016)'!$A$3,"MA_HT","DKV","MA_QH","SKS")</f>
        <v>0</v>
      </c>
      <c r="AA53" s="52">
        <f ca="1" t="shared" si="21"/>
        <v>0</v>
      </c>
      <c r="AB53" s="22">
        <f ca="1">+GETPIVOTDATA("XBT4",'binhtrung (2016)'!$A$3,"MA_HT","DKV","MA_QH","DGT")</f>
        <v>0</v>
      </c>
      <c r="AC53" s="22">
        <f ca="1">+GETPIVOTDATA("XBT4",'binhtrung (2016)'!$A$3,"MA_HT","DKV","MA_QH","DTL")</f>
        <v>0</v>
      </c>
      <c r="AD53" s="22">
        <f ca="1">+GETPIVOTDATA("XBT4",'binhtrung (2016)'!$A$3,"MA_HT","DKV","MA_QH","DNL")</f>
        <v>0</v>
      </c>
      <c r="AE53" s="22">
        <f ca="1">+GETPIVOTDATA("XBT4",'binhtrung (2016)'!$A$3,"MA_HT","DKV","MA_QH","DBV")</f>
        <v>0</v>
      </c>
      <c r="AF53" s="22">
        <f ca="1">+GETPIVOTDATA("XBT4",'binhtrung (2016)'!$A$3,"MA_HT","DKV","MA_QH","DVH")</f>
        <v>0</v>
      </c>
      <c r="AG53" s="22">
        <f ca="1">+GETPIVOTDATA("XBT4",'binhtrung (2016)'!$A$3,"MA_HT","DKV","MA_QH","DYT")</f>
        <v>0</v>
      </c>
      <c r="AH53" s="22">
        <f ca="1">+GETPIVOTDATA("XBT4",'binhtrung (2016)'!$A$3,"MA_HT","DKV","MA_QH","DGD")</f>
        <v>0</v>
      </c>
      <c r="AI53" s="22">
        <f ca="1">+GETPIVOTDATA("XBT4",'binhtrung (2016)'!$A$3,"MA_HT","DKV","MA_QH","DTT")</f>
        <v>0</v>
      </c>
      <c r="AJ53" s="22">
        <f ca="1">+GETPIVOTDATA("XBT4",'binhtrung (2016)'!$A$3,"MA_HT","DKV","MA_QH","NCK")</f>
        <v>0</v>
      </c>
      <c r="AK53" s="22">
        <f ca="1">+GETPIVOTDATA("XBT4",'binhtrung (2016)'!$A$3,"MA_HT","DKV","MA_QH","DXH")</f>
        <v>0</v>
      </c>
      <c r="AL53" s="22">
        <f ca="1">+GETPIVOTDATA("XBT4",'binhtrung (2016)'!$A$3,"MA_HT","DKV","MA_QH","DCH")</f>
        <v>0</v>
      </c>
      <c r="AM53" s="22">
        <f ca="1">+GETPIVOTDATA("XBT4",'binhtrung (2016)'!$A$3,"MA_HT","DKV","MA_QH","DKG")</f>
        <v>0</v>
      </c>
      <c r="AN53" s="22">
        <f ca="1">+GETPIVOTDATA("XBT4",'binhtrung (2016)'!$A$3,"MA_HT","DKV","MA_QH","DDT")</f>
        <v>0</v>
      </c>
      <c r="AO53" s="22">
        <f ca="1">+GETPIVOTDATA("XBT4",'binhtrung (2016)'!$A$3,"MA_HT","DKV","MA_QH","DDL")</f>
        <v>0</v>
      </c>
      <c r="AP53" s="22">
        <f ca="1">+GETPIVOTDATA("XBT4",'binhtrung (2016)'!$A$3,"MA_HT","DKV","MA_QH","DRA")</f>
        <v>0</v>
      </c>
      <c r="AQ53" s="22">
        <f ca="1">+GETPIVOTDATA("XBT4",'binhtrung (2016)'!$A$3,"MA_HT","DKV","MA_QH","ONT")</f>
        <v>0</v>
      </c>
      <c r="AR53" s="22">
        <f ca="1">+GETPIVOTDATA("XBT4",'binhtrung (2016)'!$A$3,"MA_HT","DKV","MA_QH","ODT")</f>
        <v>0</v>
      </c>
      <c r="AS53" s="22">
        <f ca="1">+GETPIVOTDATA("XBT4",'binhtrung (2016)'!$A$3,"MA_HT","DKV","MA_QH","TSC")</f>
        <v>0</v>
      </c>
      <c r="AT53" s="22">
        <f ca="1">+GETPIVOTDATA("XBT4",'binhtrung (2016)'!$A$3,"MA_HT","DKV","MA_QH","DTS")</f>
        <v>0</v>
      </c>
      <c r="AU53" s="22">
        <f ca="1">+GETPIVOTDATA("XBT4",'binhtrung (2016)'!$A$3,"MA_HT","DKV","MA_QH","DNG")</f>
        <v>0</v>
      </c>
      <c r="AV53" s="22">
        <f ca="1">+GETPIVOTDATA("XBT4",'binhtrung (2016)'!$A$3,"MA_HT","DKV","MA_QH","TON")</f>
        <v>0</v>
      </c>
      <c r="AW53" s="22">
        <f ca="1">+GETPIVOTDATA("XBT4",'binhtrung (2016)'!$A$3,"MA_HT","DKV","MA_QH","NTD")</f>
        <v>0</v>
      </c>
      <c r="AX53" s="22">
        <f ca="1">+GETPIVOTDATA("XBT4",'binhtrung (2016)'!$A$3,"MA_HT","DKV","MA_QH","SKX")</f>
        <v>0</v>
      </c>
      <c r="AY53" s="22">
        <f ca="1">+GETPIVOTDATA("XBT4",'binhtrung (2016)'!$A$3,"MA_HT","DKV","MA_QH","DSH")</f>
        <v>0</v>
      </c>
      <c r="AZ53" s="43" t="e">
        <f ca="1">$D53-$BF53</f>
        <v>#REF!</v>
      </c>
      <c r="BA53" s="89">
        <f ca="1">+GETPIVOTDATA("XBT4",'binhtrung (2016)'!$A$3,"MA_HT","DKV","MA_QH","TIN")</f>
        <v>0</v>
      </c>
      <c r="BB53" s="50">
        <f ca="1">+GETPIVOTDATA("XBT4",'binhtrung (2016)'!$A$3,"MA_HT","DKV","MA_QH","SON")</f>
        <v>0</v>
      </c>
      <c r="BC53" s="50">
        <f ca="1">+GETPIVOTDATA("XBT4",'binhtrung (2016)'!$A$3,"MA_HT","DKV","MA_QH","MNC")</f>
        <v>0</v>
      </c>
      <c r="BD53" s="22">
        <f ca="1">+GETPIVOTDATA("XBT4",'binhtrung (2016)'!$A$3,"MA_HT","DKV","MA_QH","PNK")</f>
        <v>0</v>
      </c>
      <c r="BE53" s="71">
        <f ca="1">+GETPIVOTDATA("XBT4",'binhtrung (2016)'!$A$3,"MA_HT","DKV","MA_QH","CSD")</f>
        <v>0</v>
      </c>
      <c r="BF53" s="74">
        <f ca="1" t="shared" si="13"/>
        <v>0</v>
      </c>
      <c r="BG53" s="101">
        <f ca="1">AZ$59-$BF53</f>
        <v>0</v>
      </c>
      <c r="BH53" s="41" t="e">
        <f ca="1" t="shared" si="14"/>
        <v>#REF!</v>
      </c>
      <c r="BI53" s="98"/>
      <c r="BJ53" s="98" t="e">
        <f>#REF!</f>
        <v>#REF!</v>
      </c>
      <c r="BK53" s="107" t="e">
        <f ca="1">BH53-BJ53</f>
        <v>#REF!</v>
      </c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</row>
    <row r="54" s="2" customFormat="1" ht="15.75" customHeight="1" spans="1:75">
      <c r="A54" s="39" t="s">
        <v>8426</v>
      </c>
      <c r="B54" s="39" t="s">
        <v>8427</v>
      </c>
      <c r="C54" s="40" t="s">
        <v>8310</v>
      </c>
      <c r="D54" s="41" t="e">
        <f>+#REF!</f>
        <v>#REF!</v>
      </c>
      <c r="E54" s="33">
        <f ca="1" t="shared" si="15"/>
        <v>0</v>
      </c>
      <c r="F54" s="52">
        <f ca="1">SUM(F29:F39)</f>
        <v>0</v>
      </c>
      <c r="G54" s="22">
        <f ca="1">+GETPIVOTDATA("XBT4",'binhtrung (2016)'!$A$3,"MA_HT","TIN","MA_QH","LUC")</f>
        <v>0</v>
      </c>
      <c r="H54" s="22">
        <f ca="1">+GETPIVOTDATA("XBT4",'binhtrung (2016)'!$A$3,"MA_HT","TIN","MA_QH","LUK")</f>
        <v>0</v>
      </c>
      <c r="I54" s="22">
        <f ca="1">+GETPIVOTDATA("XBT4",'binhtrung (2016)'!$A$3,"MA_HT","TIN","MA_QH","LUN")</f>
        <v>0</v>
      </c>
      <c r="J54" s="22">
        <f ca="1">+GETPIVOTDATA("XBT4",'binhtrung (2016)'!$A$3,"MA_HT","TIN","MA_QH","HNK")</f>
        <v>0</v>
      </c>
      <c r="K54" s="22">
        <f ca="1">+GETPIVOTDATA("XBT4",'binhtrung (2016)'!$A$3,"MA_HT","TIN","MA_QH","CLN")</f>
        <v>0</v>
      </c>
      <c r="L54" s="22">
        <f ca="1">+GETPIVOTDATA("XBT4",'binhtrung (2016)'!$A$3,"MA_HT","TIN","MA_QH","RSX")</f>
        <v>0</v>
      </c>
      <c r="M54" s="22">
        <f ca="1">+GETPIVOTDATA("XBT4",'binhtrung (2016)'!$A$3,"MA_HT","TIN","MA_QH","RPH")</f>
        <v>0</v>
      </c>
      <c r="N54" s="22">
        <f ca="1">+GETPIVOTDATA("XBT4",'binhtrung (2016)'!$A$3,"MA_HT","TIN","MA_QH","RDD")</f>
        <v>0</v>
      </c>
      <c r="O54" s="22">
        <f ca="1">+GETPIVOTDATA("XBT4",'binhtrung (2016)'!$A$3,"MA_HT","TIN","MA_QH","NTS")</f>
        <v>0</v>
      </c>
      <c r="P54" s="22">
        <f ca="1">+GETPIVOTDATA("XBT4",'binhtrung (2016)'!$A$3,"MA_HT","TIN","MA_QH","LMU")</f>
        <v>0</v>
      </c>
      <c r="Q54" s="22">
        <f ca="1">+GETPIVOTDATA("XBT4",'binhtrung (2016)'!$A$3,"MA_HT","TIN","MA_QH","NKH")</f>
        <v>0</v>
      </c>
      <c r="R54" s="79">
        <f ca="1">SUM(S54:AA54,AN54:AZ54,BB54:BD54)</f>
        <v>0</v>
      </c>
      <c r="S54" s="22">
        <f ca="1">+GETPIVOTDATA("XBT4",'binhtrung (2016)'!$A$3,"MA_HT","TIN","MA_QH","CQP")</f>
        <v>0</v>
      </c>
      <c r="T54" s="22">
        <f ca="1">+GETPIVOTDATA("XBT4",'binhtrung (2016)'!$A$3,"MA_HT","TIN","MA_QH","CAN")</f>
        <v>0</v>
      </c>
      <c r="U54" s="22">
        <f ca="1">+GETPIVOTDATA("XBT4",'binhtrung (2016)'!$A$3,"MA_HT","TIN","MA_QH","SKK")</f>
        <v>0</v>
      </c>
      <c r="V54" s="22">
        <f ca="1">+GETPIVOTDATA("XBT4",'binhtrung (2016)'!$A$3,"MA_HT","TIN","MA_QH","SKT")</f>
        <v>0</v>
      </c>
      <c r="W54" s="22">
        <f ca="1">+GETPIVOTDATA("XBT4",'binhtrung (2016)'!$A$3,"MA_HT","TIN","MA_QH","SKN")</f>
        <v>0</v>
      </c>
      <c r="X54" s="22">
        <f ca="1">+GETPIVOTDATA("XBT4",'binhtrung (2016)'!$A$3,"MA_HT","TIN","MA_QH","TMD")</f>
        <v>0</v>
      </c>
      <c r="Y54" s="22">
        <f ca="1">+GETPIVOTDATA("XBT4",'binhtrung (2016)'!$A$3,"MA_HT","TIN","MA_QH","SKC")</f>
        <v>0</v>
      </c>
      <c r="Z54" s="22">
        <f ca="1">+GETPIVOTDATA("XBT4",'binhtrung (2016)'!$A$3,"MA_HT","TIN","MA_QH","SKS")</f>
        <v>0</v>
      </c>
      <c r="AA54" s="52">
        <f ca="1" t="shared" si="21"/>
        <v>0</v>
      </c>
      <c r="AB54" s="22">
        <f ca="1">+GETPIVOTDATA("XBT4",'binhtrung (2016)'!$A$3,"MA_HT","TIN","MA_QH","DGT")</f>
        <v>0</v>
      </c>
      <c r="AC54" s="22">
        <f ca="1">+GETPIVOTDATA("XBT4",'binhtrung (2016)'!$A$3,"MA_HT","TIN","MA_QH","DTL")</f>
        <v>0</v>
      </c>
      <c r="AD54" s="22">
        <f ca="1">+GETPIVOTDATA("XBT4",'binhtrung (2016)'!$A$3,"MA_HT","TIN","MA_QH","DNL")</f>
        <v>0</v>
      </c>
      <c r="AE54" s="22">
        <f ca="1">+GETPIVOTDATA("XBT4",'binhtrung (2016)'!$A$3,"MA_HT","TIN","MA_QH","DBV")</f>
        <v>0</v>
      </c>
      <c r="AF54" s="22">
        <f ca="1">+GETPIVOTDATA("XBT4",'binhtrung (2016)'!$A$3,"MA_HT","TIN","MA_QH","DVH")</f>
        <v>0</v>
      </c>
      <c r="AG54" s="22">
        <f ca="1">+GETPIVOTDATA("XBT4",'binhtrung (2016)'!$A$3,"MA_HT","TIN","MA_QH","DYT")</f>
        <v>0</v>
      </c>
      <c r="AH54" s="22">
        <f ca="1">+GETPIVOTDATA("XBT4",'binhtrung (2016)'!$A$3,"MA_HT","TIN","MA_QH","DGD")</f>
        <v>0</v>
      </c>
      <c r="AI54" s="22">
        <f ca="1">+GETPIVOTDATA("XBT4",'binhtrung (2016)'!$A$3,"MA_HT","TIN","MA_QH","DTT")</f>
        <v>0</v>
      </c>
      <c r="AJ54" s="22">
        <f ca="1">+GETPIVOTDATA("XBT4",'binhtrung (2016)'!$A$3,"MA_HT","TIN","MA_QH","NCK")</f>
        <v>0</v>
      </c>
      <c r="AK54" s="22">
        <f ca="1">+GETPIVOTDATA("XBT4",'binhtrung (2016)'!$A$3,"MA_HT","TIN","MA_QH","DXH")</f>
        <v>0</v>
      </c>
      <c r="AL54" s="22">
        <f ca="1">+GETPIVOTDATA("XBT4",'binhtrung (2016)'!$A$3,"MA_HT","TIN","MA_QH","DCH")</f>
        <v>0</v>
      </c>
      <c r="AM54" s="22">
        <f ca="1">+GETPIVOTDATA("XBT4",'binhtrung (2016)'!$A$3,"MA_HT","TIN","MA_QH","DKG")</f>
        <v>0</v>
      </c>
      <c r="AN54" s="22">
        <f ca="1">+GETPIVOTDATA("XBT4",'binhtrung (2016)'!$A$3,"MA_HT","TIN","MA_QH","DDT")</f>
        <v>0</v>
      </c>
      <c r="AO54" s="22">
        <f ca="1">+GETPIVOTDATA("XBT4",'binhtrung (2016)'!$A$3,"MA_HT","TIN","MA_QH","DDL")</f>
        <v>0</v>
      </c>
      <c r="AP54" s="22">
        <f ca="1">+GETPIVOTDATA("XBT4",'binhtrung (2016)'!$A$3,"MA_HT","TIN","MA_QH","DRA")</f>
        <v>0</v>
      </c>
      <c r="AQ54" s="22">
        <f ca="1">+GETPIVOTDATA("XBT4",'binhtrung (2016)'!$A$3,"MA_HT","TIN","MA_QH","ONT")</f>
        <v>0</v>
      </c>
      <c r="AR54" s="22">
        <f ca="1">+GETPIVOTDATA("XBT4",'binhtrung (2016)'!$A$3,"MA_HT","TIN","MA_QH","ODT")</f>
        <v>0</v>
      </c>
      <c r="AS54" s="22">
        <f ca="1">+GETPIVOTDATA("XBT4",'binhtrung (2016)'!$A$3,"MA_HT","TIN","MA_QH","TSC")</f>
        <v>0</v>
      </c>
      <c r="AT54" s="22">
        <f ca="1">+GETPIVOTDATA("XBT4",'binhtrung (2016)'!$A$3,"MA_HT","TIN","MA_QH","DTS")</f>
        <v>0</v>
      </c>
      <c r="AU54" s="22">
        <f ca="1">+GETPIVOTDATA("XBT4",'binhtrung (2016)'!$A$3,"MA_HT","TIN","MA_QH","DNG")</f>
        <v>0</v>
      </c>
      <c r="AV54" s="22">
        <f ca="1">+GETPIVOTDATA("XBT4",'binhtrung (2016)'!$A$3,"MA_HT","TIN","MA_QH","TON")</f>
        <v>0</v>
      </c>
      <c r="AW54" s="22">
        <f ca="1">+GETPIVOTDATA("XBT4",'binhtrung (2016)'!$A$3,"MA_HT","TIN","MA_QH","NTD")</f>
        <v>0</v>
      </c>
      <c r="AX54" s="22">
        <f ca="1">+GETPIVOTDATA("XBT4",'binhtrung (2016)'!$A$3,"MA_HT","TIN","MA_QH","SKX")</f>
        <v>0</v>
      </c>
      <c r="AY54" s="22">
        <f ca="1">+GETPIVOTDATA("XBT4",'binhtrung (2016)'!$A$3,"MA_HT","TIN","MA_QH","DSH")</f>
        <v>0</v>
      </c>
      <c r="AZ54" s="22">
        <f ca="1">+GETPIVOTDATA("XBT4",'binhtrung (2016)'!$A$3,"MA_HT","TIN","MA_QH","DKV")</f>
        <v>0</v>
      </c>
      <c r="BA54" s="43" t="e">
        <f ca="1">$D54-$BF54</f>
        <v>#REF!</v>
      </c>
      <c r="BB54" s="22">
        <f ca="1">+GETPIVOTDATA("XBT4",'binhtrung (2016)'!$A$3,"MA_HT","TIN","MA_QH","SON")</f>
        <v>0</v>
      </c>
      <c r="BC54" s="22">
        <f ca="1">+GETPIVOTDATA("XBT4",'binhtrung (2016)'!$A$3,"MA_HT","TIN","MA_QH","MNC")</f>
        <v>0</v>
      </c>
      <c r="BD54" s="22">
        <f ca="1">+GETPIVOTDATA("XBT4",'binhtrung (2016)'!$A$3,"MA_HT","TIN","MA_QH","PNK")</f>
        <v>0</v>
      </c>
      <c r="BE54" s="71">
        <f ca="1">+GETPIVOTDATA("XBT4",'binhtrung (2016)'!$A$3,"MA_HT","TIN","MA_QH","CSD")</f>
        <v>0</v>
      </c>
      <c r="BF54" s="74">
        <f ca="1" t="shared" si="13"/>
        <v>0</v>
      </c>
      <c r="BG54" s="101">
        <f ca="1">BA59-BF54</f>
        <v>0</v>
      </c>
      <c r="BH54" s="41" t="e">
        <f ca="1" t="shared" si="14"/>
        <v>#REF!</v>
      </c>
      <c r="BI54" s="98"/>
      <c r="BJ54" s="39" t="e">
        <f>SUM(BJ29:BJ39)</f>
        <v>#REF!</v>
      </c>
      <c r="BK54" s="107" t="e">
        <f ca="1">BH54-BJ54</f>
        <v>#REF!</v>
      </c>
      <c r="BL54" s="107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</row>
    <row r="55" s="2" customFormat="1" ht="15.75" customHeight="1" spans="1:79">
      <c r="A55" s="68" t="s">
        <v>8428</v>
      </c>
      <c r="B55" s="69" t="s">
        <v>8429</v>
      </c>
      <c r="C55" s="40" t="s">
        <v>8309</v>
      </c>
      <c r="D55" s="41" t="e">
        <f>+#REF!</f>
        <v>#REF!</v>
      </c>
      <c r="E55" s="42">
        <f ca="1" t="shared" si="15"/>
        <v>0</v>
      </c>
      <c r="F55" s="52">
        <f ca="1" t="shared" si="9"/>
        <v>0</v>
      </c>
      <c r="G55" s="22">
        <f ca="1">+GETPIVOTDATA("XBT4",'binhtrung (2016)'!$A$3,"MA_HT","SON","MA_QH","LUC")</f>
        <v>0</v>
      </c>
      <c r="H55" s="22">
        <f ca="1">+GETPIVOTDATA("XBT4",'binhtrung (2016)'!$A$3,"MA_HT","SON","MA_QH","LUK")</f>
        <v>0</v>
      </c>
      <c r="I55" s="22">
        <f ca="1">+GETPIVOTDATA("XBT4",'binhtrung (2016)'!$A$3,"MA_HT","SON","MA_QH","LUN")</f>
        <v>0</v>
      </c>
      <c r="J55" s="22">
        <f ca="1">+GETPIVOTDATA("XBT4",'binhtrung (2016)'!$A$3,"MA_HT","SON","MA_QH","HNK")</f>
        <v>0</v>
      </c>
      <c r="K55" s="22">
        <f ca="1">+GETPIVOTDATA("XBT4",'binhtrung (2016)'!$A$3,"MA_HT","SON","MA_QH","CLN")</f>
        <v>0</v>
      </c>
      <c r="L55" s="22">
        <f ca="1">+GETPIVOTDATA("XBT4",'binhtrung (2016)'!$A$3,"MA_HT","SON","MA_QH","RSX")</f>
        <v>0</v>
      </c>
      <c r="M55" s="22">
        <f ca="1">+GETPIVOTDATA("XBT4",'binhtrung (2016)'!$A$3,"MA_HT","SON","MA_QH","RPH")</f>
        <v>0</v>
      </c>
      <c r="N55" s="22">
        <f ca="1">+GETPIVOTDATA("XBT4",'binhtrung (2016)'!$A$3,"MA_HT","SON","MA_QH","RDD")</f>
        <v>0</v>
      </c>
      <c r="O55" s="22">
        <f ca="1">+GETPIVOTDATA("XBT4",'binhtrung (2016)'!$A$3,"MA_HT","SON","MA_QH","NTS")</f>
        <v>0</v>
      </c>
      <c r="P55" s="22">
        <f ca="1">+GETPIVOTDATA("XBT4",'binhtrung (2016)'!$A$3,"MA_HT","SON","MA_QH","LMU")</f>
        <v>0</v>
      </c>
      <c r="Q55" s="22">
        <f ca="1">+GETPIVOTDATA("XBT4",'binhtrung (2016)'!$A$3,"MA_HT","SON","MA_QH","NKH")</f>
        <v>0</v>
      </c>
      <c r="R55" s="79">
        <f ca="1">SUM(S55:AA55,AN55:AZ55,BC55:BD55)</f>
        <v>0</v>
      </c>
      <c r="S55" s="22">
        <f ca="1">+GETPIVOTDATA("XBT4",'binhtrung (2016)'!$A$3,"MA_HT","SON","MA_QH","CQP")</f>
        <v>0</v>
      </c>
      <c r="T55" s="22">
        <f ca="1">+GETPIVOTDATA("XBT4",'binhtrung (2016)'!$A$3,"MA_HT","SON","MA_QH","CAN")</f>
        <v>0</v>
      </c>
      <c r="U55" s="22">
        <f ca="1">+GETPIVOTDATA("XBT4",'binhtrung (2016)'!$A$3,"MA_HT","SON","MA_QH","SKK")</f>
        <v>0</v>
      </c>
      <c r="V55" s="22">
        <f ca="1">+GETPIVOTDATA("XBT4",'binhtrung (2016)'!$A$3,"MA_HT","SON","MA_QH","SKT")</f>
        <v>0</v>
      </c>
      <c r="W55" s="22">
        <f ca="1">+GETPIVOTDATA("XBT4",'binhtrung (2016)'!$A$3,"MA_HT","SON","MA_QH","SKN")</f>
        <v>0</v>
      </c>
      <c r="X55" s="22">
        <f ca="1">+GETPIVOTDATA("XBT4",'binhtrung (2016)'!$A$3,"MA_HT","SON","MA_QH","TMD")</f>
        <v>0</v>
      </c>
      <c r="Y55" s="22">
        <f ca="1">+GETPIVOTDATA("XBT4",'binhtrung (2016)'!$A$3,"MA_HT","SON","MA_QH","SKC")</f>
        <v>0</v>
      </c>
      <c r="Z55" s="22">
        <f ca="1">+GETPIVOTDATA("XBT4",'binhtrung (2016)'!$A$3,"MA_HT","SON","MA_QH","SKS")</f>
        <v>0</v>
      </c>
      <c r="AA55" s="52">
        <f ca="1" t="shared" si="21"/>
        <v>0</v>
      </c>
      <c r="AB55" s="22">
        <f ca="1">+GETPIVOTDATA("XBT4",'binhtrung (2016)'!$A$3,"MA_HT","SON","MA_QH","DGT")</f>
        <v>0</v>
      </c>
      <c r="AC55" s="22">
        <f ca="1">+GETPIVOTDATA("XBT4",'binhtrung (2016)'!$A$3,"MA_HT","SON","MA_QH","DTL")</f>
        <v>0</v>
      </c>
      <c r="AD55" s="22">
        <f ca="1">+GETPIVOTDATA("XBT4",'binhtrung (2016)'!$A$3,"MA_HT","SON","MA_QH","DNL")</f>
        <v>0</v>
      </c>
      <c r="AE55" s="22">
        <f ca="1">+GETPIVOTDATA("XBT4",'binhtrung (2016)'!$A$3,"MA_HT","SON","MA_QH","DBV")</f>
        <v>0</v>
      </c>
      <c r="AF55" s="22">
        <f ca="1">+GETPIVOTDATA("XBT4",'binhtrung (2016)'!$A$3,"MA_HT","SON","MA_QH","DVH")</f>
        <v>0</v>
      </c>
      <c r="AG55" s="22">
        <f ca="1">+GETPIVOTDATA("XBT4",'binhtrung (2016)'!$A$3,"MA_HT","SON","MA_QH","DYT")</f>
        <v>0</v>
      </c>
      <c r="AH55" s="22">
        <f ca="1">+GETPIVOTDATA("XBT4",'binhtrung (2016)'!$A$3,"MA_HT","SON","MA_QH","DGD")</f>
        <v>0</v>
      </c>
      <c r="AI55" s="22">
        <f ca="1">+GETPIVOTDATA("XBT4",'binhtrung (2016)'!$A$3,"MA_HT","SON","MA_QH","DTT")</f>
        <v>0</v>
      </c>
      <c r="AJ55" s="22">
        <f ca="1">+GETPIVOTDATA("XBT4",'binhtrung (2016)'!$A$3,"MA_HT","SON","MA_QH","NCK")</f>
        <v>0</v>
      </c>
      <c r="AK55" s="22">
        <f ca="1">+GETPIVOTDATA("XBT4",'binhtrung (2016)'!$A$3,"MA_HT","SON","MA_QH","DXH")</f>
        <v>0</v>
      </c>
      <c r="AL55" s="22">
        <f ca="1">+GETPIVOTDATA("XBT4",'binhtrung (2016)'!$A$3,"MA_HT","SON","MA_QH","DCH")</f>
        <v>0</v>
      </c>
      <c r="AM55" s="22">
        <f ca="1">+GETPIVOTDATA("XBT4",'binhtrung (2016)'!$A$3,"MA_HT","SON","MA_QH","DKG")</f>
        <v>0</v>
      </c>
      <c r="AN55" s="22">
        <f ca="1">+GETPIVOTDATA("XBT4",'binhtrung (2016)'!$A$3,"MA_HT","SON","MA_QH","DDT")</f>
        <v>0</v>
      </c>
      <c r="AO55" s="22">
        <f ca="1">+GETPIVOTDATA("XBT4",'binhtrung (2016)'!$A$3,"MA_HT","SON","MA_QH","DDL")</f>
        <v>0</v>
      </c>
      <c r="AP55" s="22">
        <f ca="1">+GETPIVOTDATA("XBT4",'binhtrung (2016)'!$A$3,"MA_HT","SON","MA_QH","DRA")</f>
        <v>0</v>
      </c>
      <c r="AQ55" s="22">
        <f ca="1">+GETPIVOTDATA("XBT4",'binhtrung (2016)'!$A$3,"MA_HT","SON","MA_QH","ONT")</f>
        <v>0</v>
      </c>
      <c r="AR55" s="22">
        <f ca="1">+GETPIVOTDATA("XBT4",'binhtrung (2016)'!$A$3,"MA_HT","SON","MA_QH","ODT")</f>
        <v>0</v>
      </c>
      <c r="AS55" s="22">
        <f ca="1">+GETPIVOTDATA("XBT4",'binhtrung (2016)'!$A$3,"MA_HT","SON","MA_QH","TSC")</f>
        <v>0</v>
      </c>
      <c r="AT55" s="22">
        <f ca="1">+GETPIVOTDATA("XBT4",'binhtrung (2016)'!$A$3,"MA_HT","SON","MA_QH","DTS")</f>
        <v>0</v>
      </c>
      <c r="AU55" s="22">
        <f ca="1">+GETPIVOTDATA("XBT4",'binhtrung (2016)'!$A$3,"MA_HT","SON","MA_QH","DNG")</f>
        <v>0</v>
      </c>
      <c r="AV55" s="22">
        <f ca="1">+GETPIVOTDATA("XBT4",'binhtrung (2016)'!$A$3,"MA_HT","SON","MA_QH","TON")</f>
        <v>0</v>
      </c>
      <c r="AW55" s="22">
        <f ca="1">+GETPIVOTDATA("XBT4",'binhtrung (2016)'!$A$3,"MA_HT","SON","MA_QH","NTD")</f>
        <v>0</v>
      </c>
      <c r="AX55" s="22">
        <f ca="1">+GETPIVOTDATA("XBT4",'binhtrung (2016)'!$A$3,"MA_HT","SON","MA_QH","SKX")</f>
        <v>0</v>
      </c>
      <c r="AY55" s="22">
        <f ca="1">+GETPIVOTDATA("XBT4",'binhtrung (2016)'!$A$3,"MA_HT","SON","MA_QH","DSH")</f>
        <v>0</v>
      </c>
      <c r="AZ55" s="22">
        <f ca="1">+GETPIVOTDATA("XBT4",'binhtrung (2016)'!$A$3,"MA_HT","SON","MA_QH","DKV")</f>
        <v>0</v>
      </c>
      <c r="BA55" s="89">
        <f ca="1">+GETPIVOTDATA("XBT4",'binhtrung (2016)'!$A$3,"MA_HT","SON","MA_QH","TIN")</f>
        <v>0</v>
      </c>
      <c r="BB55" s="43" t="e">
        <f ca="1">$D55-$BF55</f>
        <v>#REF!</v>
      </c>
      <c r="BC55" s="50">
        <f ca="1">+GETPIVOTDATA("XBT4",'binhtrung (2016)'!$A$3,"MA_HT","SON","MA_QH","MNC")</f>
        <v>0</v>
      </c>
      <c r="BD55" s="22">
        <f ca="1">+GETPIVOTDATA("XBT4",'binhtrung (2016)'!$A$3,"MA_HT","SON","MA_QH","PNK")</f>
        <v>0</v>
      </c>
      <c r="BE55" s="71">
        <f ca="1">+GETPIVOTDATA("XBT4",'binhtrung (2016)'!$A$3,"MA_HT","SON","MA_QH","CSD")</f>
        <v>0</v>
      </c>
      <c r="BF55" s="74">
        <f ca="1" t="shared" si="13"/>
        <v>0</v>
      </c>
      <c r="BG55" s="101">
        <f ca="1">BB$59-$BF55</f>
        <v>0</v>
      </c>
      <c r="BH55" s="41" t="e">
        <f ca="1" t="shared" si="14"/>
        <v>#REF!</v>
      </c>
      <c r="BI55" s="98"/>
      <c r="BJ55" s="98"/>
      <c r="BK55" s="107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</row>
    <row r="56" s="2" customFormat="1" ht="15.75" customHeight="1" spans="1:79">
      <c r="A56" s="68" t="s">
        <v>8430</v>
      </c>
      <c r="B56" s="69" t="s">
        <v>8431</v>
      </c>
      <c r="C56" s="40" t="s">
        <v>8301</v>
      </c>
      <c r="D56" s="41" t="e">
        <f>+#REF!</f>
        <v>#REF!</v>
      </c>
      <c r="E56" s="42">
        <f ca="1" t="shared" si="15"/>
        <v>0</v>
      </c>
      <c r="F56" s="52">
        <f ca="1" t="shared" si="9"/>
        <v>0</v>
      </c>
      <c r="G56" s="22">
        <f ca="1">+GETPIVOTDATA("XBT4",'binhtrung (2016)'!$A$3,"MA_HT","MNC","MA_QH","LUC")</f>
        <v>0</v>
      </c>
      <c r="H56" s="22">
        <f ca="1">+GETPIVOTDATA("XBT4",'binhtrung (2016)'!$A$3,"MA_HT","MNC","MA_QH","LUK")</f>
        <v>0</v>
      </c>
      <c r="I56" s="22">
        <f ca="1">+GETPIVOTDATA("XBT4",'binhtrung (2016)'!$A$3,"MA_HT","MNC","MA_QH","LUN")</f>
        <v>0</v>
      </c>
      <c r="J56" s="22">
        <f ca="1">+GETPIVOTDATA("XBT4",'binhtrung (2016)'!$A$3,"MA_HT","MNC","MA_QH","HNK")</f>
        <v>0</v>
      </c>
      <c r="K56" s="22">
        <f ca="1">+GETPIVOTDATA("XBT4",'binhtrung (2016)'!$A$3,"MA_HT","MNC","MA_QH","CLN")</f>
        <v>0</v>
      </c>
      <c r="L56" s="22">
        <f ca="1">+GETPIVOTDATA("XBT4",'binhtrung (2016)'!$A$3,"MA_HT","MNC","MA_QH","RSX")</f>
        <v>0</v>
      </c>
      <c r="M56" s="22">
        <f ca="1">+GETPIVOTDATA("XBT4",'binhtrung (2016)'!$A$3,"MA_HT","MNC","MA_QH","RPH")</f>
        <v>0</v>
      </c>
      <c r="N56" s="22">
        <f ca="1">+GETPIVOTDATA("XBT4",'binhtrung (2016)'!$A$3,"MA_HT","MNC","MA_QH","RDD")</f>
        <v>0</v>
      </c>
      <c r="O56" s="22">
        <f ca="1">+GETPIVOTDATA("XBT4",'binhtrung (2016)'!$A$3,"MA_HT","MNC","MA_QH","NTS")</f>
        <v>0</v>
      </c>
      <c r="P56" s="22">
        <f ca="1">+GETPIVOTDATA("XBT4",'binhtrung (2016)'!$A$3,"MA_HT","MNC","MA_QH","LMU")</f>
        <v>0</v>
      </c>
      <c r="Q56" s="22">
        <f ca="1">+GETPIVOTDATA("XBT4",'binhtrung (2016)'!$A$3,"MA_HT","MNC","MA_QH","NKH")</f>
        <v>0</v>
      </c>
      <c r="R56" s="79">
        <f ca="1">SUM(S56:AA56,AN56:BB56,BD56)</f>
        <v>0</v>
      </c>
      <c r="S56" s="22">
        <f ca="1">+GETPIVOTDATA("XBT4",'binhtrung (2016)'!$A$3,"MA_HT","MNC","MA_QH","CQP")</f>
        <v>0</v>
      </c>
      <c r="T56" s="22">
        <f ca="1">+GETPIVOTDATA("XBT4",'binhtrung (2016)'!$A$3,"MA_HT","MNC","MA_QH","CAN")</f>
        <v>0</v>
      </c>
      <c r="U56" s="22">
        <f ca="1">+GETPIVOTDATA("XBT4",'binhtrung (2016)'!$A$3,"MA_HT","MNC","MA_QH","SKK")</f>
        <v>0</v>
      </c>
      <c r="V56" s="22">
        <f ca="1">+GETPIVOTDATA("XBT4",'binhtrung (2016)'!$A$3,"MA_HT","MNC","MA_QH","SKT")</f>
        <v>0</v>
      </c>
      <c r="W56" s="22">
        <f ca="1">+GETPIVOTDATA("XBT4",'binhtrung (2016)'!$A$3,"MA_HT","MNC","MA_QH","SKN")</f>
        <v>0</v>
      </c>
      <c r="X56" s="22">
        <f ca="1">+GETPIVOTDATA("XBT4",'binhtrung (2016)'!$A$3,"MA_HT","MNC","MA_QH","TMD")</f>
        <v>0</v>
      </c>
      <c r="Y56" s="22">
        <f ca="1">+GETPIVOTDATA("XBT4",'binhtrung (2016)'!$A$3,"MA_HT","MNC","MA_QH","SKC")</f>
        <v>0</v>
      </c>
      <c r="Z56" s="22">
        <f ca="1">+GETPIVOTDATA("XBT4",'binhtrung (2016)'!$A$3,"MA_HT","MNC","MA_QH","SKS")</f>
        <v>0</v>
      </c>
      <c r="AA56" s="52">
        <f ca="1" t="shared" si="21"/>
        <v>0</v>
      </c>
      <c r="AB56" s="22">
        <f ca="1">+GETPIVOTDATA("XBT4",'binhtrung (2016)'!$A$3,"MA_HT","MNC","MA_QH","DGT")</f>
        <v>0</v>
      </c>
      <c r="AC56" s="22">
        <f ca="1">+GETPIVOTDATA("XBT4",'binhtrung (2016)'!$A$3,"MA_HT","MNC","MA_QH","DTL")</f>
        <v>0</v>
      </c>
      <c r="AD56" s="22">
        <f ca="1">+GETPIVOTDATA("XBT4",'binhtrung (2016)'!$A$3,"MA_HT","MNC","MA_QH","DNL")</f>
        <v>0</v>
      </c>
      <c r="AE56" s="22">
        <f ca="1">+GETPIVOTDATA("XBT4",'binhtrung (2016)'!$A$3,"MA_HT","MNC","MA_QH","DBV")</f>
        <v>0</v>
      </c>
      <c r="AF56" s="22">
        <f ca="1">+GETPIVOTDATA("XBT4",'binhtrung (2016)'!$A$3,"MA_HT","MNC","MA_QH","DVH")</f>
        <v>0</v>
      </c>
      <c r="AG56" s="22">
        <f ca="1">+GETPIVOTDATA("XBT4",'binhtrung (2016)'!$A$3,"MA_HT","MNC","MA_QH","DYT")</f>
        <v>0</v>
      </c>
      <c r="AH56" s="22">
        <f ca="1">+GETPIVOTDATA("XBT4",'binhtrung (2016)'!$A$3,"MA_HT","MNC","MA_QH","DGD")</f>
        <v>0</v>
      </c>
      <c r="AI56" s="22">
        <f ca="1">+GETPIVOTDATA("XBT4",'binhtrung (2016)'!$A$3,"MA_HT","MNC","MA_QH","DTT")</f>
        <v>0</v>
      </c>
      <c r="AJ56" s="22">
        <f ca="1">+GETPIVOTDATA("XBT4",'binhtrung (2016)'!$A$3,"MA_HT","MNC","MA_QH","NCK")</f>
        <v>0</v>
      </c>
      <c r="AK56" s="22">
        <f ca="1">+GETPIVOTDATA("XBT4",'binhtrung (2016)'!$A$3,"MA_HT","MNC","MA_QH","DXH")</f>
        <v>0</v>
      </c>
      <c r="AL56" s="22">
        <f ca="1">+GETPIVOTDATA("XBT4",'binhtrung (2016)'!$A$3,"MA_HT","MNC","MA_QH","DCH")</f>
        <v>0</v>
      </c>
      <c r="AM56" s="22">
        <f ca="1">+GETPIVOTDATA("XBT4",'binhtrung (2016)'!$A$3,"MA_HT","MNC","MA_QH","DKG")</f>
        <v>0</v>
      </c>
      <c r="AN56" s="22">
        <f ca="1">+GETPIVOTDATA("XBT4",'binhtrung (2016)'!$A$3,"MA_HT","MNC","MA_QH","DDT")</f>
        <v>0</v>
      </c>
      <c r="AO56" s="22">
        <f ca="1">+GETPIVOTDATA("XBT4",'binhtrung (2016)'!$A$3,"MA_HT","MNC","MA_QH","DDL")</f>
        <v>0</v>
      </c>
      <c r="AP56" s="22">
        <f ca="1">+GETPIVOTDATA("XBT4",'binhtrung (2016)'!$A$3,"MA_HT","MNC","MA_QH","DRA")</f>
        <v>0</v>
      </c>
      <c r="AQ56" s="22">
        <f ca="1">+GETPIVOTDATA("XBT4",'binhtrung (2016)'!$A$3,"MA_HT","MNC","MA_QH","ONT")</f>
        <v>0</v>
      </c>
      <c r="AR56" s="22">
        <f ca="1">+GETPIVOTDATA("XBT4",'binhtrung (2016)'!$A$3,"MA_HT","MNC","MA_QH","ODT")</f>
        <v>0</v>
      </c>
      <c r="AS56" s="22">
        <f ca="1">+GETPIVOTDATA("XBT4",'binhtrung (2016)'!$A$3,"MA_HT","MNC","MA_QH","TSC")</f>
        <v>0</v>
      </c>
      <c r="AT56" s="22">
        <f ca="1">+GETPIVOTDATA("XBT4",'binhtrung (2016)'!$A$3,"MA_HT","MNC","MA_QH","DTS")</f>
        <v>0</v>
      </c>
      <c r="AU56" s="22">
        <f ca="1">+GETPIVOTDATA("XBT4",'binhtrung (2016)'!$A$3,"MA_HT","MNC","MA_QH","DNG")</f>
        <v>0</v>
      </c>
      <c r="AV56" s="22">
        <f ca="1">+GETPIVOTDATA("XBT4",'binhtrung (2016)'!$A$3,"MA_HT","MNC","MA_QH","TON")</f>
        <v>0</v>
      </c>
      <c r="AW56" s="22">
        <f ca="1">+GETPIVOTDATA("XBT4",'binhtrung (2016)'!$A$3,"MA_HT","MNC","MA_QH","NTD")</f>
        <v>0</v>
      </c>
      <c r="AX56" s="22">
        <f ca="1">+GETPIVOTDATA("XBT4",'binhtrung (2016)'!$A$3,"MA_HT","MNC","MA_QH","SKX")</f>
        <v>0</v>
      </c>
      <c r="AY56" s="22">
        <f ca="1">+GETPIVOTDATA("XBT4",'binhtrung (2016)'!$A$3,"MA_HT","MNC","MA_QH","DSH")</f>
        <v>0</v>
      </c>
      <c r="AZ56" s="22">
        <f ca="1">+GETPIVOTDATA("XBT4",'binhtrung (2016)'!$A$3,"MA_HT","MNC","MA_QH","DKV")</f>
        <v>0</v>
      </c>
      <c r="BA56" s="89">
        <f ca="1">+GETPIVOTDATA("XBT4",'binhtrung (2016)'!$A$3,"MA_HT","MNC","MA_QH","TIN")</f>
        <v>0</v>
      </c>
      <c r="BB56" s="50">
        <f ca="1">+GETPIVOTDATA("XBT4",'binhtrung (2016)'!$A$3,"MA_HT","MNC","MA_QH","SON")</f>
        <v>0</v>
      </c>
      <c r="BC56" s="43" t="e">
        <f ca="1">$D56-$BF56</f>
        <v>#REF!</v>
      </c>
      <c r="BD56" s="22">
        <f ca="1">+GETPIVOTDATA("XBT4",'binhtrung (2016)'!$A$3,"MA_HT","MNC","MA_QH","PNK")</f>
        <v>0</v>
      </c>
      <c r="BE56" s="71">
        <f ca="1">+GETPIVOTDATA("XBT4",'binhtrung (2016)'!$A$3,"MA_HT","MNC","MA_QH","CSD")</f>
        <v>0</v>
      </c>
      <c r="BF56" s="74">
        <f ca="1" t="shared" si="13"/>
        <v>0</v>
      </c>
      <c r="BG56" s="101">
        <f ca="1">BC$59-$BF56</f>
        <v>0</v>
      </c>
      <c r="BH56" s="41" t="e">
        <f ca="1" t="shared" si="14"/>
        <v>#REF!</v>
      </c>
      <c r="BI56" s="98"/>
      <c r="BJ56" s="98"/>
      <c r="BK56" s="107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</row>
    <row r="57" s="2" customFormat="1" ht="15.75" customHeight="1" spans="1:79">
      <c r="A57" s="68" t="s">
        <v>8432</v>
      </c>
      <c r="B57" s="69" t="s">
        <v>8433</v>
      </c>
      <c r="C57" s="40" t="s">
        <v>59</v>
      </c>
      <c r="D57" s="41" t="e">
        <f>+#REF!</f>
        <v>#REF!</v>
      </c>
      <c r="E57" s="42">
        <f ca="1" t="shared" si="15"/>
        <v>0</v>
      </c>
      <c r="F57" s="52">
        <f ca="1" t="shared" si="9"/>
        <v>0</v>
      </c>
      <c r="G57" s="22">
        <f ca="1">+GETPIVOTDATA("XBT4",'binhtrung (2016)'!$A$3,"MA_HT","PNK","MA_QH","LUC")</f>
        <v>0</v>
      </c>
      <c r="H57" s="22">
        <f ca="1">+GETPIVOTDATA("XBT4",'binhtrung (2016)'!$A$3,"MA_HT","PNK","MA_QH","LUK")</f>
        <v>0</v>
      </c>
      <c r="I57" s="22">
        <f ca="1">+GETPIVOTDATA("XBT4",'binhtrung (2016)'!$A$3,"MA_HT","PNK","MA_QH","LUN")</f>
        <v>0</v>
      </c>
      <c r="J57" s="22">
        <f ca="1">+GETPIVOTDATA("XBT4",'binhtrung (2016)'!$A$3,"MA_HT","PNK","MA_QH","HNK")</f>
        <v>0</v>
      </c>
      <c r="K57" s="22">
        <f ca="1">+GETPIVOTDATA("XBT4",'binhtrung (2016)'!$A$3,"MA_HT","PNK","MA_QH","CLN")</f>
        <v>0</v>
      </c>
      <c r="L57" s="22">
        <f ca="1">+GETPIVOTDATA("XBT4",'binhtrung (2016)'!$A$3,"MA_HT","PNK","MA_QH","RSX")</f>
        <v>0</v>
      </c>
      <c r="M57" s="22">
        <f ca="1">+GETPIVOTDATA("XBT4",'binhtrung (2016)'!$A$3,"MA_HT","PNK","MA_QH","RPH")</f>
        <v>0</v>
      </c>
      <c r="N57" s="22">
        <f ca="1">+GETPIVOTDATA("XBT4",'binhtrung (2016)'!$A$3,"MA_HT","PNK","MA_QH","RDD")</f>
        <v>0</v>
      </c>
      <c r="O57" s="22">
        <f ca="1">+GETPIVOTDATA("XBT4",'binhtrung (2016)'!$A$3,"MA_HT","PNK","MA_QH","NTS")</f>
        <v>0</v>
      </c>
      <c r="P57" s="22">
        <f ca="1">+GETPIVOTDATA("XBT4",'binhtrung (2016)'!$A$3,"MA_HT","PNK","MA_QH","LMU")</f>
        <v>0</v>
      </c>
      <c r="Q57" s="22">
        <f ca="1">+GETPIVOTDATA("XBT4",'binhtrung (2016)'!$A$3,"MA_HT","PNK","MA_QH","NKH")</f>
        <v>0</v>
      </c>
      <c r="R57" s="79">
        <f ca="1">SUM(S57:AA57,AN57:BC57)</f>
        <v>0</v>
      </c>
      <c r="S57" s="22">
        <f ca="1">+GETPIVOTDATA("XBT4",'binhtrung (2016)'!$A$3,"MA_HT","PNK","MA_QH","CQP")</f>
        <v>0</v>
      </c>
      <c r="T57" s="22">
        <f ca="1">+GETPIVOTDATA("XBT4",'binhtrung (2016)'!$A$3,"MA_HT","PNK","MA_QH","CAN")</f>
        <v>0</v>
      </c>
      <c r="U57" s="22">
        <f ca="1">+GETPIVOTDATA("XBT4",'binhtrung (2016)'!$A$3,"MA_HT","PNK","MA_QH","SKK")</f>
        <v>0</v>
      </c>
      <c r="V57" s="22">
        <f ca="1">+GETPIVOTDATA("XBT4",'binhtrung (2016)'!$A$3,"MA_HT","PNK","MA_QH","SKT")</f>
        <v>0</v>
      </c>
      <c r="W57" s="22">
        <f ca="1">+GETPIVOTDATA("XBT4",'binhtrung (2016)'!$A$3,"MA_HT","PNK","MA_QH","SKN")</f>
        <v>0</v>
      </c>
      <c r="X57" s="22">
        <f ca="1">+GETPIVOTDATA("XBT4",'binhtrung (2016)'!$A$3,"MA_HT","PNK","MA_QH","TMD")</f>
        <v>0</v>
      </c>
      <c r="Y57" s="22">
        <f ca="1">+GETPIVOTDATA("XBT4",'binhtrung (2016)'!$A$3,"MA_HT","PNK","MA_QH","SKC")</f>
        <v>0</v>
      </c>
      <c r="Z57" s="22">
        <f ca="1">+GETPIVOTDATA("XBT4",'binhtrung (2016)'!$A$3,"MA_HT","PNK","MA_QH","SKS")</f>
        <v>0</v>
      </c>
      <c r="AA57" s="52">
        <f ca="1" t="shared" si="21"/>
        <v>0</v>
      </c>
      <c r="AB57" s="22">
        <f ca="1">+GETPIVOTDATA("XBT4",'binhtrung (2016)'!$A$3,"MA_HT","PNK","MA_QH","DGT")</f>
        <v>0</v>
      </c>
      <c r="AC57" s="22">
        <f ca="1">+GETPIVOTDATA("XBT4",'binhtrung (2016)'!$A$3,"MA_HT","PNK","MA_QH","DTL")</f>
        <v>0</v>
      </c>
      <c r="AD57" s="22">
        <f ca="1">+GETPIVOTDATA("XBT4",'binhtrung (2016)'!$A$3,"MA_HT","PNK","MA_QH","DNL")</f>
        <v>0</v>
      </c>
      <c r="AE57" s="22">
        <f ca="1">+GETPIVOTDATA("XBT4",'binhtrung (2016)'!$A$3,"MA_HT","PNK","MA_QH","DBV")</f>
        <v>0</v>
      </c>
      <c r="AF57" s="22">
        <f ca="1">+GETPIVOTDATA("XBT4",'binhtrung (2016)'!$A$3,"MA_HT","PNK","MA_QH","DVH")</f>
        <v>0</v>
      </c>
      <c r="AG57" s="22">
        <f ca="1">+GETPIVOTDATA("XBT4",'binhtrung (2016)'!$A$3,"MA_HT","PNK","MA_QH","DYT")</f>
        <v>0</v>
      </c>
      <c r="AH57" s="22">
        <f ca="1">+GETPIVOTDATA("XBT4",'binhtrung (2016)'!$A$3,"MA_HT","PNK","MA_QH","DGD")</f>
        <v>0</v>
      </c>
      <c r="AI57" s="22">
        <f ca="1">+GETPIVOTDATA("XBT4",'binhtrung (2016)'!$A$3,"MA_HT","PNK","MA_QH","DTT")</f>
        <v>0</v>
      </c>
      <c r="AJ57" s="22">
        <f ca="1">+GETPIVOTDATA("XBT4",'binhtrung (2016)'!$A$3,"MA_HT","PNK","MA_QH","NCK")</f>
        <v>0</v>
      </c>
      <c r="AK57" s="22">
        <f ca="1">+GETPIVOTDATA("XBT4",'binhtrung (2016)'!$A$3,"MA_HT","PNK","MA_QH","DXH")</f>
        <v>0</v>
      </c>
      <c r="AL57" s="22">
        <f ca="1">+GETPIVOTDATA("XBT4",'binhtrung (2016)'!$A$3,"MA_HT","PNK","MA_QH","DCH")</f>
        <v>0</v>
      </c>
      <c r="AM57" s="22">
        <f ca="1">+GETPIVOTDATA("XBT4",'binhtrung (2016)'!$A$3,"MA_HT","PNK","MA_QH","DKG")</f>
        <v>0</v>
      </c>
      <c r="AN57" s="22">
        <f ca="1">+GETPIVOTDATA("XBT4",'binhtrung (2016)'!$A$3,"MA_HT","PNK","MA_QH","DDT")</f>
        <v>0</v>
      </c>
      <c r="AO57" s="22">
        <f ca="1">+GETPIVOTDATA("XBT4",'binhtrung (2016)'!$A$3,"MA_HT","PNK","MA_QH","DDL")</f>
        <v>0</v>
      </c>
      <c r="AP57" s="22">
        <f ca="1">+GETPIVOTDATA("XBT4",'binhtrung (2016)'!$A$3,"MA_HT","PNK","MA_QH","DRA")</f>
        <v>0</v>
      </c>
      <c r="AQ57" s="22">
        <f ca="1">+GETPIVOTDATA("XBT4",'binhtrung (2016)'!$A$3,"MA_HT","PNK","MA_QH","ONT")</f>
        <v>0</v>
      </c>
      <c r="AR57" s="22">
        <f ca="1">+GETPIVOTDATA("XBT4",'binhtrung (2016)'!$A$3,"MA_HT","PNK","MA_QH","ODT")</f>
        <v>0</v>
      </c>
      <c r="AS57" s="22">
        <f ca="1">+GETPIVOTDATA("XBT4",'binhtrung (2016)'!$A$3,"MA_HT","PNK","MA_QH","TSC")</f>
        <v>0</v>
      </c>
      <c r="AT57" s="22">
        <f ca="1">+GETPIVOTDATA("XBT4",'binhtrung (2016)'!$A$3,"MA_HT","PNK","MA_QH","DTS")</f>
        <v>0</v>
      </c>
      <c r="AU57" s="22">
        <f ca="1">+GETPIVOTDATA("XBT4",'binhtrung (2016)'!$A$3,"MA_HT","PNK","MA_QH","DNG")</f>
        <v>0</v>
      </c>
      <c r="AV57" s="22">
        <f ca="1">+GETPIVOTDATA("XBT4",'binhtrung (2016)'!$A$3,"MA_HT","PNK","MA_QH","TON")</f>
        <v>0</v>
      </c>
      <c r="AW57" s="22">
        <f ca="1">+GETPIVOTDATA("XBT4",'binhtrung (2016)'!$A$3,"MA_HT","PNK","MA_QH","NTD")</f>
        <v>0</v>
      </c>
      <c r="AX57" s="22">
        <f ca="1">+GETPIVOTDATA("XBT4",'binhtrung (2016)'!$A$3,"MA_HT","PNK","MA_QH","SKX")</f>
        <v>0</v>
      </c>
      <c r="AY57" s="22">
        <f ca="1">+GETPIVOTDATA("XBT4",'binhtrung (2016)'!$A$3,"MA_HT","PNK","MA_QH","DSH")</f>
        <v>0</v>
      </c>
      <c r="AZ57" s="22">
        <f ca="1">+GETPIVOTDATA("XBT4",'binhtrung (2016)'!$A$3,"MA_HT","PNK","MA_QH","DKV")</f>
        <v>0</v>
      </c>
      <c r="BA57" s="89">
        <f ca="1">+GETPIVOTDATA("XBT4",'binhtrung (2016)'!$A$3,"MA_HT","PNK","MA_QH","TIN")</f>
        <v>0</v>
      </c>
      <c r="BB57" s="50">
        <f ca="1">+GETPIVOTDATA("XBT4",'binhtrung (2016)'!$A$3,"MA_HT","PNK","MA_QH","SON")</f>
        <v>0</v>
      </c>
      <c r="BC57" s="50">
        <f ca="1">+GETPIVOTDATA("XBT4",'binhtrung (2016)'!$A$3,"MA_HT","PNK","MA_QH","MNC")</f>
        <v>0</v>
      </c>
      <c r="BD57" s="43" t="e">
        <f ca="1">$D57-$BF57</f>
        <v>#REF!</v>
      </c>
      <c r="BE57" s="71">
        <f ca="1">+GETPIVOTDATA("XBT4",'binhtrung (2016)'!$A$3,"MA_HT","PNK","MA_QH","CSD")</f>
        <v>0</v>
      </c>
      <c r="BF57" s="74">
        <f ca="1" t="shared" si="13"/>
        <v>0</v>
      </c>
      <c r="BG57" s="101">
        <f ca="1">BD$59-$BF57</f>
        <v>0</v>
      </c>
      <c r="BH57" s="41" t="e">
        <f ca="1" t="shared" si="14"/>
        <v>#REF!</v>
      </c>
      <c r="BI57" s="98"/>
      <c r="BJ57" s="98" t="e">
        <f>#REF!</f>
        <v>#REF!</v>
      </c>
      <c r="BK57" s="107" t="e">
        <f ca="1">BH57-BJ57</f>
        <v>#REF!</v>
      </c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</row>
    <row r="58" s="3" customFormat="1" ht="15.75" customHeight="1" spans="1:79">
      <c r="A58" s="70" t="s">
        <v>8434</v>
      </c>
      <c r="B58" s="36" t="s">
        <v>8435</v>
      </c>
      <c r="C58" s="37" t="s">
        <v>8284</v>
      </c>
      <c r="D58" s="32" t="e">
        <f>+#REF!</f>
        <v>#REF!</v>
      </c>
      <c r="E58" s="42">
        <f ca="1" t="shared" si="15"/>
        <v>0</v>
      </c>
      <c r="F58" s="33">
        <f ca="1" t="shared" si="9"/>
        <v>0</v>
      </c>
      <c r="G58" s="71">
        <f ca="1">+GETPIVOTDATA("XBT4",'binhtrung (2016)'!$A$3,"MA_HT","CSD","MA_QH","LUC")</f>
        <v>0</v>
      </c>
      <c r="H58" s="71">
        <f ca="1">+GETPIVOTDATA("XBT4",'binhtrung (2016)'!$A$3,"MA_HT","CSD","MA_QH","LUK")</f>
        <v>0</v>
      </c>
      <c r="I58" s="71">
        <f ca="1">+GETPIVOTDATA("XBT4",'binhtrung (2016)'!$A$3,"MA_HT","CSD","MA_QH","LUN")</f>
        <v>0</v>
      </c>
      <c r="J58" s="71">
        <f ca="1">+GETPIVOTDATA("XBT4",'binhtrung (2016)'!$A$3,"MA_HT","CSD","MA_QH","HNK")</f>
        <v>0</v>
      </c>
      <c r="K58" s="71">
        <f ca="1">+GETPIVOTDATA("XBT4",'binhtrung (2016)'!$A$3,"MA_HT","CSD","MA_QH","CLN")</f>
        <v>0</v>
      </c>
      <c r="L58" s="71">
        <f ca="1">+GETPIVOTDATA("XBT4",'binhtrung (2016)'!$A$3,"MA_HT","CSD","MA_QH","RSX")</f>
        <v>0</v>
      </c>
      <c r="M58" s="71">
        <f ca="1">+GETPIVOTDATA("XBT4",'binhtrung (2016)'!$A$3,"MA_HT","CSD","MA_QH","RPH")</f>
        <v>0</v>
      </c>
      <c r="N58" s="71">
        <f ca="1">+GETPIVOTDATA("XBT4",'binhtrung (2016)'!$A$3,"MA_HT","CSD","MA_QH","RDD")</f>
        <v>0</v>
      </c>
      <c r="O58" s="71">
        <f ca="1">+GETPIVOTDATA("XBT4",'binhtrung (2016)'!$A$3,"MA_HT","CSD","MA_QH","NTS")</f>
        <v>0</v>
      </c>
      <c r="P58" s="71">
        <f ca="1">+GETPIVOTDATA("XBT4",'binhtrung (2016)'!$A$3,"MA_HT","CSD","MA_QH","LMU")</f>
        <v>0</v>
      </c>
      <c r="Q58" s="71">
        <f ca="1">+GETPIVOTDATA("XBT4",'binhtrung (2016)'!$A$3,"MA_HT","CSD","MA_QH","NKH")</f>
        <v>0</v>
      </c>
      <c r="R58" s="79">
        <f ca="1">SUM(S58:AA58,AN58:BD58)</f>
        <v>0</v>
      </c>
      <c r="S58" s="80">
        <f ca="1">+GETPIVOTDATA("XBT4",'binhtrung (2016)'!$A$3,"MA_HT","CSD","MA_QH","CQP")</f>
        <v>0</v>
      </c>
      <c r="T58" s="80">
        <f ca="1">+GETPIVOTDATA("XBT4",'binhtrung (2016)'!$A$3,"MA_HT","CSD","MA_QH","CAN")</f>
        <v>0</v>
      </c>
      <c r="U58" s="71">
        <f ca="1">+GETPIVOTDATA("XBT4",'binhtrung (2016)'!$A$3,"MA_HT","CSD","MA_QH","SKK")</f>
        <v>0</v>
      </c>
      <c r="V58" s="71">
        <f ca="1">+GETPIVOTDATA("XBT4",'binhtrung (2016)'!$A$3,"MA_HT","CSD","MA_QH","SKT")</f>
        <v>0</v>
      </c>
      <c r="W58" s="71">
        <f ca="1">+GETPIVOTDATA("XBT4",'binhtrung (2016)'!$A$3,"MA_HT","CSD","MA_QH","SKN")</f>
        <v>0</v>
      </c>
      <c r="X58" s="71">
        <f ca="1">+GETPIVOTDATA("XBT4",'binhtrung (2016)'!$A$3,"MA_HT","CSD","MA_QH","TMD")</f>
        <v>0</v>
      </c>
      <c r="Y58" s="71">
        <f ca="1">+GETPIVOTDATA("XBT4",'binhtrung (2016)'!$A$3,"MA_HT","CSD","MA_QH","SKC")</f>
        <v>0</v>
      </c>
      <c r="Z58" s="71">
        <f ca="1">+GETPIVOTDATA("XBT4",'binhtrung (2016)'!$A$3,"MA_HT","CSD","MA_QH","SKS")</f>
        <v>0</v>
      </c>
      <c r="AA58" s="52">
        <f ca="1" t="shared" si="21"/>
        <v>0</v>
      </c>
      <c r="AB58" s="80">
        <f ca="1">+GETPIVOTDATA("XBT4",'binhtrung (2016)'!$A$3,"MA_HT","CSD","MA_QH","DGT")</f>
        <v>0</v>
      </c>
      <c r="AC58" s="80">
        <f ca="1">+GETPIVOTDATA("XBT4",'binhtrung (2016)'!$A$3,"MA_HT","CSD","MA_QH","DTL")</f>
        <v>0</v>
      </c>
      <c r="AD58" s="80">
        <f ca="1">+GETPIVOTDATA("XBT4",'binhtrung (2016)'!$A$3,"MA_HT","CSD","MA_QH","DNL")</f>
        <v>0</v>
      </c>
      <c r="AE58" s="80">
        <f ca="1">+GETPIVOTDATA("XBT4",'binhtrung (2016)'!$A$3,"MA_HT","CSD","MA_QH","DBV")</f>
        <v>0</v>
      </c>
      <c r="AF58" s="80">
        <f ca="1">+GETPIVOTDATA("XBT4",'binhtrung (2016)'!$A$3,"MA_HT","CSD","MA_QH","DVH")</f>
        <v>0</v>
      </c>
      <c r="AG58" s="80">
        <f ca="1">+GETPIVOTDATA("XBT4",'binhtrung (2016)'!$A$3,"MA_HT","CSD","MA_QH","DYT")</f>
        <v>0</v>
      </c>
      <c r="AH58" s="80">
        <f ca="1">+GETPIVOTDATA("XBT4",'binhtrung (2016)'!$A$3,"MA_HT","CSD","MA_QH","DGD")</f>
        <v>0</v>
      </c>
      <c r="AI58" s="80">
        <f ca="1">+GETPIVOTDATA("XBT4",'binhtrung (2016)'!$A$3,"MA_HT","CSD","MA_QH","DTT")</f>
        <v>0</v>
      </c>
      <c r="AJ58" s="80">
        <f ca="1">+GETPIVOTDATA("XBT4",'binhtrung (2016)'!$A$3,"MA_HT","CSD","MA_QH","NCK")</f>
        <v>0</v>
      </c>
      <c r="AK58" s="80">
        <f ca="1">+GETPIVOTDATA("XBT4",'binhtrung (2016)'!$A$3,"MA_HT","CSD","MA_QH","DXH")</f>
        <v>0</v>
      </c>
      <c r="AL58" s="80">
        <f ca="1">+GETPIVOTDATA("XBT4",'binhtrung (2016)'!$A$3,"MA_HT","CSD","MA_QH","DCH")</f>
        <v>0</v>
      </c>
      <c r="AM58" s="80">
        <f ca="1">+GETPIVOTDATA("XBT4",'binhtrung (2016)'!$A$3,"MA_HT","CSD","MA_QH","DKG")</f>
        <v>0</v>
      </c>
      <c r="AN58" s="71">
        <f ca="1">+GETPIVOTDATA("XBT4",'binhtrung (2016)'!$A$3,"MA_HT","CSD","MA_QH","DDT")</f>
        <v>0</v>
      </c>
      <c r="AO58" s="71">
        <f ca="1">+GETPIVOTDATA("XBT4",'binhtrung (2016)'!$A$3,"MA_HT","CSD","MA_QH","DDL")</f>
        <v>0</v>
      </c>
      <c r="AP58" s="71">
        <f ca="1">+GETPIVOTDATA("XBT4",'binhtrung (2016)'!$A$3,"MA_HT","CSD","MA_QH","DRA")</f>
        <v>0</v>
      </c>
      <c r="AQ58" s="71">
        <f ca="1">+GETPIVOTDATA("XBT4",'binhtrung (2016)'!$A$3,"MA_HT","CSD","MA_QH","ONT")</f>
        <v>0</v>
      </c>
      <c r="AR58" s="71">
        <f ca="1">+GETPIVOTDATA("XBT4",'binhtrung (2016)'!$A$3,"MA_HT","CSD","MA_QH","ODT")</f>
        <v>0</v>
      </c>
      <c r="AS58" s="71">
        <f ca="1">+GETPIVOTDATA("XBT4",'binhtrung (2016)'!$A$3,"MA_HT","CSD","MA_QH","TSC")</f>
        <v>0</v>
      </c>
      <c r="AT58" s="71">
        <f ca="1">+GETPIVOTDATA("XBT4",'binhtrung (2016)'!$A$3,"MA_HT","CSD","MA_QH","DTS")</f>
        <v>0</v>
      </c>
      <c r="AU58" s="71">
        <f ca="1">+GETPIVOTDATA("XBT4",'binhtrung (2016)'!$A$3,"MA_HT","CSD","MA_QH","DNG")</f>
        <v>0</v>
      </c>
      <c r="AV58" s="71">
        <f ca="1">+GETPIVOTDATA("XBT4",'binhtrung (2016)'!$A$3,"MA_HT","CSD","MA_QH","TON")</f>
        <v>0</v>
      </c>
      <c r="AW58" s="71">
        <f ca="1">+GETPIVOTDATA("XBT4",'binhtrung (2016)'!$A$3,"MA_HT","CSD","MA_QH","NTD")</f>
        <v>0</v>
      </c>
      <c r="AX58" s="71">
        <f ca="1">+GETPIVOTDATA("XBT4",'binhtrung (2016)'!$A$3,"MA_HT","CSD","MA_QH","SKX")</f>
        <v>0</v>
      </c>
      <c r="AY58" s="71">
        <f ca="1">+GETPIVOTDATA("XBT4",'binhtrung (2016)'!$A$3,"MA_HT","CSD","MA_QH","DSH")</f>
        <v>0</v>
      </c>
      <c r="AZ58" s="71">
        <f ca="1">+GETPIVOTDATA("XBT4",'binhtrung (2016)'!$A$3,"MA_HT","CSD","MA_QH","DKV")</f>
        <v>0</v>
      </c>
      <c r="BA58" s="89">
        <f ca="1">+GETPIVOTDATA("XBT4",'binhtrung (2016)'!$A$3,"MA_HT","CSD","MA_QH","TIN")</f>
        <v>0</v>
      </c>
      <c r="BB58" s="80">
        <f ca="1">+GETPIVOTDATA("XBT4",'binhtrung (2016)'!$A$3,"MA_HT","CSD","MA_QH","SON")</f>
        <v>0</v>
      </c>
      <c r="BC58" s="80">
        <f ca="1">+GETPIVOTDATA("XBT4",'binhtrung (2016)'!$A$3,"MA_HT","CSD","MA_QH","MNC")</f>
        <v>0</v>
      </c>
      <c r="BD58" s="71">
        <f ca="1">+GETPIVOTDATA("XBT4",'binhtrung (2016)'!$A$3,"MA_HT","CSD","MA_QH","PNK")</f>
        <v>0</v>
      </c>
      <c r="BE58" s="38" t="e">
        <f ca="1">$D58-$BF58</f>
        <v>#REF!</v>
      </c>
      <c r="BF58" s="74">
        <f ca="1">R58+E58</f>
        <v>0</v>
      </c>
      <c r="BG58" s="119">
        <f ca="1">BE$59-$BF58</f>
        <v>0</v>
      </c>
      <c r="BH58" s="41" t="e">
        <f ca="1" t="shared" si="14"/>
        <v>#REF!</v>
      </c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</row>
    <row r="59" s="2" customFormat="1" ht="13.5" spans="1:246">
      <c r="A59" s="72"/>
      <c r="B59" s="72" t="s">
        <v>8436</v>
      </c>
      <c r="C59" s="73"/>
      <c r="D59" s="74"/>
      <c r="E59" s="75">
        <f ca="1">E58+E19</f>
        <v>0</v>
      </c>
      <c r="F59" s="74">
        <f ca="1" t="shared" ref="F59:Q59" si="22">F58+F19+F6</f>
        <v>0</v>
      </c>
      <c r="G59" s="74">
        <f ca="1" t="shared" si="22"/>
        <v>0</v>
      </c>
      <c r="H59" s="74">
        <f ca="1" t="shared" si="22"/>
        <v>0</v>
      </c>
      <c r="I59" s="74">
        <f ca="1" t="shared" si="22"/>
        <v>0</v>
      </c>
      <c r="J59" s="74">
        <f ca="1" t="shared" si="22"/>
        <v>0</v>
      </c>
      <c r="K59" s="74">
        <f ca="1" t="shared" si="22"/>
        <v>0</v>
      </c>
      <c r="L59" s="74">
        <f ca="1" t="shared" si="22"/>
        <v>0</v>
      </c>
      <c r="M59" s="74">
        <f ca="1" t="shared" si="22"/>
        <v>0</v>
      </c>
      <c r="N59" s="74">
        <f ca="1" t="shared" si="22"/>
        <v>0</v>
      </c>
      <c r="O59" s="74">
        <f ca="1" t="shared" si="22"/>
        <v>0</v>
      </c>
      <c r="P59" s="74">
        <f ca="1" t="shared" si="22"/>
        <v>0</v>
      </c>
      <c r="Q59" s="74">
        <f ca="1" t="shared" si="22"/>
        <v>0</v>
      </c>
      <c r="R59" s="75">
        <f ca="1">+R58+R6</f>
        <v>0</v>
      </c>
      <c r="S59" s="74">
        <f ca="1" t="shared" ref="S59:BD59" si="23">S58+S19+S6</f>
        <v>0</v>
      </c>
      <c r="T59" s="74">
        <f ca="1" t="shared" si="23"/>
        <v>0</v>
      </c>
      <c r="U59" s="74">
        <f ca="1" t="shared" si="23"/>
        <v>0</v>
      </c>
      <c r="V59" s="74">
        <f ca="1" t="shared" si="23"/>
        <v>0</v>
      </c>
      <c r="W59" s="74">
        <f ca="1" t="shared" si="23"/>
        <v>0</v>
      </c>
      <c r="X59" s="74">
        <f ca="1" t="shared" si="23"/>
        <v>0</v>
      </c>
      <c r="Y59" s="74">
        <f ca="1" t="shared" si="23"/>
        <v>0</v>
      </c>
      <c r="Z59" s="74">
        <f ca="1" t="shared" si="23"/>
        <v>0</v>
      </c>
      <c r="AA59" s="74">
        <f ca="1" t="shared" si="23"/>
        <v>0</v>
      </c>
      <c r="AB59" s="74">
        <f ca="1" t="shared" si="23"/>
        <v>0</v>
      </c>
      <c r="AC59" s="74">
        <f ca="1" t="shared" si="23"/>
        <v>0</v>
      </c>
      <c r="AD59" s="74">
        <f ca="1" t="shared" si="23"/>
        <v>0</v>
      </c>
      <c r="AE59" s="74">
        <f ca="1" t="shared" si="23"/>
        <v>0</v>
      </c>
      <c r="AF59" s="74">
        <f ca="1" t="shared" si="23"/>
        <v>0</v>
      </c>
      <c r="AG59" s="74">
        <f ca="1" t="shared" si="23"/>
        <v>0</v>
      </c>
      <c r="AH59" s="74">
        <f ca="1" t="shared" si="23"/>
        <v>0</v>
      </c>
      <c r="AI59" s="74">
        <f ca="1" t="shared" si="23"/>
        <v>0</v>
      </c>
      <c r="AJ59" s="74">
        <f ca="1" t="shared" si="23"/>
        <v>0</v>
      </c>
      <c r="AK59" s="74">
        <f ca="1" t="shared" si="23"/>
        <v>0</v>
      </c>
      <c r="AL59" s="74">
        <f ca="1" t="shared" si="23"/>
        <v>0</v>
      </c>
      <c r="AM59" s="74">
        <f ca="1" t="shared" si="23"/>
        <v>0</v>
      </c>
      <c r="AN59" s="74">
        <f ca="1" t="shared" si="23"/>
        <v>0</v>
      </c>
      <c r="AO59" s="74">
        <f ca="1" t="shared" si="23"/>
        <v>0</v>
      </c>
      <c r="AP59" s="74">
        <f ca="1" t="shared" si="23"/>
        <v>0</v>
      </c>
      <c r="AQ59" s="74">
        <f ca="1" t="shared" si="23"/>
        <v>0</v>
      </c>
      <c r="AR59" s="74">
        <f ca="1" t="shared" si="23"/>
        <v>0</v>
      </c>
      <c r="AS59" s="74">
        <f ca="1" t="shared" si="23"/>
        <v>0</v>
      </c>
      <c r="AT59" s="74">
        <f ca="1" t="shared" si="23"/>
        <v>0</v>
      </c>
      <c r="AU59" s="74">
        <f ca="1" t="shared" si="23"/>
        <v>0</v>
      </c>
      <c r="AV59" s="74">
        <f ca="1" t="shared" si="23"/>
        <v>0</v>
      </c>
      <c r="AW59" s="74">
        <f ca="1" t="shared" si="23"/>
        <v>0</v>
      </c>
      <c r="AX59" s="74">
        <f ca="1" t="shared" si="23"/>
        <v>0</v>
      </c>
      <c r="AY59" s="74">
        <f ca="1" t="shared" si="23"/>
        <v>0</v>
      </c>
      <c r="AZ59" s="74">
        <f ca="1" t="shared" si="23"/>
        <v>0</v>
      </c>
      <c r="BA59" s="75">
        <f ca="1" t="shared" si="23"/>
        <v>0</v>
      </c>
      <c r="BB59" s="74">
        <f ca="1" t="shared" si="23"/>
        <v>0</v>
      </c>
      <c r="BC59" s="74">
        <f ca="1" t="shared" si="23"/>
        <v>0</v>
      </c>
      <c r="BD59" s="74">
        <f ca="1" t="shared" si="23"/>
        <v>0</v>
      </c>
      <c r="BE59" s="120">
        <f ca="1">BE19+BE6</f>
        <v>0</v>
      </c>
      <c r="BF59" s="74"/>
      <c r="BG59" s="74"/>
      <c r="BH59" s="74"/>
      <c r="BI59" s="121"/>
      <c r="BJ59" s="121"/>
      <c r="BK59" s="121"/>
      <c r="BL59" s="1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3"/>
      <c r="CB59" s="123"/>
      <c r="CC59" s="124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</row>
    <row r="61" spans="61:76"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</row>
  </sheetData>
  <mergeCells count="3">
    <mergeCell ref="A3:A4"/>
    <mergeCell ref="B3:B4"/>
    <mergeCell ref="C3:C4"/>
  </mergeCells>
  <pageMargins left="0.65" right="0" top="0.5" bottom="0.25" header="0.5" footer="0.5"/>
  <pageSetup paperSize="8" orientation="landscape" horizontalDpi="360" verticalDpi="36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4">
    <tabColor rgb="FFFF0000"/>
  </sheetPr>
  <dimension ref="A1:IL61"/>
  <sheetViews>
    <sheetView workbookViewId="0">
      <selection activeCell="A1" sqref="A1"/>
    </sheetView>
  </sheetViews>
  <sheetFormatPr defaultColWidth="9" defaultRowHeight="15"/>
  <cols>
    <col min="1" max="1" width="6.375" style="7" customWidth="1"/>
    <col min="2" max="2" width="29.125" style="7" customWidth="1"/>
    <col min="3" max="3" width="6" style="7" customWidth="1"/>
    <col min="4" max="4" width="9.75" style="8" customWidth="1"/>
    <col min="5" max="5" width="9.375" style="9" customWidth="1"/>
    <col min="6" max="6" width="7" style="8" customWidth="1"/>
    <col min="7" max="7" width="7.75" style="8" customWidth="1"/>
    <col min="8" max="8" width="7" style="8" customWidth="1"/>
    <col min="9" max="9" width="6.875" style="8" customWidth="1"/>
    <col min="10" max="10" width="7.625" style="8" customWidth="1"/>
    <col min="11" max="11" width="9.125" style="8" customWidth="1"/>
    <col min="12" max="12" width="8.25" style="8" customWidth="1"/>
    <col min="13" max="13" width="6" style="8" customWidth="1"/>
    <col min="14" max="14" width="6.25" style="8" customWidth="1"/>
    <col min="15" max="15" width="5.875" style="8" customWidth="1"/>
    <col min="16" max="16" width="5.75" style="8" customWidth="1"/>
    <col min="17" max="17" width="6.25" style="8" customWidth="1"/>
    <col min="18" max="18" width="8.75" style="10" customWidth="1"/>
    <col min="19" max="19" width="7.125" style="8" customWidth="1"/>
    <col min="20" max="20" width="7.75" style="8" customWidth="1"/>
    <col min="21" max="23" width="6.125" style="8" customWidth="1"/>
    <col min="24" max="24" width="7.125" style="8" customWidth="1"/>
    <col min="25" max="25" width="7.75" style="8" customWidth="1"/>
    <col min="26" max="26" width="6.875" style="8" customWidth="1"/>
    <col min="27" max="27" width="7.375" style="8" customWidth="1"/>
    <col min="28" max="28" width="9" style="8"/>
    <col min="29" max="29" width="7.25" style="8" customWidth="1"/>
    <col min="30" max="30" width="7" style="8" customWidth="1"/>
    <col min="31" max="31" width="6.125" style="8" customWidth="1"/>
    <col min="32" max="33" width="6.625" style="8" customWidth="1"/>
    <col min="34" max="34" width="6.125" style="8" customWidth="1"/>
    <col min="35" max="35" width="8.5" style="8" customWidth="1"/>
    <col min="36" max="36" width="8.875" style="8" customWidth="1"/>
    <col min="37" max="37" width="8.75" style="8" customWidth="1"/>
    <col min="38" max="39" width="6.625" style="8" customWidth="1"/>
    <col min="40" max="41" width="6.875" style="8" customWidth="1"/>
    <col min="42" max="42" width="6.75" style="8" customWidth="1"/>
    <col min="43" max="43" width="6.375" style="8" customWidth="1"/>
    <col min="44" max="44" width="6.125" style="8" customWidth="1"/>
    <col min="45" max="46" width="5.75" style="8" customWidth="1"/>
    <col min="47" max="47" width="6.5" style="8" customWidth="1"/>
    <col min="48" max="49" width="5.625" style="8" customWidth="1"/>
    <col min="50" max="51" width="6.125" style="8" customWidth="1"/>
    <col min="52" max="52" width="7.625" style="8" customWidth="1"/>
    <col min="53" max="53" width="9.375" style="11" customWidth="1"/>
    <col min="54" max="54" width="6.625" style="12" customWidth="1"/>
    <col min="55" max="55" width="6.25" style="12" customWidth="1"/>
    <col min="56" max="56" width="7.125" style="8" customWidth="1"/>
    <col min="57" max="57" width="6.25" style="9" customWidth="1"/>
    <col min="58" max="58" width="7.25" style="11" customWidth="1"/>
    <col min="59" max="59" width="8.25" style="11" customWidth="1"/>
    <col min="60" max="60" width="10.125" style="11" customWidth="1"/>
    <col min="61" max="61" width="5.125" style="7" customWidth="1"/>
    <col min="62" max="62" width="8.375" style="7" hidden="1" customWidth="1"/>
    <col min="63" max="63" width="9" style="7" hidden="1" customWidth="1"/>
    <col min="64" max="64" width="4.875" style="7" customWidth="1"/>
    <col min="65" max="65" width="6.25" style="7" customWidth="1"/>
    <col min="66" max="66" width="5" style="7" customWidth="1"/>
    <col min="67" max="67" width="4.25" style="7" customWidth="1"/>
    <col min="68" max="68" width="5.375" style="7" customWidth="1"/>
    <col min="69" max="69" width="5.125" style="7" customWidth="1"/>
    <col min="70" max="70" width="4.625" style="7" customWidth="1"/>
    <col min="71" max="71" width="5.625" style="7" customWidth="1"/>
    <col min="72" max="72" width="5.875" style="7" customWidth="1"/>
    <col min="73" max="73" width="5" style="7" customWidth="1"/>
    <col min="74" max="74" width="3.875" style="7" customWidth="1"/>
    <col min="75" max="75" width="4.625" style="7" customWidth="1"/>
    <col min="76" max="76" width="5.5" style="7" customWidth="1"/>
    <col min="77" max="77" width="7.625" style="13" customWidth="1"/>
    <col min="78" max="79" width="8.375" style="13" customWidth="1"/>
    <col min="80" max="80" width="7.5" style="7" customWidth="1"/>
    <col min="81" max="16384" width="9" style="7"/>
  </cols>
  <sheetData>
    <row r="1" ht="21" customHeight="1" spans="1:82">
      <c r="A1" s="14" t="s">
        <v>8330</v>
      </c>
      <c r="B1" s="15"/>
      <c r="C1" s="16" t="e">
        <f>+"CHU CHUYỂN ĐẤT ĐAI TRONG KẾ HOẠCH SỬ DỤNG ĐẤT NĂM 2015 CỦA "&amp;#REF!</f>
        <v>#REF!</v>
      </c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83"/>
      <c r="BC1" s="83"/>
      <c r="BD1" s="18"/>
      <c r="BE1" s="18"/>
      <c r="BF1" s="18"/>
      <c r="BG1" s="18"/>
      <c r="BH1" s="18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7"/>
      <c r="BZ1" s="7"/>
      <c r="CA1" s="7"/>
      <c r="CB1" s="8"/>
      <c r="CC1" s="8"/>
      <c r="CD1" s="8"/>
    </row>
    <row r="2" s="1" customFormat="1" ht="7.5" customHeight="1" spans="1:82">
      <c r="A2" s="1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9"/>
      <c r="BA2" s="20"/>
      <c r="BB2" s="84"/>
      <c r="BC2" s="84"/>
      <c r="BD2" s="20"/>
      <c r="BE2" s="20"/>
      <c r="BF2" s="20"/>
      <c r="BG2" s="20"/>
      <c r="BH2" s="95" t="s">
        <v>8331</v>
      </c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CB2" s="9"/>
      <c r="CC2" s="9"/>
      <c r="CD2" s="9"/>
    </row>
    <row r="3" s="2" customFormat="1" ht="15.75" customHeight="1" spans="1:79">
      <c r="A3" s="21" t="s">
        <v>3</v>
      </c>
      <c r="B3" s="21" t="s">
        <v>8332</v>
      </c>
      <c r="C3" s="21" t="s">
        <v>8333</v>
      </c>
      <c r="D3" s="22"/>
      <c r="E3" s="23" t="s">
        <v>8334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7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85"/>
      <c r="BC3" s="85"/>
      <c r="BD3" s="24"/>
      <c r="BE3" s="97"/>
      <c r="BF3" s="22"/>
      <c r="BG3" s="22"/>
      <c r="BH3" s="22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</row>
    <row r="4" s="2" customFormat="1" ht="31.5" customHeight="1" spans="1:79">
      <c r="A4" s="25"/>
      <c r="B4" s="25"/>
      <c r="C4" s="25"/>
      <c r="D4" s="26" t="s">
        <v>8335</v>
      </c>
      <c r="E4" s="27" t="s">
        <v>8303</v>
      </c>
      <c r="F4" s="28" t="s">
        <v>8298</v>
      </c>
      <c r="G4" s="29" t="s">
        <v>8299</v>
      </c>
      <c r="H4" s="29" t="s">
        <v>221</v>
      </c>
      <c r="I4" s="29" t="s">
        <v>8300</v>
      </c>
      <c r="J4" s="28" t="s">
        <v>2492</v>
      </c>
      <c r="K4" s="28" t="s">
        <v>30</v>
      </c>
      <c r="L4" s="28" t="s">
        <v>8307</v>
      </c>
      <c r="M4" s="28" t="s">
        <v>8306</v>
      </c>
      <c r="N4" s="28" t="s">
        <v>8305</v>
      </c>
      <c r="O4" s="76" t="s">
        <v>318</v>
      </c>
      <c r="P4" s="28" t="s">
        <v>8297</v>
      </c>
      <c r="Q4" s="28" t="s">
        <v>553</v>
      </c>
      <c r="R4" s="37" t="s">
        <v>8304</v>
      </c>
      <c r="S4" s="40" t="s">
        <v>31</v>
      </c>
      <c r="T4" s="40" t="s">
        <v>8283</v>
      </c>
      <c r="U4" s="40" t="s">
        <v>47</v>
      </c>
      <c r="V4" s="40" t="s">
        <v>8308</v>
      </c>
      <c r="W4" s="40" t="s">
        <v>56</v>
      </c>
      <c r="X4" s="40" t="s">
        <v>265</v>
      </c>
      <c r="Y4" s="40" t="s">
        <v>204</v>
      </c>
      <c r="Z4" s="40" t="s">
        <v>174</v>
      </c>
      <c r="AA4" s="40" t="s">
        <v>8288</v>
      </c>
      <c r="AB4" s="46" t="s">
        <v>94</v>
      </c>
      <c r="AC4" s="46" t="s">
        <v>216</v>
      </c>
      <c r="AD4" s="46" t="s">
        <v>71</v>
      </c>
      <c r="AE4" s="46" t="s">
        <v>8285</v>
      </c>
      <c r="AF4" s="46" t="s">
        <v>212</v>
      </c>
      <c r="AG4" s="46" t="s">
        <v>8296</v>
      </c>
      <c r="AH4" s="46" t="s">
        <v>165</v>
      </c>
      <c r="AI4" s="46" t="s">
        <v>8294</v>
      </c>
      <c r="AJ4" s="46" t="s">
        <v>8302</v>
      </c>
      <c r="AK4" s="46" t="s">
        <v>8295</v>
      </c>
      <c r="AL4" s="46" t="s">
        <v>178</v>
      </c>
      <c r="AM4" s="46" t="s">
        <v>8312</v>
      </c>
      <c r="AN4" s="40" t="s">
        <v>8287</v>
      </c>
      <c r="AO4" s="40" t="s">
        <v>8286</v>
      </c>
      <c r="AP4" s="40" t="s">
        <v>8291</v>
      </c>
      <c r="AQ4" s="40" t="s">
        <v>188</v>
      </c>
      <c r="AR4" s="40" t="s">
        <v>201</v>
      </c>
      <c r="AS4" s="40" t="s">
        <v>336</v>
      </c>
      <c r="AT4" s="40" t="s">
        <v>8293</v>
      </c>
      <c r="AU4" s="40" t="s">
        <v>8290</v>
      </c>
      <c r="AV4" s="40" t="s">
        <v>324</v>
      </c>
      <c r="AW4" s="40" t="s">
        <v>182</v>
      </c>
      <c r="AX4" s="40" t="s">
        <v>236</v>
      </c>
      <c r="AY4" s="40" t="s">
        <v>8292</v>
      </c>
      <c r="AZ4" s="40" t="s">
        <v>8289</v>
      </c>
      <c r="BA4" s="40" t="s">
        <v>8310</v>
      </c>
      <c r="BB4" s="40" t="s">
        <v>8309</v>
      </c>
      <c r="BC4" s="40" t="s">
        <v>8301</v>
      </c>
      <c r="BD4" s="40" t="s">
        <v>59</v>
      </c>
      <c r="BE4" s="27" t="s">
        <v>8284</v>
      </c>
      <c r="BF4" s="99" t="s">
        <v>8336</v>
      </c>
      <c r="BG4" s="100" t="s">
        <v>8337</v>
      </c>
      <c r="BH4" s="26" t="s">
        <v>8335</v>
      </c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</row>
    <row r="5" s="2" customFormat="1" ht="15.75" customHeight="1" spans="1:79">
      <c r="A5" s="30"/>
      <c r="B5" s="30" t="s">
        <v>8338</v>
      </c>
      <c r="C5" s="31"/>
      <c r="D5" s="32" t="e">
        <f>+#REF!</f>
        <v>#REF!</v>
      </c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86"/>
      <c r="BC5" s="86"/>
      <c r="BD5" s="34"/>
      <c r="BE5" s="33"/>
      <c r="BF5" s="34"/>
      <c r="BG5" s="34"/>
      <c r="BH5" s="34" t="e">
        <f ca="1">BH6+BH19+BH58</f>
        <v>#REF!</v>
      </c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</row>
    <row r="6" s="3" customFormat="1" ht="15.75" customHeight="1" spans="1:79">
      <c r="A6" s="35">
        <v>1</v>
      </c>
      <c r="B6" s="36" t="s">
        <v>8339</v>
      </c>
      <c r="C6" s="37" t="s">
        <v>8303</v>
      </c>
      <c r="D6" s="33" t="e">
        <f>+#REF!</f>
        <v>#REF!</v>
      </c>
      <c r="E6" s="38" t="e">
        <f ca="1">$D6-$BF6</f>
        <v>#REF!</v>
      </c>
      <c r="F6" s="33">
        <f ca="1">SUM(F11:F18)</f>
        <v>0</v>
      </c>
      <c r="G6" s="33">
        <f ca="1">SUM(G7,G11:G18)</f>
        <v>0</v>
      </c>
      <c r="H6" s="33">
        <f ca="1">SUM(H7,H11:H18)</f>
        <v>0</v>
      </c>
      <c r="I6" s="33">
        <f ca="1">SUM(I7,I11:I18)</f>
        <v>0</v>
      </c>
      <c r="J6" s="33">
        <f ca="1">SUM(J7,J12:J18)</f>
        <v>0</v>
      </c>
      <c r="K6" s="33">
        <f ca="1">SUM(K7,K11,K13:K18)</f>
        <v>0</v>
      </c>
      <c r="L6" s="33">
        <f ca="1">SUM(L7,L11:L12,L14:L18)</f>
        <v>0</v>
      </c>
      <c r="M6" s="33">
        <f ca="1">SUM(M7,M11:M13,M15:M18)</f>
        <v>0</v>
      </c>
      <c r="N6" s="33">
        <f ca="1">SUM(N7,N11:N14,N16:N18)</f>
        <v>0</v>
      </c>
      <c r="O6" s="33">
        <f ca="1">SUM(O7,O11:O15,O17:O18)</f>
        <v>0</v>
      </c>
      <c r="P6" s="33">
        <f ca="1">SUM(P7,P11:P16,P18:P18)</f>
        <v>0</v>
      </c>
      <c r="Q6" s="33">
        <f ca="1">SUM(Q7,Q11:Q17)</f>
        <v>0</v>
      </c>
      <c r="R6" s="33">
        <f ca="1">SUM(R7,R11:R18)</f>
        <v>0</v>
      </c>
      <c r="S6" s="33">
        <f ca="1">SUM(S7,S11:S18)</f>
        <v>0</v>
      </c>
      <c r="T6" s="33">
        <f ca="1" t="shared" ref="T6:BE6" si="0">SUM(T7,T11:T18)</f>
        <v>0</v>
      </c>
      <c r="U6" s="33">
        <f ca="1" t="shared" si="0"/>
        <v>0</v>
      </c>
      <c r="V6" s="33">
        <f ca="1" t="shared" si="0"/>
        <v>0</v>
      </c>
      <c r="W6" s="33">
        <f ca="1" t="shared" si="0"/>
        <v>0</v>
      </c>
      <c r="X6" s="33">
        <f ca="1" t="shared" si="0"/>
        <v>0</v>
      </c>
      <c r="Y6" s="33">
        <f ca="1" t="shared" si="0"/>
        <v>0</v>
      </c>
      <c r="Z6" s="33">
        <f ca="1" t="shared" si="0"/>
        <v>0</v>
      </c>
      <c r="AA6" s="33">
        <f ca="1" t="shared" si="0"/>
        <v>0</v>
      </c>
      <c r="AB6" s="33">
        <f ca="1" t="shared" si="0"/>
        <v>0</v>
      </c>
      <c r="AC6" s="33">
        <f ca="1" t="shared" si="0"/>
        <v>0</v>
      </c>
      <c r="AD6" s="33">
        <f ca="1" t="shared" si="0"/>
        <v>0</v>
      </c>
      <c r="AE6" s="33">
        <f ca="1" t="shared" si="0"/>
        <v>0</v>
      </c>
      <c r="AF6" s="33">
        <f ca="1" t="shared" si="0"/>
        <v>0</v>
      </c>
      <c r="AG6" s="33">
        <f ca="1" t="shared" si="0"/>
        <v>0</v>
      </c>
      <c r="AH6" s="33">
        <f ca="1" t="shared" si="0"/>
        <v>0</v>
      </c>
      <c r="AI6" s="33">
        <f ca="1" t="shared" si="0"/>
        <v>0</v>
      </c>
      <c r="AJ6" s="33">
        <f ca="1" t="shared" si="0"/>
        <v>0</v>
      </c>
      <c r="AK6" s="33">
        <f ca="1" t="shared" si="0"/>
        <v>0</v>
      </c>
      <c r="AL6" s="33">
        <f ca="1" t="shared" si="0"/>
        <v>0</v>
      </c>
      <c r="AM6" s="33">
        <f ca="1" t="shared" si="0"/>
        <v>0</v>
      </c>
      <c r="AN6" s="33">
        <f ca="1" t="shared" si="0"/>
        <v>0</v>
      </c>
      <c r="AO6" s="33">
        <f ca="1" t="shared" si="0"/>
        <v>0</v>
      </c>
      <c r="AP6" s="33">
        <f ca="1" t="shared" si="0"/>
        <v>0</v>
      </c>
      <c r="AQ6" s="33">
        <f ca="1" t="shared" si="0"/>
        <v>0</v>
      </c>
      <c r="AR6" s="33">
        <f ca="1" t="shared" si="0"/>
        <v>0</v>
      </c>
      <c r="AS6" s="33">
        <f ca="1" t="shared" si="0"/>
        <v>0</v>
      </c>
      <c r="AT6" s="33">
        <f ca="1" t="shared" si="0"/>
        <v>0</v>
      </c>
      <c r="AU6" s="33">
        <f ca="1" t="shared" si="0"/>
        <v>0</v>
      </c>
      <c r="AV6" s="33">
        <f ca="1" t="shared" si="0"/>
        <v>0</v>
      </c>
      <c r="AW6" s="33">
        <f ca="1" t="shared" si="0"/>
        <v>0</v>
      </c>
      <c r="AX6" s="33">
        <f ca="1" t="shared" si="0"/>
        <v>0</v>
      </c>
      <c r="AY6" s="33">
        <f ca="1" t="shared" si="0"/>
        <v>0</v>
      </c>
      <c r="AZ6" s="33">
        <f ca="1" t="shared" si="0"/>
        <v>0</v>
      </c>
      <c r="BA6" s="33">
        <f ca="1" t="shared" si="0"/>
        <v>0</v>
      </c>
      <c r="BB6" s="33">
        <f ca="1" t="shared" si="0"/>
        <v>0</v>
      </c>
      <c r="BC6" s="33">
        <f ca="1" t="shared" si="0"/>
        <v>0</v>
      </c>
      <c r="BD6" s="33">
        <f ca="1" t="shared" si="0"/>
        <v>0</v>
      </c>
      <c r="BE6" s="33">
        <f ca="1" t="shared" si="0"/>
        <v>0</v>
      </c>
      <c r="BF6" s="74">
        <f ca="1">BE6+R6</f>
        <v>0</v>
      </c>
      <c r="BG6" s="101">
        <f ca="1">E$59-$BF6</f>
        <v>0</v>
      </c>
      <c r="BH6" s="33" t="e">
        <f ca="1">SUM(BH7,BH11:BH18)</f>
        <v>#REF!</v>
      </c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</row>
    <row r="7" s="2" customFormat="1" ht="15.75" customHeight="1" spans="1:79">
      <c r="A7" s="39" t="s">
        <v>27</v>
      </c>
      <c r="B7" s="39" t="s">
        <v>8340</v>
      </c>
      <c r="C7" s="40" t="s">
        <v>8298</v>
      </c>
      <c r="D7" s="41" t="e">
        <f>+#REF!</f>
        <v>#REF!</v>
      </c>
      <c r="E7" s="42">
        <f ca="1">SUM(J7:Q7)</f>
        <v>0</v>
      </c>
      <c r="F7" s="43" t="e">
        <f ca="1">$D7-$BF7</f>
        <v>#REF!</v>
      </c>
      <c r="G7" s="44">
        <f ca="1">SUM(G9:G10)</f>
        <v>0</v>
      </c>
      <c r="H7" s="44">
        <f ca="1">SUM(H8,H10)</f>
        <v>0</v>
      </c>
      <c r="I7" s="44">
        <f ca="1">SUM(I8:I9)</f>
        <v>0</v>
      </c>
      <c r="J7" s="44">
        <f ca="1">SUM(J8:J10)</f>
        <v>0</v>
      </c>
      <c r="K7" s="44">
        <f ca="1" t="shared" ref="K7:Q7" si="1">SUM(K8:K10)</f>
        <v>0</v>
      </c>
      <c r="L7" s="44">
        <f ca="1" t="shared" si="1"/>
        <v>0</v>
      </c>
      <c r="M7" s="44">
        <f ca="1" t="shared" si="1"/>
        <v>0</v>
      </c>
      <c r="N7" s="44">
        <f ca="1" t="shared" si="1"/>
        <v>0</v>
      </c>
      <c r="O7" s="44">
        <f ca="1" t="shared" si="1"/>
        <v>0</v>
      </c>
      <c r="P7" s="44">
        <f ca="1" t="shared" si="1"/>
        <v>0</v>
      </c>
      <c r="Q7" s="44">
        <f ca="1" t="shared" si="1"/>
        <v>0</v>
      </c>
      <c r="R7" s="42">
        <f ca="1" t="shared" ref="R7:R18" si="2">SUM(S7:AA7,AN7:BD7)</f>
        <v>0</v>
      </c>
      <c r="S7" s="52">
        <f ca="1" t="shared" ref="S7:AY7" si="3">SUM(S8:S10)</f>
        <v>0</v>
      </c>
      <c r="T7" s="52">
        <f ca="1" t="shared" si="3"/>
        <v>0</v>
      </c>
      <c r="U7" s="52">
        <f ca="1" t="shared" si="3"/>
        <v>0</v>
      </c>
      <c r="V7" s="52">
        <f ca="1" t="shared" si="3"/>
        <v>0</v>
      </c>
      <c r="W7" s="52">
        <f ca="1" t="shared" si="3"/>
        <v>0</v>
      </c>
      <c r="X7" s="52">
        <f ca="1" t="shared" si="3"/>
        <v>0</v>
      </c>
      <c r="Y7" s="52">
        <f ca="1" t="shared" si="3"/>
        <v>0</v>
      </c>
      <c r="Z7" s="52">
        <f ca="1" t="shared" si="3"/>
        <v>0</v>
      </c>
      <c r="AA7" s="52">
        <f ca="1" t="shared" ref="AA7:AA18" si="4">+SUM(AB7:AM7)</f>
        <v>0</v>
      </c>
      <c r="AB7" s="52">
        <f ca="1" t="shared" ref="AB7:AM7" si="5">SUM(AB8:AB10)</f>
        <v>0</v>
      </c>
      <c r="AC7" s="52">
        <f ca="1" t="shared" si="5"/>
        <v>0</v>
      </c>
      <c r="AD7" s="52">
        <f ca="1" t="shared" si="5"/>
        <v>0</v>
      </c>
      <c r="AE7" s="52">
        <f ca="1" t="shared" si="5"/>
        <v>0</v>
      </c>
      <c r="AF7" s="52">
        <f ca="1" t="shared" si="5"/>
        <v>0</v>
      </c>
      <c r="AG7" s="52">
        <f ca="1" t="shared" si="5"/>
        <v>0</v>
      </c>
      <c r="AH7" s="52">
        <f ca="1" t="shared" si="5"/>
        <v>0</v>
      </c>
      <c r="AI7" s="52">
        <f ca="1" t="shared" si="5"/>
        <v>0</v>
      </c>
      <c r="AJ7" s="52">
        <f ca="1" t="shared" si="5"/>
        <v>0</v>
      </c>
      <c r="AK7" s="52">
        <f ca="1" t="shared" si="5"/>
        <v>0</v>
      </c>
      <c r="AL7" s="52">
        <f ca="1" t="shared" si="5"/>
        <v>0</v>
      </c>
      <c r="AM7" s="52">
        <f ca="1" t="shared" si="5"/>
        <v>0</v>
      </c>
      <c r="AN7" s="52">
        <f ca="1" t="shared" si="3"/>
        <v>0</v>
      </c>
      <c r="AO7" s="52">
        <f ca="1" t="shared" si="3"/>
        <v>0</v>
      </c>
      <c r="AP7" s="52">
        <f ca="1" t="shared" si="3"/>
        <v>0</v>
      </c>
      <c r="AQ7" s="52">
        <f ca="1" t="shared" si="3"/>
        <v>0</v>
      </c>
      <c r="AR7" s="52">
        <f ca="1" t="shared" si="3"/>
        <v>0</v>
      </c>
      <c r="AS7" s="52">
        <f ca="1" t="shared" si="3"/>
        <v>0</v>
      </c>
      <c r="AT7" s="52">
        <f ca="1" t="shared" si="3"/>
        <v>0</v>
      </c>
      <c r="AU7" s="52">
        <f ca="1" t="shared" si="3"/>
        <v>0</v>
      </c>
      <c r="AV7" s="52">
        <f ca="1" t="shared" si="3"/>
        <v>0</v>
      </c>
      <c r="AW7" s="52">
        <f ca="1" t="shared" si="3"/>
        <v>0</v>
      </c>
      <c r="AX7" s="52">
        <f ca="1" t="shared" si="3"/>
        <v>0</v>
      </c>
      <c r="AY7" s="52">
        <f ca="1" t="shared" si="3"/>
        <v>0</v>
      </c>
      <c r="AZ7" s="52">
        <f ca="1" t="shared" ref="AZ7:BE7" si="6">SUM(AZ8:AZ10)</f>
        <v>0</v>
      </c>
      <c r="BA7" s="87">
        <f ca="1" t="shared" si="6"/>
        <v>0</v>
      </c>
      <c r="BB7" s="52">
        <f ca="1" t="shared" si="6"/>
        <v>0</v>
      </c>
      <c r="BC7" s="52">
        <f ca="1" t="shared" si="6"/>
        <v>0</v>
      </c>
      <c r="BD7" s="52">
        <f ca="1" t="shared" si="6"/>
        <v>0</v>
      </c>
      <c r="BE7" s="52">
        <f ca="1" t="shared" si="6"/>
        <v>0</v>
      </c>
      <c r="BF7" s="74">
        <f ca="1" t="shared" ref="BF7:BF18" si="7">BE7+R7+E7</f>
        <v>0</v>
      </c>
      <c r="BG7" s="101">
        <f ca="1">F$59-$BF7</f>
        <v>0</v>
      </c>
      <c r="BH7" s="41" t="e">
        <f ca="1" t="shared" ref="BH7:BH18" si="8">BG7+D7</f>
        <v>#REF!</v>
      </c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</row>
    <row r="8" s="4" customFormat="1" ht="15.75" customHeight="1" spans="1:79">
      <c r="A8" s="45"/>
      <c r="B8" s="316" t="s">
        <v>8341</v>
      </c>
      <c r="C8" s="46" t="s">
        <v>8299</v>
      </c>
      <c r="D8" s="47" t="e">
        <f>+#REF!</f>
        <v>#REF!</v>
      </c>
      <c r="E8" s="48">
        <f ca="1">SUM(F8,J8:Q8)</f>
        <v>0</v>
      </c>
      <c r="F8" s="44">
        <f ca="1">SUM(H8:I8)</f>
        <v>0</v>
      </c>
      <c r="G8" s="49" t="e">
        <f ca="1">$D8-$BF8</f>
        <v>#REF!</v>
      </c>
      <c r="H8" s="50">
        <f ca="1">+GETPIVOTDATA("XCB4",'cubi (2016)'!$A$3,"MA_HT","LUC","MA_QH","LUK")</f>
        <v>0</v>
      </c>
      <c r="I8" s="50">
        <f ca="1">+GETPIVOTDATA("XCB4",'cubi (2016)'!$A$3,"MA_HT","LUC","MA_QH","LUN")</f>
        <v>0</v>
      </c>
      <c r="J8" s="50">
        <f ca="1">+GETPIVOTDATA("XCB4",'cubi (2016)'!$A$3,"MA_HT","LUC","MA_QH","HNK")</f>
        <v>0</v>
      </c>
      <c r="K8" s="50">
        <f ca="1">+GETPIVOTDATA("XCB4",'cubi (2016)'!$A$3,"MA_HT","LUC","MA_QH","CLN")</f>
        <v>0</v>
      </c>
      <c r="L8" s="50">
        <f ca="1">+GETPIVOTDATA("XCB4",'cubi (2016)'!$A$3,"MA_HT","LUC","MA_QH","RSX")</f>
        <v>0</v>
      </c>
      <c r="M8" s="50">
        <f ca="1">+GETPIVOTDATA("XCB4",'cubi (2016)'!$A$3,"MA_HT","LUC","MA_QH","RPH")</f>
        <v>0</v>
      </c>
      <c r="N8" s="50">
        <f ca="1">+GETPIVOTDATA("XCB4",'cubi (2016)'!$A$3,"MA_HT","LUC","MA_QH","RDD")</f>
        <v>0</v>
      </c>
      <c r="O8" s="50">
        <f ca="1">+GETPIVOTDATA("XCB4",'cubi (2016)'!$A$3,"MA_HT","LUC","MA_QH","NTS")</f>
        <v>0</v>
      </c>
      <c r="P8" s="50">
        <f ca="1">+GETPIVOTDATA("XCB4",'cubi (2016)'!$A$3,"MA_HT","LUC","MA_QH","LMU")</f>
        <v>0</v>
      </c>
      <c r="Q8" s="50">
        <f ca="1">+GETPIVOTDATA("XCB4",'cubi (2016)'!$A$3,"MA_HT","LUC","MA_QH","NKH")</f>
        <v>0</v>
      </c>
      <c r="R8" s="48">
        <f ca="1" t="shared" si="2"/>
        <v>0</v>
      </c>
      <c r="S8" s="50">
        <f ca="1">+GETPIVOTDATA("XCB4",'cubi (2016)'!$A$3,"MA_HT","LUC","MA_QH","CQP")</f>
        <v>0</v>
      </c>
      <c r="T8" s="50">
        <f ca="1">+GETPIVOTDATA("XCB4",'cubi (2016)'!$A$3,"MA_HT","LUC","MA_QH","CAN")</f>
        <v>0</v>
      </c>
      <c r="U8" s="50">
        <f ca="1">+GETPIVOTDATA("XCB4",'cubi (2016)'!$A$3,"MA_HT","LUC","MA_QH","SKK")</f>
        <v>0</v>
      </c>
      <c r="V8" s="50">
        <f ca="1">+GETPIVOTDATA("XCB4",'cubi (2016)'!$A$3,"MA_HT","LUC","MA_QH","SKT")</f>
        <v>0</v>
      </c>
      <c r="W8" s="50">
        <f ca="1">+GETPIVOTDATA("XCB4",'cubi (2016)'!$A$3,"MA_HT","LUC","MA_QH","SKN")</f>
        <v>0</v>
      </c>
      <c r="X8" s="50">
        <f ca="1">+GETPIVOTDATA("XCB4",'cubi (2016)'!$A$3,"MA_HT","LUC","MA_QH","TMD")</f>
        <v>0</v>
      </c>
      <c r="Y8" s="50">
        <f ca="1">+GETPIVOTDATA("XCB4",'cubi (2016)'!$A$3,"MA_HT","LUC","MA_QH","SKC")</f>
        <v>0</v>
      </c>
      <c r="Z8" s="50">
        <f ca="1">+GETPIVOTDATA("XCB4",'cubi (2016)'!$A$3,"MA_HT","LUC","MA_QH","SKS")</f>
        <v>0</v>
      </c>
      <c r="AA8" s="52">
        <f ca="1" t="shared" si="4"/>
        <v>0</v>
      </c>
      <c r="AB8" s="50">
        <f ca="1">+GETPIVOTDATA("XCB4",'cubi (2016)'!$A$3,"MA_HT","LUC","MA_QH","DGT")</f>
        <v>0</v>
      </c>
      <c r="AC8" s="50">
        <f ca="1">+GETPIVOTDATA("XCB4",'cubi (2016)'!$A$3,"MA_HT","LUC","MA_QH","DTL")</f>
        <v>0</v>
      </c>
      <c r="AD8" s="50">
        <f ca="1">+GETPIVOTDATA("XCB4",'cubi (2016)'!$A$3,"MA_HT","LUC","MA_QH","DNL")</f>
        <v>0</v>
      </c>
      <c r="AE8" s="50">
        <f ca="1">+GETPIVOTDATA("XCB4",'cubi (2016)'!$A$3,"MA_HT","LUC","MA_QH","DBV")</f>
        <v>0</v>
      </c>
      <c r="AF8" s="50">
        <f ca="1">+GETPIVOTDATA("XCB4",'cubi (2016)'!$A$3,"MA_HT","LUC","MA_QH","DVH")</f>
        <v>0</v>
      </c>
      <c r="AG8" s="50">
        <f ca="1">+GETPIVOTDATA("XCB4",'cubi (2016)'!$A$3,"MA_HT","LUC","MA_QH","DYT")</f>
        <v>0</v>
      </c>
      <c r="AH8" s="50">
        <f ca="1">+GETPIVOTDATA("XCB4",'cubi (2016)'!$A$3,"MA_HT","LUC","MA_QH","DGD")</f>
        <v>0</v>
      </c>
      <c r="AI8" s="50">
        <f ca="1">+GETPIVOTDATA("XCB4",'cubi (2016)'!$A$3,"MA_HT","LUC","MA_QH","DTT")</f>
        <v>0</v>
      </c>
      <c r="AJ8" s="50">
        <f ca="1">+GETPIVOTDATA("XCB4",'cubi (2016)'!$A$3,"MA_HT","LUC","MA_QH","NCK")</f>
        <v>0</v>
      </c>
      <c r="AK8" s="50">
        <f ca="1">+GETPIVOTDATA("XCB4",'cubi (2016)'!$A$3,"MA_HT","LUC","MA_QH","DXH")</f>
        <v>0</v>
      </c>
      <c r="AL8" s="50">
        <f ca="1">+GETPIVOTDATA("XCB4",'cubi (2016)'!$A$3,"MA_HT","LUC","MA_QH","DCH")</f>
        <v>0</v>
      </c>
      <c r="AM8" s="50">
        <f ca="1">+GETPIVOTDATA("XCB4",'cubi (2016)'!$A$3,"MA_HT","LUC","MA_QH","DKG")</f>
        <v>0</v>
      </c>
      <c r="AN8" s="50">
        <f ca="1">+GETPIVOTDATA("XCB4",'cubi (2016)'!$A$3,"MA_HT","LUC","MA_QH","DDT")</f>
        <v>0</v>
      </c>
      <c r="AO8" s="50">
        <f ca="1">+GETPIVOTDATA("XCB4",'cubi (2016)'!$A$3,"MA_HT","LUC","MA_QH","DDL")</f>
        <v>0</v>
      </c>
      <c r="AP8" s="50">
        <f ca="1">+GETPIVOTDATA("XCB4",'cubi (2016)'!$A$3,"MA_HT","LUC","MA_QH","DRA")</f>
        <v>0</v>
      </c>
      <c r="AQ8" s="50">
        <f ca="1">+GETPIVOTDATA("XCB4",'cubi (2016)'!$A$3,"MA_HT","LUC","MA_QH","ONT")</f>
        <v>0</v>
      </c>
      <c r="AR8" s="50">
        <f ca="1">+GETPIVOTDATA("XCB4",'cubi (2016)'!$A$3,"MA_HT","LUC","MA_QH","ODT")</f>
        <v>0</v>
      </c>
      <c r="AS8" s="50">
        <f ca="1">+GETPIVOTDATA("XCB4",'cubi (2016)'!$A$3,"MA_HT","LUC","MA_QH","TSC")</f>
        <v>0</v>
      </c>
      <c r="AT8" s="50">
        <f ca="1">+GETPIVOTDATA("XCB4",'cubi (2016)'!$A$3,"MA_HT","LUC","MA_QH","DTS")</f>
        <v>0</v>
      </c>
      <c r="AU8" s="50">
        <f ca="1">+GETPIVOTDATA("XCB4",'cubi (2016)'!$A$3,"MA_HT","LUC","MA_QH","DNG")</f>
        <v>0</v>
      </c>
      <c r="AV8" s="50">
        <f ca="1">+GETPIVOTDATA("XCB4",'cubi (2016)'!$A$3,"MA_HT","LUC","MA_QH","TON")</f>
        <v>0</v>
      </c>
      <c r="AW8" s="50">
        <f ca="1">+GETPIVOTDATA("XCB4",'cubi (2016)'!$A$3,"MA_HT","LUC","MA_QH","NTD")</f>
        <v>0</v>
      </c>
      <c r="AX8" s="50">
        <f ca="1">+GETPIVOTDATA("XCB4",'cubi (2016)'!$A$3,"MA_HT","LUC","MA_QH","SKX")</f>
        <v>0</v>
      </c>
      <c r="AY8" s="50">
        <f ca="1">+GETPIVOTDATA("XCB4",'cubi (2016)'!$A$3,"MA_HT","LUC","MA_QH","DSH")</f>
        <v>0</v>
      </c>
      <c r="AZ8" s="50">
        <f ca="1">+GETPIVOTDATA("XCB4",'cubi (2016)'!$A$3,"MA_HT","LUC","MA_QH","DKV")</f>
        <v>0</v>
      </c>
      <c r="BA8" s="88">
        <f ca="1">+GETPIVOTDATA("XCB4",'cubi (2016)'!$A$3,"MA_HT","LUC","MA_QH","TIN")</f>
        <v>0</v>
      </c>
      <c r="BB8" s="50">
        <f ca="1">+GETPIVOTDATA("XCB4",'cubi (2016)'!$A$3,"MA_HT","LUC","MA_QH","SON")</f>
        <v>0</v>
      </c>
      <c r="BC8" s="50">
        <f ca="1">+GETPIVOTDATA("XCB4",'cubi (2016)'!$A$3,"MA_HT","LUC","MA_QH","MNC")</f>
        <v>0</v>
      </c>
      <c r="BD8" s="50">
        <f ca="1">+GETPIVOTDATA("XCB4",'cubi (2016)'!$A$3,"MA_HT","LUC","MA_QH","PNK")</f>
        <v>0</v>
      </c>
      <c r="BE8" s="80">
        <f ca="1">+GETPIVOTDATA("XCB4",'cubi (2016)'!$A$3,"MA_HT","LUC","MA_QH","CSD")</f>
        <v>0</v>
      </c>
      <c r="BF8" s="103">
        <f ca="1" t="shared" si="7"/>
        <v>0</v>
      </c>
      <c r="BG8" s="104">
        <f ca="1">G$59-$BF8</f>
        <v>0</v>
      </c>
      <c r="BH8" s="47" t="e">
        <f ca="1" t="shared" si="8"/>
        <v>#REF!</v>
      </c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</row>
    <row r="9" s="4" customFormat="1" ht="15.75" customHeight="1" spans="1:79">
      <c r="A9" s="45"/>
      <c r="B9" s="316" t="s">
        <v>8342</v>
      </c>
      <c r="C9" s="46" t="s">
        <v>221</v>
      </c>
      <c r="D9" s="47" t="e">
        <f>+#REF!</f>
        <v>#REF!</v>
      </c>
      <c r="E9" s="48">
        <f ca="1">SUM(F9,J9:Q9)</f>
        <v>0</v>
      </c>
      <c r="F9" s="44">
        <f ca="1">SUM(G9,I9)</f>
        <v>0</v>
      </c>
      <c r="G9" s="51">
        <f ca="1">+GETPIVOTDATA("XCB4",'cubi (2016)'!$A$3,"MA_HT","LUK","MA_QH","LUC")</f>
        <v>0</v>
      </c>
      <c r="H9" s="49" t="e">
        <f ca="1">$D9-$BF9</f>
        <v>#REF!</v>
      </c>
      <c r="I9" s="50">
        <f ca="1">+GETPIVOTDATA("XCB4",'cubi (2016)'!$A$3,"MA_HT","LUK","MA_QH","LUN")</f>
        <v>0</v>
      </c>
      <c r="J9" s="50">
        <f ca="1">+GETPIVOTDATA("XCB4",'cubi (2016)'!$A$3,"MA_HT","LUK","MA_QH","HNK")</f>
        <v>0</v>
      </c>
      <c r="K9" s="50">
        <f ca="1">+GETPIVOTDATA("XCB4",'cubi (2016)'!$A$3,"MA_HT","LUK","MA_QH","CLN")</f>
        <v>0</v>
      </c>
      <c r="L9" s="50">
        <f ca="1">+GETPIVOTDATA("XCB4",'cubi (2016)'!$A$3,"MA_HT","LUK","MA_QH","RSX")</f>
        <v>0</v>
      </c>
      <c r="M9" s="50">
        <f ca="1">+GETPIVOTDATA("XCB4",'cubi (2016)'!$A$3,"MA_HT","LUK","MA_QH","RPH")</f>
        <v>0</v>
      </c>
      <c r="N9" s="50">
        <f ca="1">+GETPIVOTDATA("XCB4",'cubi (2016)'!$A$3,"MA_HT","LUK","MA_QH","RDD")</f>
        <v>0</v>
      </c>
      <c r="O9" s="50">
        <f ca="1">+GETPIVOTDATA("XCB4",'cubi (2016)'!$A$3,"MA_HT","LUK","MA_QH","NTS")</f>
        <v>0</v>
      </c>
      <c r="P9" s="50">
        <f ca="1">+GETPIVOTDATA("XCB4",'cubi (2016)'!$A$3,"MA_HT","LUK","MA_QH","LMU")</f>
        <v>0</v>
      </c>
      <c r="Q9" s="50">
        <f ca="1">+GETPIVOTDATA("XCB4",'cubi (2016)'!$A$3,"MA_HT","LUK","MA_QH","NKH")</f>
        <v>0</v>
      </c>
      <c r="R9" s="48">
        <f ca="1" t="shared" si="2"/>
        <v>0</v>
      </c>
      <c r="S9" s="50">
        <f ca="1">+GETPIVOTDATA("XCB4",'cubi (2016)'!$A$3,"MA_HT","LUK","MA_QH","CQP")</f>
        <v>0</v>
      </c>
      <c r="T9" s="50">
        <f ca="1">+GETPIVOTDATA("XCB4",'cubi (2016)'!$A$3,"MA_HT","LUK","MA_QH","CAN")</f>
        <v>0</v>
      </c>
      <c r="U9" s="50">
        <f ca="1">+GETPIVOTDATA("XCB4",'cubi (2016)'!$A$3,"MA_HT","LUK","MA_QH","SKK")</f>
        <v>0</v>
      </c>
      <c r="V9" s="50">
        <f ca="1">+GETPIVOTDATA("XCB4",'cubi (2016)'!$A$3,"MA_HT","LUK","MA_QH","SKT")</f>
        <v>0</v>
      </c>
      <c r="W9" s="50">
        <f ca="1">+GETPIVOTDATA("XCB4",'cubi (2016)'!$A$3,"MA_HT","LUK","MA_QH","SKN")</f>
        <v>0</v>
      </c>
      <c r="X9" s="50">
        <f ca="1">+GETPIVOTDATA("XCB4",'cubi (2016)'!$A$3,"MA_HT","LUK","MA_QH","TMD")</f>
        <v>0</v>
      </c>
      <c r="Y9" s="50">
        <f ca="1">+GETPIVOTDATA("XCB4",'cubi (2016)'!$A$3,"MA_HT","LUK","MA_QH","SKC")</f>
        <v>0</v>
      </c>
      <c r="Z9" s="50">
        <f ca="1">+GETPIVOTDATA("XCB4",'cubi (2016)'!$A$3,"MA_HT","LUK","MA_QH","SKS")</f>
        <v>0</v>
      </c>
      <c r="AA9" s="52">
        <f ca="1" t="shared" si="4"/>
        <v>0</v>
      </c>
      <c r="AB9" s="50">
        <f ca="1">+GETPIVOTDATA("XCB4",'cubi (2016)'!$A$3,"MA_HT","LUK","MA_QH","DGT")</f>
        <v>0</v>
      </c>
      <c r="AC9" s="50">
        <f ca="1">+GETPIVOTDATA("XCB4",'cubi (2016)'!$A$3,"MA_HT","LUK","MA_QH","DTL")</f>
        <v>0</v>
      </c>
      <c r="AD9" s="50">
        <f ca="1">+GETPIVOTDATA("XCB4",'cubi (2016)'!$A$3,"MA_HT","LUK","MA_QH","DNL")</f>
        <v>0</v>
      </c>
      <c r="AE9" s="50">
        <f ca="1">+GETPIVOTDATA("XCB4",'cubi (2016)'!$A$3,"MA_HT","LUK","MA_QH","DBV")</f>
        <v>0</v>
      </c>
      <c r="AF9" s="50">
        <f ca="1">+GETPIVOTDATA("XCB4",'cubi (2016)'!$A$3,"MA_HT","LUK","MA_QH","DVH")</f>
        <v>0</v>
      </c>
      <c r="AG9" s="50">
        <f ca="1">+GETPIVOTDATA("XCB4",'cubi (2016)'!$A$3,"MA_HT","LUK","MA_QH","DYT")</f>
        <v>0</v>
      </c>
      <c r="AH9" s="50">
        <f ca="1">+GETPIVOTDATA("XCB4",'cubi (2016)'!$A$3,"MA_HT","LUK","MA_QH","DGD")</f>
        <v>0</v>
      </c>
      <c r="AI9" s="50">
        <f ca="1">+GETPIVOTDATA("XCB4",'cubi (2016)'!$A$3,"MA_HT","LUK","MA_QH","DTT")</f>
        <v>0</v>
      </c>
      <c r="AJ9" s="50">
        <f ca="1">+GETPIVOTDATA("XCB4",'cubi (2016)'!$A$3,"MA_HT","LUK","MA_QH","NCK")</f>
        <v>0</v>
      </c>
      <c r="AK9" s="50">
        <f ca="1">+GETPIVOTDATA("XCB4",'cubi (2016)'!$A$3,"MA_HT","LUK","MA_QH","DXH")</f>
        <v>0</v>
      </c>
      <c r="AL9" s="50">
        <f ca="1">+GETPIVOTDATA("XCB4",'cubi (2016)'!$A$3,"MA_HT","LUK","MA_QH","DCH")</f>
        <v>0</v>
      </c>
      <c r="AM9" s="50">
        <f ca="1">+GETPIVOTDATA("XCB4",'cubi (2016)'!$A$3,"MA_HT","LUK","MA_QH","DKG")</f>
        <v>0</v>
      </c>
      <c r="AN9" s="50">
        <f ca="1">+GETPIVOTDATA("XCB4",'cubi (2016)'!$A$3,"MA_HT","LUK","MA_QH","DDT")</f>
        <v>0</v>
      </c>
      <c r="AO9" s="50">
        <f ca="1">+GETPIVOTDATA("XCB4",'cubi (2016)'!$A$3,"MA_HT","LUK","MA_QH","DDL")</f>
        <v>0</v>
      </c>
      <c r="AP9" s="50">
        <f ca="1">+GETPIVOTDATA("XCB4",'cubi (2016)'!$A$3,"MA_HT","LUK","MA_QH","DRA")</f>
        <v>0</v>
      </c>
      <c r="AQ9" s="50">
        <f ca="1">+GETPIVOTDATA("XCB4",'cubi (2016)'!$A$3,"MA_HT","LUK","MA_QH","ONT")</f>
        <v>0</v>
      </c>
      <c r="AR9" s="50">
        <f ca="1">+GETPIVOTDATA("XCB4",'cubi (2016)'!$A$3,"MA_HT","LUK","MA_QH","ODT")</f>
        <v>0</v>
      </c>
      <c r="AS9" s="50">
        <f ca="1">+GETPIVOTDATA("XCB4",'cubi (2016)'!$A$3,"MA_HT","LUK","MA_QH","TSC")</f>
        <v>0</v>
      </c>
      <c r="AT9" s="50">
        <f ca="1">+GETPIVOTDATA("XCB4",'cubi (2016)'!$A$3,"MA_HT","LUK","MA_QH","DTS")</f>
        <v>0</v>
      </c>
      <c r="AU9" s="50">
        <f ca="1">+GETPIVOTDATA("XCB4",'cubi (2016)'!$A$3,"MA_HT","LUK","MA_QH","DNG")</f>
        <v>0</v>
      </c>
      <c r="AV9" s="50">
        <f ca="1">+GETPIVOTDATA("XCB4",'cubi (2016)'!$A$3,"MA_HT","LUK","MA_QH","TON")</f>
        <v>0</v>
      </c>
      <c r="AW9" s="50">
        <f ca="1">+GETPIVOTDATA("XCB4",'cubi (2016)'!$A$3,"MA_HT","LUK","MA_QH","NTD")</f>
        <v>0</v>
      </c>
      <c r="AX9" s="50">
        <f ca="1">+GETPIVOTDATA("XCB4",'cubi (2016)'!$A$3,"MA_HT","LUK","MA_QH","SKX")</f>
        <v>0</v>
      </c>
      <c r="AY9" s="50">
        <f ca="1">+GETPIVOTDATA("XCB4",'cubi (2016)'!$A$3,"MA_HT","LUK","MA_QH","DSH")</f>
        <v>0</v>
      </c>
      <c r="AZ9" s="50">
        <f ca="1">+GETPIVOTDATA("XCB4",'cubi (2016)'!$A$3,"MA_HT","LUK","MA_QH","DKV")</f>
        <v>0</v>
      </c>
      <c r="BA9" s="88">
        <f ca="1">+GETPIVOTDATA("XCB4",'cubi (2016)'!$A$3,"MA_HT","LUK","MA_QH","TIN")</f>
        <v>0</v>
      </c>
      <c r="BB9" s="50">
        <f ca="1">+GETPIVOTDATA("XCB4",'cubi (2016)'!$A$3,"MA_HT","LUK","MA_QH","SON")</f>
        <v>0</v>
      </c>
      <c r="BC9" s="50">
        <f ca="1">+GETPIVOTDATA("XCB4",'cubi (2016)'!$A$3,"MA_HT","LUK","MA_QH","MNC")</f>
        <v>0</v>
      </c>
      <c r="BD9" s="50">
        <f ca="1">+GETPIVOTDATA("XCB4",'cubi (2016)'!$A$3,"MA_HT","LUK","MA_QH","PNK")</f>
        <v>0</v>
      </c>
      <c r="BE9" s="80">
        <f ca="1">+GETPIVOTDATA("XCB4",'cubi (2016)'!$A$3,"MA_HT","LUK","MA_QH","CSD")</f>
        <v>0</v>
      </c>
      <c r="BF9" s="103">
        <f ca="1" t="shared" si="7"/>
        <v>0</v>
      </c>
      <c r="BG9" s="104">
        <f ca="1">H$59-$BF9</f>
        <v>0</v>
      </c>
      <c r="BH9" s="47" t="e">
        <f ca="1" t="shared" si="8"/>
        <v>#REF!</v>
      </c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</row>
    <row r="10" s="4" customFormat="1" ht="15.75" customHeight="1" spans="1:79">
      <c r="A10" s="45"/>
      <c r="B10" s="316" t="s">
        <v>8343</v>
      </c>
      <c r="C10" s="46" t="s">
        <v>8300</v>
      </c>
      <c r="D10" s="47" t="e">
        <f>+#REF!</f>
        <v>#REF!</v>
      </c>
      <c r="E10" s="48">
        <f ca="1">SUM(J10:Q10,F10)</f>
        <v>0</v>
      </c>
      <c r="F10" s="44">
        <f ca="1">SUM(G10:H10)</f>
        <v>0</v>
      </c>
      <c r="G10" s="50">
        <f ca="1">+GETPIVOTDATA("XCB4",'cubi (2016)'!$A$3,"MA_HT","LUN","MA_QH","LUC")</f>
        <v>0</v>
      </c>
      <c r="H10" s="50">
        <f ca="1">+GETPIVOTDATA("XCB4",'cubi (2016)'!$A$3,"MA_HT","LUN","MA_QH","LUK")</f>
        <v>0</v>
      </c>
      <c r="I10" s="49" t="e">
        <f ca="1">$D10-$BF10</f>
        <v>#REF!</v>
      </c>
      <c r="J10" s="50">
        <f ca="1">+GETPIVOTDATA("XCB4",'cubi (2016)'!$A$3,"MA_HT","LUN","MA_QH","HNK")</f>
        <v>0</v>
      </c>
      <c r="K10" s="50">
        <f ca="1">+GETPIVOTDATA("XCB4",'cubi (2016)'!$A$3,"MA_HT","LUN","MA_QH","CLN")</f>
        <v>0</v>
      </c>
      <c r="L10" s="50">
        <f ca="1">+GETPIVOTDATA("XCB4",'cubi (2016)'!$A$3,"MA_HT","LUN","MA_QH","RSX")</f>
        <v>0</v>
      </c>
      <c r="M10" s="50">
        <f ca="1">+GETPIVOTDATA("XCB4",'cubi (2016)'!$A$3,"MA_HT","LUN","MA_QH","RPH")</f>
        <v>0</v>
      </c>
      <c r="N10" s="50">
        <f ca="1">+GETPIVOTDATA("XCB4",'cubi (2016)'!$A$3,"MA_HT","LUN","MA_QH","RDD")</f>
        <v>0</v>
      </c>
      <c r="O10" s="50">
        <f ca="1">+GETPIVOTDATA("XCB4",'cubi (2016)'!$A$3,"MA_HT","LUN","MA_QH","NTS")</f>
        <v>0</v>
      </c>
      <c r="P10" s="50">
        <f ca="1">+GETPIVOTDATA("XCB4",'cubi (2016)'!$A$3,"MA_HT","LUN","MA_QH","LMU")</f>
        <v>0</v>
      </c>
      <c r="Q10" s="50">
        <f ca="1">+GETPIVOTDATA("XCB4",'cubi (2016)'!$A$3,"MA_HT","LUN","MA_QH","NKH")</f>
        <v>0</v>
      </c>
      <c r="R10" s="48">
        <f ca="1" t="shared" si="2"/>
        <v>0</v>
      </c>
      <c r="S10" s="50">
        <f ca="1">+GETPIVOTDATA("XCB4",'cubi (2016)'!$A$3,"MA_HT","LUN","MA_QH","CQP")</f>
        <v>0</v>
      </c>
      <c r="T10" s="50">
        <f ca="1">+GETPIVOTDATA("XCB4",'cubi (2016)'!$A$3,"MA_HT","LUN","MA_QH","CAN")</f>
        <v>0</v>
      </c>
      <c r="U10" s="50">
        <f ca="1">+GETPIVOTDATA("XCB4",'cubi (2016)'!$A$3,"MA_HT","LUN","MA_QH","SKK")</f>
        <v>0</v>
      </c>
      <c r="V10" s="50">
        <f ca="1">+GETPIVOTDATA("XCB4",'cubi (2016)'!$A$3,"MA_HT","LUN","MA_QH","SKT")</f>
        <v>0</v>
      </c>
      <c r="W10" s="50">
        <f ca="1">+GETPIVOTDATA("XCB4",'cubi (2016)'!$A$3,"MA_HT","LUN","MA_QH","SKN")</f>
        <v>0</v>
      </c>
      <c r="X10" s="50">
        <f ca="1">+GETPIVOTDATA("XCB4",'cubi (2016)'!$A$3,"MA_HT","LUN","MA_QH","TMD")</f>
        <v>0</v>
      </c>
      <c r="Y10" s="50">
        <f ca="1">+GETPIVOTDATA("XCB4",'cubi (2016)'!$A$3,"MA_HT","LUN","MA_QH","SKC")</f>
        <v>0</v>
      </c>
      <c r="Z10" s="50">
        <f ca="1">+GETPIVOTDATA("XCB4",'cubi (2016)'!$A$3,"MA_HT","LUN","MA_QH","SKS")</f>
        <v>0</v>
      </c>
      <c r="AA10" s="52">
        <f ca="1" t="shared" si="4"/>
        <v>0</v>
      </c>
      <c r="AB10" s="50">
        <f ca="1">+GETPIVOTDATA("XCB4",'cubi (2016)'!$A$3,"MA_HT","LUN","MA_QH","DGT")</f>
        <v>0</v>
      </c>
      <c r="AC10" s="50">
        <f ca="1">+GETPIVOTDATA("XCB4",'cubi (2016)'!$A$3,"MA_HT","LUN","MA_QH","DTL")</f>
        <v>0</v>
      </c>
      <c r="AD10" s="50">
        <f ca="1">+GETPIVOTDATA("XCB4",'cubi (2016)'!$A$3,"MA_HT","LUN","MA_QH","DNL")</f>
        <v>0</v>
      </c>
      <c r="AE10" s="50">
        <f ca="1">+GETPIVOTDATA("XCB4",'cubi (2016)'!$A$3,"MA_HT","LUN","MA_QH","DBV")</f>
        <v>0</v>
      </c>
      <c r="AF10" s="50">
        <f ca="1">+GETPIVOTDATA("XCB4",'cubi (2016)'!$A$3,"MA_HT","LUN","MA_QH","DVH")</f>
        <v>0</v>
      </c>
      <c r="AG10" s="50">
        <f ca="1">+GETPIVOTDATA("XCB4",'cubi (2016)'!$A$3,"MA_HT","LUN","MA_QH","DYT")</f>
        <v>0</v>
      </c>
      <c r="AH10" s="50">
        <f ca="1">+GETPIVOTDATA("XCB4",'cubi (2016)'!$A$3,"MA_HT","LUN","MA_QH","DGD")</f>
        <v>0</v>
      </c>
      <c r="AI10" s="50">
        <f ca="1">+GETPIVOTDATA("XCB4",'cubi (2016)'!$A$3,"MA_HT","LUN","MA_QH","DTT")</f>
        <v>0</v>
      </c>
      <c r="AJ10" s="50">
        <f ca="1">+GETPIVOTDATA("XCB4",'cubi (2016)'!$A$3,"MA_HT","LUN","MA_QH","NCK")</f>
        <v>0</v>
      </c>
      <c r="AK10" s="50">
        <f ca="1">+GETPIVOTDATA("XCB4",'cubi (2016)'!$A$3,"MA_HT","LUN","MA_QH","DXH")</f>
        <v>0</v>
      </c>
      <c r="AL10" s="50">
        <f ca="1">+GETPIVOTDATA("XCB4",'cubi (2016)'!$A$3,"MA_HT","LUN","MA_QH","DCH")</f>
        <v>0</v>
      </c>
      <c r="AM10" s="50">
        <f ca="1">+GETPIVOTDATA("XCB4",'cubi (2016)'!$A$3,"MA_HT","LUN","MA_QH","DKG")</f>
        <v>0</v>
      </c>
      <c r="AN10" s="50">
        <f ca="1">+GETPIVOTDATA("XCB4",'cubi (2016)'!$A$3,"MA_HT","LUN","MA_QH","DDT")</f>
        <v>0</v>
      </c>
      <c r="AO10" s="50">
        <f ca="1">+GETPIVOTDATA("XCB4",'cubi (2016)'!$A$3,"MA_HT","LUN","MA_QH","DDL")</f>
        <v>0</v>
      </c>
      <c r="AP10" s="50">
        <f ca="1">+GETPIVOTDATA("XCB4",'cubi (2016)'!$A$3,"MA_HT","LUN","MA_QH","DRA")</f>
        <v>0</v>
      </c>
      <c r="AQ10" s="50">
        <f ca="1">+GETPIVOTDATA("XCB4",'cubi (2016)'!$A$3,"MA_HT","LUN","MA_QH","ONT")</f>
        <v>0</v>
      </c>
      <c r="AR10" s="50">
        <f ca="1">+GETPIVOTDATA("XCB4",'cubi (2016)'!$A$3,"MA_HT","LUN","MA_QH","ODT")</f>
        <v>0</v>
      </c>
      <c r="AS10" s="50">
        <f ca="1">+GETPIVOTDATA("XCB4",'cubi (2016)'!$A$3,"MA_HT","LUN","MA_QH","TSC")</f>
        <v>0</v>
      </c>
      <c r="AT10" s="50">
        <f ca="1">+GETPIVOTDATA("XCB4",'cubi (2016)'!$A$3,"MA_HT","LUN","MA_QH","DTS")</f>
        <v>0</v>
      </c>
      <c r="AU10" s="50">
        <f ca="1">+GETPIVOTDATA("XCB4",'cubi (2016)'!$A$3,"MA_HT","LUN","MA_QH","DNG")</f>
        <v>0</v>
      </c>
      <c r="AV10" s="50">
        <f ca="1">+GETPIVOTDATA("XCB4",'cubi (2016)'!$A$3,"MA_HT","LUN","MA_QH","TON")</f>
        <v>0</v>
      </c>
      <c r="AW10" s="50">
        <f ca="1">+GETPIVOTDATA("XCB4",'cubi (2016)'!$A$3,"MA_HT","LUN","MA_QH","NTD")</f>
        <v>0</v>
      </c>
      <c r="AX10" s="50">
        <f ca="1">+GETPIVOTDATA("XCB4",'cubi (2016)'!$A$3,"MA_HT","LUN","MA_QH","SKX")</f>
        <v>0</v>
      </c>
      <c r="AY10" s="50">
        <f ca="1">+GETPIVOTDATA("XCB4",'cubi (2016)'!$A$3,"MA_HT","LUN","MA_QH","DSH")</f>
        <v>0</v>
      </c>
      <c r="AZ10" s="50">
        <f ca="1">+GETPIVOTDATA("XCB4",'cubi (2016)'!$A$3,"MA_HT","LUN","MA_QH","DKV")</f>
        <v>0</v>
      </c>
      <c r="BA10" s="88">
        <f ca="1">+GETPIVOTDATA("XCB4",'cubi (2016)'!$A$3,"MA_HT","LUN","MA_QH","TIN")</f>
        <v>0</v>
      </c>
      <c r="BB10" s="50">
        <f ca="1">+GETPIVOTDATA("XCB4",'cubi (2016)'!$A$3,"MA_HT","LUN","MA_QH","SON")</f>
        <v>0</v>
      </c>
      <c r="BC10" s="50">
        <f ca="1">+GETPIVOTDATA("XCB4",'cubi (2016)'!$A$3,"MA_HT","LUN","MA_QH","MNC")</f>
        <v>0</v>
      </c>
      <c r="BD10" s="50">
        <f ca="1">+GETPIVOTDATA("XCB4",'cubi (2016)'!$A$3,"MA_HT","LUN","MA_QH","PNK")</f>
        <v>0</v>
      </c>
      <c r="BE10" s="80">
        <f ca="1">+GETPIVOTDATA("XCB4",'cubi (2016)'!$A$3,"MA_HT","LUN","MA_QH","CSD")</f>
        <v>0</v>
      </c>
      <c r="BF10" s="103">
        <f ca="1" t="shared" si="7"/>
        <v>0</v>
      </c>
      <c r="BG10" s="104">
        <f ca="1">I$59-$BF10</f>
        <v>0</v>
      </c>
      <c r="BH10" s="47" t="e">
        <f ca="1" t="shared" si="8"/>
        <v>#REF!</v>
      </c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</row>
    <row r="11" s="2" customFormat="1" ht="15.75" customHeight="1" spans="1:79">
      <c r="A11" s="39" t="s">
        <v>40</v>
      </c>
      <c r="B11" s="39" t="s">
        <v>8344</v>
      </c>
      <c r="C11" s="40" t="s">
        <v>2492</v>
      </c>
      <c r="D11" s="47" t="e">
        <f>+#REF!</f>
        <v>#REF!</v>
      </c>
      <c r="E11" s="42">
        <f ca="1">SUM(K11:Q11,F11)</f>
        <v>0</v>
      </c>
      <c r="F11" s="52">
        <f ca="1">SUM(G11:I11)</f>
        <v>0</v>
      </c>
      <c r="G11" s="22">
        <f ca="1">+GETPIVOTDATA("XCB4",'cubi (2016)'!$A$3,"MA_HT","HNK","MA_QH","LUC")</f>
        <v>0</v>
      </c>
      <c r="H11" s="22">
        <f ca="1">+GETPIVOTDATA("XCB4",'cubi (2016)'!$A$3,"MA_HT","HNK","MA_QH","LUK")</f>
        <v>0</v>
      </c>
      <c r="I11" s="22">
        <f ca="1">+GETPIVOTDATA("XCB4",'cubi (2016)'!$A$3,"MA_HT","HNK","MA_QH","LUN")</f>
        <v>0</v>
      </c>
      <c r="J11" s="43" t="e">
        <f ca="1">$D11-$BF11</f>
        <v>#REF!</v>
      </c>
      <c r="K11" s="22">
        <f ca="1">+GETPIVOTDATA("XCB4",'cubi (2016)'!$A$3,"MA_HT","HNK","MA_QH","CLN")</f>
        <v>0</v>
      </c>
      <c r="L11" s="22">
        <f ca="1">+GETPIVOTDATA("XCB4",'cubi (2016)'!$A$3,"MA_HT","HNK","MA_QH","RSX")</f>
        <v>0</v>
      </c>
      <c r="M11" s="22">
        <f ca="1">+GETPIVOTDATA("XCB4",'cubi (2016)'!$A$3,"MA_HT","HNK","MA_QH","RPH")</f>
        <v>0</v>
      </c>
      <c r="N11" s="22">
        <f ca="1">+GETPIVOTDATA("XCB4",'cubi (2016)'!$A$3,"MA_HT","HNK","MA_QH","RDD")</f>
        <v>0</v>
      </c>
      <c r="O11" s="22">
        <f ca="1">+GETPIVOTDATA("XCB4",'cubi (2016)'!$A$3,"MA_HT","HNK","MA_QH","NTS")</f>
        <v>0</v>
      </c>
      <c r="P11" s="22">
        <f ca="1">+GETPIVOTDATA("XCB4",'cubi (2016)'!$A$3,"MA_HT","HNK","MA_QH","LMU")</f>
        <v>0</v>
      </c>
      <c r="Q11" s="22">
        <f ca="1">+GETPIVOTDATA("XCB4",'cubi (2016)'!$A$3,"MA_HT","HNK","MA_QH","NKH")</f>
        <v>0</v>
      </c>
      <c r="R11" s="42">
        <f ca="1" t="shared" si="2"/>
        <v>0</v>
      </c>
      <c r="S11" s="22">
        <f ca="1">+GETPIVOTDATA("XCB4",'cubi (2016)'!$A$3,"MA_HT","HNK","MA_QH","CQP")</f>
        <v>0</v>
      </c>
      <c r="T11" s="22">
        <f ca="1">+GETPIVOTDATA("XCB4",'cubi (2016)'!$A$3,"MA_HT","HNK","MA_QH","CAN")</f>
        <v>0</v>
      </c>
      <c r="U11" s="22">
        <f ca="1">+GETPIVOTDATA("XCB4",'cubi (2016)'!$A$3,"MA_HT","HNK","MA_QH","SKK")</f>
        <v>0</v>
      </c>
      <c r="V11" s="22">
        <f ca="1">+GETPIVOTDATA("XCB4",'cubi (2016)'!$A$3,"MA_HT","HNK","MA_QH","SKT")</f>
        <v>0</v>
      </c>
      <c r="W11" s="22">
        <f ca="1">+GETPIVOTDATA("XCB4",'cubi (2016)'!$A$3,"MA_HT","HNK","MA_QH","SKN")</f>
        <v>0</v>
      </c>
      <c r="X11" s="22">
        <f ca="1">+GETPIVOTDATA("XCB4",'cubi (2016)'!$A$3,"MA_HT","HNK","MA_QH","TMD")</f>
        <v>0</v>
      </c>
      <c r="Y11" s="22">
        <f ca="1">+GETPIVOTDATA("XCB4",'cubi (2016)'!$A$3,"MA_HT","HNK","MA_QH","SKC")</f>
        <v>0</v>
      </c>
      <c r="Z11" s="22">
        <f ca="1">+GETPIVOTDATA("XCB4",'cubi (2016)'!$A$3,"MA_HT","HNK","MA_QH","SKS")</f>
        <v>0</v>
      </c>
      <c r="AA11" s="52">
        <f ca="1" t="shared" si="4"/>
        <v>0</v>
      </c>
      <c r="AB11" s="22">
        <f ca="1">+GETPIVOTDATA("XCB4",'cubi (2016)'!$A$3,"MA_HT","HNK","MA_QH","DGT")</f>
        <v>0</v>
      </c>
      <c r="AC11" s="22">
        <f ca="1">+GETPIVOTDATA("XCB4",'cubi (2016)'!$A$3,"MA_HT","HNK","MA_QH","DTL")</f>
        <v>0</v>
      </c>
      <c r="AD11" s="22">
        <f ca="1">+GETPIVOTDATA("XCB4",'cubi (2016)'!$A$3,"MA_HT","HNK","MA_QH","DNL")</f>
        <v>0</v>
      </c>
      <c r="AE11" s="22">
        <f ca="1">+GETPIVOTDATA("XCB4",'cubi (2016)'!$A$3,"MA_HT","HNK","MA_QH","DBV")</f>
        <v>0</v>
      </c>
      <c r="AF11" s="22">
        <f ca="1">+GETPIVOTDATA("XCB4",'cubi (2016)'!$A$3,"MA_HT","HNK","MA_QH","DVH")</f>
        <v>0</v>
      </c>
      <c r="AG11" s="22">
        <f ca="1">+GETPIVOTDATA("XCB4",'cubi (2016)'!$A$3,"MA_HT","HNK","MA_QH","DYT")</f>
        <v>0</v>
      </c>
      <c r="AH11" s="22">
        <f ca="1">+GETPIVOTDATA("XCB4",'cubi (2016)'!$A$3,"MA_HT","HNK","MA_QH","DGD")</f>
        <v>0</v>
      </c>
      <c r="AI11" s="22">
        <f ca="1">+GETPIVOTDATA("XCB4",'cubi (2016)'!$A$3,"MA_HT","HNK","MA_QH","DTT")</f>
        <v>0</v>
      </c>
      <c r="AJ11" s="22">
        <f ca="1">+GETPIVOTDATA("XCB4",'cubi (2016)'!$A$3,"MA_HT","HNK","MA_QH","NCK")</f>
        <v>0</v>
      </c>
      <c r="AK11" s="22">
        <f ca="1">+GETPIVOTDATA("XCB4",'cubi (2016)'!$A$3,"MA_HT","HNK","MA_QH","DXH")</f>
        <v>0</v>
      </c>
      <c r="AL11" s="22">
        <f ca="1">+GETPIVOTDATA("XCB4",'cubi (2016)'!$A$3,"MA_HT","HNK","MA_QH","DCH")</f>
        <v>0</v>
      </c>
      <c r="AM11" s="22">
        <f ca="1">+GETPIVOTDATA("XCB4",'cubi (2016)'!$A$3,"MA_HT","HNK","MA_QH","DKG")</f>
        <v>0</v>
      </c>
      <c r="AN11" s="22">
        <f ca="1">+GETPIVOTDATA("XCB4",'cubi (2016)'!$A$3,"MA_HT","HNK","MA_QH","DDT")</f>
        <v>0</v>
      </c>
      <c r="AO11" s="22">
        <f ca="1">+GETPIVOTDATA("XCB4",'cubi (2016)'!$A$3,"MA_HT","HNK","MA_QH","DDL")</f>
        <v>0</v>
      </c>
      <c r="AP11" s="22">
        <f ca="1">+GETPIVOTDATA("XCB4",'cubi (2016)'!$A$3,"MA_HT","HNK","MA_QH","DRA")</f>
        <v>0</v>
      </c>
      <c r="AQ11" s="22">
        <f ca="1">+GETPIVOTDATA("XCB4",'cubi (2016)'!$A$3,"MA_HT","HNK","MA_QH","ONT")</f>
        <v>0</v>
      </c>
      <c r="AR11" s="22">
        <f ca="1">+GETPIVOTDATA("XCB4",'cubi (2016)'!$A$3,"MA_HT","HNK","MA_QH","ODT")</f>
        <v>0</v>
      </c>
      <c r="AS11" s="22">
        <f ca="1">+GETPIVOTDATA("XCB4",'cubi (2016)'!$A$3,"MA_HT","HNK","MA_QH","TSC")</f>
        <v>0</v>
      </c>
      <c r="AT11" s="22">
        <f ca="1">+GETPIVOTDATA("XCB4",'cubi (2016)'!$A$3,"MA_HT","HNK","MA_QH","DTS")</f>
        <v>0</v>
      </c>
      <c r="AU11" s="22">
        <f ca="1">+GETPIVOTDATA("XCB4",'cubi (2016)'!$A$3,"MA_HT","HNK","MA_QH","DNG")</f>
        <v>0</v>
      </c>
      <c r="AV11" s="22">
        <f ca="1">+GETPIVOTDATA("XCB4",'cubi (2016)'!$A$3,"MA_HT","HNK","MA_QH","TON")</f>
        <v>0</v>
      </c>
      <c r="AW11" s="22">
        <f ca="1">+GETPIVOTDATA("XCB4",'cubi (2016)'!$A$3,"MA_HT","HNK","MA_QH","NTD")</f>
        <v>0</v>
      </c>
      <c r="AX11" s="22">
        <f ca="1">+GETPIVOTDATA("XCB4",'cubi (2016)'!$A$3,"MA_HT","HNK","MA_QH","SKX")</f>
        <v>0</v>
      </c>
      <c r="AY11" s="22">
        <f ca="1">+GETPIVOTDATA("XCB4",'cubi (2016)'!$A$3,"MA_HT","HNK","MA_QH","DSH")</f>
        <v>0</v>
      </c>
      <c r="AZ11" s="22">
        <f ca="1">+GETPIVOTDATA("XCB4",'cubi (2016)'!$A$3,"MA_HT","HNK","MA_QH","DKV")</f>
        <v>0</v>
      </c>
      <c r="BA11" s="89">
        <f ca="1">+GETPIVOTDATA("XCB4",'cubi (2016)'!$A$3,"MA_HT","HNK","MA_QH","TIN")</f>
        <v>0</v>
      </c>
      <c r="BB11" s="50">
        <f ca="1">+GETPIVOTDATA("XCB4",'cubi (2016)'!$A$3,"MA_HT","HNK","MA_QH","SON")</f>
        <v>0</v>
      </c>
      <c r="BC11" s="50">
        <f ca="1">+GETPIVOTDATA("XCB4",'cubi (2016)'!$A$3,"MA_HT","HNK","MA_QH","MNC")</f>
        <v>0</v>
      </c>
      <c r="BD11" s="22">
        <f ca="1">+GETPIVOTDATA("XCB4",'cubi (2016)'!$A$3,"MA_HT","HNK","MA_QH","PNK")</f>
        <v>0</v>
      </c>
      <c r="BE11" s="71">
        <f ca="1">+GETPIVOTDATA("XCB4",'cubi (2016)'!$A$3,"MA_HT","HNK","MA_QH","CSD")</f>
        <v>0</v>
      </c>
      <c r="BF11" s="74">
        <f ca="1" t="shared" si="7"/>
        <v>0</v>
      </c>
      <c r="BG11" s="101">
        <f ca="1">J$59-$BF11</f>
        <v>0</v>
      </c>
      <c r="BH11" s="41" t="e">
        <f ca="1" t="shared" si="8"/>
        <v>#REF!</v>
      </c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</row>
    <row r="12" s="2" customFormat="1" ht="15.75" customHeight="1" spans="1:79">
      <c r="A12" s="39" t="s">
        <v>8345</v>
      </c>
      <c r="B12" s="39" t="s">
        <v>8346</v>
      </c>
      <c r="C12" s="40" t="s">
        <v>30</v>
      </c>
      <c r="D12" s="47" t="e">
        <f>+#REF!</f>
        <v>#REF!</v>
      </c>
      <c r="E12" s="42">
        <f ca="1">SUM(L12:Q12,F12,J12)</f>
        <v>0</v>
      </c>
      <c r="F12" s="52">
        <f ca="1" t="shared" ref="F12:F58" si="9">SUM(G12:I12)</f>
        <v>0</v>
      </c>
      <c r="G12" s="22">
        <f ca="1">+GETPIVOTDATA("XCB4",'cubi (2016)'!$A$3,"MA_HT","CLN","MA_QH","LUC")</f>
        <v>0</v>
      </c>
      <c r="H12" s="22">
        <f ca="1">+GETPIVOTDATA("XCB4",'cubi (2016)'!$A$3,"MA_HT","CLN","MA_QH","LUK")</f>
        <v>0</v>
      </c>
      <c r="I12" s="22">
        <f ca="1">+GETPIVOTDATA("XCB4",'cubi (2016)'!$A$3,"MA_HT","CLN","MA_QH","LUN")</f>
        <v>0</v>
      </c>
      <c r="J12" s="22">
        <f ca="1">+GETPIVOTDATA("XCB4",'cubi (2016)'!$A$3,"MA_HT","CLN","MA_QH","HNK")</f>
        <v>0</v>
      </c>
      <c r="K12" s="43" t="e">
        <f ca="1">$D12-$BF12</f>
        <v>#REF!</v>
      </c>
      <c r="L12" s="22">
        <f ca="1">+GETPIVOTDATA("XCB4",'cubi (2016)'!$A$3,"MA_HT","CLN","MA_QH","RSX")</f>
        <v>0</v>
      </c>
      <c r="M12" s="22">
        <f ca="1">+GETPIVOTDATA("XCB4",'cubi (2016)'!$A$3,"MA_HT","CLN","MA_QH","RPH")</f>
        <v>0</v>
      </c>
      <c r="N12" s="22">
        <f ca="1">+GETPIVOTDATA("XCB4",'cubi (2016)'!$A$3,"MA_HT","CLN","MA_QH","RDD")</f>
        <v>0</v>
      </c>
      <c r="O12" s="22">
        <f ca="1">+GETPIVOTDATA("XCB4",'cubi (2016)'!$A$3,"MA_HT","CLN","MA_QH","NTS")</f>
        <v>0</v>
      </c>
      <c r="P12" s="22">
        <f ca="1">+GETPIVOTDATA("XCB4",'cubi (2016)'!$A$3,"MA_HT","CLN","MA_QH","LMU")</f>
        <v>0</v>
      </c>
      <c r="Q12" s="22">
        <f ca="1">+GETPIVOTDATA("XCB4",'cubi (2016)'!$A$3,"MA_HT","CLN","MA_QH","NKH")</f>
        <v>0</v>
      </c>
      <c r="R12" s="42">
        <f ca="1" t="shared" si="2"/>
        <v>0</v>
      </c>
      <c r="S12" s="22">
        <f ca="1">+GETPIVOTDATA("XCB4",'cubi (2016)'!$A$3,"MA_HT","CLN","MA_QH","CQP")</f>
        <v>0</v>
      </c>
      <c r="T12" s="22">
        <f ca="1">+GETPIVOTDATA("XCB4",'cubi (2016)'!$A$3,"MA_HT","CLN","MA_QH","CAN")</f>
        <v>0</v>
      </c>
      <c r="U12" s="22">
        <f ca="1">+GETPIVOTDATA("XCB4",'cubi (2016)'!$A$3,"MA_HT","CLN","MA_QH","SKK")</f>
        <v>0</v>
      </c>
      <c r="V12" s="22">
        <f ca="1">+GETPIVOTDATA("XCB4",'cubi (2016)'!$A$3,"MA_HT","CLN","MA_QH","SKT")</f>
        <v>0</v>
      </c>
      <c r="W12" s="22">
        <f ca="1">+GETPIVOTDATA("XCB4",'cubi (2016)'!$A$3,"MA_HT","CLN","MA_QH","SKN")</f>
        <v>0</v>
      </c>
      <c r="X12" s="22">
        <f ca="1">+GETPIVOTDATA("XCB4",'cubi (2016)'!$A$3,"MA_HT","CLN","MA_QH","TMD")</f>
        <v>0</v>
      </c>
      <c r="Y12" s="22">
        <f ca="1">+GETPIVOTDATA("XCB4",'cubi (2016)'!$A$3,"MA_HT","CLN","MA_QH","SKC")</f>
        <v>0</v>
      </c>
      <c r="Z12" s="22">
        <f ca="1">+GETPIVOTDATA("XCB4",'cubi (2016)'!$A$3,"MA_HT","CLN","MA_QH","SKS")</f>
        <v>0</v>
      </c>
      <c r="AA12" s="52">
        <f ca="1" t="shared" si="4"/>
        <v>0</v>
      </c>
      <c r="AB12" s="22">
        <f ca="1">+GETPIVOTDATA("XCB4",'cubi (2016)'!$A$3,"MA_HT","CLN","MA_QH","DGT")</f>
        <v>0</v>
      </c>
      <c r="AC12" s="22">
        <f ca="1">+GETPIVOTDATA("XCB4",'cubi (2016)'!$A$3,"MA_HT","CLN","MA_QH","DTL")</f>
        <v>0</v>
      </c>
      <c r="AD12" s="22">
        <f ca="1">+GETPIVOTDATA("XCB4",'cubi (2016)'!$A$3,"MA_HT","CLN","MA_QH","DNL")</f>
        <v>0</v>
      </c>
      <c r="AE12" s="22">
        <f ca="1">+GETPIVOTDATA("XCB4",'cubi (2016)'!$A$3,"MA_HT","CLN","MA_QH","DBV")</f>
        <v>0</v>
      </c>
      <c r="AF12" s="22">
        <f ca="1">+GETPIVOTDATA("XCB4",'cubi (2016)'!$A$3,"MA_HT","CLN","MA_QH","DVH")</f>
        <v>0</v>
      </c>
      <c r="AG12" s="22">
        <f ca="1">+GETPIVOTDATA("XCB4",'cubi (2016)'!$A$3,"MA_HT","CLN","MA_QH","DYT")</f>
        <v>0</v>
      </c>
      <c r="AH12" s="22">
        <f ca="1">+GETPIVOTDATA("XCB4",'cubi (2016)'!$A$3,"MA_HT","CLN","MA_QH","DGD")</f>
        <v>0</v>
      </c>
      <c r="AI12" s="22">
        <f ca="1">+GETPIVOTDATA("XCB4",'cubi (2016)'!$A$3,"MA_HT","CLN","MA_QH","DTT")</f>
        <v>0</v>
      </c>
      <c r="AJ12" s="22">
        <f ca="1">+GETPIVOTDATA("XCB4",'cubi (2016)'!$A$3,"MA_HT","CLN","MA_QH","NCK")</f>
        <v>0</v>
      </c>
      <c r="AK12" s="22">
        <f ca="1">+GETPIVOTDATA("XCB4",'cubi (2016)'!$A$3,"MA_HT","CLN","MA_QH","DXH")</f>
        <v>0</v>
      </c>
      <c r="AL12" s="22">
        <f ca="1">+GETPIVOTDATA("XCB4",'cubi (2016)'!$A$3,"MA_HT","CLN","MA_QH","DCH")</f>
        <v>0</v>
      </c>
      <c r="AM12" s="22">
        <f ca="1">+GETPIVOTDATA("XCB4",'cubi (2016)'!$A$3,"MA_HT","CLN","MA_QH","DKG")</f>
        <v>0</v>
      </c>
      <c r="AN12" s="22">
        <f ca="1">+GETPIVOTDATA("XCB4",'cubi (2016)'!$A$3,"MA_HT","CLN","MA_QH","DDT")</f>
        <v>0</v>
      </c>
      <c r="AO12" s="22">
        <f ca="1">+GETPIVOTDATA("XCB4",'cubi (2016)'!$A$3,"MA_HT","CLN","MA_QH","DDL")</f>
        <v>0</v>
      </c>
      <c r="AP12" s="22">
        <f ca="1">+GETPIVOTDATA("XCB4",'cubi (2016)'!$A$3,"MA_HT","CLN","MA_QH","DRA")</f>
        <v>0</v>
      </c>
      <c r="AQ12" s="22">
        <f ca="1">+GETPIVOTDATA("XCB4",'cubi (2016)'!$A$3,"MA_HT","CLN","MA_QH","ONT")</f>
        <v>0</v>
      </c>
      <c r="AR12" s="22">
        <f ca="1">+GETPIVOTDATA("XCB4",'cubi (2016)'!$A$3,"MA_HT","CLN","MA_QH","ODT")</f>
        <v>0</v>
      </c>
      <c r="AS12" s="22">
        <f ca="1">+GETPIVOTDATA("XCB4",'cubi (2016)'!$A$3,"MA_HT","CLN","MA_QH","TSC")</f>
        <v>0</v>
      </c>
      <c r="AT12" s="22">
        <f ca="1">+GETPIVOTDATA("XCB4",'cubi (2016)'!$A$3,"MA_HT","CLN","MA_QH","DTS")</f>
        <v>0</v>
      </c>
      <c r="AU12" s="22">
        <f ca="1">+GETPIVOTDATA("XCB4",'cubi (2016)'!$A$3,"MA_HT","CLN","MA_QH","DNG")</f>
        <v>0</v>
      </c>
      <c r="AV12" s="22">
        <f ca="1">+GETPIVOTDATA("XCB4",'cubi (2016)'!$A$3,"MA_HT","CLN","MA_QH","TON")</f>
        <v>0</v>
      </c>
      <c r="AW12" s="22">
        <f ca="1">+GETPIVOTDATA("XCB4",'cubi (2016)'!$A$3,"MA_HT","CLN","MA_QH","NTD")</f>
        <v>0</v>
      </c>
      <c r="AX12" s="22">
        <f ca="1">+GETPIVOTDATA("XCB4",'cubi (2016)'!$A$3,"MA_HT","CLN","MA_QH","SKX")</f>
        <v>0</v>
      </c>
      <c r="AY12" s="22">
        <f ca="1">+GETPIVOTDATA("XCB4",'cubi (2016)'!$A$3,"MA_HT","CLN","MA_QH","DSH")</f>
        <v>0</v>
      </c>
      <c r="AZ12" s="22">
        <f ca="1">+GETPIVOTDATA("XCB4",'cubi (2016)'!$A$3,"MA_HT","CLN","MA_QH","DKV")</f>
        <v>0</v>
      </c>
      <c r="BA12" s="89">
        <f ca="1">+GETPIVOTDATA("XCB4",'cubi (2016)'!$A$3,"MA_HT","CLN","MA_QH","TIN")</f>
        <v>0</v>
      </c>
      <c r="BB12" s="50">
        <f ca="1">+GETPIVOTDATA("XCB4",'cubi (2016)'!$A$3,"MA_HT","CLN","MA_QH","SON")</f>
        <v>0</v>
      </c>
      <c r="BC12" s="50">
        <f ca="1">+GETPIVOTDATA("XCB4",'cubi (2016)'!$A$3,"MA_HT","CLN","MA_QH","MNC")</f>
        <v>0</v>
      </c>
      <c r="BD12" s="22">
        <f ca="1">+GETPIVOTDATA("XCB4",'cubi (2016)'!$A$3,"MA_HT","CLN","MA_QH","PNK")</f>
        <v>0</v>
      </c>
      <c r="BE12" s="71">
        <f ca="1">+GETPIVOTDATA("XCB4",'cubi (2016)'!$A$3,"MA_HT","CLN","MA_QH","CSD")</f>
        <v>0</v>
      </c>
      <c r="BF12" s="74">
        <f ca="1" t="shared" si="7"/>
        <v>0</v>
      </c>
      <c r="BG12" s="101">
        <f ca="1">K$59-$BF12</f>
        <v>0</v>
      </c>
      <c r="BH12" s="41" t="e">
        <f ca="1" t="shared" si="8"/>
        <v>#REF!</v>
      </c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</row>
    <row r="13" s="2" customFormat="1" ht="15.75" customHeight="1" spans="1:79">
      <c r="A13" s="39" t="s">
        <v>8347</v>
      </c>
      <c r="B13" s="39" t="s">
        <v>8348</v>
      </c>
      <c r="C13" s="40" t="s">
        <v>8307</v>
      </c>
      <c r="D13" s="47" t="e">
        <f>+#REF!</f>
        <v>#REF!</v>
      </c>
      <c r="E13" s="42">
        <f ca="1">SUM(F13,J13:K13,M13:Q13)</f>
        <v>0</v>
      </c>
      <c r="F13" s="52">
        <f ca="1" t="shared" si="9"/>
        <v>0</v>
      </c>
      <c r="G13" s="22">
        <f ca="1">+GETPIVOTDATA("XCB4",'cubi (2016)'!$A$3,"MA_HT","RSX","MA_QH","LUC")</f>
        <v>0</v>
      </c>
      <c r="H13" s="22">
        <f ca="1">+GETPIVOTDATA("XCB4",'cubi (2016)'!$A$3,"MA_HT","RSX","MA_QH","LUK")</f>
        <v>0</v>
      </c>
      <c r="I13" s="22">
        <f ca="1">+GETPIVOTDATA("XCB4",'cubi (2016)'!$A$3,"MA_HT","RSX","MA_QH","LUN")</f>
        <v>0</v>
      </c>
      <c r="J13" s="22">
        <f ca="1">+GETPIVOTDATA("XCB4",'cubi (2016)'!$A$3,"MA_HT","RSX","MA_QH","HNK")</f>
        <v>0</v>
      </c>
      <c r="K13" s="22">
        <f ca="1">+GETPIVOTDATA("XCB4",'cubi (2016)'!$A$3,"MA_HT","RSX","MA_QH","CLN")</f>
        <v>0</v>
      </c>
      <c r="L13" s="43" t="e">
        <f ca="1">$D13-$BF13</f>
        <v>#REF!</v>
      </c>
      <c r="M13" s="22">
        <f ca="1">+GETPIVOTDATA("XCB4",'cubi (2016)'!$A$3,"MA_HT","RSX","MA_QH","RPH")</f>
        <v>0</v>
      </c>
      <c r="N13" s="22">
        <f ca="1">+GETPIVOTDATA("XCB4",'cubi (2016)'!$A$3,"MA_HT","RSX","MA_QH","RDD")</f>
        <v>0</v>
      </c>
      <c r="O13" s="22">
        <f ca="1">+GETPIVOTDATA("XCB4",'cubi (2016)'!$A$3,"MA_HT","RSX","MA_QH","NTS")</f>
        <v>0</v>
      </c>
      <c r="P13" s="22">
        <f ca="1">+GETPIVOTDATA("XCB4",'cubi (2016)'!$A$3,"MA_HT","RSX","MA_QH","LMU")</f>
        <v>0</v>
      </c>
      <c r="Q13" s="22">
        <f ca="1">+GETPIVOTDATA("XCB4",'cubi (2016)'!$A$3,"MA_HT","RSX","MA_QH","NKH")</f>
        <v>0</v>
      </c>
      <c r="R13" s="42">
        <f ca="1" t="shared" si="2"/>
        <v>0</v>
      </c>
      <c r="S13" s="22">
        <f ca="1">+GETPIVOTDATA("XCB4",'cubi (2016)'!$A$3,"MA_HT","RSX","MA_QH","CQP")</f>
        <v>0</v>
      </c>
      <c r="T13" s="22">
        <f ca="1">+GETPIVOTDATA("XCB4",'cubi (2016)'!$A$3,"MA_HT","RSX","MA_QH","CAN")</f>
        <v>0</v>
      </c>
      <c r="U13" s="22">
        <f ca="1">+GETPIVOTDATA("XCB4",'cubi (2016)'!$A$3,"MA_HT","RSX","MA_QH","SKK")</f>
        <v>0</v>
      </c>
      <c r="V13" s="22">
        <f ca="1">+GETPIVOTDATA("XCB4",'cubi (2016)'!$A$3,"MA_HT","RSX","MA_QH","SKT")</f>
        <v>0</v>
      </c>
      <c r="W13" s="22">
        <f ca="1">+GETPIVOTDATA("XCB4",'cubi (2016)'!$A$3,"MA_HT","RSX","MA_QH","SKN")</f>
        <v>0</v>
      </c>
      <c r="X13" s="22">
        <f ca="1">+GETPIVOTDATA("XCB4",'cubi (2016)'!$A$3,"MA_HT","RSX","MA_QH","TMD")</f>
        <v>0</v>
      </c>
      <c r="Y13" s="22">
        <f ca="1">+GETPIVOTDATA("XCB4",'cubi (2016)'!$A$3,"MA_HT","RSX","MA_QH","SKC")</f>
        <v>0</v>
      </c>
      <c r="Z13" s="22">
        <f ca="1">+GETPIVOTDATA("XCB4",'cubi (2016)'!$A$3,"MA_HT","RSX","MA_QH","SKS")</f>
        <v>0</v>
      </c>
      <c r="AA13" s="52">
        <f ca="1" t="shared" si="4"/>
        <v>0</v>
      </c>
      <c r="AB13" s="22">
        <f ca="1">+GETPIVOTDATA("XCB4",'cubi (2016)'!$A$3,"MA_HT","RSX","MA_QH","DGT")</f>
        <v>0</v>
      </c>
      <c r="AC13" s="22">
        <f ca="1">+GETPIVOTDATA("XCB4",'cubi (2016)'!$A$3,"MA_HT","RSX","MA_QH","DTL")</f>
        <v>0</v>
      </c>
      <c r="AD13" s="22">
        <f ca="1">+GETPIVOTDATA("XCB4",'cubi (2016)'!$A$3,"MA_HT","RSX","MA_QH","DNL")</f>
        <v>0</v>
      </c>
      <c r="AE13" s="22">
        <f ca="1">+GETPIVOTDATA("XCB4",'cubi (2016)'!$A$3,"MA_HT","RSX","MA_QH","DBV")</f>
        <v>0</v>
      </c>
      <c r="AF13" s="22">
        <f ca="1">+GETPIVOTDATA("XCB4",'cubi (2016)'!$A$3,"MA_HT","RSX","MA_QH","DVH")</f>
        <v>0</v>
      </c>
      <c r="AG13" s="22">
        <f ca="1">+GETPIVOTDATA("XCB4",'cubi (2016)'!$A$3,"MA_HT","RSX","MA_QH","DYT")</f>
        <v>0</v>
      </c>
      <c r="AH13" s="22">
        <f ca="1">+GETPIVOTDATA("XCB4",'cubi (2016)'!$A$3,"MA_HT","RSX","MA_QH","DGD")</f>
        <v>0</v>
      </c>
      <c r="AI13" s="22">
        <f ca="1">+GETPIVOTDATA("XCB4",'cubi (2016)'!$A$3,"MA_HT","RSX","MA_QH","DTT")</f>
        <v>0</v>
      </c>
      <c r="AJ13" s="22">
        <f ca="1">+GETPIVOTDATA("XCB4",'cubi (2016)'!$A$3,"MA_HT","RSX","MA_QH","NCK")</f>
        <v>0</v>
      </c>
      <c r="AK13" s="22">
        <f ca="1">+GETPIVOTDATA("XCB4",'cubi (2016)'!$A$3,"MA_HT","RSX","MA_QH","DXH")</f>
        <v>0</v>
      </c>
      <c r="AL13" s="22">
        <f ca="1">+GETPIVOTDATA("XCB4",'cubi (2016)'!$A$3,"MA_HT","RSX","MA_QH","DCH")</f>
        <v>0</v>
      </c>
      <c r="AM13" s="22">
        <f ca="1">+GETPIVOTDATA("XCB4",'cubi (2016)'!$A$3,"MA_HT","RSX","MA_QH","DKG")</f>
        <v>0</v>
      </c>
      <c r="AN13" s="22">
        <f ca="1">+GETPIVOTDATA("XCB4",'cubi (2016)'!$A$3,"MA_HT","RSX","MA_QH","DDT")</f>
        <v>0</v>
      </c>
      <c r="AO13" s="22">
        <f ca="1">+GETPIVOTDATA("XCB4",'cubi (2016)'!$A$3,"MA_HT","RSX","MA_QH","DDL")</f>
        <v>0</v>
      </c>
      <c r="AP13" s="22">
        <f ca="1">+GETPIVOTDATA("XCB4",'cubi (2016)'!$A$3,"MA_HT","RSX","MA_QH","DRA")</f>
        <v>0</v>
      </c>
      <c r="AQ13" s="22">
        <f ca="1">+GETPIVOTDATA("XCB4",'cubi (2016)'!$A$3,"MA_HT","RSX","MA_QH","ONT")</f>
        <v>0</v>
      </c>
      <c r="AR13" s="22">
        <f ca="1">+GETPIVOTDATA("XCB4",'cubi (2016)'!$A$3,"MA_HT","RSX","MA_QH","ODT")</f>
        <v>0</v>
      </c>
      <c r="AS13" s="22">
        <f ca="1">+GETPIVOTDATA("XCB4",'cubi (2016)'!$A$3,"MA_HT","RSX","MA_QH","TSC")</f>
        <v>0</v>
      </c>
      <c r="AT13" s="22">
        <f ca="1">+GETPIVOTDATA("XCB4",'cubi (2016)'!$A$3,"MA_HT","RSX","MA_QH","DTS")</f>
        <v>0</v>
      </c>
      <c r="AU13" s="22">
        <f ca="1">+GETPIVOTDATA("XCB4",'cubi (2016)'!$A$3,"MA_HT","RSX","MA_QH","DNG")</f>
        <v>0</v>
      </c>
      <c r="AV13" s="22">
        <f ca="1">+GETPIVOTDATA("XCB4",'cubi (2016)'!$A$3,"MA_HT","RSX","MA_QH","TON")</f>
        <v>0</v>
      </c>
      <c r="AW13" s="22">
        <f ca="1">+GETPIVOTDATA("XCB4",'cubi (2016)'!$A$3,"MA_HT","RSX","MA_QH","NTD")</f>
        <v>0</v>
      </c>
      <c r="AX13" s="22">
        <f ca="1">+GETPIVOTDATA("XCB4",'cubi (2016)'!$A$3,"MA_HT","RSX","MA_QH","SKX")</f>
        <v>0</v>
      </c>
      <c r="AY13" s="22">
        <f ca="1">+GETPIVOTDATA("XCB4",'cubi (2016)'!$A$3,"MA_HT","RSX","MA_QH","DSH")</f>
        <v>0</v>
      </c>
      <c r="AZ13" s="22">
        <f ca="1">+GETPIVOTDATA("XCB4",'cubi (2016)'!$A$3,"MA_HT","RSX","MA_QH","DKV")</f>
        <v>0</v>
      </c>
      <c r="BA13" s="89">
        <f ca="1">+GETPIVOTDATA("XCB4",'cubi (2016)'!$A$3,"MA_HT","RSX","MA_QH","TIN")</f>
        <v>0</v>
      </c>
      <c r="BB13" s="50">
        <f ca="1">+GETPIVOTDATA("XCB4",'cubi (2016)'!$A$3,"MA_HT","RSX","MA_QH","SON")</f>
        <v>0</v>
      </c>
      <c r="BC13" s="50">
        <f ca="1">+GETPIVOTDATA("XCB4",'cubi (2016)'!$A$3,"MA_HT","RSX","MA_QH","MNC")</f>
        <v>0</v>
      </c>
      <c r="BD13" s="22">
        <f ca="1">+GETPIVOTDATA("XCB4",'cubi (2016)'!$A$3,"MA_HT","RSX","MA_QH","PNK")</f>
        <v>0</v>
      </c>
      <c r="BE13" s="71">
        <f ca="1">+GETPIVOTDATA("XCB4",'cubi (2016)'!$A$3,"MA_HT","RSX","MA_QH","CSD")</f>
        <v>0</v>
      </c>
      <c r="BF13" s="74">
        <f ca="1" t="shared" si="7"/>
        <v>0</v>
      </c>
      <c r="BG13" s="101">
        <f ca="1">L$59-$BF13</f>
        <v>0</v>
      </c>
      <c r="BH13" s="41" t="e">
        <f ca="1" t="shared" si="8"/>
        <v>#REF!</v>
      </c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</row>
    <row r="14" s="2" customFormat="1" ht="15.75" customHeight="1" spans="1:79">
      <c r="A14" s="39" t="s">
        <v>8349</v>
      </c>
      <c r="B14" s="39" t="s">
        <v>8350</v>
      </c>
      <c r="C14" s="40" t="s">
        <v>8306</v>
      </c>
      <c r="D14" s="47" t="e">
        <f>+#REF!</f>
        <v>#REF!</v>
      </c>
      <c r="E14" s="42">
        <f ca="1">SUM(F14,J14:L14,N14:Q14)</f>
        <v>0</v>
      </c>
      <c r="F14" s="52">
        <f ca="1" t="shared" si="9"/>
        <v>0</v>
      </c>
      <c r="G14" s="22">
        <f ca="1">+GETPIVOTDATA("XCB4",'cubi (2016)'!$A$3,"MA_HT","RPH","MA_QH","LUC")</f>
        <v>0</v>
      </c>
      <c r="H14" s="22">
        <f ca="1">+GETPIVOTDATA("XCB4",'cubi (2016)'!$A$3,"MA_HT","RPH","MA_QH","LUK")</f>
        <v>0</v>
      </c>
      <c r="I14" s="22">
        <f ca="1">+GETPIVOTDATA("XCB4",'cubi (2016)'!$A$3,"MA_HT","RPH","MA_QH","LUN")</f>
        <v>0</v>
      </c>
      <c r="J14" s="22">
        <f ca="1">+GETPIVOTDATA("XCB4",'cubi (2016)'!$A$3,"MA_HT","RPH","MA_QH","HNK")</f>
        <v>0</v>
      </c>
      <c r="K14" s="22">
        <f ca="1">+GETPIVOTDATA("XCB4",'cubi (2016)'!$A$3,"MA_HT","RPH","MA_QH","CLN")</f>
        <v>0</v>
      </c>
      <c r="L14" s="22">
        <f ca="1">+GETPIVOTDATA("XCB4",'cubi (2016)'!$A$3,"MA_HT","RPH","MA_QH","RSX")</f>
        <v>0</v>
      </c>
      <c r="M14" s="43" t="e">
        <f ca="1">$D14-$BF14</f>
        <v>#REF!</v>
      </c>
      <c r="N14" s="22">
        <f ca="1">+GETPIVOTDATA("XCB4",'cubi (2016)'!$A$3,"MA_HT","RPH","MA_QH","RDD")</f>
        <v>0</v>
      </c>
      <c r="O14" s="22">
        <f ca="1">+GETPIVOTDATA("XCB4",'cubi (2016)'!$A$3,"MA_HT","RPH","MA_QH","NTS")</f>
        <v>0</v>
      </c>
      <c r="P14" s="22">
        <f ca="1">+GETPIVOTDATA("XCB4",'cubi (2016)'!$A$3,"MA_HT","RPH","MA_QH","LMU")</f>
        <v>0</v>
      </c>
      <c r="Q14" s="22">
        <f ca="1">+GETPIVOTDATA("XCB4",'cubi (2016)'!$A$3,"MA_HT","RPH","MA_QH","NKH")</f>
        <v>0</v>
      </c>
      <c r="R14" s="42">
        <f ca="1" t="shared" si="2"/>
        <v>0</v>
      </c>
      <c r="S14" s="22">
        <f ca="1">+GETPIVOTDATA("XCB4",'cubi (2016)'!$A$3,"MA_HT","RPH","MA_QH","CQP")</f>
        <v>0</v>
      </c>
      <c r="T14" s="22">
        <f ca="1">+GETPIVOTDATA("XCB4",'cubi (2016)'!$A$3,"MA_HT","RPH","MA_QH","CAN")</f>
        <v>0</v>
      </c>
      <c r="U14" s="22">
        <f ca="1">+GETPIVOTDATA("XCB4",'cubi (2016)'!$A$3,"MA_HT","RPH","MA_QH","SKK")</f>
        <v>0</v>
      </c>
      <c r="V14" s="22">
        <f ca="1">+GETPIVOTDATA("XCB4",'cubi (2016)'!$A$3,"MA_HT","RPH","MA_QH","SKT")</f>
        <v>0</v>
      </c>
      <c r="W14" s="22">
        <f ca="1">+GETPIVOTDATA("XCB4",'cubi (2016)'!$A$3,"MA_HT","RPH","MA_QH","SKN")</f>
        <v>0</v>
      </c>
      <c r="X14" s="22">
        <f ca="1">+GETPIVOTDATA("XCB4",'cubi (2016)'!$A$3,"MA_HT","RPH","MA_QH","TMD")</f>
        <v>0</v>
      </c>
      <c r="Y14" s="22">
        <f ca="1">+GETPIVOTDATA("XCB4",'cubi (2016)'!$A$3,"MA_HT","RPH","MA_QH","SKC")</f>
        <v>0</v>
      </c>
      <c r="Z14" s="22">
        <f ca="1">+GETPIVOTDATA("XCB4",'cubi (2016)'!$A$3,"MA_HT","RPH","MA_QH","SKS")</f>
        <v>0</v>
      </c>
      <c r="AA14" s="52">
        <f ca="1" t="shared" si="4"/>
        <v>0</v>
      </c>
      <c r="AB14" s="22">
        <f ca="1">+GETPIVOTDATA("XCB4",'cubi (2016)'!$A$3,"MA_HT","RPH","MA_QH","DGT")</f>
        <v>0</v>
      </c>
      <c r="AC14" s="22">
        <f ca="1">+GETPIVOTDATA("XCB4",'cubi (2016)'!$A$3,"MA_HT","RPH","MA_QH","DTL")</f>
        <v>0</v>
      </c>
      <c r="AD14" s="22">
        <f ca="1">+GETPIVOTDATA("XCB4",'cubi (2016)'!$A$3,"MA_HT","RPH","MA_QH","DNL")</f>
        <v>0</v>
      </c>
      <c r="AE14" s="22">
        <f ca="1">+GETPIVOTDATA("XCB4",'cubi (2016)'!$A$3,"MA_HT","RPH","MA_QH","DBV")</f>
        <v>0</v>
      </c>
      <c r="AF14" s="22">
        <f ca="1">+GETPIVOTDATA("XCB4",'cubi (2016)'!$A$3,"MA_HT","RPH","MA_QH","DVH")</f>
        <v>0</v>
      </c>
      <c r="AG14" s="22">
        <f ca="1">+GETPIVOTDATA("XCB4",'cubi (2016)'!$A$3,"MA_HT","RPH","MA_QH","DYT")</f>
        <v>0</v>
      </c>
      <c r="AH14" s="22">
        <f ca="1">+GETPIVOTDATA("XCB4",'cubi (2016)'!$A$3,"MA_HT","RPH","MA_QH","DGD")</f>
        <v>0</v>
      </c>
      <c r="AI14" s="22">
        <f ca="1">+GETPIVOTDATA("XCB4",'cubi (2016)'!$A$3,"MA_HT","RPH","MA_QH","DTT")</f>
        <v>0</v>
      </c>
      <c r="AJ14" s="22">
        <f ca="1">+GETPIVOTDATA("XCB4",'cubi (2016)'!$A$3,"MA_HT","RPH","MA_QH","NCK")</f>
        <v>0</v>
      </c>
      <c r="AK14" s="22">
        <f ca="1">+GETPIVOTDATA("XCB4",'cubi (2016)'!$A$3,"MA_HT","RPH","MA_QH","DXH")</f>
        <v>0</v>
      </c>
      <c r="AL14" s="22">
        <f ca="1">+GETPIVOTDATA("XCB4",'cubi (2016)'!$A$3,"MA_HT","RPH","MA_QH","DCH")</f>
        <v>0</v>
      </c>
      <c r="AM14" s="22">
        <f ca="1">+GETPIVOTDATA("XCB4",'cubi (2016)'!$A$3,"MA_HT","RPH","MA_QH","DKG")</f>
        <v>0</v>
      </c>
      <c r="AN14" s="22">
        <f ca="1">+GETPIVOTDATA("XCB4",'cubi (2016)'!$A$3,"MA_HT","RPH","MA_QH","DDT")</f>
        <v>0</v>
      </c>
      <c r="AO14" s="22">
        <f ca="1">+GETPIVOTDATA("XCB4",'cubi (2016)'!$A$3,"MA_HT","RPH","MA_QH","DDL")</f>
        <v>0</v>
      </c>
      <c r="AP14" s="22">
        <f ca="1">+GETPIVOTDATA("XCB4",'cubi (2016)'!$A$3,"MA_HT","RPH","MA_QH","DRA")</f>
        <v>0</v>
      </c>
      <c r="AQ14" s="22">
        <f ca="1">+GETPIVOTDATA("XCB4",'cubi (2016)'!$A$3,"MA_HT","RPH","MA_QH","ONT")</f>
        <v>0</v>
      </c>
      <c r="AR14" s="22">
        <f ca="1">+GETPIVOTDATA("XCB4",'cubi (2016)'!$A$3,"MA_HT","RPH","MA_QH","ODT")</f>
        <v>0</v>
      </c>
      <c r="AS14" s="22">
        <f ca="1">+GETPIVOTDATA("XCB4",'cubi (2016)'!$A$3,"MA_HT","RPH","MA_QH","TSC")</f>
        <v>0</v>
      </c>
      <c r="AT14" s="22">
        <f ca="1">+GETPIVOTDATA("XCB4",'cubi (2016)'!$A$3,"MA_HT","RPH","MA_QH","DTS")</f>
        <v>0</v>
      </c>
      <c r="AU14" s="22">
        <f ca="1">+GETPIVOTDATA("XCB4",'cubi (2016)'!$A$3,"MA_HT","RPH","MA_QH","DNG")</f>
        <v>0</v>
      </c>
      <c r="AV14" s="22">
        <f ca="1">+GETPIVOTDATA("XCB4",'cubi (2016)'!$A$3,"MA_HT","RPH","MA_QH","TON")</f>
        <v>0</v>
      </c>
      <c r="AW14" s="22">
        <f ca="1">+GETPIVOTDATA("XCB4",'cubi (2016)'!$A$3,"MA_HT","RPH","MA_QH","NTD")</f>
        <v>0</v>
      </c>
      <c r="AX14" s="22">
        <f ca="1">+GETPIVOTDATA("XCB4",'cubi (2016)'!$A$3,"MA_HT","RPH","MA_QH","SKX")</f>
        <v>0</v>
      </c>
      <c r="AY14" s="22">
        <f ca="1">+GETPIVOTDATA("XCB4",'cubi (2016)'!$A$3,"MA_HT","RPH","MA_QH","DSH")</f>
        <v>0</v>
      </c>
      <c r="AZ14" s="22">
        <f ca="1">+GETPIVOTDATA("XCB4",'cubi (2016)'!$A$3,"MA_HT","RPH","MA_QH","DKV")</f>
        <v>0</v>
      </c>
      <c r="BA14" s="89">
        <f ca="1">+GETPIVOTDATA("XCB4",'cubi (2016)'!$A$3,"MA_HT","RPH","MA_QH","TIN")</f>
        <v>0</v>
      </c>
      <c r="BB14" s="50">
        <f ca="1">+GETPIVOTDATA("XCB4",'cubi (2016)'!$A$3,"MA_HT","RPH","MA_QH","SON")</f>
        <v>0</v>
      </c>
      <c r="BC14" s="50">
        <f ca="1">+GETPIVOTDATA("XCB4",'cubi (2016)'!$A$3,"MA_HT","RPH","MA_QH","MNC")</f>
        <v>0</v>
      </c>
      <c r="BD14" s="22">
        <f ca="1">+GETPIVOTDATA("XCB4",'cubi (2016)'!$A$3,"MA_HT","RPH","MA_QH","PNK")</f>
        <v>0</v>
      </c>
      <c r="BE14" s="71">
        <f ca="1">+GETPIVOTDATA("XCB4",'cubi (2016)'!$A$3,"MA_HT","RPH","MA_QH","CSD")</f>
        <v>0</v>
      </c>
      <c r="BF14" s="74">
        <f ca="1" t="shared" si="7"/>
        <v>0</v>
      </c>
      <c r="BG14" s="101">
        <f ca="1">M$59-$BF14</f>
        <v>0</v>
      </c>
      <c r="BH14" s="41" t="e">
        <f ca="1" t="shared" si="8"/>
        <v>#REF!</v>
      </c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</row>
    <row r="15" s="2" customFormat="1" ht="15.75" customHeight="1" spans="1:79">
      <c r="A15" s="39" t="s">
        <v>8351</v>
      </c>
      <c r="B15" s="39" t="s">
        <v>8352</v>
      </c>
      <c r="C15" s="40" t="s">
        <v>8305</v>
      </c>
      <c r="D15" s="47" t="e">
        <f>+#REF!</f>
        <v>#REF!</v>
      </c>
      <c r="E15" s="42">
        <f ca="1">SUM(F15,J15:M15,O15:Q15)</f>
        <v>0</v>
      </c>
      <c r="F15" s="52">
        <f ca="1" t="shared" si="9"/>
        <v>0</v>
      </c>
      <c r="G15" s="22">
        <f ca="1">+GETPIVOTDATA("XCB4",'cubi (2016)'!$A$3,"MA_HT","RDD","MA_QH","LUC")</f>
        <v>0</v>
      </c>
      <c r="H15" s="22">
        <f ca="1">+GETPIVOTDATA("XCB4",'cubi (2016)'!$A$3,"MA_HT","RDD","MA_QH","LUK")</f>
        <v>0</v>
      </c>
      <c r="I15" s="22">
        <f ca="1">+GETPIVOTDATA("XCB4",'cubi (2016)'!$A$3,"MA_HT","RDD","MA_QH","LUN")</f>
        <v>0</v>
      </c>
      <c r="J15" s="22">
        <f ca="1">+GETPIVOTDATA("XCB4",'cubi (2016)'!$A$3,"MA_HT","RDD","MA_QH","HNK")</f>
        <v>0</v>
      </c>
      <c r="K15" s="22">
        <f ca="1">+GETPIVOTDATA("XCB4",'cubi (2016)'!$A$3,"MA_HT","RDD","MA_QH","CLN")</f>
        <v>0</v>
      </c>
      <c r="L15" s="22">
        <f ca="1">+GETPIVOTDATA("XCB4",'cubi (2016)'!$A$3,"MA_HT","RDD","MA_QH","RSX")</f>
        <v>0</v>
      </c>
      <c r="M15" s="22">
        <f ca="1">+GETPIVOTDATA("XCB4",'cubi (2016)'!$A$3,"MA_HT","RDD","MA_QH","RPH")</f>
        <v>0</v>
      </c>
      <c r="N15" s="43" t="e">
        <f ca="1">$D15-$BF15</f>
        <v>#REF!</v>
      </c>
      <c r="O15" s="22">
        <f ca="1">+GETPIVOTDATA("XCB4",'cubi (2016)'!$A$3,"MA_HT","RDD","MA_QH","NTS")</f>
        <v>0</v>
      </c>
      <c r="P15" s="22">
        <f ca="1">+GETPIVOTDATA("XCB4",'cubi (2016)'!$A$3,"MA_HT","RDD","MA_QH","LMU")</f>
        <v>0</v>
      </c>
      <c r="Q15" s="22">
        <f ca="1">+GETPIVOTDATA("XCB4",'cubi (2016)'!$A$3,"MA_HT","RDD","MA_QH","NKH")</f>
        <v>0</v>
      </c>
      <c r="R15" s="42">
        <f ca="1" t="shared" si="2"/>
        <v>0</v>
      </c>
      <c r="S15" s="22">
        <f ca="1">+GETPIVOTDATA("XCB4",'cubi (2016)'!$A$3,"MA_HT","RDD","MA_QH","CQP")</f>
        <v>0</v>
      </c>
      <c r="T15" s="22">
        <f ca="1">+GETPIVOTDATA("XCB4",'cubi (2016)'!$A$3,"MA_HT","RDD","MA_QH","CAN")</f>
        <v>0</v>
      </c>
      <c r="U15" s="22">
        <f ca="1">+GETPIVOTDATA("XCB4",'cubi (2016)'!$A$3,"MA_HT","RDD","MA_QH","SKK")</f>
        <v>0</v>
      </c>
      <c r="V15" s="22">
        <f ca="1">+GETPIVOTDATA("XCB4",'cubi (2016)'!$A$3,"MA_HT","RDD","MA_QH","SKT")</f>
        <v>0</v>
      </c>
      <c r="W15" s="22">
        <f ca="1">+GETPIVOTDATA("XCB4",'cubi (2016)'!$A$3,"MA_HT","RDD","MA_QH","SKN")</f>
        <v>0</v>
      </c>
      <c r="X15" s="22">
        <f ca="1">+GETPIVOTDATA("XCB4",'cubi (2016)'!$A$3,"MA_HT","RDD","MA_QH","TMD")</f>
        <v>0</v>
      </c>
      <c r="Y15" s="22">
        <f ca="1">+GETPIVOTDATA("XCB4",'cubi (2016)'!$A$3,"MA_HT","RDD","MA_QH","SKC")</f>
        <v>0</v>
      </c>
      <c r="Z15" s="22">
        <f ca="1">+GETPIVOTDATA("XCB4",'cubi (2016)'!$A$3,"MA_HT","RDD","MA_QH","SKS")</f>
        <v>0</v>
      </c>
      <c r="AA15" s="52">
        <f ca="1" t="shared" si="4"/>
        <v>0</v>
      </c>
      <c r="AB15" s="22">
        <f ca="1">+GETPIVOTDATA("XCB4",'cubi (2016)'!$A$3,"MA_HT","RDD","MA_QH","DGT")</f>
        <v>0</v>
      </c>
      <c r="AC15" s="22">
        <f ca="1">+GETPIVOTDATA("XCB4",'cubi (2016)'!$A$3,"MA_HT","RDD","MA_QH","DTL")</f>
        <v>0</v>
      </c>
      <c r="AD15" s="22">
        <f ca="1">+GETPIVOTDATA("XCB4",'cubi (2016)'!$A$3,"MA_HT","RDD","MA_QH","DNL")</f>
        <v>0</v>
      </c>
      <c r="AE15" s="22">
        <f ca="1">+GETPIVOTDATA("XCB4",'cubi (2016)'!$A$3,"MA_HT","RDD","MA_QH","DBV")</f>
        <v>0</v>
      </c>
      <c r="AF15" s="22">
        <f ca="1">+GETPIVOTDATA("XCB4",'cubi (2016)'!$A$3,"MA_HT","RDD","MA_QH","DVH")</f>
        <v>0</v>
      </c>
      <c r="AG15" s="22">
        <f ca="1">+GETPIVOTDATA("XCB4",'cubi (2016)'!$A$3,"MA_HT","RDD","MA_QH","DYT")</f>
        <v>0</v>
      </c>
      <c r="AH15" s="22">
        <f ca="1">+GETPIVOTDATA("XCB4",'cubi (2016)'!$A$3,"MA_HT","RDD","MA_QH","DGD")</f>
        <v>0</v>
      </c>
      <c r="AI15" s="22">
        <f ca="1">+GETPIVOTDATA("XCB4",'cubi (2016)'!$A$3,"MA_HT","RDD","MA_QH","DTT")</f>
        <v>0</v>
      </c>
      <c r="AJ15" s="22">
        <f ca="1">+GETPIVOTDATA("XCB4",'cubi (2016)'!$A$3,"MA_HT","RDD","MA_QH","NCK")</f>
        <v>0</v>
      </c>
      <c r="AK15" s="22">
        <f ca="1">+GETPIVOTDATA("XCB4",'cubi (2016)'!$A$3,"MA_HT","RDD","MA_QH","DXH")</f>
        <v>0</v>
      </c>
      <c r="AL15" s="22">
        <f ca="1">+GETPIVOTDATA("XCB4",'cubi (2016)'!$A$3,"MA_HT","RDD","MA_QH","DCH")</f>
        <v>0</v>
      </c>
      <c r="AM15" s="22">
        <f ca="1">+GETPIVOTDATA("XCB4",'cubi (2016)'!$A$3,"MA_HT","RDD","MA_QH","DKG")</f>
        <v>0</v>
      </c>
      <c r="AN15" s="22">
        <f ca="1">+GETPIVOTDATA("XCB4",'cubi (2016)'!$A$3,"MA_HT","RDD","MA_QH","DDT")</f>
        <v>0</v>
      </c>
      <c r="AO15" s="22">
        <f ca="1">+GETPIVOTDATA("XCB4",'cubi (2016)'!$A$3,"MA_HT","RDD","MA_QH","DDL")</f>
        <v>0</v>
      </c>
      <c r="AP15" s="22">
        <f ca="1">+GETPIVOTDATA("XCB4",'cubi (2016)'!$A$3,"MA_HT","RDD","MA_QH","DRA")</f>
        <v>0</v>
      </c>
      <c r="AQ15" s="22">
        <f ca="1">+GETPIVOTDATA("XCB4",'cubi (2016)'!$A$3,"MA_HT","RDD","MA_QH","ONT")</f>
        <v>0</v>
      </c>
      <c r="AR15" s="22">
        <f ca="1">+GETPIVOTDATA("XCB4",'cubi (2016)'!$A$3,"MA_HT","RDD","MA_QH","ODT")</f>
        <v>0</v>
      </c>
      <c r="AS15" s="22">
        <f ca="1">+GETPIVOTDATA("XCB4",'cubi (2016)'!$A$3,"MA_HT","RDD","MA_QH","TSC")</f>
        <v>0</v>
      </c>
      <c r="AT15" s="22">
        <f ca="1">+GETPIVOTDATA("XCB4",'cubi (2016)'!$A$3,"MA_HT","RDD","MA_QH","DTS")</f>
        <v>0</v>
      </c>
      <c r="AU15" s="22">
        <f ca="1">+GETPIVOTDATA("XCB4",'cubi (2016)'!$A$3,"MA_HT","RDD","MA_QH","DNG")</f>
        <v>0</v>
      </c>
      <c r="AV15" s="22">
        <f ca="1">+GETPIVOTDATA("XCB4",'cubi (2016)'!$A$3,"MA_HT","RDD","MA_QH","TON")</f>
        <v>0</v>
      </c>
      <c r="AW15" s="22">
        <f ca="1">+GETPIVOTDATA("XCB4",'cubi (2016)'!$A$3,"MA_HT","RDD","MA_QH","NTD")</f>
        <v>0</v>
      </c>
      <c r="AX15" s="22">
        <f ca="1">+GETPIVOTDATA("XCB4",'cubi (2016)'!$A$3,"MA_HT","RDD","MA_QH","SKX")</f>
        <v>0</v>
      </c>
      <c r="AY15" s="22">
        <f ca="1">+GETPIVOTDATA("XCB4",'cubi (2016)'!$A$3,"MA_HT","RDD","MA_QH","DSH")</f>
        <v>0</v>
      </c>
      <c r="AZ15" s="22">
        <f ca="1">+GETPIVOTDATA("XCB4",'cubi (2016)'!$A$3,"MA_HT","RDD","MA_QH","DKV")</f>
        <v>0</v>
      </c>
      <c r="BA15" s="89">
        <f ca="1">+GETPIVOTDATA("XCB4",'cubi (2016)'!$A$3,"MA_HT","RDD","MA_QH","TIN")</f>
        <v>0</v>
      </c>
      <c r="BB15" s="50">
        <f ca="1">+GETPIVOTDATA("XCB4",'cubi (2016)'!$A$3,"MA_HT","RDD","MA_QH","SON")</f>
        <v>0</v>
      </c>
      <c r="BC15" s="50">
        <f ca="1">+GETPIVOTDATA("XCB4",'cubi (2016)'!$A$3,"MA_HT","RDD","MA_QH","MNC")</f>
        <v>0</v>
      </c>
      <c r="BD15" s="22">
        <f ca="1">+GETPIVOTDATA("XCB4",'cubi (2016)'!$A$3,"MA_HT","RDD","MA_QH","PNK")</f>
        <v>0</v>
      </c>
      <c r="BE15" s="71">
        <f ca="1">+GETPIVOTDATA("XCB4",'cubi (2016)'!$A$3,"MA_HT","RDD","MA_QH","CSD")</f>
        <v>0</v>
      </c>
      <c r="BF15" s="74">
        <f ca="1" t="shared" si="7"/>
        <v>0</v>
      </c>
      <c r="BG15" s="101">
        <f ca="1">N$59-$BF15</f>
        <v>0</v>
      </c>
      <c r="BH15" s="41" t="e">
        <f ca="1" t="shared" si="8"/>
        <v>#REF!</v>
      </c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</row>
    <row r="16" s="2" customFormat="1" ht="15.75" customHeight="1" spans="1:79">
      <c r="A16" s="39" t="s">
        <v>8353</v>
      </c>
      <c r="B16" s="39" t="s">
        <v>8354</v>
      </c>
      <c r="C16" s="40" t="s">
        <v>318</v>
      </c>
      <c r="D16" s="47" t="e">
        <f>+#REF!</f>
        <v>#REF!</v>
      </c>
      <c r="E16" s="42">
        <f ca="1">SUM(F16,J16:N16,P16:Q16)</f>
        <v>0</v>
      </c>
      <c r="F16" s="52">
        <f ca="1" t="shared" si="9"/>
        <v>0</v>
      </c>
      <c r="G16" s="22">
        <f ca="1">+GETPIVOTDATA("XCB4",'cubi (2016)'!$A$3,"MA_HT","NTS","MA_QH","LUC")</f>
        <v>0</v>
      </c>
      <c r="H16" s="22">
        <f ca="1">+GETPIVOTDATA("XCB4",'cubi (2016)'!$A$3,"MA_HT","NTS","MA_QH","LUK")</f>
        <v>0</v>
      </c>
      <c r="I16" s="22">
        <f ca="1">+GETPIVOTDATA("XCB4",'cubi (2016)'!$A$3,"MA_HT","NTS","MA_QH","LUN")</f>
        <v>0</v>
      </c>
      <c r="J16" s="22">
        <f ca="1">+GETPIVOTDATA("XCB4",'cubi (2016)'!$A$3,"MA_HT","NTS","MA_QH","HNK")</f>
        <v>0</v>
      </c>
      <c r="K16" s="22">
        <f ca="1">+GETPIVOTDATA("XCB4",'cubi (2016)'!$A$3,"MA_HT","NTS","MA_QH","CLN")</f>
        <v>0</v>
      </c>
      <c r="L16" s="22">
        <f ca="1">+GETPIVOTDATA("XCB4",'cubi (2016)'!$A$3,"MA_HT","NTS","MA_QH","RSX")</f>
        <v>0</v>
      </c>
      <c r="M16" s="22">
        <f ca="1">+GETPIVOTDATA("XCB4",'cubi (2016)'!$A$3,"MA_HT","NTS","MA_QH","RPH")</f>
        <v>0</v>
      </c>
      <c r="N16" s="22">
        <f ca="1">+GETPIVOTDATA("XCB4",'cubi (2016)'!$A$3,"MA_HT","NTS","MA_QH","RDD")</f>
        <v>0</v>
      </c>
      <c r="O16" s="43" t="e">
        <f ca="1">$D16-$BF16</f>
        <v>#REF!</v>
      </c>
      <c r="P16" s="22">
        <f ca="1">+GETPIVOTDATA("XCB4",'cubi (2016)'!$A$3,"MA_HT","NTS","MA_QH","LMU")</f>
        <v>0</v>
      </c>
      <c r="Q16" s="22">
        <f ca="1">+GETPIVOTDATA("XCB4",'cubi (2016)'!$A$3,"MA_HT","NTS","MA_QH","NKH")</f>
        <v>0</v>
      </c>
      <c r="R16" s="42">
        <f ca="1" t="shared" si="2"/>
        <v>0</v>
      </c>
      <c r="S16" s="22">
        <f ca="1">+GETPIVOTDATA("XCB4",'cubi (2016)'!$A$3,"MA_HT","NTS","MA_QH","CQP")</f>
        <v>0</v>
      </c>
      <c r="T16" s="22">
        <f ca="1">+GETPIVOTDATA("XCB4",'cubi (2016)'!$A$3,"MA_HT","NTS","MA_QH","CAN")</f>
        <v>0</v>
      </c>
      <c r="U16" s="22">
        <f ca="1">+GETPIVOTDATA("XCB4",'cubi (2016)'!$A$3,"MA_HT","NTS","MA_QH","SKK")</f>
        <v>0</v>
      </c>
      <c r="V16" s="22">
        <f ca="1">+GETPIVOTDATA("XCB4",'cubi (2016)'!$A$3,"MA_HT","NTS","MA_QH","SKT")</f>
        <v>0</v>
      </c>
      <c r="W16" s="22">
        <f ca="1">+GETPIVOTDATA("XCB4",'cubi (2016)'!$A$3,"MA_HT","NTS","MA_QH","SKN")</f>
        <v>0</v>
      </c>
      <c r="X16" s="22">
        <f ca="1">+GETPIVOTDATA("XCB4",'cubi (2016)'!$A$3,"MA_HT","NTS","MA_QH","TMD")</f>
        <v>0</v>
      </c>
      <c r="Y16" s="22">
        <f ca="1">+GETPIVOTDATA("XCB4",'cubi (2016)'!$A$3,"MA_HT","NTS","MA_QH","SKC")</f>
        <v>0</v>
      </c>
      <c r="Z16" s="22">
        <f ca="1">+GETPIVOTDATA("XCB4",'cubi (2016)'!$A$3,"MA_HT","NTS","MA_QH","SKS")</f>
        <v>0</v>
      </c>
      <c r="AA16" s="52">
        <f ca="1" t="shared" si="4"/>
        <v>0</v>
      </c>
      <c r="AB16" s="22">
        <f ca="1">+GETPIVOTDATA("XCB4",'cubi (2016)'!$A$3,"MA_HT","NTS","MA_QH","DGT")</f>
        <v>0</v>
      </c>
      <c r="AC16" s="22">
        <f ca="1">+GETPIVOTDATA("XCB4",'cubi (2016)'!$A$3,"MA_HT","NTS","MA_QH","DTL")</f>
        <v>0</v>
      </c>
      <c r="AD16" s="22">
        <f ca="1">+GETPIVOTDATA("XCB4",'cubi (2016)'!$A$3,"MA_HT","NTS","MA_QH","DNL")</f>
        <v>0</v>
      </c>
      <c r="AE16" s="22">
        <f ca="1">+GETPIVOTDATA("XCB4",'cubi (2016)'!$A$3,"MA_HT","NTS","MA_QH","DBV")</f>
        <v>0</v>
      </c>
      <c r="AF16" s="22">
        <f ca="1">+GETPIVOTDATA("XCB4",'cubi (2016)'!$A$3,"MA_HT","NTS","MA_QH","DVH")</f>
        <v>0</v>
      </c>
      <c r="AG16" s="22">
        <f ca="1">+GETPIVOTDATA("XCB4",'cubi (2016)'!$A$3,"MA_HT","NTS","MA_QH","DYT")</f>
        <v>0</v>
      </c>
      <c r="AH16" s="22">
        <f ca="1">+GETPIVOTDATA("XCB4",'cubi (2016)'!$A$3,"MA_HT","NTS","MA_QH","DGD")</f>
        <v>0</v>
      </c>
      <c r="AI16" s="22">
        <f ca="1">+GETPIVOTDATA("XCB4",'cubi (2016)'!$A$3,"MA_HT","NTS","MA_QH","DTT")</f>
        <v>0</v>
      </c>
      <c r="AJ16" s="22">
        <f ca="1">+GETPIVOTDATA("XCB4",'cubi (2016)'!$A$3,"MA_HT","NTS","MA_QH","NCK")</f>
        <v>0</v>
      </c>
      <c r="AK16" s="22">
        <f ca="1">+GETPIVOTDATA("XCB4",'cubi (2016)'!$A$3,"MA_HT","NTS","MA_QH","DXH")</f>
        <v>0</v>
      </c>
      <c r="AL16" s="22">
        <f ca="1">+GETPIVOTDATA("XCB4",'cubi (2016)'!$A$3,"MA_HT","NTS","MA_QH","DCH")</f>
        <v>0</v>
      </c>
      <c r="AM16" s="22">
        <f ca="1">+GETPIVOTDATA("XCB4",'cubi (2016)'!$A$3,"MA_HT","NTS","MA_QH","DKG")</f>
        <v>0</v>
      </c>
      <c r="AN16" s="22">
        <f ca="1">+GETPIVOTDATA("XCB4",'cubi (2016)'!$A$3,"MA_HT","NTS","MA_QH","DDT")</f>
        <v>0</v>
      </c>
      <c r="AO16" s="22">
        <f ca="1">+GETPIVOTDATA("XCB4",'cubi (2016)'!$A$3,"MA_HT","NTS","MA_QH","DDL")</f>
        <v>0</v>
      </c>
      <c r="AP16" s="22">
        <f ca="1">+GETPIVOTDATA("XCB4",'cubi (2016)'!$A$3,"MA_HT","NTS","MA_QH","DRA")</f>
        <v>0</v>
      </c>
      <c r="AQ16" s="22">
        <f ca="1">+GETPIVOTDATA("XCB4",'cubi (2016)'!$A$3,"MA_HT","NTS","MA_QH","ONT")</f>
        <v>0</v>
      </c>
      <c r="AR16" s="22">
        <f ca="1">+GETPIVOTDATA("XCB4",'cubi (2016)'!$A$3,"MA_HT","NTS","MA_QH","ODT")</f>
        <v>0</v>
      </c>
      <c r="AS16" s="22">
        <f ca="1">+GETPIVOTDATA("XCB4",'cubi (2016)'!$A$3,"MA_HT","NTS","MA_QH","TSC")</f>
        <v>0</v>
      </c>
      <c r="AT16" s="22">
        <f ca="1">+GETPIVOTDATA("XCB4",'cubi (2016)'!$A$3,"MA_HT","NTS","MA_QH","DTS")</f>
        <v>0</v>
      </c>
      <c r="AU16" s="22">
        <f ca="1">+GETPIVOTDATA("XCB4",'cubi (2016)'!$A$3,"MA_HT","NTS","MA_QH","DNG")</f>
        <v>0</v>
      </c>
      <c r="AV16" s="22">
        <f ca="1">+GETPIVOTDATA("XCB4",'cubi (2016)'!$A$3,"MA_HT","NTS","MA_QH","TON")</f>
        <v>0</v>
      </c>
      <c r="AW16" s="22">
        <f ca="1">+GETPIVOTDATA("XCB4",'cubi (2016)'!$A$3,"MA_HT","NTS","MA_QH","NTD")</f>
        <v>0</v>
      </c>
      <c r="AX16" s="22">
        <f ca="1">+GETPIVOTDATA("XCB4",'cubi (2016)'!$A$3,"MA_HT","NTS","MA_QH","SKX")</f>
        <v>0</v>
      </c>
      <c r="AY16" s="22">
        <f ca="1">+GETPIVOTDATA("XCB4",'cubi (2016)'!$A$3,"MA_HT","NTS","MA_QH","DSH")</f>
        <v>0</v>
      </c>
      <c r="AZ16" s="22">
        <f ca="1">+GETPIVOTDATA("XCB4",'cubi (2016)'!$A$3,"MA_HT","NTS","MA_QH","DKV")</f>
        <v>0</v>
      </c>
      <c r="BA16" s="89">
        <f ca="1">+GETPIVOTDATA("XCB4",'cubi (2016)'!$A$3,"MA_HT","NTS","MA_QH","TIN")</f>
        <v>0</v>
      </c>
      <c r="BB16" s="50">
        <f ca="1">+GETPIVOTDATA("XCB4",'cubi (2016)'!$A$3,"MA_HT","NTS","MA_QH","SON")</f>
        <v>0</v>
      </c>
      <c r="BC16" s="50">
        <f ca="1">+GETPIVOTDATA("XCB4",'cubi (2016)'!$A$3,"MA_HT","NTS","MA_QH","MNC")</f>
        <v>0</v>
      </c>
      <c r="BD16" s="22">
        <f ca="1">+GETPIVOTDATA("XCB4",'cubi (2016)'!$A$3,"MA_HT","NTS","MA_QH","PNK")</f>
        <v>0</v>
      </c>
      <c r="BE16" s="71">
        <f ca="1">+GETPIVOTDATA("XCB4",'cubi (2016)'!$A$3,"MA_HT","NTS","MA_QH","CSD")</f>
        <v>0</v>
      </c>
      <c r="BF16" s="74">
        <f ca="1" t="shared" si="7"/>
        <v>0</v>
      </c>
      <c r="BG16" s="101">
        <f ca="1">O$59-$BF16</f>
        <v>0</v>
      </c>
      <c r="BH16" s="41" t="e">
        <f ca="1" t="shared" si="8"/>
        <v>#REF!</v>
      </c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</row>
    <row r="17" s="2" customFormat="1" ht="15.75" customHeight="1" spans="1:79">
      <c r="A17" s="39" t="s">
        <v>8355</v>
      </c>
      <c r="B17" s="39" t="s">
        <v>8356</v>
      </c>
      <c r="C17" s="40" t="s">
        <v>8297</v>
      </c>
      <c r="D17" s="47" t="e">
        <f>+#REF!</f>
        <v>#REF!</v>
      </c>
      <c r="E17" s="42">
        <f ca="1">SUM(F17,J17:O17,Q17:Q17)</f>
        <v>0</v>
      </c>
      <c r="F17" s="52">
        <f ca="1" t="shared" si="9"/>
        <v>0</v>
      </c>
      <c r="G17" s="22">
        <f ca="1">+GETPIVOTDATA("XCB4",'cubi (2016)'!$A$3,"MA_HT","LMU","MA_QH","LUC")</f>
        <v>0</v>
      </c>
      <c r="H17" s="22">
        <f ca="1">+GETPIVOTDATA("XCB4",'cubi (2016)'!$A$3,"MA_HT","LMU","MA_QH","LUK")</f>
        <v>0</v>
      </c>
      <c r="I17" s="22">
        <f ca="1">+GETPIVOTDATA("XCB4",'cubi (2016)'!$A$3,"MA_HT","LMU","MA_QH","LUN")</f>
        <v>0</v>
      </c>
      <c r="J17" s="22">
        <f ca="1">+GETPIVOTDATA("XCB4",'cubi (2016)'!$A$3,"MA_HT","LMU","MA_QH","HNK")</f>
        <v>0</v>
      </c>
      <c r="K17" s="22">
        <f ca="1">+GETPIVOTDATA("XCB4",'cubi (2016)'!$A$3,"MA_HT","LMU","MA_QH","CLN")</f>
        <v>0</v>
      </c>
      <c r="L17" s="22">
        <f ca="1">+GETPIVOTDATA("XCB4",'cubi (2016)'!$A$3,"MA_HT","LMU","MA_QH","RSX")</f>
        <v>0</v>
      </c>
      <c r="M17" s="22">
        <f ca="1">+GETPIVOTDATA("XCB4",'cubi (2016)'!$A$3,"MA_HT","LMU","MA_QH","RPH")</f>
        <v>0</v>
      </c>
      <c r="N17" s="22">
        <f ca="1">+GETPIVOTDATA("XCB4",'cubi (2016)'!$A$3,"MA_HT","LMU","MA_QH","RDD")</f>
        <v>0</v>
      </c>
      <c r="O17" s="22">
        <f ca="1">+GETPIVOTDATA("XCB4",'cubi (2016)'!$A$3,"MA_HT","LMU","MA_QH","NTS")</f>
        <v>0</v>
      </c>
      <c r="P17" s="43" t="e">
        <f ca="1">$D17-$BF17</f>
        <v>#REF!</v>
      </c>
      <c r="Q17" s="22">
        <f ca="1">+GETPIVOTDATA("XCB4",'cubi (2016)'!$A$3,"MA_HT","LMU","MA_QH","NKH")</f>
        <v>0</v>
      </c>
      <c r="R17" s="42">
        <f ca="1" t="shared" si="2"/>
        <v>0</v>
      </c>
      <c r="S17" s="22">
        <f ca="1">+GETPIVOTDATA("XCB4",'cubi (2016)'!$A$3,"MA_HT","LMU","MA_QH","CQP")</f>
        <v>0</v>
      </c>
      <c r="T17" s="22">
        <f ca="1">+GETPIVOTDATA("XCB4",'cubi (2016)'!$A$3,"MA_HT","LMU","MA_QH","CAN")</f>
        <v>0</v>
      </c>
      <c r="U17" s="22">
        <f ca="1">+GETPIVOTDATA("XCB4",'cubi (2016)'!$A$3,"MA_HT","LMU","MA_QH","SKK")</f>
        <v>0</v>
      </c>
      <c r="V17" s="22">
        <f ca="1">+GETPIVOTDATA("XCB4",'cubi (2016)'!$A$3,"MA_HT","LMU","MA_QH","SKT")</f>
        <v>0</v>
      </c>
      <c r="W17" s="22">
        <f ca="1">+GETPIVOTDATA("XCB4",'cubi (2016)'!$A$3,"MA_HT","LMU","MA_QH","SKN")</f>
        <v>0</v>
      </c>
      <c r="X17" s="22">
        <f ca="1">+GETPIVOTDATA("XCB4",'cubi (2016)'!$A$3,"MA_HT","LMU","MA_QH","TMD")</f>
        <v>0</v>
      </c>
      <c r="Y17" s="22">
        <f ca="1">+GETPIVOTDATA("XCB4",'cubi (2016)'!$A$3,"MA_HT","LMU","MA_QH","SKC")</f>
        <v>0</v>
      </c>
      <c r="Z17" s="22">
        <f ca="1">+GETPIVOTDATA("XCB4",'cubi (2016)'!$A$3,"MA_HT","LMU","MA_QH","SKS")</f>
        <v>0</v>
      </c>
      <c r="AA17" s="52">
        <f ca="1" t="shared" si="4"/>
        <v>0</v>
      </c>
      <c r="AB17" s="22">
        <f ca="1">+GETPIVOTDATA("XCB4",'cubi (2016)'!$A$3,"MA_HT","LMU","MA_QH","DGT")</f>
        <v>0</v>
      </c>
      <c r="AC17" s="22">
        <f ca="1">+GETPIVOTDATA("XCB4",'cubi (2016)'!$A$3,"MA_HT","LMU","MA_QH","DTL")</f>
        <v>0</v>
      </c>
      <c r="AD17" s="22">
        <f ca="1">+GETPIVOTDATA("XCB4",'cubi (2016)'!$A$3,"MA_HT","LMU","MA_QH","DNL")</f>
        <v>0</v>
      </c>
      <c r="AE17" s="22">
        <f ca="1">+GETPIVOTDATA("XCB4",'cubi (2016)'!$A$3,"MA_HT","LMU","MA_QH","DBV")</f>
        <v>0</v>
      </c>
      <c r="AF17" s="22">
        <f ca="1">+GETPIVOTDATA("XCB4",'cubi (2016)'!$A$3,"MA_HT","LMU","MA_QH","DVH")</f>
        <v>0</v>
      </c>
      <c r="AG17" s="22">
        <f ca="1">+GETPIVOTDATA("XCB4",'cubi (2016)'!$A$3,"MA_HT","LMU","MA_QH","DYT")</f>
        <v>0</v>
      </c>
      <c r="AH17" s="22">
        <f ca="1">+GETPIVOTDATA("XCB4",'cubi (2016)'!$A$3,"MA_HT","LMU","MA_QH","DGD")</f>
        <v>0</v>
      </c>
      <c r="AI17" s="22">
        <f ca="1">+GETPIVOTDATA("XCB4",'cubi (2016)'!$A$3,"MA_HT","LMU","MA_QH","DTT")</f>
        <v>0</v>
      </c>
      <c r="AJ17" s="22">
        <f ca="1">+GETPIVOTDATA("XCB4",'cubi (2016)'!$A$3,"MA_HT","LMU","MA_QH","NCK")</f>
        <v>0</v>
      </c>
      <c r="AK17" s="22">
        <f ca="1">+GETPIVOTDATA("XCB4",'cubi (2016)'!$A$3,"MA_HT","LMU","MA_QH","DXH")</f>
        <v>0</v>
      </c>
      <c r="AL17" s="22">
        <f ca="1">+GETPIVOTDATA("XCB4",'cubi (2016)'!$A$3,"MA_HT","LMU","MA_QH","DCH")</f>
        <v>0</v>
      </c>
      <c r="AM17" s="22">
        <f ca="1">+GETPIVOTDATA("XCB4",'cubi (2016)'!$A$3,"MA_HT","LMU","MA_QH","DKG")</f>
        <v>0</v>
      </c>
      <c r="AN17" s="22">
        <f ca="1">+GETPIVOTDATA("XCB4",'cubi (2016)'!$A$3,"MA_HT","LMU","MA_QH","DDT")</f>
        <v>0</v>
      </c>
      <c r="AO17" s="22">
        <f ca="1">+GETPIVOTDATA("XCB4",'cubi (2016)'!$A$3,"MA_HT","LMU","MA_QH","DDL")</f>
        <v>0</v>
      </c>
      <c r="AP17" s="22">
        <f ca="1">+GETPIVOTDATA("XCB4",'cubi (2016)'!$A$3,"MA_HT","LMU","MA_QH","DRA")</f>
        <v>0</v>
      </c>
      <c r="AQ17" s="22">
        <f ca="1">+GETPIVOTDATA("XCB4",'cubi (2016)'!$A$3,"MA_HT","LMU","MA_QH","ONT")</f>
        <v>0</v>
      </c>
      <c r="AR17" s="22">
        <f ca="1">+GETPIVOTDATA("XCB4",'cubi (2016)'!$A$3,"MA_HT","LMU","MA_QH","ODT")</f>
        <v>0</v>
      </c>
      <c r="AS17" s="22">
        <f ca="1">+GETPIVOTDATA("XCB4",'cubi (2016)'!$A$3,"MA_HT","LMU","MA_QH","TSC")</f>
        <v>0</v>
      </c>
      <c r="AT17" s="22">
        <f ca="1">+GETPIVOTDATA("XCB4",'cubi (2016)'!$A$3,"MA_HT","LMU","MA_QH","DTS")</f>
        <v>0</v>
      </c>
      <c r="AU17" s="22">
        <f ca="1">+GETPIVOTDATA("XCB4",'cubi (2016)'!$A$3,"MA_HT","LMU","MA_QH","DNG")</f>
        <v>0</v>
      </c>
      <c r="AV17" s="22">
        <f ca="1">+GETPIVOTDATA("XCB4",'cubi (2016)'!$A$3,"MA_HT","LMU","MA_QH","TON")</f>
        <v>0</v>
      </c>
      <c r="AW17" s="22">
        <f ca="1">+GETPIVOTDATA("XCB4",'cubi (2016)'!$A$3,"MA_HT","LMU","MA_QH","NTD")</f>
        <v>0</v>
      </c>
      <c r="AX17" s="22">
        <f ca="1">+GETPIVOTDATA("XCB4",'cubi (2016)'!$A$3,"MA_HT","LMU","MA_QH","SKX")</f>
        <v>0</v>
      </c>
      <c r="AY17" s="22">
        <f ca="1">+GETPIVOTDATA("XCB4",'cubi (2016)'!$A$3,"MA_HT","LMU","MA_QH","DSH")</f>
        <v>0</v>
      </c>
      <c r="AZ17" s="22">
        <f ca="1">+GETPIVOTDATA("XCB4",'cubi (2016)'!$A$3,"MA_HT","LMU","MA_QH","DKV")</f>
        <v>0</v>
      </c>
      <c r="BA17" s="89">
        <f ca="1">+GETPIVOTDATA("XCB4",'cubi (2016)'!$A$3,"MA_HT","LMU","MA_QH","TIN")</f>
        <v>0</v>
      </c>
      <c r="BB17" s="50">
        <f ca="1">+GETPIVOTDATA("XCB4",'cubi (2016)'!$A$3,"MA_HT","LMU","MA_QH","SON")</f>
        <v>0</v>
      </c>
      <c r="BC17" s="50">
        <f ca="1">+GETPIVOTDATA("XCB4",'cubi (2016)'!$A$3,"MA_HT","LMU","MA_QH","MNC")</f>
        <v>0</v>
      </c>
      <c r="BD17" s="22">
        <f ca="1">+GETPIVOTDATA("XCB4",'cubi (2016)'!$A$3,"MA_HT","LMU","MA_QH","PNK")</f>
        <v>0</v>
      </c>
      <c r="BE17" s="71">
        <f ca="1">+GETPIVOTDATA("XCB4",'cubi (2016)'!$A$3,"MA_HT","LMU","MA_QH","CSD")</f>
        <v>0</v>
      </c>
      <c r="BF17" s="74">
        <f ca="1" t="shared" si="7"/>
        <v>0</v>
      </c>
      <c r="BG17" s="101">
        <f ca="1">P$59-$BF17</f>
        <v>0</v>
      </c>
      <c r="BH17" s="41" t="e">
        <f ca="1" t="shared" si="8"/>
        <v>#REF!</v>
      </c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</row>
    <row r="18" s="2" customFormat="1" ht="15.75" customHeight="1" spans="1:79">
      <c r="A18" s="39" t="s">
        <v>8357</v>
      </c>
      <c r="B18" s="39" t="s">
        <v>8358</v>
      </c>
      <c r="C18" s="40" t="s">
        <v>553</v>
      </c>
      <c r="D18" s="47" t="e">
        <f>+#REF!</f>
        <v>#REF!</v>
      </c>
      <c r="E18" s="42">
        <f ca="1">SUM(F18,J18:P18)</f>
        <v>0</v>
      </c>
      <c r="F18" s="52">
        <f ca="1" t="shared" si="9"/>
        <v>0</v>
      </c>
      <c r="G18" s="22">
        <f ca="1">+GETPIVOTDATA("XCB4",'cubi (2016)'!$A$3,"MA_HT","NKH","MA_QH","LUC")</f>
        <v>0</v>
      </c>
      <c r="H18" s="22">
        <f ca="1">+GETPIVOTDATA("XCB4",'cubi (2016)'!$A$3,"MA_HT","NKH","MA_QH","LUK")</f>
        <v>0</v>
      </c>
      <c r="I18" s="22">
        <f ca="1">+GETPIVOTDATA("XCB4",'cubi (2016)'!$A$3,"MA_HT","NKH","MA_QH","LUN")</f>
        <v>0</v>
      </c>
      <c r="J18" s="22">
        <f ca="1">+GETPIVOTDATA("XCB4",'cubi (2016)'!$A$3,"MA_HT","NKH","MA_QH","HNK")</f>
        <v>0</v>
      </c>
      <c r="K18" s="22">
        <f ca="1">+GETPIVOTDATA("XCB4",'cubi (2016)'!$A$3,"MA_HT","NKH","MA_QH","CLN")</f>
        <v>0</v>
      </c>
      <c r="L18" s="22">
        <f ca="1">+GETPIVOTDATA("XCB4",'cubi (2016)'!$A$3,"MA_HT","NKH","MA_QH","RSX")</f>
        <v>0</v>
      </c>
      <c r="M18" s="22">
        <f ca="1">+GETPIVOTDATA("XCB4",'cubi (2016)'!$A$3,"MA_HT","NKH","MA_QH","RPH")</f>
        <v>0</v>
      </c>
      <c r="N18" s="22">
        <f ca="1">+GETPIVOTDATA("XCB4",'cubi (2016)'!$A$3,"MA_HT","NKH","MA_QH","RDD")</f>
        <v>0</v>
      </c>
      <c r="O18" s="22">
        <f ca="1">+GETPIVOTDATA("XCB4",'cubi (2016)'!$A$3,"MA_HT","NKH","MA_QH","NTS")</f>
        <v>0</v>
      </c>
      <c r="P18" s="22">
        <f ca="1">+GETPIVOTDATA("XCB4",'cubi (2016)'!$A$3,"MA_HT","NKH","MA_QH","LMU")</f>
        <v>0</v>
      </c>
      <c r="Q18" s="43" t="e">
        <f ca="1">$D18-$BF18</f>
        <v>#REF!</v>
      </c>
      <c r="R18" s="42">
        <f ca="1" t="shared" si="2"/>
        <v>0</v>
      </c>
      <c r="S18" s="22">
        <f ca="1">+GETPIVOTDATA("XCB4",'cubi (2016)'!$A$3,"MA_HT","NKH","MA_QH","CQP")</f>
        <v>0</v>
      </c>
      <c r="T18" s="22">
        <f ca="1">+GETPIVOTDATA("XCB4",'cubi (2016)'!$A$3,"MA_HT","NKH","MA_QH","CAN")</f>
        <v>0</v>
      </c>
      <c r="U18" s="22">
        <f ca="1">+GETPIVOTDATA("XCB4",'cubi (2016)'!$A$3,"MA_HT","NKH","MA_QH","SKK")</f>
        <v>0</v>
      </c>
      <c r="V18" s="22">
        <f ca="1">+GETPIVOTDATA("XCB4",'cubi (2016)'!$A$3,"MA_HT","NKH","MA_QH","SKT")</f>
        <v>0</v>
      </c>
      <c r="W18" s="22">
        <f ca="1">+GETPIVOTDATA("XCB4",'cubi (2016)'!$A$3,"MA_HT","NKH","MA_QH","SKN")</f>
        <v>0</v>
      </c>
      <c r="X18" s="22">
        <f ca="1">+GETPIVOTDATA("XCB4",'cubi (2016)'!$A$3,"MA_HT","NKH","MA_QH","TMD")</f>
        <v>0</v>
      </c>
      <c r="Y18" s="22">
        <f ca="1">+GETPIVOTDATA("XCB4",'cubi (2016)'!$A$3,"MA_HT","NKH","MA_QH","SKC")</f>
        <v>0</v>
      </c>
      <c r="Z18" s="22">
        <f ca="1">+GETPIVOTDATA("XCB4",'cubi (2016)'!$A$3,"MA_HT","NKH","MA_QH","SKS")</f>
        <v>0</v>
      </c>
      <c r="AA18" s="52">
        <f ca="1" t="shared" si="4"/>
        <v>0</v>
      </c>
      <c r="AB18" s="22">
        <f ca="1">+GETPIVOTDATA("XCB4",'cubi (2016)'!$A$3,"MA_HT","NKH","MA_QH","DGT")</f>
        <v>0</v>
      </c>
      <c r="AC18" s="22">
        <f ca="1">+GETPIVOTDATA("XCB4",'cubi (2016)'!$A$3,"MA_HT","NKH","MA_QH","DTL")</f>
        <v>0</v>
      </c>
      <c r="AD18" s="22">
        <f ca="1">+GETPIVOTDATA("XCB4",'cubi (2016)'!$A$3,"MA_HT","NKH","MA_QH","DNL")</f>
        <v>0</v>
      </c>
      <c r="AE18" s="22">
        <f ca="1">+GETPIVOTDATA("XCB4",'cubi (2016)'!$A$3,"MA_HT","NKH","MA_QH","DBV")</f>
        <v>0</v>
      </c>
      <c r="AF18" s="22">
        <f ca="1">+GETPIVOTDATA("XCB4",'cubi (2016)'!$A$3,"MA_HT","NKH","MA_QH","DVH")</f>
        <v>0</v>
      </c>
      <c r="AG18" s="22">
        <f ca="1">+GETPIVOTDATA("XCB4",'cubi (2016)'!$A$3,"MA_HT","NKH","MA_QH","DYT")</f>
        <v>0</v>
      </c>
      <c r="AH18" s="22">
        <f ca="1">+GETPIVOTDATA("XCB4",'cubi (2016)'!$A$3,"MA_HT","NKH","MA_QH","DGD")</f>
        <v>0</v>
      </c>
      <c r="AI18" s="22">
        <f ca="1">+GETPIVOTDATA("XCB4",'cubi (2016)'!$A$3,"MA_HT","NKH","MA_QH","DTT")</f>
        <v>0</v>
      </c>
      <c r="AJ18" s="22">
        <f ca="1">+GETPIVOTDATA("XCB4",'cubi (2016)'!$A$3,"MA_HT","NKH","MA_QH","NCK")</f>
        <v>0</v>
      </c>
      <c r="AK18" s="22">
        <f ca="1">+GETPIVOTDATA("XCB4",'cubi (2016)'!$A$3,"MA_HT","NKH","MA_QH","DXH")</f>
        <v>0</v>
      </c>
      <c r="AL18" s="22">
        <f ca="1">+GETPIVOTDATA("XCB4",'cubi (2016)'!$A$3,"MA_HT","NKH","MA_QH","DCH")</f>
        <v>0</v>
      </c>
      <c r="AM18" s="22">
        <f ca="1">+GETPIVOTDATA("XCB4",'cubi (2016)'!$A$3,"MA_HT","NKH","MA_QH","DKG")</f>
        <v>0</v>
      </c>
      <c r="AN18" s="22">
        <f ca="1">+GETPIVOTDATA("XCB4",'cubi (2016)'!$A$3,"MA_HT","NKH","MA_QH","DDT")</f>
        <v>0</v>
      </c>
      <c r="AO18" s="22">
        <f ca="1">+GETPIVOTDATA("XCB4",'cubi (2016)'!$A$3,"MA_HT","NKH","MA_QH","DDL")</f>
        <v>0</v>
      </c>
      <c r="AP18" s="22">
        <f ca="1">+GETPIVOTDATA("XCB4",'cubi (2016)'!$A$3,"MA_HT","NKH","MA_QH","DRA")</f>
        <v>0</v>
      </c>
      <c r="AQ18" s="22">
        <f ca="1">+GETPIVOTDATA("XCB4",'cubi (2016)'!$A$3,"MA_HT","NKH","MA_QH","ONT")</f>
        <v>0</v>
      </c>
      <c r="AR18" s="22">
        <f ca="1">+GETPIVOTDATA("XCB4",'cubi (2016)'!$A$3,"MA_HT","NKH","MA_QH","ODT")</f>
        <v>0</v>
      </c>
      <c r="AS18" s="22">
        <f ca="1">+GETPIVOTDATA("XCB4",'cubi (2016)'!$A$3,"MA_HT","NKH","MA_QH","TSC")</f>
        <v>0</v>
      </c>
      <c r="AT18" s="22">
        <f ca="1">+GETPIVOTDATA("XCB4",'cubi (2016)'!$A$3,"MA_HT","NKH","MA_QH","DTS")</f>
        <v>0</v>
      </c>
      <c r="AU18" s="22">
        <f ca="1">+GETPIVOTDATA("XCB4",'cubi (2016)'!$A$3,"MA_HT","NKH","MA_QH","DNG")</f>
        <v>0</v>
      </c>
      <c r="AV18" s="22">
        <f ca="1">+GETPIVOTDATA("XCB4",'cubi (2016)'!$A$3,"MA_HT","NKH","MA_QH","TON")</f>
        <v>0</v>
      </c>
      <c r="AW18" s="22">
        <f ca="1">+GETPIVOTDATA("XCB4",'cubi (2016)'!$A$3,"MA_HT","NKH","MA_QH","NTD")</f>
        <v>0</v>
      </c>
      <c r="AX18" s="22">
        <f ca="1">+GETPIVOTDATA("XCB4",'cubi (2016)'!$A$3,"MA_HT","NKH","MA_QH","SKX")</f>
        <v>0</v>
      </c>
      <c r="AY18" s="22">
        <f ca="1">+GETPIVOTDATA("XCB4",'cubi (2016)'!$A$3,"MA_HT","NKH","MA_QH","DSH")</f>
        <v>0</v>
      </c>
      <c r="AZ18" s="22">
        <f ca="1">+GETPIVOTDATA("XCB4",'cubi (2016)'!$A$3,"MA_HT","NKH","MA_QH","DKV")</f>
        <v>0</v>
      </c>
      <c r="BA18" s="89">
        <f ca="1">+GETPIVOTDATA("XCB4",'cubi (2016)'!$A$3,"MA_HT","NKH","MA_QH","TIN")</f>
        <v>0</v>
      </c>
      <c r="BB18" s="50">
        <f ca="1">+GETPIVOTDATA("XCB4",'cubi (2016)'!$A$3,"MA_HT","NKH","MA_QH","SON")</f>
        <v>0</v>
      </c>
      <c r="BC18" s="50">
        <f ca="1">+GETPIVOTDATA("XCB4",'cubi (2016)'!$A$3,"MA_HT","NKH","MA_QH","MNC")</f>
        <v>0</v>
      </c>
      <c r="BD18" s="22">
        <f ca="1">+GETPIVOTDATA("XCB4",'cubi (2016)'!$A$3,"MA_HT","NKH","MA_QH","PNK")</f>
        <v>0</v>
      </c>
      <c r="BE18" s="71">
        <f ca="1">+GETPIVOTDATA("XCB4",'cubi (2016)'!$A$3,"MA_HT","NKH","MA_QH","CSD")</f>
        <v>0</v>
      </c>
      <c r="BF18" s="74">
        <f ca="1" t="shared" si="7"/>
        <v>0</v>
      </c>
      <c r="BG18" s="101">
        <f ca="1">Q$59-$BF18</f>
        <v>0</v>
      </c>
      <c r="BH18" s="41" t="e">
        <f ca="1" t="shared" si="8"/>
        <v>#REF!</v>
      </c>
      <c r="BI18" s="98"/>
      <c r="BJ18" s="98"/>
      <c r="BK18" s="98"/>
      <c r="BL18" s="98"/>
      <c r="BM18" s="107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</row>
    <row r="19" s="3" customFormat="1" ht="15.75" customHeight="1" spans="1:75">
      <c r="A19" s="35">
        <v>2</v>
      </c>
      <c r="B19" s="36" t="s">
        <v>8359</v>
      </c>
      <c r="C19" s="37" t="s">
        <v>8304</v>
      </c>
      <c r="D19" s="33" t="e">
        <f>+#REF!</f>
        <v>#REF!</v>
      </c>
      <c r="E19" s="33">
        <f ca="1">SUM(E20:E28,E41:E57)</f>
        <v>0</v>
      </c>
      <c r="F19" s="33">
        <f ca="1">SUM(F20:F28,F41:F57)</f>
        <v>0</v>
      </c>
      <c r="G19" s="33">
        <f ca="1">SUM(G20:G28,G41:G57)</f>
        <v>0</v>
      </c>
      <c r="H19" s="33">
        <f ca="1">SUM(H20:H28,H41:H57)</f>
        <v>0</v>
      </c>
      <c r="I19" s="33">
        <f ca="1">SUM(I20:I28,I41:I57)</f>
        <v>0</v>
      </c>
      <c r="J19" s="33">
        <f ca="1" t="shared" ref="J19:Q19" si="10">SUM(J20:J28,J41:J57)</f>
        <v>0</v>
      </c>
      <c r="K19" s="33">
        <f ca="1" t="shared" si="10"/>
        <v>0</v>
      </c>
      <c r="L19" s="33">
        <f ca="1" t="shared" si="10"/>
        <v>0</v>
      </c>
      <c r="M19" s="33">
        <f ca="1" t="shared" si="10"/>
        <v>0</v>
      </c>
      <c r="N19" s="33">
        <f ca="1" t="shared" si="10"/>
        <v>0</v>
      </c>
      <c r="O19" s="33">
        <f ca="1" t="shared" si="10"/>
        <v>0</v>
      </c>
      <c r="P19" s="33">
        <f ca="1" t="shared" si="10"/>
        <v>0</v>
      </c>
      <c r="Q19" s="33">
        <f ca="1" t="shared" si="10"/>
        <v>0</v>
      </c>
      <c r="R19" s="38" t="e">
        <f ca="1">$D19-$BF19</f>
        <v>#REF!</v>
      </c>
      <c r="S19" s="33">
        <f ca="1">SUM(S21:S28,S41:S57)</f>
        <v>0</v>
      </c>
      <c r="T19" s="33">
        <f ca="1">SUM(T20,T22:T28,T41:T57)</f>
        <v>0</v>
      </c>
      <c r="U19" s="33">
        <f ca="1">SUM(U20:U21,U23:U28,U41:U57)</f>
        <v>0</v>
      </c>
      <c r="V19" s="33">
        <f ca="1">SUM(V20:V22,V24:V28,V41:V57)</f>
        <v>0</v>
      </c>
      <c r="W19" s="33">
        <f ca="1">SUM(W20:W23,W25:W28,W41:W57)</f>
        <v>0</v>
      </c>
      <c r="X19" s="33">
        <f ca="1">SUM(X20:X24,X26:X28,X41:X57)</f>
        <v>0</v>
      </c>
      <c r="Y19" s="33">
        <f ca="1">SUM(Y20:Y25,Y27:Y28,Y41:Y57)</f>
        <v>0</v>
      </c>
      <c r="Z19" s="33">
        <f ca="1">SUM(Z20:Z26,Z28,Z41:Z57)</f>
        <v>0</v>
      </c>
      <c r="AA19" s="33">
        <f ca="1">SUM(AA20:AA27,AA41:AA57)</f>
        <v>0</v>
      </c>
      <c r="AB19" s="33">
        <f ca="1" t="shared" ref="AB19:AM19" si="11">SUM(AB20:AB28,AB41:AB57)</f>
        <v>0</v>
      </c>
      <c r="AC19" s="33">
        <f ca="1" t="shared" si="11"/>
        <v>0</v>
      </c>
      <c r="AD19" s="33">
        <f ca="1" t="shared" si="11"/>
        <v>0</v>
      </c>
      <c r="AE19" s="33">
        <f ca="1" t="shared" si="11"/>
        <v>0</v>
      </c>
      <c r="AF19" s="33">
        <f ca="1" t="shared" si="11"/>
        <v>0</v>
      </c>
      <c r="AG19" s="33">
        <f ca="1" t="shared" si="11"/>
        <v>0</v>
      </c>
      <c r="AH19" s="33">
        <f ca="1" t="shared" si="11"/>
        <v>0</v>
      </c>
      <c r="AI19" s="33">
        <f ca="1" t="shared" si="11"/>
        <v>0</v>
      </c>
      <c r="AJ19" s="33">
        <f ca="1" t="shared" si="11"/>
        <v>0</v>
      </c>
      <c r="AK19" s="33">
        <f ca="1" t="shared" si="11"/>
        <v>0</v>
      </c>
      <c r="AL19" s="33">
        <f ca="1" t="shared" si="11"/>
        <v>0</v>
      </c>
      <c r="AM19" s="33">
        <f ca="1" t="shared" si="11"/>
        <v>0</v>
      </c>
      <c r="AN19" s="33">
        <f ca="1">SUM(AN20:AN28,AN42:AN57)</f>
        <v>0</v>
      </c>
      <c r="AO19" s="33">
        <f ca="1">SUM(AO20:AO28,AO41,AO43:AO57)</f>
        <v>0</v>
      </c>
      <c r="AP19" s="33">
        <f ca="1">SUM(AP20:AP28,AP41:AP42,AP44:AP57)</f>
        <v>0</v>
      </c>
      <c r="AQ19" s="33">
        <f ca="1">SUM(AQ20:AQ28,AQ41:AQ43,AQ45:AQ57)</f>
        <v>0</v>
      </c>
      <c r="AR19" s="33">
        <f ca="1">SUM(AR20:AR28,AR41:AR44,AR46:AR57)</f>
        <v>0</v>
      </c>
      <c r="AS19" s="33">
        <f ca="1">SUM(AS20:AS28,AS41:AS45,AS47:AS57)</f>
        <v>0</v>
      </c>
      <c r="AT19" s="33">
        <f ca="1">SUM(AT20:AT28,AT41:AT46,AT48:AT57)</f>
        <v>0</v>
      </c>
      <c r="AU19" s="33">
        <f ca="1">SUM(AU20:AU28,AU41:AU47,AU49:AU57)</f>
        <v>0</v>
      </c>
      <c r="AV19" s="33">
        <f ca="1">SUM(AV20:AV28,AV41:AV48,AV50:AV57)</f>
        <v>0</v>
      </c>
      <c r="AW19" s="33">
        <f ca="1">SUM(AW20:AW28,AW41:AW49,AW51:AW57)</f>
        <v>0</v>
      </c>
      <c r="AX19" s="33">
        <f ca="1">SUM(AX20:AX28,AX41:AX50,AX52:AX57)</f>
        <v>0</v>
      </c>
      <c r="AY19" s="33">
        <f ca="1">SUM(AY20:AY28,AY41:AY51,AY53:AY57)</f>
        <v>0</v>
      </c>
      <c r="AZ19" s="33">
        <f ca="1">SUM(AZ20:AZ28,AZ41:AZ52,AZ54:AZ57)</f>
        <v>0</v>
      </c>
      <c r="BA19" s="33">
        <f ca="1">SUM(BA20:BA28,BA41:BA53,BA55:BA57)</f>
        <v>0</v>
      </c>
      <c r="BB19" s="33">
        <f ca="1">SUM(BB20:BB28,BB41:BB54,BB56:BB57)</f>
        <v>0</v>
      </c>
      <c r="BC19" s="33">
        <f ca="1">SUM(BC20:BC28,BC41:BC55,BC57)</f>
        <v>0</v>
      </c>
      <c r="BD19" s="33">
        <f ca="1">SUM(BD20:BD28,BD41:BD56,BD58)</f>
        <v>0</v>
      </c>
      <c r="BE19" s="33">
        <f ca="1">SUM(BE20:BE28,BE41:BE57)</f>
        <v>0</v>
      </c>
      <c r="BF19" s="74">
        <f ca="1">SUM(BE19,E19)</f>
        <v>0</v>
      </c>
      <c r="BG19" s="101">
        <f ca="1">R$59-$BF19</f>
        <v>0</v>
      </c>
      <c r="BH19" s="33" t="e">
        <f ca="1">SUM(BH20:BH28,BH41:BH57)</f>
        <v>#REF!</v>
      </c>
      <c r="BI19" s="102"/>
      <c r="BJ19" s="36" t="e">
        <f>SUM(BJ22:BJ54,BJ57:BJ57)</f>
        <v>#REF!</v>
      </c>
      <c r="BK19" s="106" t="e">
        <f ca="1">BH19-BJ19</f>
        <v>#REF!</v>
      </c>
      <c r="BL19" s="106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</row>
    <row r="20" s="2" customFormat="1" ht="15.75" customHeight="1" spans="1:79">
      <c r="A20" s="39" t="s">
        <v>69</v>
      </c>
      <c r="B20" s="39" t="s">
        <v>8360</v>
      </c>
      <c r="C20" s="40" t="s">
        <v>31</v>
      </c>
      <c r="D20" s="41" t="e">
        <f>+#REF!</f>
        <v>#REF!</v>
      </c>
      <c r="E20" s="42">
        <f ca="1">SUM(F20,J20:Q20)</f>
        <v>0</v>
      </c>
      <c r="F20" s="52">
        <f ca="1" t="shared" si="9"/>
        <v>0</v>
      </c>
      <c r="G20" s="22">
        <f ca="1">+GETPIVOTDATA("XCB4",'cubi (2016)'!$A$3,"MA_HT","CQP","MA_QH","LUC")</f>
        <v>0</v>
      </c>
      <c r="H20" s="22">
        <f ca="1">+GETPIVOTDATA("XCB4",'cubi (2016)'!$A$3,"MA_HT","CQP","MA_QH","LUK")</f>
        <v>0</v>
      </c>
      <c r="I20" s="22">
        <f ca="1">+GETPIVOTDATA("XCB4",'cubi (2016)'!$A$3,"MA_HT","CQP","MA_QH","LUN")</f>
        <v>0</v>
      </c>
      <c r="J20" s="22">
        <f ca="1">+GETPIVOTDATA("XCB4",'cubi (2016)'!$A$3,"MA_HT","CQP","MA_QH","HNK")</f>
        <v>0</v>
      </c>
      <c r="K20" s="22">
        <f ca="1">+GETPIVOTDATA("XCB4",'cubi (2016)'!$A$3,"MA_HT","CQP","MA_QH","CLN")</f>
        <v>0</v>
      </c>
      <c r="L20" s="22">
        <f ca="1">+GETPIVOTDATA("XCB4",'cubi (2016)'!$A$3,"MA_HT","CQP","MA_QH","RSX")</f>
        <v>0</v>
      </c>
      <c r="M20" s="22">
        <f ca="1">+GETPIVOTDATA("XCB4",'cubi (2016)'!$A$3,"MA_HT","CQP","MA_QH","RPH")</f>
        <v>0</v>
      </c>
      <c r="N20" s="22">
        <f ca="1">+GETPIVOTDATA("XCB4",'cubi (2016)'!$A$3,"MA_HT","CQP","MA_QH","RDD")</f>
        <v>0</v>
      </c>
      <c r="O20" s="22">
        <f ca="1">+GETPIVOTDATA("XCB4",'cubi (2016)'!$A$3,"MA_HT","CQP","MA_QH","NTS")</f>
        <v>0</v>
      </c>
      <c r="P20" s="22">
        <f ca="1">+GETPIVOTDATA("XCB4",'cubi (2016)'!$A$3,"MA_HT","CQP","MA_QH","LMU")</f>
        <v>0</v>
      </c>
      <c r="Q20" s="22">
        <f ca="1">+GETPIVOTDATA("XCB4",'cubi (2016)'!$A$3,"MA_HT","CQP","MA_QH","NKH")</f>
        <v>0</v>
      </c>
      <c r="R20" s="42">
        <f ca="1">SUM(T20:AA20,AN20:BD20)</f>
        <v>0</v>
      </c>
      <c r="S20" s="43" t="e">
        <f ca="1">$D20-$BF20</f>
        <v>#REF!</v>
      </c>
      <c r="T20" s="22">
        <f ca="1">+GETPIVOTDATA("XCB4",'cubi (2016)'!$A$3,"MA_HT","CQP","MA_QH","CAN")</f>
        <v>0</v>
      </c>
      <c r="U20" s="22">
        <f ca="1">+GETPIVOTDATA("XCB4",'cubi (2016)'!$A$3,"MA_HT","CQP","MA_QH","SKK")</f>
        <v>0</v>
      </c>
      <c r="V20" s="22">
        <f ca="1">+GETPIVOTDATA("XCB4",'cubi (2016)'!$A$3,"MA_HT","CQP","MA_QH","SKT")</f>
        <v>0</v>
      </c>
      <c r="W20" s="22">
        <f ca="1">+GETPIVOTDATA("XCB4",'cubi (2016)'!$A$3,"MA_HT","CQP","MA_QH","SKN")</f>
        <v>0</v>
      </c>
      <c r="X20" s="22">
        <f ca="1">+GETPIVOTDATA("XCB4",'cubi (2016)'!$A$3,"MA_HT","CQP","MA_QH","TMD")</f>
        <v>0</v>
      </c>
      <c r="Y20" s="22">
        <f ca="1">+GETPIVOTDATA("XCB4",'cubi (2016)'!$A$3,"MA_HT","CQP","MA_QH","SKC")</f>
        <v>0</v>
      </c>
      <c r="Z20" s="22">
        <f ca="1">+GETPIVOTDATA("XCB4",'cubi (2016)'!$A$3,"MA_HT","CQP","MA_QH","SKS")</f>
        <v>0</v>
      </c>
      <c r="AA20" s="52">
        <f ca="1" t="shared" ref="AA20:AA27" si="12">+SUM(AB20:AM20)</f>
        <v>0</v>
      </c>
      <c r="AB20" s="22">
        <f ca="1">+GETPIVOTDATA("XCB4",'cubi (2016)'!$A$3,"MA_HT","CQP","MA_QH","DGT")</f>
        <v>0</v>
      </c>
      <c r="AC20" s="22">
        <f ca="1">+GETPIVOTDATA("XCB4",'cubi (2016)'!$A$3,"MA_HT","CQP","MA_QH","DTL")</f>
        <v>0</v>
      </c>
      <c r="AD20" s="22">
        <f ca="1">+GETPIVOTDATA("XCB4",'cubi (2016)'!$A$3,"MA_HT","CQP","MA_QH","DNL")</f>
        <v>0</v>
      </c>
      <c r="AE20" s="22">
        <f ca="1">+GETPIVOTDATA("XCB4",'cubi (2016)'!$A$3,"MA_HT","CQP","MA_QH","DBV")</f>
        <v>0</v>
      </c>
      <c r="AF20" s="22">
        <f ca="1">+GETPIVOTDATA("XCB4",'cubi (2016)'!$A$3,"MA_HT","CQP","MA_QH","DVH")</f>
        <v>0</v>
      </c>
      <c r="AG20" s="22">
        <f ca="1">+GETPIVOTDATA("XCB4",'cubi (2016)'!$A$3,"MA_HT","CQP","MA_QH","DYT")</f>
        <v>0</v>
      </c>
      <c r="AH20" s="22">
        <f ca="1">+GETPIVOTDATA("XCB4",'cubi (2016)'!$A$3,"MA_HT","CQP","MA_QH","DGD")</f>
        <v>0</v>
      </c>
      <c r="AI20" s="22">
        <f ca="1">+GETPIVOTDATA("XCB4",'cubi (2016)'!$A$3,"MA_HT","CQP","MA_QH","DTT")</f>
        <v>0</v>
      </c>
      <c r="AJ20" s="22">
        <f ca="1">+GETPIVOTDATA("XCB4",'cubi (2016)'!$A$3,"MA_HT","CQP","MA_QH","NCK")</f>
        <v>0</v>
      </c>
      <c r="AK20" s="22">
        <f ca="1">+GETPIVOTDATA("XCB4",'cubi (2016)'!$A$3,"MA_HT","CQP","MA_QH","DXH")</f>
        <v>0</v>
      </c>
      <c r="AL20" s="22">
        <f ca="1">+GETPIVOTDATA("XCB4",'cubi (2016)'!$A$3,"MA_HT","CQP","MA_QH","DCH")</f>
        <v>0</v>
      </c>
      <c r="AM20" s="22">
        <f ca="1">+GETPIVOTDATA("XCB4",'cubi (2016)'!$A$3,"MA_HT","CQP","MA_QH","DKG")</f>
        <v>0</v>
      </c>
      <c r="AN20" s="22">
        <f ca="1">+GETPIVOTDATA("XCB4",'cubi (2016)'!$A$3,"MA_HT","CQP","MA_QH","DDT")</f>
        <v>0</v>
      </c>
      <c r="AO20" s="22">
        <f ca="1">+GETPIVOTDATA("XCB4",'cubi (2016)'!$A$3,"MA_HT","CQP","MA_QH","DDL")</f>
        <v>0</v>
      </c>
      <c r="AP20" s="22">
        <f ca="1">+GETPIVOTDATA("XCB4",'cubi (2016)'!$A$3,"MA_HT","CQP","MA_QH","DRA")</f>
        <v>0</v>
      </c>
      <c r="AQ20" s="22">
        <f ca="1">+GETPIVOTDATA("XCB4",'cubi (2016)'!$A$3,"MA_HT","CQP","MA_QH","ONT")</f>
        <v>0</v>
      </c>
      <c r="AR20" s="22">
        <f ca="1">+GETPIVOTDATA("XCB4",'cubi (2016)'!$A$3,"MA_HT","CQP","MA_QH","ODT")</f>
        <v>0</v>
      </c>
      <c r="AS20" s="22">
        <f ca="1">+GETPIVOTDATA("XCB4",'cubi (2016)'!$A$3,"MA_HT","CQP","MA_QH","TSC")</f>
        <v>0</v>
      </c>
      <c r="AT20" s="22">
        <f ca="1">+GETPIVOTDATA("XCB4",'cubi (2016)'!$A$3,"MA_HT","CQP","MA_QH","DTS")</f>
        <v>0</v>
      </c>
      <c r="AU20" s="22">
        <f ca="1">+GETPIVOTDATA("XCB4",'cubi (2016)'!$A$3,"MA_HT","CQP","MA_QH","DNG")</f>
        <v>0</v>
      </c>
      <c r="AV20" s="22">
        <f ca="1">+GETPIVOTDATA("XCB4",'cubi (2016)'!$A$3,"MA_HT","CQP","MA_QH","TON")</f>
        <v>0</v>
      </c>
      <c r="AW20" s="22">
        <f ca="1">+GETPIVOTDATA("XCB4",'cubi (2016)'!$A$3,"MA_HT","CQP","MA_QH","NTD")</f>
        <v>0</v>
      </c>
      <c r="AX20" s="22">
        <f ca="1">+GETPIVOTDATA("XCB4",'cubi (2016)'!$A$3,"MA_HT","CQP","MA_QH","SKX")</f>
        <v>0</v>
      </c>
      <c r="AY20" s="22">
        <f ca="1">+GETPIVOTDATA("XCB4",'cubi (2016)'!$A$3,"MA_HT","CQP","MA_QH","DSH")</f>
        <v>0</v>
      </c>
      <c r="AZ20" s="22">
        <f ca="1">+GETPIVOTDATA("XCB4",'cubi (2016)'!$A$3,"MA_HT","CQP","MA_QH","DKV")</f>
        <v>0</v>
      </c>
      <c r="BA20" s="89">
        <f ca="1">+GETPIVOTDATA("XCB4",'cubi (2016)'!$A$3,"MA_HT","CQP","MA_QH","TIN")</f>
        <v>0</v>
      </c>
      <c r="BB20" s="50">
        <f ca="1">+GETPIVOTDATA("XCB4",'cubi (2016)'!$A$3,"MA_HT","CQP","MA_QH","SON")</f>
        <v>0</v>
      </c>
      <c r="BC20" s="50">
        <f ca="1">+GETPIVOTDATA("XCB4",'cubi (2016)'!$A$3,"MA_HT","CQP","MA_QH","MNC")</f>
        <v>0</v>
      </c>
      <c r="BD20" s="22">
        <f ca="1">+GETPIVOTDATA("XCB4",'cubi (2016)'!$A$3,"MA_HT","CQP","MA_QH","PNK")</f>
        <v>0</v>
      </c>
      <c r="BE20" s="71">
        <f ca="1">+GETPIVOTDATA("XCB4",'cubi (2016)'!$A$3,"MA_HT","CQP","MA_QH","CSD")</f>
        <v>0</v>
      </c>
      <c r="BF20" s="74">
        <f ca="1" t="shared" ref="BF20:BF57" si="13">BE20+R20+E20</f>
        <v>0</v>
      </c>
      <c r="BG20" s="101">
        <f ca="1">S$59-$BF20</f>
        <v>0</v>
      </c>
      <c r="BH20" s="41" t="e">
        <f ca="1" t="shared" ref="BH20:BH58" si="14">BG20+D20</f>
        <v>#REF!</v>
      </c>
      <c r="BI20" s="98"/>
      <c r="BJ20" s="98" t="e">
        <f>#REF!</f>
        <v>#REF!</v>
      </c>
      <c r="BK20" s="107" t="e">
        <f ca="1">BH20-BJ20</f>
        <v>#REF!</v>
      </c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</row>
    <row r="21" s="2" customFormat="1" ht="15.75" customHeight="1" spans="1:79">
      <c r="A21" s="39" t="s">
        <v>232</v>
      </c>
      <c r="B21" s="39" t="s">
        <v>8361</v>
      </c>
      <c r="C21" s="40" t="s">
        <v>8283</v>
      </c>
      <c r="D21" s="41" t="e">
        <f>+#REF!</f>
        <v>#REF!</v>
      </c>
      <c r="E21" s="42">
        <f ca="1" t="shared" ref="E21:E58" si="15">SUM(F21,J21:Q21)</f>
        <v>0</v>
      </c>
      <c r="F21" s="52">
        <f ca="1" t="shared" si="9"/>
        <v>0</v>
      </c>
      <c r="G21" s="22">
        <f ca="1">+GETPIVOTDATA("XCB4",'cubi (2016)'!$A$3,"MA_HT","CAN","MA_QH","LUC")</f>
        <v>0</v>
      </c>
      <c r="H21" s="22">
        <f ca="1">+GETPIVOTDATA("XCB4",'cubi (2016)'!$A$3,"MA_HT","CAN","MA_QH","LUK")</f>
        <v>0</v>
      </c>
      <c r="I21" s="22">
        <f ca="1">+GETPIVOTDATA("XCB4",'cubi (2016)'!$A$3,"MA_HT","CAN","MA_QH","LUN")</f>
        <v>0</v>
      </c>
      <c r="J21" s="22">
        <f ca="1">+GETPIVOTDATA("XCB4",'cubi (2016)'!$A$3,"MA_HT","CAN","MA_QH","HNK")</f>
        <v>0</v>
      </c>
      <c r="K21" s="22">
        <f ca="1">+GETPIVOTDATA("XCB4",'cubi (2016)'!$A$3,"MA_HT","CAN","MA_QH","CLN")</f>
        <v>0</v>
      </c>
      <c r="L21" s="22">
        <f ca="1">+GETPIVOTDATA("XCB4",'cubi (2016)'!$A$3,"MA_HT","CAN","MA_QH","RSX")</f>
        <v>0</v>
      </c>
      <c r="M21" s="22">
        <f ca="1">+GETPIVOTDATA("XCB4",'cubi (2016)'!$A$3,"MA_HT","CAN","MA_QH","RPH")</f>
        <v>0</v>
      </c>
      <c r="N21" s="22">
        <f ca="1">+GETPIVOTDATA("XCB4",'cubi (2016)'!$A$3,"MA_HT","CAN","MA_QH","RDD")</f>
        <v>0</v>
      </c>
      <c r="O21" s="22">
        <f ca="1">+GETPIVOTDATA("XCB4",'cubi (2016)'!$A$3,"MA_HT","CAN","MA_QH","NTS")</f>
        <v>0</v>
      </c>
      <c r="P21" s="22">
        <f ca="1">+GETPIVOTDATA("XCB4",'cubi (2016)'!$A$3,"MA_HT","CAN","MA_QH","LMU")</f>
        <v>0</v>
      </c>
      <c r="Q21" s="22">
        <f ca="1">+GETPIVOTDATA("XCB4",'cubi (2016)'!$A$3,"MA_HT","CAN","MA_QH","NKH")</f>
        <v>0</v>
      </c>
      <c r="R21" s="42">
        <f ca="1">SUM(S21,U21:AA21,AN21:BD21)</f>
        <v>0</v>
      </c>
      <c r="S21" s="22">
        <f ca="1">+GETPIVOTDATA("XCB4",'cubi (2016)'!$A$3,"MA_HT","CAN","MA_QH","CQP")</f>
        <v>0</v>
      </c>
      <c r="T21" s="43" t="e">
        <f ca="1">$D21-$BF21</f>
        <v>#REF!</v>
      </c>
      <c r="U21" s="22">
        <f ca="1">+GETPIVOTDATA("XCB4",'cubi (2016)'!$A$3,"MA_HT","CAN","MA_QH","SKK")</f>
        <v>0</v>
      </c>
      <c r="V21" s="22">
        <f ca="1">+GETPIVOTDATA("XCB4",'cubi (2016)'!$A$3,"MA_HT","CAN","MA_QH","SKT")</f>
        <v>0</v>
      </c>
      <c r="W21" s="22">
        <f ca="1">+GETPIVOTDATA("XCB4",'cubi (2016)'!$A$3,"MA_HT","CAN","MA_QH","SKN")</f>
        <v>0</v>
      </c>
      <c r="X21" s="22">
        <f ca="1">+GETPIVOTDATA("XCB4",'cubi (2016)'!$A$3,"MA_HT","CAN","MA_QH","TMD")</f>
        <v>0</v>
      </c>
      <c r="Y21" s="22">
        <f ca="1">+GETPIVOTDATA("XCB4",'cubi (2016)'!$A$3,"MA_HT","CAN","MA_QH","SKC")</f>
        <v>0</v>
      </c>
      <c r="Z21" s="22">
        <f ca="1">+GETPIVOTDATA("XCB4",'cubi (2016)'!$A$3,"MA_HT","CAN","MA_QH","SKS")</f>
        <v>0</v>
      </c>
      <c r="AA21" s="52">
        <f ca="1" t="shared" si="12"/>
        <v>0</v>
      </c>
      <c r="AB21" s="22">
        <f ca="1">+GETPIVOTDATA("XCB4",'cubi (2016)'!$A$3,"MA_HT","CAN","MA_QH","DGT")</f>
        <v>0</v>
      </c>
      <c r="AC21" s="22">
        <f ca="1">+GETPIVOTDATA("XCB4",'cubi (2016)'!$A$3,"MA_HT","CAN","MA_QH","DTL")</f>
        <v>0</v>
      </c>
      <c r="AD21" s="22">
        <f ca="1">+GETPIVOTDATA("XCB4",'cubi (2016)'!$A$3,"MA_HT","CAN","MA_QH","DNL")</f>
        <v>0</v>
      </c>
      <c r="AE21" s="22">
        <f ca="1">+GETPIVOTDATA("XCB4",'cubi (2016)'!$A$3,"MA_HT","CAN","MA_QH","DBV")</f>
        <v>0</v>
      </c>
      <c r="AF21" s="22">
        <f ca="1">+GETPIVOTDATA("XCB4",'cubi (2016)'!$A$3,"MA_HT","CAN","MA_QH","DVH")</f>
        <v>0</v>
      </c>
      <c r="AG21" s="22">
        <f ca="1">+GETPIVOTDATA("XCB4",'cubi (2016)'!$A$3,"MA_HT","CAN","MA_QH","DYT")</f>
        <v>0</v>
      </c>
      <c r="AH21" s="22">
        <f ca="1">+GETPIVOTDATA("XCB4",'cubi (2016)'!$A$3,"MA_HT","CAN","MA_QH","DGD")</f>
        <v>0</v>
      </c>
      <c r="AI21" s="22">
        <f ca="1">+GETPIVOTDATA("XCB4",'cubi (2016)'!$A$3,"MA_HT","CAN","MA_QH","DTT")</f>
        <v>0</v>
      </c>
      <c r="AJ21" s="22">
        <f ca="1">+GETPIVOTDATA("XCB4",'cubi (2016)'!$A$3,"MA_HT","CAN","MA_QH","NCK")</f>
        <v>0</v>
      </c>
      <c r="AK21" s="22">
        <f ca="1">+GETPIVOTDATA("XCB4",'cubi (2016)'!$A$3,"MA_HT","CAN","MA_QH","DXH")</f>
        <v>0</v>
      </c>
      <c r="AL21" s="22">
        <f ca="1">+GETPIVOTDATA("XCB4",'cubi (2016)'!$A$3,"MA_HT","CAN","MA_QH","DCH")</f>
        <v>0</v>
      </c>
      <c r="AM21" s="22">
        <f ca="1">+GETPIVOTDATA("XCB4",'cubi (2016)'!$A$3,"MA_HT","CAN","MA_QH","DKG")</f>
        <v>0</v>
      </c>
      <c r="AN21" s="22">
        <f ca="1">+GETPIVOTDATA("XCB4",'cubi (2016)'!$A$3,"MA_HT","CAN","MA_QH","DDT")</f>
        <v>0</v>
      </c>
      <c r="AO21" s="22">
        <f ca="1">+GETPIVOTDATA("XCB4",'cubi (2016)'!$A$3,"MA_HT","CAN","MA_QH","DDL")</f>
        <v>0</v>
      </c>
      <c r="AP21" s="22">
        <f ca="1">+GETPIVOTDATA("XCB4",'cubi (2016)'!$A$3,"MA_HT","CAN","MA_QH","DRA")</f>
        <v>0</v>
      </c>
      <c r="AQ21" s="22">
        <f ca="1">+GETPIVOTDATA("XCB4",'cubi (2016)'!$A$3,"MA_HT","CAN","MA_QH","ONT")</f>
        <v>0</v>
      </c>
      <c r="AR21" s="22">
        <f ca="1">+GETPIVOTDATA("XCB4",'cubi (2016)'!$A$3,"MA_HT","CAN","MA_QH","ODT")</f>
        <v>0</v>
      </c>
      <c r="AS21" s="22">
        <f ca="1">+GETPIVOTDATA("XCB4",'cubi (2016)'!$A$3,"MA_HT","CAN","MA_QH","TSC")</f>
        <v>0</v>
      </c>
      <c r="AT21" s="22">
        <f ca="1">+GETPIVOTDATA("XCB4",'cubi (2016)'!$A$3,"MA_HT","CAN","MA_QH","DTS")</f>
        <v>0</v>
      </c>
      <c r="AU21" s="22">
        <f ca="1">+GETPIVOTDATA("XCB4",'cubi (2016)'!$A$3,"MA_HT","CAN","MA_QH","DNG")</f>
        <v>0</v>
      </c>
      <c r="AV21" s="22">
        <f ca="1">+GETPIVOTDATA("XCB4",'cubi (2016)'!$A$3,"MA_HT","CAN","MA_QH","TON")</f>
        <v>0</v>
      </c>
      <c r="AW21" s="22">
        <f ca="1">+GETPIVOTDATA("XCB4",'cubi (2016)'!$A$3,"MA_HT","CAN","MA_QH","NTD")</f>
        <v>0</v>
      </c>
      <c r="AX21" s="22">
        <f ca="1">+GETPIVOTDATA("XCB4",'cubi (2016)'!$A$3,"MA_HT","CAN","MA_QH","SKX")</f>
        <v>0</v>
      </c>
      <c r="AY21" s="22">
        <f ca="1">+GETPIVOTDATA("XCB4",'cubi (2016)'!$A$3,"MA_HT","CAN","MA_QH","DSH")</f>
        <v>0</v>
      </c>
      <c r="AZ21" s="22">
        <f ca="1">+GETPIVOTDATA("XCB4",'cubi (2016)'!$A$3,"MA_HT","CAN","MA_QH","DKV")</f>
        <v>0</v>
      </c>
      <c r="BA21" s="89">
        <f ca="1">+GETPIVOTDATA("XCB4",'cubi (2016)'!$A$3,"MA_HT","CAN","MA_QH","TIN")</f>
        <v>0</v>
      </c>
      <c r="BB21" s="50">
        <f ca="1">+GETPIVOTDATA("XCB4",'cubi (2016)'!$A$3,"MA_HT","CAN","MA_QH","SON")</f>
        <v>0</v>
      </c>
      <c r="BC21" s="50">
        <f ca="1">+GETPIVOTDATA("XCB4",'cubi (2016)'!$A$3,"MA_HT","CAN","MA_QH","MNC")</f>
        <v>0</v>
      </c>
      <c r="BD21" s="22">
        <f ca="1">+GETPIVOTDATA("XCB4",'cubi (2016)'!$A$3,"MA_HT","CAN","MA_QH","PNK")</f>
        <v>0</v>
      </c>
      <c r="BE21" s="71">
        <f ca="1">+GETPIVOTDATA("XCB4",'cubi (2016)'!$A$3,"MA_HT","CAN","MA_QH","CSD")</f>
        <v>0</v>
      </c>
      <c r="BF21" s="74">
        <f ca="1" t="shared" si="13"/>
        <v>0</v>
      </c>
      <c r="BG21" s="101">
        <f ca="1">T$59-$BF21</f>
        <v>0</v>
      </c>
      <c r="BH21" s="41" t="e">
        <f ca="1" t="shared" si="14"/>
        <v>#REF!</v>
      </c>
      <c r="BI21" s="98"/>
      <c r="BJ21" s="98" t="e">
        <f>#REF!</f>
        <v>#REF!</v>
      </c>
      <c r="BK21" s="107" t="e">
        <f ca="1">BH21-BJ21</f>
        <v>#REF!</v>
      </c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</row>
    <row r="22" s="2" customFormat="1" ht="15.75" customHeight="1" spans="1:79">
      <c r="A22" s="39" t="s">
        <v>8362</v>
      </c>
      <c r="B22" s="53" t="s">
        <v>8363</v>
      </c>
      <c r="C22" s="40" t="s">
        <v>47</v>
      </c>
      <c r="D22" s="41" t="e">
        <f>+#REF!</f>
        <v>#REF!</v>
      </c>
      <c r="E22" s="42">
        <f ca="1" t="shared" si="15"/>
        <v>0</v>
      </c>
      <c r="F22" s="52">
        <f ca="1" t="shared" si="9"/>
        <v>0</v>
      </c>
      <c r="G22" s="22">
        <f ca="1">+GETPIVOTDATA("XCB4",'cubi (2016)'!$A$3,"MA_HT","SKK","MA_QH","LUC")</f>
        <v>0</v>
      </c>
      <c r="H22" s="22">
        <f ca="1">+GETPIVOTDATA("XCB4",'cubi (2016)'!$A$3,"MA_HT","SKK","MA_QH","LUK")</f>
        <v>0</v>
      </c>
      <c r="I22" s="22">
        <f ca="1">+GETPIVOTDATA("XCB4",'cubi (2016)'!$A$3,"MA_HT","SKK","MA_QH","LUN")</f>
        <v>0</v>
      </c>
      <c r="J22" s="22">
        <f ca="1">+GETPIVOTDATA("XCB4",'cubi (2016)'!$A$3,"MA_HT","SKK","MA_QH","HNK")</f>
        <v>0</v>
      </c>
      <c r="K22" s="22">
        <f ca="1">+GETPIVOTDATA("XCB4",'cubi (2016)'!$A$3,"MA_HT","SKK","MA_QH","CLN")</f>
        <v>0</v>
      </c>
      <c r="L22" s="22">
        <f ca="1">+GETPIVOTDATA("XCB4",'cubi (2016)'!$A$3,"MA_HT","SKK","MA_QH","RSX")</f>
        <v>0</v>
      </c>
      <c r="M22" s="22">
        <f ca="1">+GETPIVOTDATA("XCB4",'cubi (2016)'!$A$3,"MA_HT","SKK","MA_QH","RPH")</f>
        <v>0</v>
      </c>
      <c r="N22" s="22">
        <f ca="1">+GETPIVOTDATA("XCB4",'cubi (2016)'!$A$3,"MA_HT","SKK","MA_QH","RDD")</f>
        <v>0</v>
      </c>
      <c r="O22" s="22">
        <f ca="1">+GETPIVOTDATA("XCB4",'cubi (2016)'!$A$3,"MA_HT","SKK","MA_QH","NTS")</f>
        <v>0</v>
      </c>
      <c r="P22" s="22">
        <f ca="1">+GETPIVOTDATA("XCB4",'cubi (2016)'!$A$3,"MA_HT","SKK","MA_QH","LMU")</f>
        <v>0</v>
      </c>
      <c r="Q22" s="22">
        <f ca="1">+GETPIVOTDATA("XCB4",'cubi (2016)'!$A$3,"MA_HT","SKK","MA_QH","NKH")</f>
        <v>0</v>
      </c>
      <c r="R22" s="42">
        <f ca="1">SUM(S22:T22,V22:AA22,AN22:BD22)</f>
        <v>0</v>
      </c>
      <c r="S22" s="22">
        <f ca="1">+GETPIVOTDATA("XCB4",'cubi (2016)'!$A$3,"MA_HT","SKK","MA_QH","CQP")</f>
        <v>0</v>
      </c>
      <c r="T22" s="22">
        <f ca="1">+GETPIVOTDATA("XCB4",'cubi (2016)'!$A$3,"MA_HT","SKK","MA_QH","CAN")</f>
        <v>0</v>
      </c>
      <c r="U22" s="43" t="e">
        <f ca="1">$D22-$BF22</f>
        <v>#REF!</v>
      </c>
      <c r="V22" s="22">
        <f ca="1">+GETPIVOTDATA("XCB4",'cubi (2016)'!$A$3,"MA_HT","SKK","MA_QH","SKT")</f>
        <v>0</v>
      </c>
      <c r="W22" s="22">
        <f ca="1">+GETPIVOTDATA("XCB4",'cubi (2016)'!$A$3,"MA_HT","SKK","MA_QH","SKN")</f>
        <v>0</v>
      </c>
      <c r="X22" s="22">
        <f ca="1">+GETPIVOTDATA("XCB4",'cubi (2016)'!$A$3,"MA_HT","SKK","MA_QH","TMD")</f>
        <v>0</v>
      </c>
      <c r="Y22" s="22">
        <f ca="1">+GETPIVOTDATA("XCB4",'cubi (2016)'!$A$3,"MA_HT","SKK","MA_QH","SKC")</f>
        <v>0</v>
      </c>
      <c r="Z22" s="22">
        <f ca="1">+GETPIVOTDATA("XCB4",'cubi (2016)'!$A$3,"MA_HT","SKK","MA_QH","SKS")</f>
        <v>0</v>
      </c>
      <c r="AA22" s="52">
        <f ca="1" t="shared" si="12"/>
        <v>0</v>
      </c>
      <c r="AB22" s="22">
        <f ca="1">+GETPIVOTDATA("XCB4",'cubi (2016)'!$A$3,"MA_HT","SKK","MA_QH","DGT")</f>
        <v>0</v>
      </c>
      <c r="AC22" s="22">
        <f ca="1">+GETPIVOTDATA("XCB4",'cubi (2016)'!$A$3,"MA_HT","SKK","MA_QH","DTL")</f>
        <v>0</v>
      </c>
      <c r="AD22" s="22">
        <f ca="1">+GETPIVOTDATA("XCB4",'cubi (2016)'!$A$3,"MA_HT","SKK","MA_QH","DNL")</f>
        <v>0</v>
      </c>
      <c r="AE22" s="22">
        <f ca="1">+GETPIVOTDATA("XCB4",'cubi (2016)'!$A$3,"MA_HT","SKK","MA_QH","DBV")</f>
        <v>0</v>
      </c>
      <c r="AF22" s="22">
        <f ca="1">+GETPIVOTDATA("XCB4",'cubi (2016)'!$A$3,"MA_HT","SKK","MA_QH","DVH")</f>
        <v>0</v>
      </c>
      <c r="AG22" s="22">
        <f ca="1">+GETPIVOTDATA("XCB4",'cubi (2016)'!$A$3,"MA_HT","SKK","MA_QH","DYT")</f>
        <v>0</v>
      </c>
      <c r="AH22" s="22">
        <f ca="1">+GETPIVOTDATA("XCB4",'cubi (2016)'!$A$3,"MA_HT","SKK","MA_QH","DGD")</f>
        <v>0</v>
      </c>
      <c r="AI22" s="22">
        <f ca="1">+GETPIVOTDATA("XCB4",'cubi (2016)'!$A$3,"MA_HT","SKK","MA_QH","DTT")</f>
        <v>0</v>
      </c>
      <c r="AJ22" s="22">
        <f ca="1">+GETPIVOTDATA("XCB4",'cubi (2016)'!$A$3,"MA_HT","SKK","MA_QH","NCK")</f>
        <v>0</v>
      </c>
      <c r="AK22" s="22">
        <f ca="1">+GETPIVOTDATA("XCB4",'cubi (2016)'!$A$3,"MA_HT","SKK","MA_QH","DXH")</f>
        <v>0</v>
      </c>
      <c r="AL22" s="22">
        <f ca="1">+GETPIVOTDATA("XCB4",'cubi (2016)'!$A$3,"MA_HT","SKK","MA_QH","DCH")</f>
        <v>0</v>
      </c>
      <c r="AM22" s="22">
        <f ca="1">+GETPIVOTDATA("XCB4",'cubi (2016)'!$A$3,"MA_HT","SKK","MA_QH","DKG")</f>
        <v>0</v>
      </c>
      <c r="AN22" s="22">
        <f ca="1">+GETPIVOTDATA("XCB4",'cubi (2016)'!$A$3,"MA_HT","SKK","MA_QH","DDT")</f>
        <v>0</v>
      </c>
      <c r="AO22" s="22">
        <f ca="1">+GETPIVOTDATA("XCB4",'cubi (2016)'!$A$3,"MA_HT","SKK","MA_QH","DDL")</f>
        <v>0</v>
      </c>
      <c r="AP22" s="22">
        <f ca="1">+GETPIVOTDATA("XCB4",'cubi (2016)'!$A$3,"MA_HT","SKK","MA_QH","DRA")</f>
        <v>0</v>
      </c>
      <c r="AQ22" s="22">
        <f ca="1">+GETPIVOTDATA("XCB4",'cubi (2016)'!$A$3,"MA_HT","SKK","MA_QH","ONT")</f>
        <v>0</v>
      </c>
      <c r="AR22" s="22">
        <f ca="1">+GETPIVOTDATA("XCB4",'cubi (2016)'!$A$3,"MA_HT","SKK","MA_QH","ODT")</f>
        <v>0</v>
      </c>
      <c r="AS22" s="22">
        <f ca="1">+GETPIVOTDATA("XCB4",'cubi (2016)'!$A$3,"MA_HT","SKK","MA_QH","TSC")</f>
        <v>0</v>
      </c>
      <c r="AT22" s="22">
        <f ca="1">+GETPIVOTDATA("XCB4",'cubi (2016)'!$A$3,"MA_HT","SKK","MA_QH","DTS")</f>
        <v>0</v>
      </c>
      <c r="AU22" s="22">
        <f ca="1">+GETPIVOTDATA("XCB4",'cubi (2016)'!$A$3,"MA_HT","SKK","MA_QH","DNG")</f>
        <v>0</v>
      </c>
      <c r="AV22" s="22">
        <f ca="1">+GETPIVOTDATA("XCB4",'cubi (2016)'!$A$3,"MA_HT","SKK","MA_QH","TON")</f>
        <v>0</v>
      </c>
      <c r="AW22" s="22">
        <f ca="1">+GETPIVOTDATA("XCB4",'cubi (2016)'!$A$3,"MA_HT","SKK","MA_QH","NTD")</f>
        <v>0</v>
      </c>
      <c r="AX22" s="22">
        <f ca="1">+GETPIVOTDATA("XCB4",'cubi (2016)'!$A$3,"MA_HT","SKK","MA_QH","SKX")</f>
        <v>0</v>
      </c>
      <c r="AY22" s="22">
        <f ca="1">+GETPIVOTDATA("XCB4",'cubi (2016)'!$A$3,"MA_HT","SKK","MA_QH","DSH")</f>
        <v>0</v>
      </c>
      <c r="AZ22" s="22">
        <f ca="1">+GETPIVOTDATA("XCB4",'cubi (2016)'!$A$3,"MA_HT","SKK","MA_QH","DKV")</f>
        <v>0</v>
      </c>
      <c r="BA22" s="89">
        <f ca="1">+GETPIVOTDATA("XCB4",'cubi (2016)'!$A$3,"MA_HT","SKK","MA_QH","TIN")</f>
        <v>0</v>
      </c>
      <c r="BB22" s="50">
        <f ca="1">+GETPIVOTDATA("XCB4",'cubi (2016)'!$A$3,"MA_HT","SKK","MA_QH","SON")</f>
        <v>0</v>
      </c>
      <c r="BC22" s="50">
        <f ca="1">+GETPIVOTDATA("XCB4",'cubi (2016)'!$A$3,"MA_HT","SKK","MA_QH","MNC")</f>
        <v>0</v>
      </c>
      <c r="BD22" s="22">
        <f ca="1">+GETPIVOTDATA("XCB4",'cubi (2016)'!$A$3,"MA_HT","SKK","MA_QH","PNK")</f>
        <v>0</v>
      </c>
      <c r="BE22" s="71">
        <f ca="1">+GETPIVOTDATA("XCB4",'cubi (2016)'!$A$3,"MA_HT","SKK","MA_QH","CSD")</f>
        <v>0</v>
      </c>
      <c r="BF22" s="74">
        <f ca="1" t="shared" si="13"/>
        <v>0</v>
      </c>
      <c r="BG22" s="101">
        <f ca="1">U$59-$BF22</f>
        <v>0</v>
      </c>
      <c r="BH22" s="41" t="e">
        <f ca="1" t="shared" si="14"/>
        <v>#REF!</v>
      </c>
      <c r="BI22" s="98"/>
      <c r="BJ22" s="107" t="e">
        <f>#REF!</f>
        <v>#REF!</v>
      </c>
      <c r="BK22" s="107" t="e">
        <f ca="1">BH22-BJ22</f>
        <v>#REF!</v>
      </c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</row>
    <row r="23" s="2" customFormat="1" ht="15.75" customHeight="1" spans="1:79">
      <c r="A23" s="39" t="s">
        <v>8364</v>
      </c>
      <c r="B23" s="53" t="s">
        <v>8365</v>
      </c>
      <c r="C23" s="40" t="s">
        <v>8308</v>
      </c>
      <c r="D23" s="41" t="e">
        <f>+#REF!</f>
        <v>#REF!</v>
      </c>
      <c r="E23" s="42">
        <f ca="1" t="shared" si="15"/>
        <v>0</v>
      </c>
      <c r="F23" s="52">
        <f ca="1" t="shared" si="9"/>
        <v>0</v>
      </c>
      <c r="G23" s="22">
        <f ca="1">+GETPIVOTDATA("XCB4",'cubi (2016)'!$A$3,"MA_HT","SKT","MA_QH","LUC")</f>
        <v>0</v>
      </c>
      <c r="H23" s="22">
        <f ca="1">+GETPIVOTDATA("XCB4",'cubi (2016)'!$A$3,"MA_HT","SKT","MA_QH","LUK")</f>
        <v>0</v>
      </c>
      <c r="I23" s="22">
        <f ca="1">+GETPIVOTDATA("XCB4",'cubi (2016)'!$A$3,"MA_HT","SKT","MA_QH","LUN")</f>
        <v>0</v>
      </c>
      <c r="J23" s="22">
        <f ca="1">+GETPIVOTDATA("XCB4",'cubi (2016)'!$A$3,"MA_HT","SKT","MA_QH","HNK")</f>
        <v>0</v>
      </c>
      <c r="K23" s="22">
        <f ca="1">+GETPIVOTDATA("XCB4",'cubi (2016)'!$A$3,"MA_HT","SKT","MA_QH","CLN")</f>
        <v>0</v>
      </c>
      <c r="L23" s="22">
        <f ca="1">+GETPIVOTDATA("XCB4",'cubi (2016)'!$A$3,"MA_HT","SKT","MA_QH","RSX")</f>
        <v>0</v>
      </c>
      <c r="M23" s="22">
        <f ca="1">+GETPIVOTDATA("XCB4",'cubi (2016)'!$A$3,"MA_HT","SKT","MA_QH","RPH")</f>
        <v>0</v>
      </c>
      <c r="N23" s="22">
        <f ca="1">+GETPIVOTDATA("XCB4",'cubi (2016)'!$A$3,"MA_HT","SKT","MA_QH","RDD")</f>
        <v>0</v>
      </c>
      <c r="O23" s="22">
        <f ca="1">+GETPIVOTDATA("XCB4",'cubi (2016)'!$A$3,"MA_HT","SKT","MA_QH","NTS")</f>
        <v>0</v>
      </c>
      <c r="P23" s="22">
        <f ca="1">+GETPIVOTDATA("XCB4",'cubi (2016)'!$A$3,"MA_HT","SKT","MA_QH","LMU")</f>
        <v>0</v>
      </c>
      <c r="Q23" s="22">
        <f ca="1">+GETPIVOTDATA("XCB4",'cubi (2016)'!$A$3,"MA_HT","SKT","MA_QH","NKH")</f>
        <v>0</v>
      </c>
      <c r="R23" s="42">
        <f ca="1">SUM(S23:U23,W23:AA23,AN23:BD23)</f>
        <v>0</v>
      </c>
      <c r="S23" s="22">
        <f ca="1">+GETPIVOTDATA("XCB4",'cubi (2016)'!$A$3,"MA_HT","SKT","MA_QH","CQP")</f>
        <v>0</v>
      </c>
      <c r="T23" s="22">
        <f ca="1">+GETPIVOTDATA("XCB4",'cubi (2016)'!$A$3,"MA_HT","SKT","MA_QH","CAN")</f>
        <v>0</v>
      </c>
      <c r="U23" s="22">
        <f ca="1">+GETPIVOTDATA("XCB4",'cubi (2016)'!$A$3,"MA_HT","SKT","MA_QH","SKK")</f>
        <v>0</v>
      </c>
      <c r="V23" s="43" t="e">
        <f ca="1">$D23-$BF23</f>
        <v>#REF!</v>
      </c>
      <c r="W23" s="22">
        <f ca="1">+GETPIVOTDATA("XCB4",'cubi (2016)'!$A$3,"MA_HT","SKT","MA_QH","SKN")</f>
        <v>0</v>
      </c>
      <c r="X23" s="22">
        <f ca="1">+GETPIVOTDATA("XCB4",'cubi (2016)'!$A$3,"MA_HT","SKT","MA_QH","TMD")</f>
        <v>0</v>
      </c>
      <c r="Y23" s="22">
        <f ca="1">+GETPIVOTDATA("XCB4",'cubi (2016)'!$A$3,"MA_HT","SKT","MA_QH","SKC")</f>
        <v>0</v>
      </c>
      <c r="Z23" s="22">
        <f ca="1">+GETPIVOTDATA("XCB4",'cubi (2016)'!$A$3,"MA_HT","SKT","MA_QH","SKS")</f>
        <v>0</v>
      </c>
      <c r="AA23" s="52">
        <f ca="1" t="shared" si="12"/>
        <v>0</v>
      </c>
      <c r="AB23" s="22">
        <f ca="1">+GETPIVOTDATA("XCB4",'cubi (2016)'!$A$3,"MA_HT","SKT","MA_QH","DGT")</f>
        <v>0</v>
      </c>
      <c r="AC23" s="22">
        <f ca="1">+GETPIVOTDATA("XCB4",'cubi (2016)'!$A$3,"MA_HT","SKT","MA_QH","DTL")</f>
        <v>0</v>
      </c>
      <c r="AD23" s="22">
        <f ca="1">+GETPIVOTDATA("XCB4",'cubi (2016)'!$A$3,"MA_HT","SKT","MA_QH","DNL")</f>
        <v>0</v>
      </c>
      <c r="AE23" s="22">
        <f ca="1">+GETPIVOTDATA("XCB4",'cubi (2016)'!$A$3,"MA_HT","SKT","MA_QH","DBV")</f>
        <v>0</v>
      </c>
      <c r="AF23" s="22">
        <f ca="1">+GETPIVOTDATA("XCB4",'cubi (2016)'!$A$3,"MA_HT","SKT","MA_QH","DVH")</f>
        <v>0</v>
      </c>
      <c r="AG23" s="22">
        <f ca="1">+GETPIVOTDATA("XCB4",'cubi (2016)'!$A$3,"MA_HT","SKT","MA_QH","DYT")</f>
        <v>0</v>
      </c>
      <c r="AH23" s="22">
        <f ca="1">+GETPIVOTDATA("XCB4",'cubi (2016)'!$A$3,"MA_HT","SKT","MA_QH","DGD")</f>
        <v>0</v>
      </c>
      <c r="AI23" s="22">
        <f ca="1">+GETPIVOTDATA("XCB4",'cubi (2016)'!$A$3,"MA_HT","SKT","MA_QH","DTT")</f>
        <v>0</v>
      </c>
      <c r="AJ23" s="22">
        <f ca="1">+GETPIVOTDATA("XCB4",'cubi (2016)'!$A$3,"MA_HT","SKT","MA_QH","NCK")</f>
        <v>0</v>
      </c>
      <c r="AK23" s="22">
        <f ca="1">+GETPIVOTDATA("XCB4",'cubi (2016)'!$A$3,"MA_HT","SKT","MA_QH","DXH")</f>
        <v>0</v>
      </c>
      <c r="AL23" s="22">
        <f ca="1">+GETPIVOTDATA("XCB4",'cubi (2016)'!$A$3,"MA_HT","SKT","MA_QH","DCH")</f>
        <v>0</v>
      </c>
      <c r="AM23" s="22">
        <f ca="1">+GETPIVOTDATA("XCB4",'cubi (2016)'!$A$3,"MA_HT","SKT","MA_QH","DKG")</f>
        <v>0</v>
      </c>
      <c r="AN23" s="22">
        <f ca="1">+GETPIVOTDATA("XCB4",'cubi (2016)'!$A$3,"MA_HT","SKT","MA_QH","DDT")</f>
        <v>0</v>
      </c>
      <c r="AO23" s="22">
        <f ca="1">+GETPIVOTDATA("XCB4",'cubi (2016)'!$A$3,"MA_HT","SKT","MA_QH","DDL")</f>
        <v>0</v>
      </c>
      <c r="AP23" s="22">
        <f ca="1">+GETPIVOTDATA("XCB4",'cubi (2016)'!$A$3,"MA_HT","SKT","MA_QH","DRA")</f>
        <v>0</v>
      </c>
      <c r="AQ23" s="22">
        <f ca="1">+GETPIVOTDATA("XCB4",'cubi (2016)'!$A$3,"MA_HT","SKT","MA_QH","ONT")</f>
        <v>0</v>
      </c>
      <c r="AR23" s="22">
        <f ca="1">+GETPIVOTDATA("XCB4",'cubi (2016)'!$A$3,"MA_HT","SKT","MA_QH","ODT")</f>
        <v>0</v>
      </c>
      <c r="AS23" s="22">
        <f ca="1">+GETPIVOTDATA("XCB4",'cubi (2016)'!$A$3,"MA_HT","SKT","MA_QH","TSC")</f>
        <v>0</v>
      </c>
      <c r="AT23" s="22">
        <f ca="1">+GETPIVOTDATA("XCB4",'cubi (2016)'!$A$3,"MA_HT","SKT","MA_QH","DTS")</f>
        <v>0</v>
      </c>
      <c r="AU23" s="22">
        <f ca="1">+GETPIVOTDATA("XCB4",'cubi (2016)'!$A$3,"MA_HT","SKT","MA_QH","DNG")</f>
        <v>0</v>
      </c>
      <c r="AV23" s="22">
        <f ca="1">+GETPIVOTDATA("XCB4",'cubi (2016)'!$A$3,"MA_HT","SKT","MA_QH","TON")</f>
        <v>0</v>
      </c>
      <c r="AW23" s="22">
        <f ca="1">+GETPIVOTDATA("XCB4",'cubi (2016)'!$A$3,"MA_HT","SKT","MA_QH","NTD")</f>
        <v>0</v>
      </c>
      <c r="AX23" s="22">
        <f ca="1">+GETPIVOTDATA("XCB4",'cubi (2016)'!$A$3,"MA_HT","SKT","MA_QH","SKX")</f>
        <v>0</v>
      </c>
      <c r="AY23" s="22">
        <f ca="1">+GETPIVOTDATA("XCB4",'cubi (2016)'!$A$3,"MA_HT","SKT","MA_QH","DSH")</f>
        <v>0</v>
      </c>
      <c r="AZ23" s="22">
        <f ca="1">+GETPIVOTDATA("XCB4",'cubi (2016)'!$A$3,"MA_HT","SKT","MA_QH","DKV")</f>
        <v>0</v>
      </c>
      <c r="BA23" s="89">
        <f ca="1">+GETPIVOTDATA("XCB4",'cubi (2016)'!$A$3,"MA_HT","SKT","MA_QH","TIN")</f>
        <v>0</v>
      </c>
      <c r="BB23" s="50">
        <f ca="1">+GETPIVOTDATA("XCB4",'cubi (2016)'!$A$3,"MA_HT","SKT","MA_QH","SON")</f>
        <v>0</v>
      </c>
      <c r="BC23" s="50">
        <f ca="1">+GETPIVOTDATA("XCB4",'cubi (2016)'!$A$3,"MA_HT","SKT","MA_QH","MNC")</f>
        <v>0</v>
      </c>
      <c r="BD23" s="22">
        <f ca="1">+GETPIVOTDATA("XCB4",'cubi (2016)'!$A$3,"MA_HT","SKT","MA_QH","PNK")</f>
        <v>0</v>
      </c>
      <c r="BE23" s="71">
        <f ca="1">+GETPIVOTDATA("XCB4",'cubi (2016)'!$A$3,"MA_HT","SKT","MA_QH","CSD")</f>
        <v>0</v>
      </c>
      <c r="BF23" s="74">
        <f ca="1" t="shared" si="13"/>
        <v>0</v>
      </c>
      <c r="BG23" s="101">
        <f ca="1">V$59-$BF23</f>
        <v>0</v>
      </c>
      <c r="BH23" s="41" t="e">
        <f ca="1" t="shared" si="14"/>
        <v>#REF!</v>
      </c>
      <c r="BI23" s="98"/>
      <c r="BJ23" s="107"/>
      <c r="BK23" s="107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</row>
    <row r="24" s="2" customFormat="1" ht="15.75" customHeight="1" spans="1:79">
      <c r="A24" s="39" t="s">
        <v>8366</v>
      </c>
      <c r="B24" s="53" t="s">
        <v>8367</v>
      </c>
      <c r="C24" s="40" t="s">
        <v>56</v>
      </c>
      <c r="D24" s="41" t="e">
        <f>+#REF!</f>
        <v>#REF!</v>
      </c>
      <c r="E24" s="42">
        <f ca="1" t="shared" si="15"/>
        <v>0</v>
      </c>
      <c r="F24" s="52">
        <f ca="1" t="shared" si="9"/>
        <v>0</v>
      </c>
      <c r="G24" s="22">
        <f ca="1">+GETPIVOTDATA("XCB4",'cubi (2016)'!$A$3,"MA_HT","SKN","MA_QH","LUC")</f>
        <v>0</v>
      </c>
      <c r="H24" s="22">
        <f ca="1">+GETPIVOTDATA("XCB4",'cubi (2016)'!$A$3,"MA_HT","SKN","MA_QH","LUK")</f>
        <v>0</v>
      </c>
      <c r="I24" s="22">
        <f ca="1">+GETPIVOTDATA("XCB4",'cubi (2016)'!$A$3,"MA_HT","SKN","MA_QH","LUN")</f>
        <v>0</v>
      </c>
      <c r="J24" s="22">
        <f ca="1">+GETPIVOTDATA("XCB4",'cubi (2016)'!$A$3,"MA_HT","SKN","MA_QH","HNK")</f>
        <v>0</v>
      </c>
      <c r="K24" s="22">
        <f ca="1">+GETPIVOTDATA("XCB4",'cubi (2016)'!$A$3,"MA_HT","SKN","MA_QH","CLN")</f>
        <v>0</v>
      </c>
      <c r="L24" s="22">
        <f ca="1">+GETPIVOTDATA("XCB4",'cubi (2016)'!$A$3,"MA_HT","SKN","MA_QH","RSX")</f>
        <v>0</v>
      </c>
      <c r="M24" s="22">
        <f ca="1">+GETPIVOTDATA("XCB4",'cubi (2016)'!$A$3,"MA_HT","SKN","MA_QH","RPH")</f>
        <v>0</v>
      </c>
      <c r="N24" s="22">
        <f ca="1">+GETPIVOTDATA("XCB4",'cubi (2016)'!$A$3,"MA_HT","SKN","MA_QH","RDD")</f>
        <v>0</v>
      </c>
      <c r="O24" s="22">
        <f ca="1">+GETPIVOTDATA("XCB4",'cubi (2016)'!$A$3,"MA_HT","SKN","MA_QH","NTS")</f>
        <v>0</v>
      </c>
      <c r="P24" s="22">
        <f ca="1">+GETPIVOTDATA("XCB4",'cubi (2016)'!$A$3,"MA_HT","SKN","MA_QH","LMU")</f>
        <v>0</v>
      </c>
      <c r="Q24" s="22">
        <f ca="1">+GETPIVOTDATA("XCB4",'cubi (2016)'!$A$3,"MA_HT","SKN","MA_QH","NKH")</f>
        <v>0</v>
      </c>
      <c r="R24" s="42">
        <f ca="1">SUM(S24:V24,X24:AA24,AN24:BD24)</f>
        <v>0</v>
      </c>
      <c r="S24" s="22">
        <f ca="1">+GETPIVOTDATA("XCB4",'cubi (2016)'!$A$3,"MA_HT","SKN","MA_QH","CQP")</f>
        <v>0</v>
      </c>
      <c r="T24" s="22">
        <f ca="1">+GETPIVOTDATA("XCB4",'cubi (2016)'!$A$3,"MA_HT","SKN","MA_QH","CAN")</f>
        <v>0</v>
      </c>
      <c r="U24" s="22">
        <f ca="1">+GETPIVOTDATA("XCB4",'cubi (2016)'!$A$3,"MA_HT","SKN","MA_QH","SKK")</f>
        <v>0</v>
      </c>
      <c r="V24" s="22">
        <f ca="1">+GETPIVOTDATA("XCB4",'cubi (2016)'!$A$3,"MA_HT","SKN","MA_QH","SKT")</f>
        <v>0</v>
      </c>
      <c r="W24" s="43" t="e">
        <f ca="1">$D24-$BF24</f>
        <v>#REF!</v>
      </c>
      <c r="X24" s="22">
        <f ca="1">+GETPIVOTDATA("XCB4",'cubi (2016)'!$A$3,"MA_HT","SKN","MA_QH","TMD")</f>
        <v>0</v>
      </c>
      <c r="Y24" s="22">
        <f ca="1">+GETPIVOTDATA("XCB4",'cubi (2016)'!$A$3,"MA_HT","SKN","MA_QH","SKC")</f>
        <v>0</v>
      </c>
      <c r="Z24" s="22">
        <f ca="1">+GETPIVOTDATA("XCB4",'cubi (2016)'!$A$3,"MA_HT","SKN","MA_QH","SKS")</f>
        <v>0</v>
      </c>
      <c r="AA24" s="52">
        <f ca="1" t="shared" si="12"/>
        <v>0</v>
      </c>
      <c r="AB24" s="22">
        <f ca="1">+GETPIVOTDATA("XCB4",'cubi (2016)'!$A$3,"MA_HT","SKN","MA_QH","DGT")</f>
        <v>0</v>
      </c>
      <c r="AC24" s="22">
        <f ca="1">+GETPIVOTDATA("XCB4",'cubi (2016)'!$A$3,"MA_HT","SKN","MA_QH","DTL")</f>
        <v>0</v>
      </c>
      <c r="AD24" s="22">
        <f ca="1">+GETPIVOTDATA("XCB4",'cubi (2016)'!$A$3,"MA_HT","SKN","MA_QH","DNL")</f>
        <v>0</v>
      </c>
      <c r="AE24" s="22">
        <f ca="1">+GETPIVOTDATA("XCB4",'cubi (2016)'!$A$3,"MA_HT","SKN","MA_QH","DBV")</f>
        <v>0</v>
      </c>
      <c r="AF24" s="22">
        <f ca="1">+GETPIVOTDATA("XCB4",'cubi (2016)'!$A$3,"MA_HT","SKN","MA_QH","DVH")</f>
        <v>0</v>
      </c>
      <c r="AG24" s="22">
        <f ca="1">+GETPIVOTDATA("XCB4",'cubi (2016)'!$A$3,"MA_HT","SKN","MA_QH","DYT")</f>
        <v>0</v>
      </c>
      <c r="AH24" s="22">
        <f ca="1">+GETPIVOTDATA("XCB4",'cubi (2016)'!$A$3,"MA_HT","SKN","MA_QH","DGD")</f>
        <v>0</v>
      </c>
      <c r="AI24" s="22">
        <f ca="1">+GETPIVOTDATA("XCB4",'cubi (2016)'!$A$3,"MA_HT","SKN","MA_QH","DTT")</f>
        <v>0</v>
      </c>
      <c r="AJ24" s="22">
        <f ca="1">+GETPIVOTDATA("XCB4",'cubi (2016)'!$A$3,"MA_HT","SKN","MA_QH","NCK")</f>
        <v>0</v>
      </c>
      <c r="AK24" s="22">
        <f ca="1">+GETPIVOTDATA("XCB4",'cubi (2016)'!$A$3,"MA_HT","SKN","MA_QH","DXH")</f>
        <v>0</v>
      </c>
      <c r="AL24" s="22">
        <f ca="1">+GETPIVOTDATA("XCB4",'cubi (2016)'!$A$3,"MA_HT","SKN","MA_QH","DCH")</f>
        <v>0</v>
      </c>
      <c r="AM24" s="22">
        <f ca="1">+GETPIVOTDATA("XCB4",'cubi (2016)'!$A$3,"MA_HT","SKN","MA_QH","DKG")</f>
        <v>0</v>
      </c>
      <c r="AN24" s="22">
        <f ca="1">+GETPIVOTDATA("XCB4",'cubi (2016)'!$A$3,"MA_HT","SKN","MA_QH","DDT")</f>
        <v>0</v>
      </c>
      <c r="AO24" s="22">
        <f ca="1">+GETPIVOTDATA("XCB4",'cubi (2016)'!$A$3,"MA_HT","SKN","MA_QH","DDL")</f>
        <v>0</v>
      </c>
      <c r="AP24" s="22">
        <f ca="1">+GETPIVOTDATA("XCB4",'cubi (2016)'!$A$3,"MA_HT","SKN","MA_QH","DRA")</f>
        <v>0</v>
      </c>
      <c r="AQ24" s="22">
        <f ca="1">+GETPIVOTDATA("XCB4",'cubi (2016)'!$A$3,"MA_HT","SKN","MA_QH","ONT")</f>
        <v>0</v>
      </c>
      <c r="AR24" s="22">
        <f ca="1">+GETPIVOTDATA("XCB4",'cubi (2016)'!$A$3,"MA_HT","SKN","MA_QH","ODT")</f>
        <v>0</v>
      </c>
      <c r="AS24" s="22">
        <f ca="1">+GETPIVOTDATA("XCB4",'cubi (2016)'!$A$3,"MA_HT","SKN","MA_QH","TSC")</f>
        <v>0</v>
      </c>
      <c r="AT24" s="22">
        <f ca="1">+GETPIVOTDATA("XCB4",'cubi (2016)'!$A$3,"MA_HT","SKN","MA_QH","DTS")</f>
        <v>0</v>
      </c>
      <c r="AU24" s="22">
        <f ca="1">+GETPIVOTDATA("XCB4",'cubi (2016)'!$A$3,"MA_HT","SKN","MA_QH","DNG")</f>
        <v>0</v>
      </c>
      <c r="AV24" s="22">
        <f ca="1">+GETPIVOTDATA("XCB4",'cubi (2016)'!$A$3,"MA_HT","SKN","MA_QH","TON")</f>
        <v>0</v>
      </c>
      <c r="AW24" s="22">
        <f ca="1">+GETPIVOTDATA("XCB4",'cubi (2016)'!$A$3,"MA_HT","SKN","MA_QH","NTD")</f>
        <v>0</v>
      </c>
      <c r="AX24" s="22">
        <f ca="1">+GETPIVOTDATA("XCB4",'cubi (2016)'!$A$3,"MA_HT","SKN","MA_QH","SKX")</f>
        <v>0</v>
      </c>
      <c r="AY24" s="22">
        <f ca="1">+GETPIVOTDATA("XCB4",'cubi (2016)'!$A$3,"MA_HT","SKN","MA_QH","DSH")</f>
        <v>0</v>
      </c>
      <c r="AZ24" s="22">
        <f ca="1">+GETPIVOTDATA("XCB4",'cubi (2016)'!$A$3,"MA_HT","SKN","MA_QH","DKV")</f>
        <v>0</v>
      </c>
      <c r="BA24" s="89">
        <f ca="1">+GETPIVOTDATA("XCB4",'cubi (2016)'!$A$3,"MA_HT","SKN","MA_QH","TIN")</f>
        <v>0</v>
      </c>
      <c r="BB24" s="50">
        <f ca="1">+GETPIVOTDATA("XCB4",'cubi (2016)'!$A$3,"MA_HT","SKN","MA_QH","SON")</f>
        <v>0</v>
      </c>
      <c r="BC24" s="50">
        <f ca="1">+GETPIVOTDATA("XCB4",'cubi (2016)'!$A$3,"MA_HT","SKN","MA_QH","MNC")</f>
        <v>0</v>
      </c>
      <c r="BD24" s="22">
        <f ca="1">+GETPIVOTDATA("XCB4",'cubi (2016)'!$A$3,"MA_HT","SKN","MA_QH","PNK")</f>
        <v>0</v>
      </c>
      <c r="BE24" s="71">
        <f ca="1">+GETPIVOTDATA("XCB4",'cubi (2016)'!$A$3,"MA_HT","SKN","MA_QH","CSD")</f>
        <v>0</v>
      </c>
      <c r="BF24" s="74">
        <f ca="1" t="shared" si="13"/>
        <v>0</v>
      </c>
      <c r="BG24" s="101">
        <f ca="1">W$59-$BF24</f>
        <v>0</v>
      </c>
      <c r="BH24" s="41" t="e">
        <f ca="1" t="shared" si="14"/>
        <v>#REF!</v>
      </c>
      <c r="BI24" s="98"/>
      <c r="BJ24" s="107"/>
      <c r="BK24" s="107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</row>
    <row r="25" s="2" customFormat="1" ht="15.75" customHeight="1" spans="1:79">
      <c r="A25" s="39" t="s">
        <v>8368</v>
      </c>
      <c r="B25" s="39" t="s">
        <v>8369</v>
      </c>
      <c r="C25" s="40" t="s">
        <v>265</v>
      </c>
      <c r="D25" s="41" t="e">
        <f>+#REF!</f>
        <v>#REF!</v>
      </c>
      <c r="E25" s="42">
        <f ca="1" t="shared" si="15"/>
        <v>0</v>
      </c>
      <c r="F25" s="52">
        <f ca="1" t="shared" si="9"/>
        <v>0</v>
      </c>
      <c r="G25" s="22">
        <f ca="1">+GETPIVOTDATA("XCB4",'cubi (2016)'!$A$3,"MA_HT","TMD","MA_QH","LUC")</f>
        <v>0</v>
      </c>
      <c r="H25" s="22">
        <f ca="1">+GETPIVOTDATA("XCB4",'cubi (2016)'!$A$3,"MA_HT","TMD","MA_QH","LUK")</f>
        <v>0</v>
      </c>
      <c r="I25" s="22">
        <f ca="1">+GETPIVOTDATA("XCB4",'cubi (2016)'!$A$3,"MA_HT","TMD","MA_QH","LUN")</f>
        <v>0</v>
      </c>
      <c r="J25" s="22">
        <f ca="1">+GETPIVOTDATA("XCB4",'cubi (2016)'!$A$3,"MA_HT","TMD","MA_QH","HNK")</f>
        <v>0</v>
      </c>
      <c r="K25" s="22">
        <f ca="1">+GETPIVOTDATA("XCB4",'cubi (2016)'!$A$3,"MA_HT","TMD","MA_QH","CLN")</f>
        <v>0</v>
      </c>
      <c r="L25" s="22">
        <f ca="1">+GETPIVOTDATA("XCB4",'cubi (2016)'!$A$3,"MA_HT","TMD","MA_QH","RSX")</f>
        <v>0</v>
      </c>
      <c r="M25" s="22">
        <f ca="1">+GETPIVOTDATA("XCB4",'cubi (2016)'!$A$3,"MA_HT","TMD","MA_QH","RPH")</f>
        <v>0</v>
      </c>
      <c r="N25" s="22">
        <f ca="1">+GETPIVOTDATA("XCB4",'cubi (2016)'!$A$3,"MA_HT","TMD","MA_QH","RDD")</f>
        <v>0</v>
      </c>
      <c r="O25" s="22">
        <f ca="1">+GETPIVOTDATA("XCB4",'cubi (2016)'!$A$3,"MA_HT","TMD","MA_QH","NTS")</f>
        <v>0</v>
      </c>
      <c r="P25" s="22">
        <f ca="1">+GETPIVOTDATA("XCB4",'cubi (2016)'!$A$3,"MA_HT","TMD","MA_QH","LMU")</f>
        <v>0</v>
      </c>
      <c r="Q25" s="22">
        <f ca="1">+GETPIVOTDATA("XCB4",'cubi (2016)'!$A$3,"MA_HT","TMD","MA_QH","NKH")</f>
        <v>0</v>
      </c>
      <c r="R25" s="42">
        <f ca="1">SUM(S25:W25,Y25:AA25,AN25:BD25)</f>
        <v>0</v>
      </c>
      <c r="S25" s="22">
        <f ca="1">+GETPIVOTDATA("XCB4",'cubi (2016)'!$A$3,"MA_HT","TMD","MA_QH","CQP")</f>
        <v>0</v>
      </c>
      <c r="T25" s="22">
        <f ca="1">+GETPIVOTDATA("XCB4",'cubi (2016)'!$A$3,"MA_HT","TMD","MA_QH","CAN")</f>
        <v>0</v>
      </c>
      <c r="U25" s="22">
        <f ca="1">+GETPIVOTDATA("XCB4",'cubi (2016)'!$A$3,"MA_HT","TMD","MA_QH","SKK")</f>
        <v>0</v>
      </c>
      <c r="V25" s="22">
        <f ca="1">+GETPIVOTDATA("XCB4",'cubi (2016)'!$A$3,"MA_HT","TMD","MA_QH","SKT")</f>
        <v>0</v>
      </c>
      <c r="W25" s="22">
        <f ca="1">+GETPIVOTDATA("XCB4",'cubi (2016)'!$A$3,"MA_HT","TMD","MA_QH","SKN")</f>
        <v>0</v>
      </c>
      <c r="X25" s="43" t="e">
        <f ca="1">$D25-$BF25</f>
        <v>#REF!</v>
      </c>
      <c r="Y25" s="22">
        <f ca="1">+GETPIVOTDATA("XCB4",'cubi (2016)'!$A$3,"MA_HT","TMD","MA_QH","SKC")</f>
        <v>0</v>
      </c>
      <c r="Z25" s="22">
        <f ca="1">+GETPIVOTDATA("XCB4",'cubi (2016)'!$A$3,"MA_HT","TMD","MA_QH","SKS")</f>
        <v>0</v>
      </c>
      <c r="AA25" s="52">
        <f ca="1" t="shared" si="12"/>
        <v>0</v>
      </c>
      <c r="AB25" s="22">
        <f ca="1">+GETPIVOTDATA("XCB4",'cubi (2016)'!$A$3,"MA_HT","TMD","MA_QH","DGT")</f>
        <v>0</v>
      </c>
      <c r="AC25" s="22">
        <f ca="1">+GETPIVOTDATA("XCB4",'cubi (2016)'!$A$3,"MA_HT","TMD","MA_QH","DTL")</f>
        <v>0</v>
      </c>
      <c r="AD25" s="22">
        <f ca="1">+GETPIVOTDATA("XCB4",'cubi (2016)'!$A$3,"MA_HT","TMD","MA_QH","DNL")</f>
        <v>0</v>
      </c>
      <c r="AE25" s="22">
        <f ca="1">+GETPIVOTDATA("XCB4",'cubi (2016)'!$A$3,"MA_HT","TMD","MA_QH","DBV")</f>
        <v>0</v>
      </c>
      <c r="AF25" s="22">
        <f ca="1">+GETPIVOTDATA("XCB4",'cubi (2016)'!$A$3,"MA_HT","TMD","MA_QH","DVH")</f>
        <v>0</v>
      </c>
      <c r="AG25" s="22">
        <f ca="1">+GETPIVOTDATA("XCB4",'cubi (2016)'!$A$3,"MA_HT","TMD","MA_QH","DYT")</f>
        <v>0</v>
      </c>
      <c r="AH25" s="22">
        <f ca="1">+GETPIVOTDATA("XCB4",'cubi (2016)'!$A$3,"MA_HT","TMD","MA_QH","DGD")</f>
        <v>0</v>
      </c>
      <c r="AI25" s="22">
        <f ca="1">+GETPIVOTDATA("XCB4",'cubi (2016)'!$A$3,"MA_HT","TMD","MA_QH","DTT")</f>
        <v>0</v>
      </c>
      <c r="AJ25" s="22">
        <f ca="1">+GETPIVOTDATA("XCB4",'cubi (2016)'!$A$3,"MA_HT","TMD","MA_QH","NCK")</f>
        <v>0</v>
      </c>
      <c r="AK25" s="22">
        <f ca="1">+GETPIVOTDATA("XCB4",'cubi (2016)'!$A$3,"MA_HT","TMD","MA_QH","DXH")</f>
        <v>0</v>
      </c>
      <c r="AL25" s="22">
        <f ca="1">+GETPIVOTDATA("XCB4",'cubi (2016)'!$A$3,"MA_HT","TMD","MA_QH","DCH")</f>
        <v>0</v>
      </c>
      <c r="AM25" s="22">
        <f ca="1">+GETPIVOTDATA("XCB4",'cubi (2016)'!$A$3,"MA_HT","TMD","MA_QH","DKG")</f>
        <v>0</v>
      </c>
      <c r="AN25" s="22">
        <f ca="1">+GETPIVOTDATA("XCB4",'cubi (2016)'!$A$3,"MA_HT","TMD","MA_QH","DDT")</f>
        <v>0</v>
      </c>
      <c r="AO25" s="22">
        <f ca="1">+GETPIVOTDATA("XCB4",'cubi (2016)'!$A$3,"MA_HT","TMD","MA_QH","DDL")</f>
        <v>0</v>
      </c>
      <c r="AP25" s="22">
        <f ca="1">+GETPIVOTDATA("XCB4",'cubi (2016)'!$A$3,"MA_HT","TMD","MA_QH","DRA")</f>
        <v>0</v>
      </c>
      <c r="AQ25" s="22">
        <f ca="1">+GETPIVOTDATA("XCB4",'cubi (2016)'!$A$3,"MA_HT","TMD","MA_QH","ONT")</f>
        <v>0</v>
      </c>
      <c r="AR25" s="22">
        <f ca="1">+GETPIVOTDATA("XCB4",'cubi (2016)'!$A$3,"MA_HT","TMD","MA_QH","ODT")</f>
        <v>0</v>
      </c>
      <c r="AS25" s="22">
        <f ca="1">+GETPIVOTDATA("XCB4",'cubi (2016)'!$A$3,"MA_HT","TMD","MA_QH","TSC")</f>
        <v>0</v>
      </c>
      <c r="AT25" s="22">
        <f ca="1">+GETPIVOTDATA("XCB4",'cubi (2016)'!$A$3,"MA_HT","TMD","MA_QH","DTS")</f>
        <v>0</v>
      </c>
      <c r="AU25" s="22">
        <f ca="1">+GETPIVOTDATA("XCB4",'cubi (2016)'!$A$3,"MA_HT","TMD","MA_QH","DNG")</f>
        <v>0</v>
      </c>
      <c r="AV25" s="22">
        <f ca="1">+GETPIVOTDATA("XCB4",'cubi (2016)'!$A$3,"MA_HT","TMD","MA_QH","TON")</f>
        <v>0</v>
      </c>
      <c r="AW25" s="22">
        <f ca="1">+GETPIVOTDATA("XCB4",'cubi (2016)'!$A$3,"MA_HT","TMD","MA_QH","NTD")</f>
        <v>0</v>
      </c>
      <c r="AX25" s="22">
        <f ca="1">+GETPIVOTDATA("XCB4",'cubi (2016)'!$A$3,"MA_HT","TMD","MA_QH","SKX")</f>
        <v>0</v>
      </c>
      <c r="AY25" s="22">
        <f ca="1">+GETPIVOTDATA("XCB4",'cubi (2016)'!$A$3,"MA_HT","TMD","MA_QH","DSH")</f>
        <v>0</v>
      </c>
      <c r="AZ25" s="22">
        <f ca="1">+GETPIVOTDATA("XCB4",'cubi (2016)'!$A$3,"MA_HT","TMD","MA_QH","DKV")</f>
        <v>0</v>
      </c>
      <c r="BA25" s="89">
        <f ca="1">+GETPIVOTDATA("XCB4",'cubi (2016)'!$A$3,"MA_HT","TMD","MA_QH","TIN")</f>
        <v>0</v>
      </c>
      <c r="BB25" s="50">
        <f ca="1">+GETPIVOTDATA("XCB4",'cubi (2016)'!$A$3,"MA_HT","TMD","MA_QH","SON")</f>
        <v>0</v>
      </c>
      <c r="BC25" s="50">
        <f ca="1">+GETPIVOTDATA("XCB4",'cubi (2016)'!$A$3,"MA_HT","TMD","MA_QH","MNC")</f>
        <v>0</v>
      </c>
      <c r="BD25" s="22">
        <f ca="1">+GETPIVOTDATA("XCB4",'cubi (2016)'!$A$3,"MA_HT","TMD","MA_QH","PNK")</f>
        <v>0</v>
      </c>
      <c r="BE25" s="71">
        <f ca="1">+GETPIVOTDATA("XCB4",'cubi (2016)'!$A$3,"MA_HT","TMD","MA_QH","CSD")</f>
        <v>0</v>
      </c>
      <c r="BF25" s="74">
        <f ca="1" t="shared" si="13"/>
        <v>0</v>
      </c>
      <c r="BG25" s="101">
        <f ca="1">X$59-$BF25</f>
        <v>0</v>
      </c>
      <c r="BH25" s="41" t="e">
        <f ca="1" t="shared" si="14"/>
        <v>#REF!</v>
      </c>
      <c r="BI25" s="98"/>
      <c r="BJ25" s="107" t="e">
        <f>#REF!</f>
        <v>#REF!</v>
      </c>
      <c r="BK25" s="107" t="e">
        <f ca="1">BH25-BJ25</f>
        <v>#REF!</v>
      </c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</row>
    <row r="26" s="2" customFormat="1" ht="15.75" customHeight="1" spans="1:79">
      <c r="A26" s="39" t="s">
        <v>8370</v>
      </c>
      <c r="B26" s="39" t="s">
        <v>8371</v>
      </c>
      <c r="C26" s="40" t="s">
        <v>204</v>
      </c>
      <c r="D26" s="41" t="e">
        <f>+#REF!</f>
        <v>#REF!</v>
      </c>
      <c r="E26" s="42">
        <f ca="1" t="shared" si="15"/>
        <v>0</v>
      </c>
      <c r="F26" s="52">
        <f ca="1" t="shared" si="9"/>
        <v>0</v>
      </c>
      <c r="G26" s="22">
        <f ca="1">+GETPIVOTDATA("XCB4",'cubi (2016)'!$A$3,"MA_HT","SKC","MA_QH","LUC")</f>
        <v>0</v>
      </c>
      <c r="H26" s="22">
        <f ca="1">+GETPIVOTDATA("XCB4",'cubi (2016)'!$A$3,"MA_HT","SKC","MA_QH","LUK")</f>
        <v>0</v>
      </c>
      <c r="I26" s="22">
        <f ca="1">+GETPIVOTDATA("XCB4",'cubi (2016)'!$A$3,"MA_HT","SKC","MA_QH","LUN")</f>
        <v>0</v>
      </c>
      <c r="J26" s="22">
        <f ca="1">+GETPIVOTDATA("XCB4",'cubi (2016)'!$A$3,"MA_HT","SKC","MA_QH","HNK")</f>
        <v>0</v>
      </c>
      <c r="K26" s="22">
        <f ca="1">+GETPIVOTDATA("XCB4",'cubi (2016)'!$A$3,"MA_HT","SKC","MA_QH","CLN")</f>
        <v>0</v>
      </c>
      <c r="L26" s="22">
        <f ca="1">+GETPIVOTDATA("XCB4",'cubi (2016)'!$A$3,"MA_HT","SKC","MA_QH","RSX")</f>
        <v>0</v>
      </c>
      <c r="M26" s="22">
        <f ca="1">+GETPIVOTDATA("XCB4",'cubi (2016)'!$A$3,"MA_HT","SKC","MA_QH","RPH")</f>
        <v>0</v>
      </c>
      <c r="N26" s="22">
        <f ca="1">+GETPIVOTDATA("XCB4",'cubi (2016)'!$A$3,"MA_HT","SKC","MA_QH","RDD")</f>
        <v>0</v>
      </c>
      <c r="O26" s="22">
        <f ca="1">+GETPIVOTDATA("XCB4",'cubi (2016)'!$A$3,"MA_HT","SKC","MA_QH","NTS")</f>
        <v>0</v>
      </c>
      <c r="P26" s="22">
        <f ca="1">+GETPIVOTDATA("XCB4",'cubi (2016)'!$A$3,"MA_HT","SKC","MA_QH","LMU")</f>
        <v>0</v>
      </c>
      <c r="Q26" s="22">
        <f ca="1">+GETPIVOTDATA("XCB4",'cubi (2016)'!$A$3,"MA_HT","SKC","MA_QH","NKH")</f>
        <v>0</v>
      </c>
      <c r="R26" s="42">
        <f ca="1">SUM(S26:X26,Z26,AN26:BD26)</f>
        <v>0</v>
      </c>
      <c r="S26" s="22">
        <f ca="1">+GETPIVOTDATA("XCB4",'cubi (2016)'!$A$3,"MA_HT","SKC","MA_QH","CQP")</f>
        <v>0</v>
      </c>
      <c r="T26" s="22">
        <f ca="1">+GETPIVOTDATA("XCB4",'cubi (2016)'!$A$3,"MA_HT","SKC","MA_QH","CAN")</f>
        <v>0</v>
      </c>
      <c r="U26" s="22">
        <f ca="1">+GETPIVOTDATA("XCB4",'cubi (2016)'!$A$3,"MA_HT","SKC","MA_QH","SKK")</f>
        <v>0</v>
      </c>
      <c r="V26" s="22">
        <f ca="1">+GETPIVOTDATA("XCB4",'cubi (2016)'!$A$3,"MA_HT","SKC","MA_QH","SKT")</f>
        <v>0</v>
      </c>
      <c r="W26" s="22">
        <f ca="1">+GETPIVOTDATA("XCB4",'cubi (2016)'!$A$3,"MA_HT","SKC","MA_QH","SKN")</f>
        <v>0</v>
      </c>
      <c r="X26" s="22">
        <f ca="1">+GETPIVOTDATA("XCB4",'cubi (2016)'!$A$3,"MA_HT","SKC","MA_QH","TMD")</f>
        <v>0</v>
      </c>
      <c r="Y26" s="43" t="e">
        <f ca="1">$D26-$BF26</f>
        <v>#REF!</v>
      </c>
      <c r="Z26" s="22">
        <f ca="1">+GETPIVOTDATA("XCB4",'cubi (2016)'!$A$3,"MA_HT","SKC","MA_QH","SKS")</f>
        <v>0</v>
      </c>
      <c r="AA26" s="52">
        <f ca="1" t="shared" si="12"/>
        <v>0</v>
      </c>
      <c r="AB26" s="22">
        <f ca="1">+GETPIVOTDATA("XCB4",'cubi (2016)'!$A$3,"MA_HT","SKC","MA_QH","DGT")</f>
        <v>0</v>
      </c>
      <c r="AC26" s="22">
        <f ca="1">+GETPIVOTDATA("XCB4",'cubi (2016)'!$A$3,"MA_HT","SKC","MA_QH","DTL")</f>
        <v>0</v>
      </c>
      <c r="AD26" s="22">
        <f ca="1">+GETPIVOTDATA("XCB4",'cubi (2016)'!$A$3,"MA_HT","SKC","MA_QH","DNL")</f>
        <v>0</v>
      </c>
      <c r="AE26" s="22">
        <f ca="1">+GETPIVOTDATA("XCB4",'cubi (2016)'!$A$3,"MA_HT","SKC","MA_QH","DBV")</f>
        <v>0</v>
      </c>
      <c r="AF26" s="22">
        <f ca="1">+GETPIVOTDATA("XCB4",'cubi (2016)'!$A$3,"MA_HT","SKC","MA_QH","DVH")</f>
        <v>0</v>
      </c>
      <c r="AG26" s="22">
        <f ca="1">+GETPIVOTDATA("XCB4",'cubi (2016)'!$A$3,"MA_HT","SKC","MA_QH","DYT")</f>
        <v>0</v>
      </c>
      <c r="AH26" s="22">
        <f ca="1">+GETPIVOTDATA("XCB4",'cubi (2016)'!$A$3,"MA_HT","SKC","MA_QH","DGD")</f>
        <v>0</v>
      </c>
      <c r="AI26" s="22">
        <f ca="1">+GETPIVOTDATA("XCB4",'cubi (2016)'!$A$3,"MA_HT","SKC","MA_QH","DTT")</f>
        <v>0</v>
      </c>
      <c r="AJ26" s="22">
        <f ca="1">+GETPIVOTDATA("XCB4",'cubi (2016)'!$A$3,"MA_HT","SKC","MA_QH","NCK")</f>
        <v>0</v>
      </c>
      <c r="AK26" s="22">
        <f ca="1">+GETPIVOTDATA("XCB4",'cubi (2016)'!$A$3,"MA_HT","SKC","MA_QH","DXH")</f>
        <v>0</v>
      </c>
      <c r="AL26" s="22">
        <f ca="1">+GETPIVOTDATA("XCB4",'cubi (2016)'!$A$3,"MA_HT","SKC","MA_QH","DCH")</f>
        <v>0</v>
      </c>
      <c r="AM26" s="22">
        <f ca="1">+GETPIVOTDATA("XCB4",'cubi (2016)'!$A$3,"MA_HT","SKC","MA_QH","DKG")</f>
        <v>0</v>
      </c>
      <c r="AN26" s="22">
        <f ca="1">+GETPIVOTDATA("XCB4",'cubi (2016)'!$A$3,"MA_HT","SKC","MA_QH","DDT")</f>
        <v>0</v>
      </c>
      <c r="AO26" s="22">
        <f ca="1">+GETPIVOTDATA("XCB4",'cubi (2016)'!$A$3,"MA_HT","SKC","MA_QH","DDL")</f>
        <v>0</v>
      </c>
      <c r="AP26" s="22">
        <f ca="1">+GETPIVOTDATA("XCB4",'cubi (2016)'!$A$3,"MA_HT","SKC","MA_QH","DRA")</f>
        <v>0</v>
      </c>
      <c r="AQ26" s="22">
        <f ca="1">+GETPIVOTDATA("XCB4",'cubi (2016)'!$A$3,"MA_HT","SKC","MA_QH","ONT")</f>
        <v>0</v>
      </c>
      <c r="AR26" s="22">
        <f ca="1">+GETPIVOTDATA("XCB4",'cubi (2016)'!$A$3,"MA_HT","SKC","MA_QH","ODT")</f>
        <v>0</v>
      </c>
      <c r="AS26" s="22">
        <f ca="1">+GETPIVOTDATA("XCB4",'cubi (2016)'!$A$3,"MA_HT","SKC","MA_QH","TSC")</f>
        <v>0</v>
      </c>
      <c r="AT26" s="22">
        <f ca="1">+GETPIVOTDATA("XCB4",'cubi (2016)'!$A$3,"MA_HT","SKC","MA_QH","DTS")</f>
        <v>0</v>
      </c>
      <c r="AU26" s="22">
        <f ca="1">+GETPIVOTDATA("XCB4",'cubi (2016)'!$A$3,"MA_HT","SKC","MA_QH","DNG")</f>
        <v>0</v>
      </c>
      <c r="AV26" s="22">
        <f ca="1">+GETPIVOTDATA("XCB4",'cubi (2016)'!$A$3,"MA_HT","SKC","MA_QH","TON")</f>
        <v>0</v>
      </c>
      <c r="AW26" s="22">
        <f ca="1">+GETPIVOTDATA("XCB4",'cubi (2016)'!$A$3,"MA_HT","SKC","MA_QH","NTD")</f>
        <v>0</v>
      </c>
      <c r="AX26" s="22">
        <f ca="1">+GETPIVOTDATA("XCB4",'cubi (2016)'!$A$3,"MA_HT","SKC","MA_QH","SKX")</f>
        <v>0</v>
      </c>
      <c r="AY26" s="22">
        <f ca="1">+GETPIVOTDATA("XCB4",'cubi (2016)'!$A$3,"MA_HT","SKC","MA_QH","DSH")</f>
        <v>0</v>
      </c>
      <c r="AZ26" s="22">
        <f ca="1">+GETPIVOTDATA("XCB4",'cubi (2016)'!$A$3,"MA_HT","SKC","MA_QH","DKV")</f>
        <v>0</v>
      </c>
      <c r="BA26" s="89">
        <f ca="1">+GETPIVOTDATA("XCB4",'cubi (2016)'!$A$3,"MA_HT","SKC","MA_QH","TIN")</f>
        <v>0</v>
      </c>
      <c r="BB26" s="50">
        <f ca="1">+GETPIVOTDATA("XCB4",'cubi (2016)'!$A$3,"MA_HT","SKC","MA_QH","SON")</f>
        <v>0</v>
      </c>
      <c r="BC26" s="50">
        <f ca="1">+GETPIVOTDATA("XCB4",'cubi (2016)'!$A$3,"MA_HT","SKC","MA_QH","MNC")</f>
        <v>0</v>
      </c>
      <c r="BD26" s="22">
        <f ca="1">+GETPIVOTDATA("XCB4",'cubi (2016)'!$A$3,"MA_HT","SKC","MA_QH","PNK")</f>
        <v>0</v>
      </c>
      <c r="BE26" s="71">
        <f ca="1">+GETPIVOTDATA("XCB4",'cubi (2016)'!$A$3,"MA_HT","SKC","MA_QH","CSD")</f>
        <v>0</v>
      </c>
      <c r="BF26" s="74">
        <f ca="1" t="shared" si="13"/>
        <v>0</v>
      </c>
      <c r="BG26" s="101">
        <f ca="1">Y$59-$BF26</f>
        <v>0</v>
      </c>
      <c r="BH26" s="41" t="e">
        <f ca="1" t="shared" si="14"/>
        <v>#REF!</v>
      </c>
      <c r="BI26" s="98"/>
      <c r="BJ26" s="107" t="e">
        <f>#REF!</f>
        <v>#REF!</v>
      </c>
      <c r="BK26" s="107" t="e">
        <f ca="1">BH26-BJ26</f>
        <v>#REF!</v>
      </c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</row>
    <row r="27" s="2" customFormat="1" ht="15.75" customHeight="1" spans="1:79">
      <c r="A27" s="39" t="s">
        <v>8372</v>
      </c>
      <c r="B27" s="53" t="s">
        <v>8373</v>
      </c>
      <c r="C27" s="40" t="s">
        <v>174</v>
      </c>
      <c r="D27" s="41" t="e">
        <f>+#REF!</f>
        <v>#REF!</v>
      </c>
      <c r="E27" s="42">
        <f ca="1" t="shared" si="15"/>
        <v>0</v>
      </c>
      <c r="F27" s="52">
        <f ca="1" t="shared" si="9"/>
        <v>0</v>
      </c>
      <c r="G27" s="22">
        <f ca="1">+GETPIVOTDATA("XCB4",'cubi (2016)'!$A$3,"MA_HT","SKS","MA_QH","LUC")</f>
        <v>0</v>
      </c>
      <c r="H27" s="22">
        <f ca="1">+GETPIVOTDATA("XCB4",'cubi (2016)'!$A$3,"MA_HT","SKS","MA_QH","LUK")</f>
        <v>0</v>
      </c>
      <c r="I27" s="22">
        <f ca="1">+GETPIVOTDATA("XCB4",'cubi (2016)'!$A$3,"MA_HT","SKS","MA_QH","LUN")</f>
        <v>0</v>
      </c>
      <c r="J27" s="22">
        <f ca="1">+GETPIVOTDATA("XCB4",'cubi (2016)'!$A$3,"MA_HT","SKS","MA_QH","HNK")</f>
        <v>0</v>
      </c>
      <c r="K27" s="22">
        <f ca="1">+GETPIVOTDATA("XCB4",'cubi (2016)'!$A$3,"MA_HT","SKS","MA_QH","CLN")</f>
        <v>0</v>
      </c>
      <c r="L27" s="22">
        <f ca="1">+GETPIVOTDATA("XCB4",'cubi (2016)'!$A$3,"MA_HT","SKS","MA_QH","RSX")</f>
        <v>0</v>
      </c>
      <c r="M27" s="22">
        <f ca="1">+GETPIVOTDATA("XCB4",'cubi (2016)'!$A$3,"MA_HT","SKS","MA_QH","RPH")</f>
        <v>0</v>
      </c>
      <c r="N27" s="22">
        <f ca="1">+GETPIVOTDATA("XCB4",'cubi (2016)'!$A$3,"MA_HT","SKS","MA_QH","RDD")</f>
        <v>0</v>
      </c>
      <c r="O27" s="22">
        <f ca="1">+GETPIVOTDATA("XCB4",'cubi (2016)'!$A$3,"MA_HT","SKS","MA_QH","NTS")</f>
        <v>0</v>
      </c>
      <c r="P27" s="22">
        <f ca="1">+GETPIVOTDATA("XCB4",'cubi (2016)'!$A$3,"MA_HT","SKS","MA_QH","LMU")</f>
        <v>0</v>
      </c>
      <c r="Q27" s="22">
        <f ca="1">+GETPIVOTDATA("XCB4",'cubi (2016)'!$A$3,"MA_HT","SKS","MA_QH","NKH")</f>
        <v>0</v>
      </c>
      <c r="R27" s="42">
        <f ca="1">SUM(S27:Y27,AA27,AN27:BD27)</f>
        <v>0</v>
      </c>
      <c r="S27" s="22">
        <f ca="1">+GETPIVOTDATA("XCB4",'cubi (2016)'!$A$3,"MA_HT","SKS","MA_QH","CQP")</f>
        <v>0</v>
      </c>
      <c r="T27" s="22">
        <f ca="1">+GETPIVOTDATA("XCB4",'cubi (2016)'!$A$3,"MA_HT","SKS","MA_QH","CAN")</f>
        <v>0</v>
      </c>
      <c r="U27" s="22">
        <f ca="1">+GETPIVOTDATA("XCB4",'cubi (2016)'!$A$3,"MA_HT","SKS","MA_QH","SKK")</f>
        <v>0</v>
      </c>
      <c r="V27" s="22">
        <f ca="1">+GETPIVOTDATA("XCB4",'cubi (2016)'!$A$3,"MA_HT","SKS","MA_QH","SKT")</f>
        <v>0</v>
      </c>
      <c r="W27" s="22">
        <f ca="1">+GETPIVOTDATA("XCB4",'cubi (2016)'!$A$3,"MA_HT","SKS","MA_QH","SKN")</f>
        <v>0</v>
      </c>
      <c r="X27" s="22">
        <f ca="1">+GETPIVOTDATA("XCB4",'cubi (2016)'!$A$3,"MA_HT","SKS","MA_QH","TMD")</f>
        <v>0</v>
      </c>
      <c r="Y27" s="22">
        <f ca="1">+GETPIVOTDATA("XCB4",'cubi (2016)'!$A$3,"MA_HT","SKS","MA_QH","SKC")</f>
        <v>0</v>
      </c>
      <c r="Z27" s="43" t="e">
        <f ca="1">$D27-$BF27</f>
        <v>#REF!</v>
      </c>
      <c r="AA27" s="52">
        <f ca="1" t="shared" si="12"/>
        <v>0</v>
      </c>
      <c r="AB27" s="22">
        <f ca="1">+GETPIVOTDATA("XCB4",'cubi (2016)'!$A$3,"MA_HT","SKS","MA_QH","DGT")</f>
        <v>0</v>
      </c>
      <c r="AC27" s="22">
        <f ca="1">+GETPIVOTDATA("XCB4",'cubi (2016)'!$A$3,"MA_HT","SKS","MA_QH","DTL")</f>
        <v>0</v>
      </c>
      <c r="AD27" s="22">
        <f ca="1">+GETPIVOTDATA("XCB4",'cubi (2016)'!$A$3,"MA_HT","SKS","MA_QH","DNL")</f>
        <v>0</v>
      </c>
      <c r="AE27" s="22">
        <f ca="1">+GETPIVOTDATA("XCB4",'cubi (2016)'!$A$3,"MA_HT","SKS","MA_QH","DBV")</f>
        <v>0</v>
      </c>
      <c r="AF27" s="22">
        <f ca="1">+GETPIVOTDATA("XCB4",'cubi (2016)'!$A$3,"MA_HT","SKS","MA_QH","DVH")</f>
        <v>0</v>
      </c>
      <c r="AG27" s="22">
        <f ca="1">+GETPIVOTDATA("XCB4",'cubi (2016)'!$A$3,"MA_HT","SKS","MA_QH","DYT")</f>
        <v>0</v>
      </c>
      <c r="AH27" s="22">
        <f ca="1">+GETPIVOTDATA("XCB4",'cubi (2016)'!$A$3,"MA_HT","SKS","MA_QH","DGD")</f>
        <v>0</v>
      </c>
      <c r="AI27" s="22">
        <f ca="1">+GETPIVOTDATA("XCB4",'cubi (2016)'!$A$3,"MA_HT","SKS","MA_QH","DTT")</f>
        <v>0</v>
      </c>
      <c r="AJ27" s="22">
        <f ca="1">+GETPIVOTDATA("XCB4",'cubi (2016)'!$A$3,"MA_HT","SKS","MA_QH","NCK")</f>
        <v>0</v>
      </c>
      <c r="AK27" s="22">
        <f ca="1">+GETPIVOTDATA("XCB4",'cubi (2016)'!$A$3,"MA_HT","SKS","MA_QH","DXH")</f>
        <v>0</v>
      </c>
      <c r="AL27" s="22">
        <f ca="1">+GETPIVOTDATA("XCB4",'cubi (2016)'!$A$3,"MA_HT","SKS","MA_QH","DCH")</f>
        <v>0</v>
      </c>
      <c r="AM27" s="22">
        <f ca="1">+GETPIVOTDATA("XCB4",'cubi (2016)'!$A$3,"MA_HT","SKS","MA_QH","DKG")</f>
        <v>0</v>
      </c>
      <c r="AN27" s="22">
        <f ca="1">+GETPIVOTDATA("XCB4",'cubi (2016)'!$A$3,"MA_HT","SKS","MA_QH","DDT")</f>
        <v>0</v>
      </c>
      <c r="AO27" s="22">
        <f ca="1">+GETPIVOTDATA("XCB4",'cubi (2016)'!$A$3,"MA_HT","SKS","MA_QH","DDL")</f>
        <v>0</v>
      </c>
      <c r="AP27" s="22">
        <f ca="1">+GETPIVOTDATA("XCB4",'cubi (2016)'!$A$3,"MA_HT","SKS","MA_QH","DRA")</f>
        <v>0</v>
      </c>
      <c r="AQ27" s="22">
        <f ca="1">+GETPIVOTDATA("XCB4",'cubi (2016)'!$A$3,"MA_HT","SKS","MA_QH","ONT")</f>
        <v>0</v>
      </c>
      <c r="AR27" s="22">
        <f ca="1">+GETPIVOTDATA("XCB4",'cubi (2016)'!$A$3,"MA_HT","SKS","MA_QH","ODT")</f>
        <v>0</v>
      </c>
      <c r="AS27" s="22">
        <f ca="1">+GETPIVOTDATA("XCB4",'cubi (2016)'!$A$3,"MA_HT","SKS","MA_QH","TSC")</f>
        <v>0</v>
      </c>
      <c r="AT27" s="22">
        <f ca="1">+GETPIVOTDATA("XCB4",'cubi (2016)'!$A$3,"MA_HT","SKS","MA_QH","DTS")</f>
        <v>0</v>
      </c>
      <c r="AU27" s="22">
        <f ca="1">+GETPIVOTDATA("XCB4",'cubi (2016)'!$A$3,"MA_HT","SKS","MA_QH","DNG")</f>
        <v>0</v>
      </c>
      <c r="AV27" s="22">
        <f ca="1">+GETPIVOTDATA("XCB4",'cubi (2016)'!$A$3,"MA_HT","SKS","MA_QH","TON")</f>
        <v>0</v>
      </c>
      <c r="AW27" s="22">
        <f ca="1">+GETPIVOTDATA("XCB4",'cubi (2016)'!$A$3,"MA_HT","SKS","MA_QH","NTD")</f>
        <v>0</v>
      </c>
      <c r="AX27" s="22">
        <f ca="1">+GETPIVOTDATA("XCB4",'cubi (2016)'!$A$3,"MA_HT","SKS","MA_QH","SKX")</f>
        <v>0</v>
      </c>
      <c r="AY27" s="22">
        <f ca="1">+GETPIVOTDATA("XCB4",'cubi (2016)'!$A$3,"MA_HT","SKS","MA_QH","DSH")</f>
        <v>0</v>
      </c>
      <c r="AZ27" s="22">
        <f ca="1">+GETPIVOTDATA("XCB4",'cubi (2016)'!$A$3,"MA_HT","SKS","MA_QH","DKV")</f>
        <v>0</v>
      </c>
      <c r="BA27" s="89">
        <f ca="1">+GETPIVOTDATA("XCB4",'cubi (2016)'!$A$3,"MA_HT","SKS","MA_QH","TIN")</f>
        <v>0</v>
      </c>
      <c r="BB27" s="50">
        <f ca="1">+GETPIVOTDATA("XCB4",'cubi (2016)'!$A$3,"MA_HT","SKS","MA_QH","SON")</f>
        <v>0</v>
      </c>
      <c r="BC27" s="50">
        <f ca="1">+GETPIVOTDATA("XCB4",'cubi (2016)'!$A$3,"MA_HT","SKS","MA_QH","MNC")</f>
        <v>0</v>
      </c>
      <c r="BD27" s="22">
        <f ca="1">+GETPIVOTDATA("XCB4",'cubi (2016)'!$A$3,"MA_HT","SKS","MA_QH","PNK")</f>
        <v>0</v>
      </c>
      <c r="BE27" s="71">
        <f ca="1">+GETPIVOTDATA("XCB4",'cubi (2016)'!$A$3,"MA_HT","SKS","MA_QH","CSD")</f>
        <v>0</v>
      </c>
      <c r="BF27" s="74">
        <f ca="1" t="shared" si="13"/>
        <v>0</v>
      </c>
      <c r="BG27" s="101">
        <f ca="1">Z$59-$BF27</f>
        <v>0</v>
      </c>
      <c r="BH27" s="41" t="e">
        <f ca="1" t="shared" si="14"/>
        <v>#REF!</v>
      </c>
      <c r="BI27" s="98"/>
      <c r="BJ27" s="107" t="e">
        <f>#REF!</f>
        <v>#REF!</v>
      </c>
      <c r="BK27" s="107" t="e">
        <f ca="1">BH27-BJ27</f>
        <v>#REF!</v>
      </c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</row>
    <row r="28" s="2" customFormat="1" ht="15.75" customHeight="1" spans="1:79">
      <c r="A28" s="39" t="s">
        <v>8374</v>
      </c>
      <c r="B28" s="53" t="s">
        <v>8375</v>
      </c>
      <c r="C28" s="40" t="s">
        <v>8288</v>
      </c>
      <c r="D28" s="41" t="e">
        <f>+#REF!</f>
        <v>#REF!</v>
      </c>
      <c r="E28" s="42">
        <f ca="1" t="shared" si="15"/>
        <v>0</v>
      </c>
      <c r="F28" s="52">
        <f ca="1" t="shared" si="9"/>
        <v>0</v>
      </c>
      <c r="G28" s="44">
        <f ca="1">SUM(G29:G39)</f>
        <v>0</v>
      </c>
      <c r="H28" s="44">
        <f ca="1" t="shared" ref="H28:Q28" si="16">SUM(H29:H39)</f>
        <v>0</v>
      </c>
      <c r="I28" s="44">
        <f ca="1" t="shared" si="16"/>
        <v>0</v>
      </c>
      <c r="J28" s="44">
        <f ca="1" t="shared" si="16"/>
        <v>0</v>
      </c>
      <c r="K28" s="44">
        <f ca="1" t="shared" si="16"/>
        <v>0</v>
      </c>
      <c r="L28" s="44">
        <f ca="1" t="shared" si="16"/>
        <v>0</v>
      </c>
      <c r="M28" s="44">
        <f ca="1" t="shared" si="16"/>
        <v>0</v>
      </c>
      <c r="N28" s="44">
        <f ca="1" t="shared" si="16"/>
        <v>0</v>
      </c>
      <c r="O28" s="44">
        <f ca="1" t="shared" si="16"/>
        <v>0</v>
      </c>
      <c r="P28" s="44">
        <f ca="1" t="shared" si="16"/>
        <v>0</v>
      </c>
      <c r="Q28" s="44">
        <f ca="1" t="shared" si="16"/>
        <v>0</v>
      </c>
      <c r="R28" s="44">
        <f ca="1">SUM(S28:Z28,AN28:BD28)</f>
        <v>0</v>
      </c>
      <c r="S28" s="44">
        <f ca="1">SUM(S29:S39)</f>
        <v>0</v>
      </c>
      <c r="T28" s="44">
        <f ca="1" t="shared" ref="T28:Z28" si="17">SUM(T29:T39)</f>
        <v>0</v>
      </c>
      <c r="U28" s="44">
        <f ca="1" t="shared" si="17"/>
        <v>0</v>
      </c>
      <c r="V28" s="44">
        <f ca="1" t="shared" si="17"/>
        <v>0</v>
      </c>
      <c r="W28" s="44">
        <f ca="1" t="shared" si="17"/>
        <v>0</v>
      </c>
      <c r="X28" s="44">
        <f ca="1" t="shared" si="17"/>
        <v>0</v>
      </c>
      <c r="Y28" s="44">
        <f ca="1" t="shared" si="17"/>
        <v>0</v>
      </c>
      <c r="Z28" s="44">
        <f ca="1" t="shared" si="17"/>
        <v>0</v>
      </c>
      <c r="AA28" s="43" t="e">
        <f ca="1">$D28-$BF28</f>
        <v>#REF!</v>
      </c>
      <c r="AB28" s="44">
        <f ca="1">SUM(AB30:AB39)</f>
        <v>0</v>
      </c>
      <c r="AC28" s="44">
        <f ca="1">SUM(AC29,AC31:AC39)</f>
        <v>0</v>
      </c>
      <c r="AD28" s="44">
        <f ca="1">SUM(AD29:AD30,AD32:AD39)</f>
        <v>0</v>
      </c>
      <c r="AE28" s="44">
        <f ca="1">SUM(AE29:AE31,AE33:AE39)</f>
        <v>0</v>
      </c>
      <c r="AF28" s="44">
        <f ca="1">SUM(AF29:AF32,AF34:AF39)</f>
        <v>0</v>
      </c>
      <c r="AG28" s="44">
        <f ca="1">SUM(AG29:AG33,AG35:AG39)</f>
        <v>0</v>
      </c>
      <c r="AH28" s="44">
        <f ca="1">SUM(AH29:AH34,AH36:AH39)</f>
        <v>0</v>
      </c>
      <c r="AI28" s="44">
        <f ca="1">SUM(AI29:AI35,AI37:AI39)</f>
        <v>0</v>
      </c>
      <c r="AJ28" s="44">
        <f ca="1">SUM(AJ29:AJ36,AJ38:AJ39)</f>
        <v>0</v>
      </c>
      <c r="AK28" s="44">
        <f ca="1">SUM(AK29:AK37,AK39)</f>
        <v>0</v>
      </c>
      <c r="AL28" s="44">
        <f ca="1">SUM(AL29:AL38)</f>
        <v>0</v>
      </c>
      <c r="AM28" s="44">
        <f ca="1">SUM(AM29:AM38)</f>
        <v>0</v>
      </c>
      <c r="AN28" s="44">
        <f ca="1" t="shared" ref="AN28:BE28" si="18">SUM(AN29:AN39)</f>
        <v>0</v>
      </c>
      <c r="AO28" s="44">
        <f ca="1" t="shared" si="18"/>
        <v>0</v>
      </c>
      <c r="AP28" s="44">
        <f ca="1" t="shared" si="18"/>
        <v>0</v>
      </c>
      <c r="AQ28" s="44">
        <f ca="1" t="shared" si="18"/>
        <v>0</v>
      </c>
      <c r="AR28" s="44">
        <f ca="1" t="shared" si="18"/>
        <v>0</v>
      </c>
      <c r="AS28" s="44">
        <f ca="1" t="shared" si="18"/>
        <v>0</v>
      </c>
      <c r="AT28" s="44">
        <f ca="1" t="shared" si="18"/>
        <v>0</v>
      </c>
      <c r="AU28" s="44">
        <f ca="1" t="shared" si="18"/>
        <v>0</v>
      </c>
      <c r="AV28" s="44">
        <f ca="1" t="shared" si="18"/>
        <v>0</v>
      </c>
      <c r="AW28" s="44">
        <f ca="1" t="shared" si="18"/>
        <v>0</v>
      </c>
      <c r="AX28" s="44">
        <f ca="1" t="shared" si="18"/>
        <v>0</v>
      </c>
      <c r="AY28" s="44">
        <f ca="1" t="shared" si="18"/>
        <v>0</v>
      </c>
      <c r="AZ28" s="44">
        <f ca="1" t="shared" si="18"/>
        <v>0</v>
      </c>
      <c r="BA28" s="44">
        <f ca="1" t="shared" si="18"/>
        <v>0</v>
      </c>
      <c r="BB28" s="44">
        <f ca="1" t="shared" si="18"/>
        <v>0</v>
      </c>
      <c r="BC28" s="44">
        <f ca="1" t="shared" si="18"/>
        <v>0</v>
      </c>
      <c r="BD28" s="44">
        <f ca="1" t="shared" si="18"/>
        <v>0</v>
      </c>
      <c r="BE28" s="44">
        <f ca="1" t="shared" si="18"/>
        <v>0</v>
      </c>
      <c r="BF28" s="74">
        <f ca="1" t="shared" si="13"/>
        <v>0</v>
      </c>
      <c r="BG28" s="101">
        <f ca="1">AA$59-$BF28</f>
        <v>0</v>
      </c>
      <c r="BH28" s="41" t="e">
        <f ca="1" t="shared" si="14"/>
        <v>#REF!</v>
      </c>
      <c r="BI28" s="98"/>
      <c r="BJ28" s="107"/>
      <c r="BK28" s="107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</row>
    <row r="29" s="4" customFormat="1" ht="16.5" customHeight="1" spans="1:79">
      <c r="A29" s="45" t="s">
        <v>8376</v>
      </c>
      <c r="B29" s="45" t="s">
        <v>8377</v>
      </c>
      <c r="C29" s="46" t="s">
        <v>94</v>
      </c>
      <c r="D29" s="47" t="e">
        <f>+#REF!</f>
        <v>#REF!</v>
      </c>
      <c r="E29" s="42">
        <f ca="1" t="shared" si="15"/>
        <v>0</v>
      </c>
      <c r="F29" s="52">
        <f ca="1" t="shared" si="9"/>
        <v>0</v>
      </c>
      <c r="G29" s="50">
        <f ca="1">+GETPIVOTDATA("XCB4",'cubi (2016)'!$A$3,"MA_HT","DGT","MA_QH","LUC")</f>
        <v>0</v>
      </c>
      <c r="H29" s="50">
        <f ca="1">+GETPIVOTDATA("XCB4",'cubi (2016)'!$A$3,"MA_HT","DGT","MA_QH","LUK")</f>
        <v>0</v>
      </c>
      <c r="I29" s="50">
        <f ca="1">+GETPIVOTDATA("XCB4",'cubi (2016)'!$A$3,"MA_HT","DGT","MA_QH","LUN")</f>
        <v>0</v>
      </c>
      <c r="J29" s="50">
        <f ca="1">+GETPIVOTDATA("XCB4",'cubi (2016)'!$A$3,"MA_HT","DGT","MA_QH","HNK")</f>
        <v>0</v>
      </c>
      <c r="K29" s="50">
        <f ca="1">+GETPIVOTDATA("XCB4",'cubi (2016)'!$A$3,"MA_HT","DGT","MA_QH","CLN")</f>
        <v>0</v>
      </c>
      <c r="L29" s="50">
        <f ca="1">+GETPIVOTDATA("XCB4",'cubi (2016)'!$A$3,"MA_HT","DGT","MA_QH","RSX")</f>
        <v>0</v>
      </c>
      <c r="M29" s="50">
        <f ca="1">+GETPIVOTDATA("XCB4",'cubi (2016)'!$A$3,"MA_HT","DGT","MA_QH","RPH")</f>
        <v>0</v>
      </c>
      <c r="N29" s="50">
        <f ca="1">+GETPIVOTDATA("XCB4",'cubi (2016)'!$A$3,"MA_HT","DGT","MA_QH","RDD")</f>
        <v>0</v>
      </c>
      <c r="O29" s="50">
        <f ca="1">+GETPIVOTDATA("XCB4",'cubi (2016)'!$A$3,"MA_HT","DGT","MA_QH","NTS")</f>
        <v>0</v>
      </c>
      <c r="P29" s="50">
        <f ca="1">+GETPIVOTDATA("XCB4",'cubi (2016)'!$A$3,"MA_HT","DGT","MA_QH","LMU")</f>
        <v>0</v>
      </c>
      <c r="Q29" s="50">
        <f ca="1">+GETPIVOTDATA("XCB4",'cubi (2016)'!$A$3,"MA_HT","DGT","MA_QH","NKH")</f>
        <v>0</v>
      </c>
      <c r="R29" s="48">
        <f ca="1">SUM(S29:AA29,AN29:BD29)</f>
        <v>0</v>
      </c>
      <c r="S29" s="50">
        <f ca="1">+GETPIVOTDATA("XCB4",'cubi (2016)'!$A$3,"MA_HT","DGT","MA_QH","CQP")</f>
        <v>0</v>
      </c>
      <c r="T29" s="50">
        <f ca="1">+GETPIVOTDATA("XCB4",'cubi (2016)'!$A$3,"MA_HT","DGT","MA_QH","CAN")</f>
        <v>0</v>
      </c>
      <c r="U29" s="50">
        <f ca="1">+GETPIVOTDATA("XCB4",'cubi (2016)'!$A$3,"MA_HT","DGT","MA_QH","SKK")</f>
        <v>0</v>
      </c>
      <c r="V29" s="50">
        <f ca="1">+GETPIVOTDATA("XCB4",'cubi (2016)'!$A$3,"MA_HT","DGT","MA_QH","SKT")</f>
        <v>0</v>
      </c>
      <c r="W29" s="50">
        <f ca="1">+GETPIVOTDATA("XCB4",'cubi (2016)'!$A$3,"MA_HT","DGT","MA_QH","SKN")</f>
        <v>0</v>
      </c>
      <c r="X29" s="50">
        <f ca="1">+GETPIVOTDATA("XCB4",'cubi (2016)'!$A$3,"MA_HT","DGT","MA_QH","TMD")</f>
        <v>0</v>
      </c>
      <c r="Y29" s="50">
        <f ca="1">+GETPIVOTDATA("XCB4",'cubi (2016)'!$A$3,"MA_HT","DGT","MA_QH","SKC")</f>
        <v>0</v>
      </c>
      <c r="Z29" s="50">
        <f ca="1">+GETPIVOTDATA("XCB4",'cubi (2016)'!$A$3,"MA_HT","DGT","MA_QH","SKS")</f>
        <v>0</v>
      </c>
      <c r="AA29" s="52">
        <f ca="1">+SUM(AC29:AM29)</f>
        <v>0</v>
      </c>
      <c r="AB29" s="49" t="e">
        <f ca="1">$D29-$BF29</f>
        <v>#REF!</v>
      </c>
      <c r="AC29" s="50">
        <f ca="1">+GETPIVOTDATA("XCB4",'cubi (2016)'!$A$3,"MA_HT","DGT","MA_QH","DTL")</f>
        <v>0</v>
      </c>
      <c r="AD29" s="50">
        <f ca="1">+GETPIVOTDATA("XCB4",'cubi (2016)'!$A$3,"MA_HT","DGT","MA_QH","DNL")</f>
        <v>0</v>
      </c>
      <c r="AE29" s="50">
        <f ca="1">+GETPIVOTDATA("XCB4",'cubi (2016)'!$A$3,"MA_HT","DGT","MA_QH","DBV")</f>
        <v>0</v>
      </c>
      <c r="AF29" s="50">
        <f ca="1">+GETPIVOTDATA("XCB4",'cubi (2016)'!$A$3,"MA_HT","DGT","MA_QH","DVH")</f>
        <v>0</v>
      </c>
      <c r="AG29" s="50">
        <f ca="1">+GETPIVOTDATA("XCB4",'cubi (2016)'!$A$3,"MA_HT","DGT","MA_QH","DYT")</f>
        <v>0</v>
      </c>
      <c r="AH29" s="50">
        <f ca="1">+GETPIVOTDATA("XCB4",'cubi (2016)'!$A$3,"MA_HT","DGT","MA_QH","DGD")</f>
        <v>0</v>
      </c>
      <c r="AI29" s="50">
        <f ca="1">+GETPIVOTDATA("XCB4",'cubi (2016)'!$A$3,"MA_HT","DGT","MA_QH","DTT")</f>
        <v>0</v>
      </c>
      <c r="AJ29" s="50">
        <f ca="1">+GETPIVOTDATA("XCB4",'cubi (2016)'!$A$3,"MA_HT","DGT","MA_QH","NCK")</f>
        <v>0</v>
      </c>
      <c r="AK29" s="50">
        <f ca="1">+GETPIVOTDATA("XCB4",'cubi (2016)'!$A$3,"MA_HT","DGT","MA_QH","DXH")</f>
        <v>0</v>
      </c>
      <c r="AL29" s="50">
        <f ca="1">+GETPIVOTDATA("XCB4",'cubi (2016)'!$A$3,"MA_HT","DGT","MA_QH","DCH")</f>
        <v>0</v>
      </c>
      <c r="AM29" s="50">
        <f ca="1">+GETPIVOTDATA("XCB4",'cubi (2016)'!$A$3,"MA_HT","DGT","MA_QH","DKG")</f>
        <v>0</v>
      </c>
      <c r="AN29" s="50">
        <f ca="1">+GETPIVOTDATA("XCB4",'cubi (2016)'!$A$3,"MA_HT","DGT","MA_QH","DDT")</f>
        <v>0</v>
      </c>
      <c r="AO29" s="50">
        <f ca="1">+GETPIVOTDATA("XCB4",'cubi (2016)'!$A$3,"MA_HT","DGT","MA_QH","DDL")</f>
        <v>0</v>
      </c>
      <c r="AP29" s="50">
        <f ca="1">+GETPIVOTDATA("XCB4",'cubi (2016)'!$A$3,"MA_HT","DGT","MA_QH","DRA")</f>
        <v>0</v>
      </c>
      <c r="AQ29" s="50">
        <f ca="1">+GETPIVOTDATA("XCB4",'cubi (2016)'!$A$3,"MA_HT","DGT","MA_QH","ONT")</f>
        <v>0</v>
      </c>
      <c r="AR29" s="50">
        <f ca="1">+GETPIVOTDATA("XCB4",'cubi (2016)'!$A$3,"MA_HT","DGT","MA_QH","ODT")</f>
        <v>0</v>
      </c>
      <c r="AS29" s="50">
        <f ca="1">+GETPIVOTDATA("XCB4",'cubi (2016)'!$A$3,"MA_HT","DGT","MA_QH","TSC")</f>
        <v>0</v>
      </c>
      <c r="AT29" s="50">
        <f ca="1">+GETPIVOTDATA("XCB4",'cubi (2016)'!$A$3,"MA_HT","DGT","MA_QH","DTS")</f>
        <v>0</v>
      </c>
      <c r="AU29" s="50">
        <f ca="1">+GETPIVOTDATA("XCB4",'cubi (2016)'!$A$3,"MA_HT","DGT","MA_QH","DNG")</f>
        <v>0</v>
      </c>
      <c r="AV29" s="50">
        <f ca="1">+GETPIVOTDATA("XCB4",'cubi (2016)'!$A$3,"MA_HT","DGT","MA_QH","TON")</f>
        <v>0</v>
      </c>
      <c r="AW29" s="50">
        <f ca="1">+GETPIVOTDATA("XCB4",'cubi (2016)'!$A$3,"MA_HT","DGT","MA_QH","NTD")</f>
        <v>0</v>
      </c>
      <c r="AX29" s="50">
        <f ca="1">+GETPIVOTDATA("XCB4",'cubi (2016)'!$A$3,"MA_HT","DGT","MA_QH","SKX")</f>
        <v>0</v>
      </c>
      <c r="AY29" s="50">
        <f ca="1">+GETPIVOTDATA("XCB4",'cubi (2016)'!$A$3,"MA_HT","DGT","MA_QH","DSH")</f>
        <v>0</v>
      </c>
      <c r="AZ29" s="50">
        <f ca="1">+GETPIVOTDATA("XCB4",'cubi (2016)'!$A$3,"MA_HT","DGT","MA_QH","DKV")</f>
        <v>0</v>
      </c>
      <c r="BA29" s="88">
        <f ca="1">+GETPIVOTDATA("XCB4",'cubi (2016)'!$A$3,"MA_HT","DGT","MA_QH","TIN")</f>
        <v>0</v>
      </c>
      <c r="BB29" s="50">
        <f ca="1">+GETPIVOTDATA("XCB4",'cubi (2016)'!$A$3,"MA_HT","DGT","MA_QH","SON")</f>
        <v>0</v>
      </c>
      <c r="BC29" s="50">
        <f ca="1">+GETPIVOTDATA("XCB4",'cubi (2016)'!$A$3,"MA_HT","DGT","MA_QH","MNC")</f>
        <v>0</v>
      </c>
      <c r="BD29" s="50">
        <f ca="1">+GETPIVOTDATA("XCB4",'cubi (2016)'!$A$3,"MA_HT","DGT","MA_QH","PNK")</f>
        <v>0</v>
      </c>
      <c r="BE29" s="80">
        <f ca="1">+GETPIVOTDATA("XCB4",'cubi (2016)'!$A$3,"MA_HT","DGT","MA_QH","CSD")</f>
        <v>0</v>
      </c>
      <c r="BF29" s="103">
        <f ca="1" t="shared" si="13"/>
        <v>0</v>
      </c>
      <c r="BG29" s="104">
        <f ca="1">AB$59-$BF29</f>
        <v>0</v>
      </c>
      <c r="BH29" s="47" t="e">
        <f ca="1" t="shared" si="14"/>
        <v>#REF!</v>
      </c>
      <c r="BI29" s="105"/>
      <c r="BJ29" s="105" t="e">
        <f>#REF!</f>
        <v>#REF!</v>
      </c>
      <c r="BK29" s="108" t="e">
        <f ca="1" t="shared" ref="BK29:BK40" si="19">BH29-BJ29</f>
        <v>#REF!</v>
      </c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</row>
    <row r="30" s="4" customFormat="1" ht="16.5" customHeight="1" spans="1:79">
      <c r="A30" s="45" t="s">
        <v>8378</v>
      </c>
      <c r="B30" s="45" t="s">
        <v>8379</v>
      </c>
      <c r="C30" s="46" t="s">
        <v>216</v>
      </c>
      <c r="D30" s="47" t="e">
        <f>+#REF!</f>
        <v>#REF!</v>
      </c>
      <c r="E30" s="42">
        <f ca="1" t="shared" si="15"/>
        <v>0</v>
      </c>
      <c r="F30" s="52">
        <f ca="1" t="shared" si="9"/>
        <v>0</v>
      </c>
      <c r="G30" s="50">
        <f ca="1">+GETPIVOTDATA("XCB4",'cubi (2016)'!$A$3,"MA_HT","DTL","MA_QH","LUC")</f>
        <v>0</v>
      </c>
      <c r="H30" s="50">
        <f ca="1">+GETPIVOTDATA("XCB4",'cubi (2016)'!$A$3,"MA_HT","DTL","MA_QH","LUK")</f>
        <v>0</v>
      </c>
      <c r="I30" s="50">
        <f ca="1">+GETPIVOTDATA("XCB4",'cubi (2016)'!$A$3,"MA_HT","DTL","MA_QH","LUN")</f>
        <v>0</v>
      </c>
      <c r="J30" s="50">
        <f ca="1">+GETPIVOTDATA("XCB4",'cubi (2016)'!$A$3,"MA_HT","DTL","MA_QH","HNK")</f>
        <v>0</v>
      </c>
      <c r="K30" s="50">
        <f ca="1">+GETPIVOTDATA("XCB4",'cubi (2016)'!$A$3,"MA_HT","DTL","MA_QH","CLN")</f>
        <v>0</v>
      </c>
      <c r="L30" s="50">
        <f ca="1">+GETPIVOTDATA("XCB4",'cubi (2016)'!$A$3,"MA_HT","DTL","MA_QH","RSX")</f>
        <v>0</v>
      </c>
      <c r="M30" s="50">
        <f ca="1">+GETPIVOTDATA("XCB4",'cubi (2016)'!$A$3,"MA_HT","DTL","MA_QH","RPH")</f>
        <v>0</v>
      </c>
      <c r="N30" s="50">
        <f ca="1">+GETPIVOTDATA("XCB4",'cubi (2016)'!$A$3,"MA_HT","DTL","MA_QH","RDD")</f>
        <v>0</v>
      </c>
      <c r="O30" s="50">
        <f ca="1">+GETPIVOTDATA("XCB4",'cubi (2016)'!$A$3,"MA_HT","DTL","MA_QH","NTS")</f>
        <v>0</v>
      </c>
      <c r="P30" s="50">
        <f ca="1">+GETPIVOTDATA("XCB4",'cubi (2016)'!$A$3,"MA_HT","DTL","MA_QH","LMU")</f>
        <v>0</v>
      </c>
      <c r="Q30" s="50">
        <f ca="1">+GETPIVOTDATA("XCB4",'cubi (2016)'!$A$3,"MA_HT","DTL","MA_QH","NKH")</f>
        <v>0</v>
      </c>
      <c r="R30" s="48">
        <f ca="1" t="shared" ref="R30:R40" si="20">SUM(S30:AA30,AN30:BD30)</f>
        <v>0</v>
      </c>
      <c r="S30" s="50">
        <f ca="1">+GETPIVOTDATA("XCB4",'cubi (2016)'!$A$3,"MA_HT","DTL","MA_QH","CQP")</f>
        <v>0</v>
      </c>
      <c r="T30" s="50">
        <f ca="1">+GETPIVOTDATA("XCB4",'cubi (2016)'!$A$3,"MA_HT","DTL","MA_QH","CAN")</f>
        <v>0</v>
      </c>
      <c r="U30" s="50">
        <f ca="1">+GETPIVOTDATA("XCB4",'cubi (2016)'!$A$3,"MA_HT","DTL","MA_QH","SKK")</f>
        <v>0</v>
      </c>
      <c r="V30" s="50">
        <f ca="1">+GETPIVOTDATA("XCB4",'cubi (2016)'!$A$3,"MA_HT","DTL","MA_QH","SKT")</f>
        <v>0</v>
      </c>
      <c r="W30" s="50">
        <f ca="1">+GETPIVOTDATA("XCB4",'cubi (2016)'!$A$3,"MA_HT","DTL","MA_QH","SKN")</f>
        <v>0</v>
      </c>
      <c r="X30" s="50">
        <f ca="1">+GETPIVOTDATA("XCB4",'cubi (2016)'!$A$3,"MA_HT","DTL","MA_QH","TMD")</f>
        <v>0</v>
      </c>
      <c r="Y30" s="50">
        <f ca="1">+GETPIVOTDATA("XCB4",'cubi (2016)'!$A$3,"MA_HT","DTL","MA_QH","SKC")</f>
        <v>0</v>
      </c>
      <c r="Z30" s="50">
        <f ca="1">+GETPIVOTDATA("XCB4",'cubi (2016)'!$A$3,"MA_HT","DTL","MA_QH","SKS")</f>
        <v>0</v>
      </c>
      <c r="AA30" s="52">
        <f ca="1">+SUM(AB30,AD30:AM30)</f>
        <v>0</v>
      </c>
      <c r="AB30" s="50">
        <f ca="1">+GETPIVOTDATA("XCB4",'cubi (2016)'!$A$3,"MA_HT","DTL","MA_QH","DGT")</f>
        <v>0</v>
      </c>
      <c r="AC30" s="49" t="e">
        <f ca="1">$D30-$BF30</f>
        <v>#REF!</v>
      </c>
      <c r="AD30" s="50">
        <f ca="1">+GETPIVOTDATA("XCB4",'cubi (2016)'!$A$3,"MA_HT","DTL","MA_QH","DNL")</f>
        <v>0</v>
      </c>
      <c r="AE30" s="50">
        <f ca="1">+GETPIVOTDATA("XCB4",'cubi (2016)'!$A$3,"MA_HT","DTL","MA_QH","DBV")</f>
        <v>0</v>
      </c>
      <c r="AF30" s="50">
        <f ca="1">+GETPIVOTDATA("XCB4",'cubi (2016)'!$A$3,"MA_HT","DTL","MA_QH","DVH")</f>
        <v>0</v>
      </c>
      <c r="AG30" s="50">
        <f ca="1">+GETPIVOTDATA("XCB4",'cubi (2016)'!$A$3,"MA_HT","DTL","MA_QH","DYT")</f>
        <v>0</v>
      </c>
      <c r="AH30" s="50">
        <f ca="1">+GETPIVOTDATA("XCB4",'cubi (2016)'!$A$3,"MA_HT","DTL","MA_QH","DGD")</f>
        <v>0</v>
      </c>
      <c r="AI30" s="50">
        <f ca="1">+GETPIVOTDATA("XCB4",'cubi (2016)'!$A$3,"MA_HT","DTL","MA_QH","DTT")</f>
        <v>0</v>
      </c>
      <c r="AJ30" s="50">
        <f ca="1">+GETPIVOTDATA("XCB4",'cubi (2016)'!$A$3,"MA_HT","DTL","MA_QH","NCK")</f>
        <v>0</v>
      </c>
      <c r="AK30" s="50">
        <f ca="1">+GETPIVOTDATA("XCB4",'cubi (2016)'!$A$3,"MA_HT","DTL","MA_QH","DXH")</f>
        <v>0</v>
      </c>
      <c r="AL30" s="50">
        <f ca="1">+GETPIVOTDATA("XCB4",'cubi (2016)'!$A$3,"MA_HT","DTL","MA_QH","DCH")</f>
        <v>0</v>
      </c>
      <c r="AM30" s="50">
        <f ca="1">+GETPIVOTDATA("XCB4",'cubi (2016)'!$A$3,"MA_HT","DTL","MA_QH","DKG")</f>
        <v>0</v>
      </c>
      <c r="AN30" s="50">
        <f ca="1">+GETPIVOTDATA("XCB4",'cubi (2016)'!$A$3,"MA_HT","DTL","MA_QH","DDT")</f>
        <v>0</v>
      </c>
      <c r="AO30" s="50">
        <f ca="1">+GETPIVOTDATA("XCB4",'cubi (2016)'!$A$3,"MA_HT","DTL","MA_QH","DDL")</f>
        <v>0</v>
      </c>
      <c r="AP30" s="50">
        <f ca="1">+GETPIVOTDATA("XCB4",'cubi (2016)'!$A$3,"MA_HT","DTL","MA_QH","DRA")</f>
        <v>0</v>
      </c>
      <c r="AQ30" s="50">
        <f ca="1">+GETPIVOTDATA("XCB4",'cubi (2016)'!$A$3,"MA_HT","DTL","MA_QH","ONT")</f>
        <v>0</v>
      </c>
      <c r="AR30" s="50">
        <f ca="1">+GETPIVOTDATA("XCB4",'cubi (2016)'!$A$3,"MA_HT","DTL","MA_QH","ODT")</f>
        <v>0</v>
      </c>
      <c r="AS30" s="50">
        <f ca="1">+GETPIVOTDATA("XCB4",'cubi (2016)'!$A$3,"MA_HT","DTL","MA_QH","TSC")</f>
        <v>0</v>
      </c>
      <c r="AT30" s="50">
        <f ca="1">+GETPIVOTDATA("XCB4",'cubi (2016)'!$A$3,"MA_HT","DTL","MA_QH","DTS")</f>
        <v>0</v>
      </c>
      <c r="AU30" s="50">
        <f ca="1">+GETPIVOTDATA("XCB4",'cubi (2016)'!$A$3,"MA_HT","DTL","MA_QH","DNG")</f>
        <v>0</v>
      </c>
      <c r="AV30" s="50">
        <f ca="1">+GETPIVOTDATA("XCB4",'cubi (2016)'!$A$3,"MA_HT","DTL","MA_QH","TON")</f>
        <v>0</v>
      </c>
      <c r="AW30" s="50">
        <f ca="1">+GETPIVOTDATA("XCB4",'cubi (2016)'!$A$3,"MA_HT","DTL","MA_QH","NTD")</f>
        <v>0</v>
      </c>
      <c r="AX30" s="50">
        <f ca="1">+GETPIVOTDATA("XCB4",'cubi (2016)'!$A$3,"MA_HT","DTL","MA_QH","SKX")</f>
        <v>0</v>
      </c>
      <c r="AY30" s="50">
        <f ca="1">+GETPIVOTDATA("XCB4",'cubi (2016)'!$A$3,"MA_HT","DTL","MA_QH","DSH")</f>
        <v>0</v>
      </c>
      <c r="AZ30" s="50">
        <f ca="1">+GETPIVOTDATA("XCB4",'cubi (2016)'!$A$3,"MA_HT","DTL","MA_QH","DKV")</f>
        <v>0</v>
      </c>
      <c r="BA30" s="88">
        <f ca="1">+GETPIVOTDATA("XCB4",'cubi (2016)'!$A$3,"MA_HT","DTL","MA_QH","TIN")</f>
        <v>0</v>
      </c>
      <c r="BB30" s="50">
        <f ca="1">+GETPIVOTDATA("XCB4",'cubi (2016)'!$A$3,"MA_HT","DTL","MA_QH","SON")</f>
        <v>0</v>
      </c>
      <c r="BC30" s="50">
        <f ca="1">+GETPIVOTDATA("XCB4",'cubi (2016)'!$A$3,"MA_HT","DTL","MA_QH","MNC")</f>
        <v>0</v>
      </c>
      <c r="BD30" s="50">
        <f ca="1">+GETPIVOTDATA("XCB4",'cubi (2016)'!$A$3,"MA_HT","DTL","MA_QH","PNK")</f>
        <v>0</v>
      </c>
      <c r="BE30" s="80">
        <f ca="1">+GETPIVOTDATA("XCB4",'cubi (2016)'!$A$3,"MA_HT","DTL","MA_QH","CSD")</f>
        <v>0</v>
      </c>
      <c r="BF30" s="103">
        <f ca="1" t="shared" si="13"/>
        <v>0</v>
      </c>
      <c r="BG30" s="104">
        <f ca="1">AC$59-$BF30</f>
        <v>0</v>
      </c>
      <c r="BH30" s="47" t="e">
        <f ca="1" t="shared" si="14"/>
        <v>#REF!</v>
      </c>
      <c r="BI30" s="105"/>
      <c r="BJ30" s="105" t="e">
        <f>#REF!</f>
        <v>#REF!</v>
      </c>
      <c r="BK30" s="108" t="e">
        <f ca="1" t="shared" si="19"/>
        <v>#REF!</v>
      </c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</row>
    <row r="31" s="4" customFormat="1" ht="16.5" customHeight="1" spans="1:79">
      <c r="A31" s="45" t="s">
        <v>8380</v>
      </c>
      <c r="B31" s="45" t="s">
        <v>8381</v>
      </c>
      <c r="C31" s="46" t="s">
        <v>71</v>
      </c>
      <c r="D31" s="47" t="e">
        <f>+#REF!</f>
        <v>#REF!</v>
      </c>
      <c r="E31" s="42">
        <f ca="1" t="shared" si="15"/>
        <v>0</v>
      </c>
      <c r="F31" s="52">
        <f ca="1" t="shared" si="9"/>
        <v>0</v>
      </c>
      <c r="G31" s="50">
        <f ca="1">+GETPIVOTDATA("XCB4",'cubi (2016)'!$A$3,"MA_HT","DNL","MA_QH","LUC")</f>
        <v>0</v>
      </c>
      <c r="H31" s="50">
        <f ca="1">+GETPIVOTDATA("XCB4",'cubi (2016)'!$A$3,"MA_HT","DNL","MA_QH","LUK")</f>
        <v>0</v>
      </c>
      <c r="I31" s="50">
        <f ca="1">+GETPIVOTDATA("XCB4",'cubi (2016)'!$A$3,"MA_HT","DNL","MA_QH","LUN")</f>
        <v>0</v>
      </c>
      <c r="J31" s="50">
        <f ca="1">+GETPIVOTDATA("XCB4",'cubi (2016)'!$A$3,"MA_HT","DNL","MA_QH","HNK")</f>
        <v>0</v>
      </c>
      <c r="K31" s="50">
        <f ca="1">+GETPIVOTDATA("XCB4",'cubi (2016)'!$A$3,"MA_HT","DNL","MA_QH","CLN")</f>
        <v>0</v>
      </c>
      <c r="L31" s="50">
        <f ca="1">+GETPIVOTDATA("XCB4",'cubi (2016)'!$A$3,"MA_HT","DNL","MA_QH","RSX")</f>
        <v>0</v>
      </c>
      <c r="M31" s="50">
        <f ca="1">+GETPIVOTDATA("XCB4",'cubi (2016)'!$A$3,"MA_HT","DNL","MA_QH","RPH")</f>
        <v>0</v>
      </c>
      <c r="N31" s="50">
        <f ca="1">+GETPIVOTDATA("XCB4",'cubi (2016)'!$A$3,"MA_HT","DNL","MA_QH","RDD")</f>
        <v>0</v>
      </c>
      <c r="O31" s="50">
        <f ca="1">+GETPIVOTDATA("XCB4",'cubi (2016)'!$A$3,"MA_HT","DNL","MA_QH","NTS")</f>
        <v>0</v>
      </c>
      <c r="P31" s="50">
        <f ca="1">+GETPIVOTDATA("XCB4",'cubi (2016)'!$A$3,"MA_HT","DNL","MA_QH","LMU")</f>
        <v>0</v>
      </c>
      <c r="Q31" s="50">
        <f ca="1">+GETPIVOTDATA("XCB4",'cubi (2016)'!$A$3,"MA_HT","DNL","MA_QH","NKH")</f>
        <v>0</v>
      </c>
      <c r="R31" s="48">
        <f ca="1" t="shared" si="20"/>
        <v>0</v>
      </c>
      <c r="S31" s="50">
        <f ca="1">+GETPIVOTDATA("XCB4",'cubi (2016)'!$A$3,"MA_HT","DNL","MA_QH","CQP")</f>
        <v>0</v>
      </c>
      <c r="T31" s="50">
        <f ca="1">+GETPIVOTDATA("XCB4",'cubi (2016)'!$A$3,"MA_HT","DNL","MA_QH","CAN")</f>
        <v>0</v>
      </c>
      <c r="U31" s="50">
        <f ca="1">+GETPIVOTDATA("XCB4",'cubi (2016)'!$A$3,"MA_HT","DNL","MA_QH","SKK")</f>
        <v>0</v>
      </c>
      <c r="V31" s="50">
        <f ca="1">+GETPIVOTDATA("XCB4",'cubi (2016)'!$A$3,"MA_HT","DNL","MA_QH","SKT")</f>
        <v>0</v>
      </c>
      <c r="W31" s="50">
        <f ca="1">+GETPIVOTDATA("XCB4",'cubi (2016)'!$A$3,"MA_HT","DNL","MA_QH","SKN")</f>
        <v>0</v>
      </c>
      <c r="X31" s="50">
        <f ca="1">+GETPIVOTDATA("XCB4",'cubi (2016)'!$A$3,"MA_HT","DNL","MA_QH","TMD")</f>
        <v>0</v>
      </c>
      <c r="Y31" s="50">
        <f ca="1">+GETPIVOTDATA("XCB4",'cubi (2016)'!$A$3,"MA_HT","DNL","MA_QH","SKC")</f>
        <v>0</v>
      </c>
      <c r="Z31" s="50">
        <f ca="1">+GETPIVOTDATA("XCB4",'cubi (2016)'!$A$3,"MA_HT","DNL","MA_QH","SKS")</f>
        <v>0</v>
      </c>
      <c r="AA31" s="52">
        <f ca="1">+SUM(AB31:AC31,AE31:AM31)</f>
        <v>0</v>
      </c>
      <c r="AB31" s="50">
        <f ca="1">+GETPIVOTDATA("XCB4",'cubi (2016)'!$A$3,"MA_HT","DNL","MA_QH","DGT")</f>
        <v>0</v>
      </c>
      <c r="AC31" s="50">
        <f ca="1">+GETPIVOTDATA("XCB4",'cubi (2016)'!$A$3,"MA_HT","DNL","MA_QH","DTL")</f>
        <v>0</v>
      </c>
      <c r="AD31" s="49" t="e">
        <f ca="1">$D31-$BF31</f>
        <v>#REF!</v>
      </c>
      <c r="AE31" s="50">
        <f ca="1">+GETPIVOTDATA("XCB4",'cubi (2016)'!$A$3,"MA_HT","DNL","MA_QH","DBV")</f>
        <v>0</v>
      </c>
      <c r="AF31" s="50">
        <f ca="1">+GETPIVOTDATA("XCB4",'cubi (2016)'!$A$3,"MA_HT","DNL","MA_QH","DVH")</f>
        <v>0</v>
      </c>
      <c r="AG31" s="50">
        <f ca="1">+GETPIVOTDATA("XCB4",'cubi (2016)'!$A$3,"MA_HT","DNL","MA_QH","DYT")</f>
        <v>0</v>
      </c>
      <c r="AH31" s="50">
        <f ca="1">+GETPIVOTDATA("XCB4",'cubi (2016)'!$A$3,"MA_HT","DNL","MA_QH","DGD")</f>
        <v>0</v>
      </c>
      <c r="AI31" s="50">
        <f ca="1">+GETPIVOTDATA("XCB4",'cubi (2016)'!$A$3,"MA_HT","DNL","MA_QH","DTT")</f>
        <v>0</v>
      </c>
      <c r="AJ31" s="50">
        <f ca="1">+GETPIVOTDATA("XCB4",'cubi (2016)'!$A$3,"MA_HT","DNL","MA_QH","NCK")</f>
        <v>0</v>
      </c>
      <c r="AK31" s="50">
        <f ca="1">+GETPIVOTDATA("XCB4",'cubi (2016)'!$A$3,"MA_HT","DNL","MA_QH","DXH")</f>
        <v>0</v>
      </c>
      <c r="AL31" s="50">
        <f ca="1">+GETPIVOTDATA("XCB4",'cubi (2016)'!$A$3,"MA_HT","DNL","MA_QH","DCH")</f>
        <v>0</v>
      </c>
      <c r="AM31" s="50">
        <f ca="1">+GETPIVOTDATA("XCB4",'cubi (2016)'!$A$3,"MA_HT","DNL","MA_QH","DKG")</f>
        <v>0</v>
      </c>
      <c r="AN31" s="50">
        <f ca="1">+GETPIVOTDATA("XCB4",'cubi (2016)'!$A$3,"MA_HT","DNL","MA_QH","DDT")</f>
        <v>0</v>
      </c>
      <c r="AO31" s="50">
        <f ca="1">+GETPIVOTDATA("XCB4",'cubi (2016)'!$A$3,"MA_HT","DNL","MA_QH","DDL")</f>
        <v>0</v>
      </c>
      <c r="AP31" s="50">
        <f ca="1">+GETPIVOTDATA("XCB4",'cubi (2016)'!$A$3,"MA_HT","DNL","MA_QH","DRA")</f>
        <v>0</v>
      </c>
      <c r="AQ31" s="50">
        <f ca="1">+GETPIVOTDATA("XCB4",'cubi (2016)'!$A$3,"MA_HT","DNL","MA_QH","ONT")</f>
        <v>0</v>
      </c>
      <c r="AR31" s="50">
        <f ca="1">+GETPIVOTDATA("XCB4",'cubi (2016)'!$A$3,"MA_HT","DNL","MA_QH","ODT")</f>
        <v>0</v>
      </c>
      <c r="AS31" s="50">
        <f ca="1">+GETPIVOTDATA("XCB4",'cubi (2016)'!$A$3,"MA_HT","DNL","MA_QH","TSC")</f>
        <v>0</v>
      </c>
      <c r="AT31" s="50">
        <f ca="1">+GETPIVOTDATA("XCB4",'cubi (2016)'!$A$3,"MA_HT","DNL","MA_QH","DTS")</f>
        <v>0</v>
      </c>
      <c r="AU31" s="50">
        <f ca="1">+GETPIVOTDATA("XCB4",'cubi (2016)'!$A$3,"MA_HT","DNL","MA_QH","DNG")</f>
        <v>0</v>
      </c>
      <c r="AV31" s="50">
        <f ca="1">+GETPIVOTDATA("XCB4",'cubi (2016)'!$A$3,"MA_HT","DNL","MA_QH","TON")</f>
        <v>0</v>
      </c>
      <c r="AW31" s="50">
        <f ca="1">+GETPIVOTDATA("XCB4",'cubi (2016)'!$A$3,"MA_HT","DNL","MA_QH","NTD")</f>
        <v>0</v>
      </c>
      <c r="AX31" s="50">
        <f ca="1">+GETPIVOTDATA("XCB4",'cubi (2016)'!$A$3,"MA_HT","DNL","MA_QH","SKX")</f>
        <v>0</v>
      </c>
      <c r="AY31" s="50">
        <f ca="1">+GETPIVOTDATA("XCB4",'cubi (2016)'!$A$3,"MA_HT","DNL","MA_QH","DSH")</f>
        <v>0</v>
      </c>
      <c r="AZ31" s="50">
        <f ca="1">+GETPIVOTDATA("XCB4",'cubi (2016)'!$A$3,"MA_HT","DNL","MA_QH","DKV")</f>
        <v>0</v>
      </c>
      <c r="BA31" s="88">
        <f ca="1">+GETPIVOTDATA("XCB4",'cubi (2016)'!$A$3,"MA_HT","DNL","MA_QH","TIN")</f>
        <v>0</v>
      </c>
      <c r="BB31" s="50">
        <f ca="1">+GETPIVOTDATA("XCB4",'cubi (2016)'!$A$3,"MA_HT","DNL","MA_QH","SON")</f>
        <v>0</v>
      </c>
      <c r="BC31" s="50">
        <f ca="1">+GETPIVOTDATA("XCB4",'cubi (2016)'!$A$3,"MA_HT","DNL","MA_QH","MNC")</f>
        <v>0</v>
      </c>
      <c r="BD31" s="50">
        <f ca="1">+GETPIVOTDATA("XCB4",'cubi (2016)'!$A$3,"MA_HT","DNL","MA_QH","PNK")</f>
        <v>0</v>
      </c>
      <c r="BE31" s="80">
        <f ca="1">+GETPIVOTDATA("XCB4",'cubi (2016)'!$A$3,"MA_HT","DNL","MA_QH","CSD")</f>
        <v>0</v>
      </c>
      <c r="BF31" s="103">
        <f ca="1" t="shared" si="13"/>
        <v>0</v>
      </c>
      <c r="BG31" s="104">
        <f ca="1">AD$59-$BF31</f>
        <v>0</v>
      </c>
      <c r="BH31" s="47" t="e">
        <f ca="1" t="shared" si="14"/>
        <v>#REF!</v>
      </c>
      <c r="BI31" s="105"/>
      <c r="BJ31" s="105" t="e">
        <f>#REF!</f>
        <v>#REF!</v>
      </c>
      <c r="BK31" s="108" t="e">
        <f ca="1" t="shared" si="19"/>
        <v>#REF!</v>
      </c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</row>
    <row r="32" s="4" customFormat="1" ht="16.5" customHeight="1" spans="1:79">
      <c r="A32" s="45" t="s">
        <v>8382</v>
      </c>
      <c r="B32" s="45" t="s">
        <v>8383</v>
      </c>
      <c r="C32" s="46" t="s">
        <v>8285</v>
      </c>
      <c r="D32" s="47" t="e">
        <f>+#REF!</f>
        <v>#REF!</v>
      </c>
      <c r="E32" s="42">
        <f ca="1" t="shared" si="15"/>
        <v>0</v>
      </c>
      <c r="F32" s="52">
        <f ca="1" t="shared" si="9"/>
        <v>0</v>
      </c>
      <c r="G32" s="50">
        <f ca="1">+GETPIVOTDATA("XCB4",'cubi (2016)'!$A$3,"MA_HT","DBV","MA_QH","LUC")</f>
        <v>0</v>
      </c>
      <c r="H32" s="50">
        <f ca="1">+GETPIVOTDATA("XCB4",'cubi (2016)'!$A$3,"MA_HT","DBV","MA_QH","LUK")</f>
        <v>0</v>
      </c>
      <c r="I32" s="50">
        <f ca="1">+GETPIVOTDATA("XCB4",'cubi (2016)'!$A$3,"MA_HT","DBV","MA_QH","LUN")</f>
        <v>0</v>
      </c>
      <c r="J32" s="50">
        <f ca="1">+GETPIVOTDATA("XCB4",'cubi (2016)'!$A$3,"MA_HT","DBV","MA_QH","HNK")</f>
        <v>0</v>
      </c>
      <c r="K32" s="50">
        <f ca="1">+GETPIVOTDATA("XCB4",'cubi (2016)'!$A$3,"MA_HT","DBV","MA_QH","CLN")</f>
        <v>0</v>
      </c>
      <c r="L32" s="50">
        <f ca="1">+GETPIVOTDATA("XCB4",'cubi (2016)'!$A$3,"MA_HT","DBV","MA_QH","RSX")</f>
        <v>0</v>
      </c>
      <c r="M32" s="50">
        <f ca="1">+GETPIVOTDATA("XCB4",'cubi (2016)'!$A$3,"MA_HT","DBV","MA_QH","RPH")</f>
        <v>0</v>
      </c>
      <c r="N32" s="50">
        <f ca="1">+GETPIVOTDATA("XCB4",'cubi (2016)'!$A$3,"MA_HT","DBV","MA_QH","RDD")</f>
        <v>0</v>
      </c>
      <c r="O32" s="50">
        <f ca="1">+GETPIVOTDATA("XCB4",'cubi (2016)'!$A$3,"MA_HT","DBV","MA_QH","NTS")</f>
        <v>0</v>
      </c>
      <c r="P32" s="50">
        <f ca="1">+GETPIVOTDATA("XCB4",'cubi (2016)'!$A$3,"MA_HT","DBV","MA_QH","LMU")</f>
        <v>0</v>
      </c>
      <c r="Q32" s="50">
        <f ca="1">+GETPIVOTDATA("XCB4",'cubi (2016)'!$A$3,"MA_HT","DBV","MA_QH","NKH")</f>
        <v>0</v>
      </c>
      <c r="R32" s="48">
        <f ca="1" t="shared" si="20"/>
        <v>0</v>
      </c>
      <c r="S32" s="50">
        <f ca="1">+GETPIVOTDATA("XCB4",'cubi (2016)'!$A$3,"MA_HT","DBV","MA_QH","CQP")</f>
        <v>0</v>
      </c>
      <c r="T32" s="50">
        <f ca="1">+GETPIVOTDATA("XCB4",'cubi (2016)'!$A$3,"MA_HT","DBV","MA_QH","CAN")</f>
        <v>0</v>
      </c>
      <c r="U32" s="50">
        <f ca="1">+GETPIVOTDATA("XCB4",'cubi (2016)'!$A$3,"MA_HT","DBV","MA_QH","SKK")</f>
        <v>0</v>
      </c>
      <c r="V32" s="50">
        <f ca="1">+GETPIVOTDATA("XCB4",'cubi (2016)'!$A$3,"MA_HT","DBV","MA_QH","SKT")</f>
        <v>0</v>
      </c>
      <c r="W32" s="50">
        <f ca="1">+GETPIVOTDATA("XCB4",'cubi (2016)'!$A$3,"MA_HT","DBV","MA_QH","SKN")</f>
        <v>0</v>
      </c>
      <c r="X32" s="50">
        <f ca="1">+GETPIVOTDATA("XCB4",'cubi (2016)'!$A$3,"MA_HT","DBV","MA_QH","TMD")</f>
        <v>0</v>
      </c>
      <c r="Y32" s="50">
        <f ca="1">+GETPIVOTDATA("XCB4",'cubi (2016)'!$A$3,"MA_HT","DBV","MA_QH","SKC")</f>
        <v>0</v>
      </c>
      <c r="Z32" s="50">
        <f ca="1">+GETPIVOTDATA("XCB4",'cubi (2016)'!$A$3,"MA_HT","DBV","MA_QH","SKS")</f>
        <v>0</v>
      </c>
      <c r="AA32" s="52">
        <f ca="1">+SUM(AB32:AD32,AF32:AM32)</f>
        <v>0</v>
      </c>
      <c r="AB32" s="50">
        <f ca="1">+GETPIVOTDATA("XCB4",'cubi (2016)'!$A$3,"MA_HT","DBV","MA_QH","DGT")</f>
        <v>0</v>
      </c>
      <c r="AC32" s="50">
        <f ca="1">+GETPIVOTDATA("XCB4",'cubi (2016)'!$A$3,"MA_HT","DBV","MA_QH","DTL")</f>
        <v>0</v>
      </c>
      <c r="AD32" s="50">
        <f ca="1">+GETPIVOTDATA("XCB4",'cubi (2016)'!$A$3,"MA_HT","DBV","MA_QH","DNL")</f>
        <v>0</v>
      </c>
      <c r="AE32" s="49" t="e">
        <f ca="1">$D32-$BF32</f>
        <v>#REF!</v>
      </c>
      <c r="AF32" s="50">
        <f ca="1">+GETPIVOTDATA("XCB4",'cubi (2016)'!$A$3,"MA_HT","DBV","MA_QH","DVH")</f>
        <v>0</v>
      </c>
      <c r="AG32" s="50">
        <f ca="1">+GETPIVOTDATA("XCB4",'cubi (2016)'!$A$3,"MA_HT","DBV","MA_QH","DYT")</f>
        <v>0</v>
      </c>
      <c r="AH32" s="50">
        <f ca="1">+GETPIVOTDATA("XCB4",'cubi (2016)'!$A$3,"MA_HT","DBV","MA_QH","DGD")</f>
        <v>0</v>
      </c>
      <c r="AI32" s="50">
        <f ca="1">+GETPIVOTDATA("XCB4",'cubi (2016)'!$A$3,"MA_HT","DBV","MA_QH","DTT")</f>
        <v>0</v>
      </c>
      <c r="AJ32" s="50">
        <f ca="1">+GETPIVOTDATA("XCB4",'cubi (2016)'!$A$3,"MA_HT","DBV","MA_QH","NCK")</f>
        <v>0</v>
      </c>
      <c r="AK32" s="50">
        <f ca="1">+GETPIVOTDATA("XCB4",'cubi (2016)'!$A$3,"MA_HT","DBV","MA_QH","DXH")</f>
        <v>0</v>
      </c>
      <c r="AL32" s="50">
        <f ca="1">+GETPIVOTDATA("XCB4",'cubi (2016)'!$A$3,"MA_HT","DBV","MA_QH","DCH")</f>
        <v>0</v>
      </c>
      <c r="AM32" s="50">
        <f ca="1">+GETPIVOTDATA("XCB4",'cubi (2016)'!$A$3,"MA_HT","DBV","MA_QH","DKG")</f>
        <v>0</v>
      </c>
      <c r="AN32" s="50">
        <f ca="1">+GETPIVOTDATA("XCB4",'cubi (2016)'!$A$3,"MA_HT","DBV","MA_QH","DDT")</f>
        <v>0</v>
      </c>
      <c r="AO32" s="50">
        <f ca="1">+GETPIVOTDATA("XCB4",'cubi (2016)'!$A$3,"MA_HT","DBV","MA_QH","DDL")</f>
        <v>0</v>
      </c>
      <c r="AP32" s="50">
        <f ca="1">+GETPIVOTDATA("XCB4",'cubi (2016)'!$A$3,"MA_HT","DBV","MA_QH","DRA")</f>
        <v>0</v>
      </c>
      <c r="AQ32" s="50">
        <f ca="1">+GETPIVOTDATA("XCB4",'cubi (2016)'!$A$3,"MA_HT","DBV","MA_QH","ONT")</f>
        <v>0</v>
      </c>
      <c r="AR32" s="50">
        <f ca="1">+GETPIVOTDATA("XCB4",'cubi (2016)'!$A$3,"MA_HT","DBV","MA_QH","ODT")</f>
        <v>0</v>
      </c>
      <c r="AS32" s="50">
        <f ca="1">+GETPIVOTDATA("XCB4",'cubi (2016)'!$A$3,"MA_HT","DBV","MA_QH","TSC")</f>
        <v>0</v>
      </c>
      <c r="AT32" s="50">
        <f ca="1">+GETPIVOTDATA("XCB4",'cubi (2016)'!$A$3,"MA_HT","DBV","MA_QH","DTS")</f>
        <v>0</v>
      </c>
      <c r="AU32" s="50">
        <f ca="1">+GETPIVOTDATA("XCB4",'cubi (2016)'!$A$3,"MA_HT","DBV","MA_QH","DNG")</f>
        <v>0</v>
      </c>
      <c r="AV32" s="50">
        <f ca="1">+GETPIVOTDATA("XCB4",'cubi (2016)'!$A$3,"MA_HT","DBV","MA_QH","TON")</f>
        <v>0</v>
      </c>
      <c r="AW32" s="50">
        <f ca="1">+GETPIVOTDATA("XCB4",'cubi (2016)'!$A$3,"MA_HT","DBV","MA_QH","NTD")</f>
        <v>0</v>
      </c>
      <c r="AX32" s="50">
        <f ca="1">+GETPIVOTDATA("XCB4",'cubi (2016)'!$A$3,"MA_HT","DBV","MA_QH","SKX")</f>
        <v>0</v>
      </c>
      <c r="AY32" s="50">
        <f ca="1">+GETPIVOTDATA("XCB4",'cubi (2016)'!$A$3,"MA_HT","DBV","MA_QH","DSH")</f>
        <v>0</v>
      </c>
      <c r="AZ32" s="50">
        <f ca="1">+GETPIVOTDATA("XCB4",'cubi (2016)'!$A$3,"MA_HT","DBV","MA_QH","DKV")</f>
        <v>0</v>
      </c>
      <c r="BA32" s="88">
        <f ca="1">+GETPIVOTDATA("XCB4",'cubi (2016)'!$A$3,"MA_HT","DBV","MA_QH","TIN")</f>
        <v>0</v>
      </c>
      <c r="BB32" s="50">
        <f ca="1">+GETPIVOTDATA("XCB4",'cubi (2016)'!$A$3,"MA_HT","DBV","MA_QH","SON")</f>
        <v>0</v>
      </c>
      <c r="BC32" s="50">
        <f ca="1">+GETPIVOTDATA("XCB4",'cubi (2016)'!$A$3,"MA_HT","DBV","MA_QH","MNC")</f>
        <v>0</v>
      </c>
      <c r="BD32" s="50">
        <f ca="1">+GETPIVOTDATA("XCB4",'cubi (2016)'!$A$3,"MA_HT","DBV","MA_QH","PNK")</f>
        <v>0</v>
      </c>
      <c r="BE32" s="80">
        <f ca="1">+GETPIVOTDATA("XCB4",'cubi (2016)'!$A$3,"MA_HT","DBV","MA_QH","CSD")</f>
        <v>0</v>
      </c>
      <c r="BF32" s="103">
        <f ca="1" t="shared" si="13"/>
        <v>0</v>
      </c>
      <c r="BG32" s="104">
        <f ca="1">AE$59-$BF32</f>
        <v>0</v>
      </c>
      <c r="BH32" s="47" t="e">
        <f ca="1" t="shared" si="14"/>
        <v>#REF!</v>
      </c>
      <c r="BI32" s="105"/>
      <c r="BJ32" s="105" t="e">
        <f>#REF!</f>
        <v>#REF!</v>
      </c>
      <c r="BK32" s="108" t="e">
        <f ca="1" t="shared" si="19"/>
        <v>#REF!</v>
      </c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</row>
    <row r="33" s="4" customFormat="1" ht="16.5" customHeight="1" spans="1:79">
      <c r="A33" s="45" t="s">
        <v>8384</v>
      </c>
      <c r="B33" s="45" t="s">
        <v>8385</v>
      </c>
      <c r="C33" s="46" t="s">
        <v>212</v>
      </c>
      <c r="D33" s="47" t="e">
        <f>+#REF!</f>
        <v>#REF!</v>
      </c>
      <c r="E33" s="42">
        <f ca="1" t="shared" si="15"/>
        <v>0</v>
      </c>
      <c r="F33" s="52">
        <f ca="1" t="shared" si="9"/>
        <v>0</v>
      </c>
      <c r="G33" s="50">
        <f ca="1">+GETPIVOTDATA("XCB4",'cubi (2016)'!$A$3,"MA_HT","DVH","MA_QH","LUC")</f>
        <v>0</v>
      </c>
      <c r="H33" s="50">
        <f ca="1">+GETPIVOTDATA("XCB4",'cubi (2016)'!$A$3,"MA_HT","DVH","MA_QH","LUK")</f>
        <v>0</v>
      </c>
      <c r="I33" s="50">
        <f ca="1">+GETPIVOTDATA("XCB4",'cubi (2016)'!$A$3,"MA_HT","DVH","MA_QH","LUN")</f>
        <v>0</v>
      </c>
      <c r="J33" s="50">
        <f ca="1">+GETPIVOTDATA("XCB4",'cubi (2016)'!$A$3,"MA_HT","DVH","MA_QH","HNK")</f>
        <v>0</v>
      </c>
      <c r="K33" s="50">
        <f ca="1">+GETPIVOTDATA("XCB4",'cubi (2016)'!$A$3,"MA_HT","DVH","MA_QH","CLN")</f>
        <v>0</v>
      </c>
      <c r="L33" s="50">
        <f ca="1">+GETPIVOTDATA("XCB4",'cubi (2016)'!$A$3,"MA_HT","DVH","MA_QH","RSX")</f>
        <v>0</v>
      </c>
      <c r="M33" s="50">
        <f ca="1">+GETPIVOTDATA("XCB4",'cubi (2016)'!$A$3,"MA_HT","DVH","MA_QH","RPH")</f>
        <v>0</v>
      </c>
      <c r="N33" s="50">
        <f ca="1">+GETPIVOTDATA("XCB4",'cubi (2016)'!$A$3,"MA_HT","DVH","MA_QH","RDD")</f>
        <v>0</v>
      </c>
      <c r="O33" s="50">
        <f ca="1">+GETPIVOTDATA("XCB4",'cubi (2016)'!$A$3,"MA_HT","DVH","MA_QH","NTS")</f>
        <v>0</v>
      </c>
      <c r="P33" s="50">
        <f ca="1">+GETPIVOTDATA("XCB4",'cubi (2016)'!$A$3,"MA_HT","DVH","MA_QH","LMU")</f>
        <v>0</v>
      </c>
      <c r="Q33" s="50">
        <f ca="1">+GETPIVOTDATA("XCB4",'cubi (2016)'!$A$3,"MA_HT","DVH","MA_QH","NKH")</f>
        <v>0</v>
      </c>
      <c r="R33" s="48">
        <f ca="1" t="shared" si="20"/>
        <v>0</v>
      </c>
      <c r="S33" s="50">
        <f ca="1">+GETPIVOTDATA("XCB4",'cubi (2016)'!$A$3,"MA_HT","DVH","MA_QH","CQP")</f>
        <v>0</v>
      </c>
      <c r="T33" s="50">
        <f ca="1">+GETPIVOTDATA("XCB4",'cubi (2016)'!$A$3,"MA_HT","DVH","MA_QH","CAN")</f>
        <v>0</v>
      </c>
      <c r="U33" s="50">
        <f ca="1">+GETPIVOTDATA("XCB4",'cubi (2016)'!$A$3,"MA_HT","DVH","MA_QH","SKK")</f>
        <v>0</v>
      </c>
      <c r="V33" s="50">
        <f ca="1">+GETPIVOTDATA("XCB4",'cubi (2016)'!$A$3,"MA_HT","DVH","MA_QH","SKT")</f>
        <v>0</v>
      </c>
      <c r="W33" s="50">
        <f ca="1">+GETPIVOTDATA("XCB4",'cubi (2016)'!$A$3,"MA_HT","DVH","MA_QH","SKN")</f>
        <v>0</v>
      </c>
      <c r="X33" s="50">
        <f ca="1">+GETPIVOTDATA("XCB4",'cubi (2016)'!$A$3,"MA_HT","DVH","MA_QH","TMD")</f>
        <v>0</v>
      </c>
      <c r="Y33" s="50">
        <f ca="1">+GETPIVOTDATA("XCB4",'cubi (2016)'!$A$3,"MA_HT","DVH","MA_QH","SKC")</f>
        <v>0</v>
      </c>
      <c r="Z33" s="50">
        <f ca="1">+GETPIVOTDATA("XCB4",'cubi (2016)'!$A$3,"MA_HT","DVH","MA_QH","SKS")</f>
        <v>0</v>
      </c>
      <c r="AA33" s="52">
        <f ca="1">+SUM(AB33:AE33,AG33:AM33)</f>
        <v>0</v>
      </c>
      <c r="AB33" s="50">
        <f ca="1">+GETPIVOTDATA("XCB4",'cubi (2016)'!$A$3,"MA_HT","DVH","MA_QH","DGT")</f>
        <v>0</v>
      </c>
      <c r="AC33" s="50">
        <f ca="1">+GETPIVOTDATA("XCB4",'cubi (2016)'!$A$3,"MA_HT","DVH","MA_QH","DTL")</f>
        <v>0</v>
      </c>
      <c r="AD33" s="50">
        <f ca="1">+GETPIVOTDATA("XCB4",'cubi (2016)'!$A$3,"MA_HT","DVH","MA_QH","DNL")</f>
        <v>0</v>
      </c>
      <c r="AE33" s="50">
        <f ca="1">+GETPIVOTDATA("XCB4",'cubi (2016)'!$A$3,"MA_HT","DVH","MA_QH","DBV")</f>
        <v>0</v>
      </c>
      <c r="AF33" s="49" t="e">
        <f ca="1">$D33-$BF33</f>
        <v>#REF!</v>
      </c>
      <c r="AG33" s="50">
        <f ca="1">+GETPIVOTDATA("XCB4",'cubi (2016)'!$A$3,"MA_HT","DVH","MA_QH","DYT")</f>
        <v>0</v>
      </c>
      <c r="AH33" s="50">
        <f ca="1">+GETPIVOTDATA("XCB4",'cubi (2016)'!$A$3,"MA_HT","DVH","MA_QH","DGD")</f>
        <v>0</v>
      </c>
      <c r="AI33" s="50">
        <f ca="1">+GETPIVOTDATA("XCB4",'cubi (2016)'!$A$3,"MA_HT","DVH","MA_QH","DTT")</f>
        <v>0</v>
      </c>
      <c r="AJ33" s="50">
        <f ca="1">+GETPIVOTDATA("XCB4",'cubi (2016)'!$A$3,"MA_HT","DVH","MA_QH","NCK")</f>
        <v>0</v>
      </c>
      <c r="AK33" s="50">
        <f ca="1">+GETPIVOTDATA("XCB4",'cubi (2016)'!$A$3,"MA_HT","DVH","MA_QH","DXH")</f>
        <v>0</v>
      </c>
      <c r="AL33" s="50">
        <f ca="1">+GETPIVOTDATA("XCB4",'cubi (2016)'!$A$3,"MA_HT","DVH","MA_QH","DCH")</f>
        <v>0</v>
      </c>
      <c r="AM33" s="50">
        <f ca="1">+GETPIVOTDATA("XCB4",'cubi (2016)'!$A$3,"MA_HT","DVH","MA_QH","DKG")</f>
        <v>0</v>
      </c>
      <c r="AN33" s="50">
        <f ca="1">+GETPIVOTDATA("XCB4",'cubi (2016)'!$A$3,"MA_HT","DVH","MA_QH","DDT")</f>
        <v>0</v>
      </c>
      <c r="AO33" s="50">
        <f ca="1">+GETPIVOTDATA("XCB4",'cubi (2016)'!$A$3,"MA_HT","DVH","MA_QH","DDL")</f>
        <v>0</v>
      </c>
      <c r="AP33" s="50">
        <f ca="1">+GETPIVOTDATA("XCB4",'cubi (2016)'!$A$3,"MA_HT","DVH","MA_QH","DRA")</f>
        <v>0</v>
      </c>
      <c r="AQ33" s="50">
        <f ca="1">+GETPIVOTDATA("XCB4",'cubi (2016)'!$A$3,"MA_HT","DVH","MA_QH","ONT")</f>
        <v>0</v>
      </c>
      <c r="AR33" s="50">
        <f ca="1">+GETPIVOTDATA("XCB4",'cubi (2016)'!$A$3,"MA_HT","DVH","MA_QH","ODT")</f>
        <v>0</v>
      </c>
      <c r="AS33" s="50">
        <f ca="1">+GETPIVOTDATA("XCB4",'cubi (2016)'!$A$3,"MA_HT","DVH","MA_QH","TSC")</f>
        <v>0</v>
      </c>
      <c r="AT33" s="50">
        <f ca="1">+GETPIVOTDATA("XCB4",'cubi (2016)'!$A$3,"MA_HT","DVH","MA_QH","DTS")</f>
        <v>0</v>
      </c>
      <c r="AU33" s="50">
        <f ca="1">+GETPIVOTDATA("XCB4",'cubi (2016)'!$A$3,"MA_HT","DVH","MA_QH","DNG")</f>
        <v>0</v>
      </c>
      <c r="AV33" s="50">
        <f ca="1">+GETPIVOTDATA("XCB4",'cubi (2016)'!$A$3,"MA_HT","DVH","MA_QH","TON")</f>
        <v>0</v>
      </c>
      <c r="AW33" s="50">
        <f ca="1">+GETPIVOTDATA("XCB4",'cubi (2016)'!$A$3,"MA_HT","DVH","MA_QH","NTD")</f>
        <v>0</v>
      </c>
      <c r="AX33" s="50">
        <f ca="1">+GETPIVOTDATA("XCB4",'cubi (2016)'!$A$3,"MA_HT","DVH","MA_QH","SKX")</f>
        <v>0</v>
      </c>
      <c r="AY33" s="50">
        <f ca="1">+GETPIVOTDATA("XCB4",'cubi (2016)'!$A$3,"MA_HT","DVH","MA_QH","DSH")</f>
        <v>0</v>
      </c>
      <c r="AZ33" s="50">
        <f ca="1">+GETPIVOTDATA("XCB4",'cubi (2016)'!$A$3,"MA_HT","DVH","MA_QH","DKV")</f>
        <v>0</v>
      </c>
      <c r="BA33" s="88">
        <f ca="1">+GETPIVOTDATA("XCB4",'cubi (2016)'!$A$3,"MA_HT","DVH","MA_QH","TIN")</f>
        <v>0</v>
      </c>
      <c r="BB33" s="50">
        <f ca="1">+GETPIVOTDATA("XCB4",'cubi (2016)'!$A$3,"MA_HT","DVH","MA_QH","SON")</f>
        <v>0</v>
      </c>
      <c r="BC33" s="50">
        <f ca="1">+GETPIVOTDATA("XCB4",'cubi (2016)'!$A$3,"MA_HT","DVH","MA_QH","MNC")</f>
        <v>0</v>
      </c>
      <c r="BD33" s="50">
        <f ca="1">+GETPIVOTDATA("XCB4",'cubi (2016)'!$A$3,"MA_HT","DVH","MA_QH","PNK")</f>
        <v>0</v>
      </c>
      <c r="BE33" s="80">
        <f ca="1">+GETPIVOTDATA("XCB4",'cubi (2016)'!$A$3,"MA_HT","DVH","MA_QH","CSD")</f>
        <v>0</v>
      </c>
      <c r="BF33" s="103">
        <f ca="1" t="shared" si="13"/>
        <v>0</v>
      </c>
      <c r="BG33" s="104">
        <f ca="1">AF$59-$BF33</f>
        <v>0</v>
      </c>
      <c r="BH33" s="47" t="e">
        <f ca="1" t="shared" si="14"/>
        <v>#REF!</v>
      </c>
      <c r="BI33" s="105"/>
      <c r="BJ33" s="105" t="e">
        <f>#REF!</f>
        <v>#REF!</v>
      </c>
      <c r="BK33" s="108" t="e">
        <f ca="1" t="shared" si="19"/>
        <v>#REF!</v>
      </c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</row>
    <row r="34" s="4" customFormat="1" ht="16.5" customHeight="1" spans="1:79">
      <c r="A34" s="45" t="s">
        <v>8386</v>
      </c>
      <c r="B34" s="45" t="s">
        <v>8387</v>
      </c>
      <c r="C34" s="46" t="s">
        <v>8296</v>
      </c>
      <c r="D34" s="47" t="e">
        <f>+#REF!</f>
        <v>#REF!</v>
      </c>
      <c r="E34" s="42">
        <f ca="1" t="shared" si="15"/>
        <v>0</v>
      </c>
      <c r="F34" s="52">
        <f ca="1" t="shared" si="9"/>
        <v>0</v>
      </c>
      <c r="G34" s="50">
        <f ca="1">+GETPIVOTDATA("XCB4",'cubi (2016)'!$A$3,"MA_HT","DYT","MA_QH","LUC")</f>
        <v>0</v>
      </c>
      <c r="H34" s="50">
        <f ca="1">+GETPIVOTDATA("XCB4",'cubi (2016)'!$A$3,"MA_HT","DYT","MA_QH","LUK")</f>
        <v>0</v>
      </c>
      <c r="I34" s="50">
        <f ca="1">+GETPIVOTDATA("XCB4",'cubi (2016)'!$A$3,"MA_HT","DYT","MA_QH","LUN")</f>
        <v>0</v>
      </c>
      <c r="J34" s="50">
        <f ca="1">+GETPIVOTDATA("XCB4",'cubi (2016)'!$A$3,"MA_HT","DYT","MA_QH","HNK")</f>
        <v>0</v>
      </c>
      <c r="K34" s="50">
        <f ca="1">+GETPIVOTDATA("XCB4",'cubi (2016)'!$A$3,"MA_HT","DYT","MA_QH","CLN")</f>
        <v>0</v>
      </c>
      <c r="L34" s="50">
        <f ca="1">+GETPIVOTDATA("XCB4",'cubi (2016)'!$A$3,"MA_HT","DYT","MA_QH","RSX")</f>
        <v>0</v>
      </c>
      <c r="M34" s="50">
        <f ca="1">+GETPIVOTDATA("XCB4",'cubi (2016)'!$A$3,"MA_HT","DYT","MA_QH","RPH")</f>
        <v>0</v>
      </c>
      <c r="N34" s="50">
        <f ca="1">+GETPIVOTDATA("XCB4",'cubi (2016)'!$A$3,"MA_HT","DYT","MA_QH","RDD")</f>
        <v>0</v>
      </c>
      <c r="O34" s="50">
        <f ca="1">+GETPIVOTDATA("XCB4",'cubi (2016)'!$A$3,"MA_HT","DYT","MA_QH","NTS")</f>
        <v>0</v>
      </c>
      <c r="P34" s="50">
        <f ca="1">+GETPIVOTDATA("XCB4",'cubi (2016)'!$A$3,"MA_HT","DYT","MA_QH","LMU")</f>
        <v>0</v>
      </c>
      <c r="Q34" s="50">
        <f ca="1">+GETPIVOTDATA("XCB4",'cubi (2016)'!$A$3,"MA_HT","DYT","MA_QH","NKH")</f>
        <v>0</v>
      </c>
      <c r="R34" s="48">
        <f ca="1" t="shared" si="20"/>
        <v>0</v>
      </c>
      <c r="S34" s="50">
        <f ca="1">+GETPIVOTDATA("XCB4",'cubi (2016)'!$A$3,"MA_HT","DYT","MA_QH","CQP")</f>
        <v>0</v>
      </c>
      <c r="T34" s="50">
        <f ca="1">+GETPIVOTDATA("XCB4",'cubi (2016)'!$A$3,"MA_HT","DYT","MA_QH","CAN")</f>
        <v>0</v>
      </c>
      <c r="U34" s="50">
        <f ca="1">+GETPIVOTDATA("XCB4",'cubi (2016)'!$A$3,"MA_HT","DYT","MA_QH","SKK")</f>
        <v>0</v>
      </c>
      <c r="V34" s="50">
        <f ca="1">+GETPIVOTDATA("XCB4",'cubi (2016)'!$A$3,"MA_HT","DYT","MA_QH","SKT")</f>
        <v>0</v>
      </c>
      <c r="W34" s="50">
        <f ca="1">+GETPIVOTDATA("XCB4",'cubi (2016)'!$A$3,"MA_HT","DYT","MA_QH","SKN")</f>
        <v>0</v>
      </c>
      <c r="X34" s="50">
        <f ca="1">+GETPIVOTDATA("XCB4",'cubi (2016)'!$A$3,"MA_HT","DYT","MA_QH","TMD")</f>
        <v>0</v>
      </c>
      <c r="Y34" s="50">
        <f ca="1">+GETPIVOTDATA("XCB4",'cubi (2016)'!$A$3,"MA_HT","DYT","MA_QH","SKC")</f>
        <v>0</v>
      </c>
      <c r="Z34" s="50">
        <f ca="1">+GETPIVOTDATA("XCB4",'cubi (2016)'!$A$3,"MA_HT","DYT","MA_QH","SKS")</f>
        <v>0</v>
      </c>
      <c r="AA34" s="52">
        <f ca="1">+SUM(AB34:AF34,AH34:AM34)</f>
        <v>0</v>
      </c>
      <c r="AB34" s="50">
        <f ca="1">+GETPIVOTDATA("XCB4",'cubi (2016)'!$A$3,"MA_HT","DYT","MA_QH","DGT")</f>
        <v>0</v>
      </c>
      <c r="AC34" s="50">
        <f ca="1">+GETPIVOTDATA("XCB4",'cubi (2016)'!$A$3,"MA_HT","DYT","MA_QH","DTL")</f>
        <v>0</v>
      </c>
      <c r="AD34" s="50">
        <f ca="1">+GETPIVOTDATA("XCB4",'cubi (2016)'!$A$3,"MA_HT","DYT","MA_QH","DNL")</f>
        <v>0</v>
      </c>
      <c r="AE34" s="50">
        <f ca="1">+GETPIVOTDATA("XCB4",'cubi (2016)'!$A$3,"MA_HT","DYT","MA_QH","DBV")</f>
        <v>0</v>
      </c>
      <c r="AF34" s="50">
        <f ca="1">+GETPIVOTDATA("XCB4",'cubi (2016)'!$A$3,"MA_HT","DYT","MA_QH","DVH")</f>
        <v>0</v>
      </c>
      <c r="AG34" s="49" t="e">
        <f ca="1">$D34-$BF34</f>
        <v>#REF!</v>
      </c>
      <c r="AH34" s="50">
        <f ca="1">+GETPIVOTDATA("XCB4",'cubi (2016)'!$A$3,"MA_HT","DYT","MA_QH","DGD")</f>
        <v>0</v>
      </c>
      <c r="AI34" s="50">
        <f ca="1">+GETPIVOTDATA("XCB4",'cubi (2016)'!$A$3,"MA_HT","DYT","MA_QH","DTT")</f>
        <v>0</v>
      </c>
      <c r="AJ34" s="50">
        <f ca="1">+GETPIVOTDATA("XCB4",'cubi (2016)'!$A$3,"MA_HT","DYT","MA_QH","NCK")</f>
        <v>0</v>
      </c>
      <c r="AK34" s="50">
        <f ca="1">+GETPIVOTDATA("XCB4",'cubi (2016)'!$A$3,"MA_HT","DYT","MA_QH","DXH")</f>
        <v>0</v>
      </c>
      <c r="AL34" s="50">
        <f ca="1">+GETPIVOTDATA("XCB4",'cubi (2016)'!$A$3,"MA_HT","DYT","MA_QH","DCH")</f>
        <v>0</v>
      </c>
      <c r="AM34" s="50">
        <f ca="1">+GETPIVOTDATA("XCB4",'cubi (2016)'!$A$3,"MA_HT","DYT","MA_QH","DKG")</f>
        <v>0</v>
      </c>
      <c r="AN34" s="50">
        <f ca="1">+GETPIVOTDATA("XCB4",'cubi (2016)'!$A$3,"MA_HT","DYT","MA_QH","DDT")</f>
        <v>0</v>
      </c>
      <c r="AO34" s="50">
        <f ca="1">+GETPIVOTDATA("XCB4",'cubi (2016)'!$A$3,"MA_HT","DYT","MA_QH","DDL")</f>
        <v>0</v>
      </c>
      <c r="AP34" s="50">
        <f ca="1">+GETPIVOTDATA("XCB4",'cubi (2016)'!$A$3,"MA_HT","DYT","MA_QH","DRA")</f>
        <v>0</v>
      </c>
      <c r="AQ34" s="50">
        <f ca="1">+GETPIVOTDATA("XCB4",'cubi (2016)'!$A$3,"MA_HT","DYT","MA_QH","ONT")</f>
        <v>0</v>
      </c>
      <c r="AR34" s="50">
        <f ca="1">+GETPIVOTDATA("XCB4",'cubi (2016)'!$A$3,"MA_HT","DYT","MA_QH","ODT")</f>
        <v>0</v>
      </c>
      <c r="AS34" s="50">
        <f ca="1">+GETPIVOTDATA("XCB4",'cubi (2016)'!$A$3,"MA_HT","DYT","MA_QH","TSC")</f>
        <v>0</v>
      </c>
      <c r="AT34" s="50">
        <f ca="1">+GETPIVOTDATA("XCB4",'cubi (2016)'!$A$3,"MA_HT","DYT","MA_QH","DTS")</f>
        <v>0</v>
      </c>
      <c r="AU34" s="50">
        <f ca="1">+GETPIVOTDATA("XCB4",'cubi (2016)'!$A$3,"MA_HT","DYT","MA_QH","DNG")</f>
        <v>0</v>
      </c>
      <c r="AV34" s="50">
        <f ca="1">+GETPIVOTDATA("XCB4",'cubi (2016)'!$A$3,"MA_HT","DYT","MA_QH","TON")</f>
        <v>0</v>
      </c>
      <c r="AW34" s="50">
        <f ca="1">+GETPIVOTDATA("XCB4",'cubi (2016)'!$A$3,"MA_HT","DYT","MA_QH","NTD")</f>
        <v>0</v>
      </c>
      <c r="AX34" s="50">
        <f ca="1">+GETPIVOTDATA("XCB4",'cubi (2016)'!$A$3,"MA_HT","DYT","MA_QH","SKX")</f>
        <v>0</v>
      </c>
      <c r="AY34" s="50">
        <f ca="1">+GETPIVOTDATA("XCB4",'cubi (2016)'!$A$3,"MA_HT","DYT","MA_QH","DSH")</f>
        <v>0</v>
      </c>
      <c r="AZ34" s="50">
        <f ca="1">+GETPIVOTDATA("XCB4",'cubi (2016)'!$A$3,"MA_HT","DYT","MA_QH","DKV")</f>
        <v>0</v>
      </c>
      <c r="BA34" s="88">
        <f ca="1">+GETPIVOTDATA("XCB4",'cubi (2016)'!$A$3,"MA_HT","DYT","MA_QH","TIN")</f>
        <v>0</v>
      </c>
      <c r="BB34" s="50">
        <f ca="1">+GETPIVOTDATA("XCB4",'cubi (2016)'!$A$3,"MA_HT","DYT","MA_QH","SON")</f>
        <v>0</v>
      </c>
      <c r="BC34" s="50">
        <f ca="1">+GETPIVOTDATA("XCB4",'cubi (2016)'!$A$3,"MA_HT","DYT","MA_QH","MNC")</f>
        <v>0</v>
      </c>
      <c r="BD34" s="50">
        <f ca="1">+GETPIVOTDATA("XCB4",'cubi (2016)'!$A$3,"MA_HT","DYT","MA_QH","PNK")</f>
        <v>0</v>
      </c>
      <c r="BE34" s="80">
        <f ca="1">+GETPIVOTDATA("XCB4",'cubi (2016)'!$A$3,"MA_HT","DYT","MA_QH","CSD")</f>
        <v>0</v>
      </c>
      <c r="BF34" s="103">
        <f ca="1" t="shared" si="13"/>
        <v>0</v>
      </c>
      <c r="BG34" s="104">
        <f ca="1">AG$59-$BF34</f>
        <v>0</v>
      </c>
      <c r="BH34" s="47" t="e">
        <f ca="1" t="shared" si="14"/>
        <v>#REF!</v>
      </c>
      <c r="BI34" s="105"/>
      <c r="BJ34" s="105" t="e">
        <f>#REF!</f>
        <v>#REF!</v>
      </c>
      <c r="BK34" s="108" t="e">
        <f ca="1" t="shared" si="19"/>
        <v>#REF!</v>
      </c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</row>
    <row r="35" s="4" customFormat="1" ht="16.5" customHeight="1" spans="1:79">
      <c r="A35" s="45" t="s">
        <v>8388</v>
      </c>
      <c r="B35" s="45" t="s">
        <v>8389</v>
      </c>
      <c r="C35" s="46" t="s">
        <v>165</v>
      </c>
      <c r="D35" s="47" t="e">
        <f>+#REF!</f>
        <v>#REF!</v>
      </c>
      <c r="E35" s="42">
        <f ca="1" t="shared" si="15"/>
        <v>0</v>
      </c>
      <c r="F35" s="52">
        <f ca="1" t="shared" si="9"/>
        <v>0</v>
      </c>
      <c r="G35" s="50">
        <f ca="1">+GETPIVOTDATA("XCB4",'cubi (2016)'!$A$3,"MA_HT","DGD","MA_QH","LUC")</f>
        <v>0</v>
      </c>
      <c r="H35" s="50">
        <f ca="1">+GETPIVOTDATA("XCB4",'cubi (2016)'!$A$3,"MA_HT","DGD","MA_QH","LUK")</f>
        <v>0</v>
      </c>
      <c r="I35" s="50">
        <f ca="1">+GETPIVOTDATA("XCB4",'cubi (2016)'!$A$3,"MA_HT","DGD","MA_QH","LUN")</f>
        <v>0</v>
      </c>
      <c r="J35" s="50">
        <f ca="1">+GETPIVOTDATA("XCB4",'cubi (2016)'!$A$3,"MA_HT","DGD","MA_QH","HNK")</f>
        <v>0</v>
      </c>
      <c r="K35" s="50">
        <f ca="1">+GETPIVOTDATA("XCB4",'cubi (2016)'!$A$3,"MA_HT","DGD","MA_QH","CLN")</f>
        <v>0</v>
      </c>
      <c r="L35" s="50">
        <f ca="1">+GETPIVOTDATA("XCB4",'cubi (2016)'!$A$3,"MA_HT","DGD","MA_QH","RSX")</f>
        <v>0</v>
      </c>
      <c r="M35" s="50">
        <f ca="1">+GETPIVOTDATA("XCB4",'cubi (2016)'!$A$3,"MA_HT","DGD","MA_QH","RPH")</f>
        <v>0</v>
      </c>
      <c r="N35" s="50">
        <f ca="1">+GETPIVOTDATA("XCB4",'cubi (2016)'!$A$3,"MA_HT","DGD","MA_QH","RDD")</f>
        <v>0</v>
      </c>
      <c r="O35" s="50">
        <f ca="1">+GETPIVOTDATA("XCB4",'cubi (2016)'!$A$3,"MA_HT","DGD","MA_QH","NTS")</f>
        <v>0</v>
      </c>
      <c r="P35" s="50">
        <f ca="1">+GETPIVOTDATA("XCB4",'cubi (2016)'!$A$3,"MA_HT","DGD","MA_QH","LMU")</f>
        <v>0</v>
      </c>
      <c r="Q35" s="50">
        <f ca="1">+GETPIVOTDATA("XCB4",'cubi (2016)'!$A$3,"MA_HT","DGD","MA_QH","NKH")</f>
        <v>0</v>
      </c>
      <c r="R35" s="48">
        <f ca="1" t="shared" si="20"/>
        <v>0</v>
      </c>
      <c r="S35" s="50">
        <f ca="1">+GETPIVOTDATA("XCB4",'cubi (2016)'!$A$3,"MA_HT","DGD","MA_QH","CQP")</f>
        <v>0</v>
      </c>
      <c r="T35" s="50">
        <f ca="1">+GETPIVOTDATA("XCB4",'cubi (2016)'!$A$3,"MA_HT","DGD","MA_QH","CAN")</f>
        <v>0</v>
      </c>
      <c r="U35" s="50">
        <f ca="1">+GETPIVOTDATA("XCB4",'cubi (2016)'!$A$3,"MA_HT","DGD","MA_QH","SKK")</f>
        <v>0</v>
      </c>
      <c r="V35" s="50">
        <f ca="1">+GETPIVOTDATA("XCB4",'cubi (2016)'!$A$3,"MA_HT","DGD","MA_QH","SKT")</f>
        <v>0</v>
      </c>
      <c r="W35" s="50">
        <f ca="1">+GETPIVOTDATA("XCB4",'cubi (2016)'!$A$3,"MA_HT","DGD","MA_QH","SKN")</f>
        <v>0</v>
      </c>
      <c r="X35" s="50">
        <f ca="1">+GETPIVOTDATA("XCB4",'cubi (2016)'!$A$3,"MA_HT","DGD","MA_QH","TMD")</f>
        <v>0</v>
      </c>
      <c r="Y35" s="50">
        <f ca="1">+GETPIVOTDATA("XCB4",'cubi (2016)'!$A$3,"MA_HT","DGD","MA_QH","SKC")</f>
        <v>0</v>
      </c>
      <c r="Z35" s="50">
        <f ca="1">+GETPIVOTDATA("XCB4",'cubi (2016)'!$A$3,"MA_HT","DGD","MA_QH","SKS")</f>
        <v>0</v>
      </c>
      <c r="AA35" s="52">
        <f ca="1">+SUM(AB35:AG35,AI35:AM35)</f>
        <v>0</v>
      </c>
      <c r="AB35" s="50">
        <f ca="1">+GETPIVOTDATA("XCB4",'cubi (2016)'!$A$3,"MA_HT","DGD","MA_QH","DGT")</f>
        <v>0</v>
      </c>
      <c r="AC35" s="50">
        <f ca="1">+GETPIVOTDATA("XCB4",'cubi (2016)'!$A$3,"MA_HT","DGD","MA_QH","DTL")</f>
        <v>0</v>
      </c>
      <c r="AD35" s="50">
        <f ca="1">+GETPIVOTDATA("XCB4",'cubi (2016)'!$A$3,"MA_HT","DGD","MA_QH","DNL")</f>
        <v>0</v>
      </c>
      <c r="AE35" s="50">
        <f ca="1">+GETPIVOTDATA("XCB4",'cubi (2016)'!$A$3,"MA_HT","DGD","MA_QH","DBV")</f>
        <v>0</v>
      </c>
      <c r="AF35" s="50">
        <f ca="1">+GETPIVOTDATA("XCB4",'cubi (2016)'!$A$3,"MA_HT","DGD","MA_QH","DVH")</f>
        <v>0</v>
      </c>
      <c r="AG35" s="50">
        <f ca="1">+GETPIVOTDATA("XCB4",'cubi (2016)'!$A$3,"MA_HT","DGD","MA_QH","DYT")</f>
        <v>0</v>
      </c>
      <c r="AH35" s="49" t="e">
        <f ca="1">$D35-$BF35</f>
        <v>#REF!</v>
      </c>
      <c r="AI35" s="50">
        <f ca="1">+GETPIVOTDATA("XCB4",'cubi (2016)'!$A$3,"MA_HT","DGD","MA_QH","DTT")</f>
        <v>0</v>
      </c>
      <c r="AJ35" s="50">
        <f ca="1">+GETPIVOTDATA("XCB4",'cubi (2016)'!$A$3,"MA_HT","DGD","MA_QH","NCK")</f>
        <v>0</v>
      </c>
      <c r="AK35" s="50">
        <f ca="1">+GETPIVOTDATA("XCB4",'cubi (2016)'!$A$3,"MA_HT","DGD","MA_QH","DXH")</f>
        <v>0</v>
      </c>
      <c r="AL35" s="50">
        <f ca="1">+GETPIVOTDATA("XCB4",'cubi (2016)'!$A$3,"MA_HT","DGD","MA_QH","DCH")</f>
        <v>0</v>
      </c>
      <c r="AM35" s="50">
        <f ca="1">+GETPIVOTDATA("XCB4",'cubi (2016)'!$A$3,"MA_HT","DGD","MA_QH","DKG")</f>
        <v>0</v>
      </c>
      <c r="AN35" s="50">
        <f ca="1">+GETPIVOTDATA("XCB4",'cubi (2016)'!$A$3,"MA_HT","DGD","MA_QH","DDT")</f>
        <v>0</v>
      </c>
      <c r="AO35" s="50">
        <f ca="1">+GETPIVOTDATA("XCB4",'cubi (2016)'!$A$3,"MA_HT","DGD","MA_QH","DDL")</f>
        <v>0</v>
      </c>
      <c r="AP35" s="50">
        <f ca="1">+GETPIVOTDATA("XCB4",'cubi (2016)'!$A$3,"MA_HT","DGD","MA_QH","DRA")</f>
        <v>0</v>
      </c>
      <c r="AQ35" s="50">
        <f ca="1">+GETPIVOTDATA("XCB4",'cubi (2016)'!$A$3,"MA_HT","DGD","MA_QH","ONT")</f>
        <v>0</v>
      </c>
      <c r="AR35" s="50">
        <f ca="1">+GETPIVOTDATA("XCB4",'cubi (2016)'!$A$3,"MA_HT","DGD","MA_QH","ODT")</f>
        <v>0</v>
      </c>
      <c r="AS35" s="50">
        <f ca="1">+GETPIVOTDATA("XCB4",'cubi (2016)'!$A$3,"MA_HT","DGD","MA_QH","TSC")</f>
        <v>0</v>
      </c>
      <c r="AT35" s="50">
        <f ca="1">+GETPIVOTDATA("XCB4",'cubi (2016)'!$A$3,"MA_HT","DGD","MA_QH","DTS")</f>
        <v>0</v>
      </c>
      <c r="AU35" s="50">
        <f ca="1">+GETPIVOTDATA("XCB4",'cubi (2016)'!$A$3,"MA_HT","DGD","MA_QH","DNG")</f>
        <v>0</v>
      </c>
      <c r="AV35" s="50">
        <f ca="1">+GETPIVOTDATA("XCB4",'cubi (2016)'!$A$3,"MA_HT","DGD","MA_QH","TON")</f>
        <v>0</v>
      </c>
      <c r="AW35" s="50">
        <f ca="1">+GETPIVOTDATA("XCB4",'cubi (2016)'!$A$3,"MA_HT","DGD","MA_QH","NTD")</f>
        <v>0</v>
      </c>
      <c r="AX35" s="50">
        <f ca="1">+GETPIVOTDATA("XCB4",'cubi (2016)'!$A$3,"MA_HT","DGD","MA_QH","SKX")</f>
        <v>0</v>
      </c>
      <c r="AY35" s="50">
        <f ca="1">+GETPIVOTDATA("XCB4",'cubi (2016)'!$A$3,"MA_HT","DGD","MA_QH","DSH")</f>
        <v>0</v>
      </c>
      <c r="AZ35" s="50">
        <f ca="1">+GETPIVOTDATA("XCB4",'cubi (2016)'!$A$3,"MA_HT","DGD","MA_QH","DKV")</f>
        <v>0</v>
      </c>
      <c r="BA35" s="88">
        <f ca="1">+GETPIVOTDATA("XCB4",'cubi (2016)'!$A$3,"MA_HT","DGD","MA_QH","TIN")</f>
        <v>0</v>
      </c>
      <c r="BB35" s="50">
        <f ca="1">+GETPIVOTDATA("XCB4",'cubi (2016)'!$A$3,"MA_HT","DGD","MA_QH","SON")</f>
        <v>0</v>
      </c>
      <c r="BC35" s="50">
        <f ca="1">+GETPIVOTDATA("XCB4",'cubi (2016)'!$A$3,"MA_HT","DGD","MA_QH","MNC")</f>
        <v>0</v>
      </c>
      <c r="BD35" s="50">
        <f ca="1">+GETPIVOTDATA("XCB4",'cubi (2016)'!$A$3,"MA_HT","DGD","MA_QH","PNK")</f>
        <v>0</v>
      </c>
      <c r="BE35" s="80">
        <f ca="1">+GETPIVOTDATA("XCB4",'cubi (2016)'!$A$3,"MA_HT","DGD","MA_QH","CSD")</f>
        <v>0</v>
      </c>
      <c r="BF35" s="103">
        <f ca="1" t="shared" si="13"/>
        <v>0</v>
      </c>
      <c r="BG35" s="104">
        <f ca="1">AH$59-$BF35</f>
        <v>0</v>
      </c>
      <c r="BH35" s="47" t="e">
        <f ca="1" t="shared" si="14"/>
        <v>#REF!</v>
      </c>
      <c r="BI35" s="105"/>
      <c r="BJ35" s="105" t="e">
        <f>#REF!</f>
        <v>#REF!</v>
      </c>
      <c r="BK35" s="108" t="e">
        <f ca="1" t="shared" si="19"/>
        <v>#REF!</v>
      </c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</row>
    <row r="36" s="4" customFormat="1" ht="16.5" customHeight="1" spans="1:79">
      <c r="A36" s="45" t="s">
        <v>8390</v>
      </c>
      <c r="B36" s="45" t="s">
        <v>8391</v>
      </c>
      <c r="C36" s="46" t="s">
        <v>8294</v>
      </c>
      <c r="D36" s="47" t="e">
        <f>+#REF!</f>
        <v>#REF!</v>
      </c>
      <c r="E36" s="42">
        <f ca="1" t="shared" si="15"/>
        <v>0</v>
      </c>
      <c r="F36" s="52">
        <f ca="1" t="shared" si="9"/>
        <v>0</v>
      </c>
      <c r="G36" s="50">
        <f ca="1">+GETPIVOTDATA("XCB4",'cubi (2016)'!$A$3,"MA_HT","DTT","MA_QH","LUC")</f>
        <v>0</v>
      </c>
      <c r="H36" s="50">
        <f ca="1">+GETPIVOTDATA("XCB4",'cubi (2016)'!$A$3,"MA_HT","DTT","MA_QH","LUK")</f>
        <v>0</v>
      </c>
      <c r="I36" s="50">
        <f ca="1">+GETPIVOTDATA("XCB4",'cubi (2016)'!$A$3,"MA_HT","DTT","MA_QH","LUN")</f>
        <v>0</v>
      </c>
      <c r="J36" s="50">
        <f ca="1">+GETPIVOTDATA("XCB4",'cubi (2016)'!$A$3,"MA_HT","DTT","MA_QH","HNK")</f>
        <v>0</v>
      </c>
      <c r="K36" s="50">
        <f ca="1">+GETPIVOTDATA("XCB4",'cubi (2016)'!$A$3,"MA_HT","DTT","MA_QH","CLN")</f>
        <v>0</v>
      </c>
      <c r="L36" s="50">
        <f ca="1">+GETPIVOTDATA("XCB4",'cubi (2016)'!$A$3,"MA_HT","DTT","MA_QH","RSX")</f>
        <v>0</v>
      </c>
      <c r="M36" s="50">
        <f ca="1">+GETPIVOTDATA("XCB4",'cubi (2016)'!$A$3,"MA_HT","DTT","MA_QH","RPH")</f>
        <v>0</v>
      </c>
      <c r="N36" s="50">
        <f ca="1">+GETPIVOTDATA("XCB4",'cubi (2016)'!$A$3,"MA_HT","DTT","MA_QH","RDD")</f>
        <v>0</v>
      </c>
      <c r="O36" s="50">
        <f ca="1">+GETPIVOTDATA("XCB4",'cubi (2016)'!$A$3,"MA_HT","DTT","MA_QH","NTS")</f>
        <v>0</v>
      </c>
      <c r="P36" s="50">
        <f ca="1">+GETPIVOTDATA("XCB4",'cubi (2016)'!$A$3,"MA_HT","DTT","MA_QH","LMU")</f>
        <v>0</v>
      </c>
      <c r="Q36" s="50">
        <f ca="1">+GETPIVOTDATA("XCB4",'cubi (2016)'!$A$3,"MA_HT","DTT","MA_QH","NKH")</f>
        <v>0</v>
      </c>
      <c r="R36" s="48">
        <f ca="1" t="shared" si="20"/>
        <v>0</v>
      </c>
      <c r="S36" s="50">
        <f ca="1">+GETPIVOTDATA("XCB4",'cubi (2016)'!$A$3,"MA_HT","DTT","MA_QH","CQP")</f>
        <v>0</v>
      </c>
      <c r="T36" s="50">
        <f ca="1">+GETPIVOTDATA("XCB4",'cubi (2016)'!$A$3,"MA_HT","DTT","MA_QH","CAN")</f>
        <v>0</v>
      </c>
      <c r="U36" s="50">
        <f ca="1">+GETPIVOTDATA("XCB4",'cubi (2016)'!$A$3,"MA_HT","DTT","MA_QH","SKK")</f>
        <v>0</v>
      </c>
      <c r="V36" s="50">
        <f ca="1">+GETPIVOTDATA("XCB4",'cubi (2016)'!$A$3,"MA_HT","DTT","MA_QH","SKT")</f>
        <v>0</v>
      </c>
      <c r="W36" s="50">
        <f ca="1">+GETPIVOTDATA("XCB4",'cubi (2016)'!$A$3,"MA_HT","DTT","MA_QH","SKN")</f>
        <v>0</v>
      </c>
      <c r="X36" s="50">
        <f ca="1">+GETPIVOTDATA("XCB4",'cubi (2016)'!$A$3,"MA_HT","DTT","MA_QH","TMD")</f>
        <v>0</v>
      </c>
      <c r="Y36" s="50">
        <f ca="1">+GETPIVOTDATA("XCB4",'cubi (2016)'!$A$3,"MA_HT","DTT","MA_QH","SKC")</f>
        <v>0</v>
      </c>
      <c r="Z36" s="50">
        <f ca="1">+GETPIVOTDATA("XCB4",'cubi (2016)'!$A$3,"MA_HT","DTT","MA_QH","SKS")</f>
        <v>0</v>
      </c>
      <c r="AA36" s="52">
        <f ca="1">+SUM(AB36:AH36,AJ36:AM36)</f>
        <v>0</v>
      </c>
      <c r="AB36" s="50">
        <f ca="1">+GETPIVOTDATA("XCB4",'cubi (2016)'!$A$3,"MA_HT","DTT","MA_QH","DGT")</f>
        <v>0</v>
      </c>
      <c r="AC36" s="50">
        <f ca="1">+GETPIVOTDATA("XCB4",'cubi (2016)'!$A$3,"MA_HT","DTT","MA_QH","DTL")</f>
        <v>0</v>
      </c>
      <c r="AD36" s="50">
        <f ca="1">+GETPIVOTDATA("XCB4",'cubi (2016)'!$A$3,"MA_HT","DTT","MA_QH","DNL")</f>
        <v>0</v>
      </c>
      <c r="AE36" s="50">
        <f ca="1">+GETPIVOTDATA("XCB4",'cubi (2016)'!$A$3,"MA_HT","DTT","MA_QH","DBV")</f>
        <v>0</v>
      </c>
      <c r="AF36" s="50">
        <f ca="1">+GETPIVOTDATA("XCB4",'cubi (2016)'!$A$3,"MA_HT","DTT","MA_QH","DVH")</f>
        <v>0</v>
      </c>
      <c r="AG36" s="50">
        <f ca="1">+GETPIVOTDATA("XCB4",'cubi (2016)'!$A$3,"MA_HT","DTT","MA_QH","DYT")</f>
        <v>0</v>
      </c>
      <c r="AH36" s="50">
        <f ca="1">+GETPIVOTDATA("XCB4",'cubi (2016)'!$A$3,"MA_HT","DTT","MA_QH","DGD")</f>
        <v>0</v>
      </c>
      <c r="AI36" s="49" t="e">
        <f ca="1">$D36-$BF36</f>
        <v>#REF!</v>
      </c>
      <c r="AJ36" s="50">
        <f ca="1">+GETPIVOTDATA("XCB4",'cubi (2016)'!$A$3,"MA_HT","DTT","MA_QH","NCK")</f>
        <v>0</v>
      </c>
      <c r="AK36" s="50">
        <f ca="1">+GETPIVOTDATA("XCB4",'cubi (2016)'!$A$3,"MA_HT","DTT","MA_QH","DXH")</f>
        <v>0</v>
      </c>
      <c r="AL36" s="50">
        <f ca="1">+GETPIVOTDATA("XCB4",'cubi (2016)'!$A$3,"MA_HT","DTT","MA_QH","DCH")</f>
        <v>0</v>
      </c>
      <c r="AM36" s="50">
        <f ca="1">+GETPIVOTDATA("XCB4",'cubi (2016)'!$A$3,"MA_HT","DTT","MA_QH","DKG")</f>
        <v>0</v>
      </c>
      <c r="AN36" s="50">
        <f ca="1">+GETPIVOTDATA("XCB4",'cubi (2016)'!$A$3,"MA_HT","DTT","MA_QH","DDT")</f>
        <v>0</v>
      </c>
      <c r="AO36" s="50">
        <f ca="1">+GETPIVOTDATA("XCB4",'cubi (2016)'!$A$3,"MA_HT","DTT","MA_QH","DDL")</f>
        <v>0</v>
      </c>
      <c r="AP36" s="50">
        <f ca="1">+GETPIVOTDATA("XCB4",'cubi (2016)'!$A$3,"MA_HT","DTT","MA_QH","DRA")</f>
        <v>0</v>
      </c>
      <c r="AQ36" s="50">
        <f ca="1">+GETPIVOTDATA("XCB4",'cubi (2016)'!$A$3,"MA_HT","DTT","MA_QH","ONT")</f>
        <v>0</v>
      </c>
      <c r="AR36" s="50">
        <f ca="1">+GETPIVOTDATA("XCB4",'cubi (2016)'!$A$3,"MA_HT","DTT","MA_QH","ODT")</f>
        <v>0</v>
      </c>
      <c r="AS36" s="50">
        <f ca="1">+GETPIVOTDATA("XCB4",'cubi (2016)'!$A$3,"MA_HT","DTT","MA_QH","TSC")</f>
        <v>0</v>
      </c>
      <c r="AT36" s="50">
        <f ca="1">+GETPIVOTDATA("XCB4",'cubi (2016)'!$A$3,"MA_HT","DTT","MA_QH","DTS")</f>
        <v>0</v>
      </c>
      <c r="AU36" s="50">
        <f ca="1">+GETPIVOTDATA("XCB4",'cubi (2016)'!$A$3,"MA_HT","DTT","MA_QH","DNG")</f>
        <v>0</v>
      </c>
      <c r="AV36" s="50">
        <f ca="1">+GETPIVOTDATA("XCB4",'cubi (2016)'!$A$3,"MA_HT","DTT","MA_QH","TON")</f>
        <v>0</v>
      </c>
      <c r="AW36" s="50">
        <f ca="1">+GETPIVOTDATA("XCB4",'cubi (2016)'!$A$3,"MA_HT","DTT","MA_QH","NTD")</f>
        <v>0</v>
      </c>
      <c r="AX36" s="50">
        <f ca="1">+GETPIVOTDATA("XCB4",'cubi (2016)'!$A$3,"MA_HT","DTT","MA_QH","SKX")</f>
        <v>0</v>
      </c>
      <c r="AY36" s="50">
        <f ca="1">+GETPIVOTDATA("XCB4",'cubi (2016)'!$A$3,"MA_HT","DTT","MA_QH","DSH")</f>
        <v>0</v>
      </c>
      <c r="AZ36" s="50">
        <f ca="1">+GETPIVOTDATA("XCB4",'cubi (2016)'!$A$3,"MA_HT","DTT","MA_QH","DKV")</f>
        <v>0</v>
      </c>
      <c r="BA36" s="88">
        <f ca="1">+GETPIVOTDATA("XCB4",'cubi (2016)'!$A$3,"MA_HT","DTT","MA_QH","TIN")</f>
        <v>0</v>
      </c>
      <c r="BB36" s="50">
        <f ca="1">+GETPIVOTDATA("XCB4",'cubi (2016)'!$A$3,"MA_HT","DTT","MA_QH","SON")</f>
        <v>0</v>
      </c>
      <c r="BC36" s="50">
        <f ca="1">+GETPIVOTDATA("XCB4",'cubi (2016)'!$A$3,"MA_HT","DTT","MA_QH","MNC")</f>
        <v>0</v>
      </c>
      <c r="BD36" s="50">
        <f ca="1">+GETPIVOTDATA("XCB4",'cubi (2016)'!$A$3,"MA_HT","DTT","MA_QH","PNK")</f>
        <v>0</v>
      </c>
      <c r="BE36" s="80">
        <f ca="1">+GETPIVOTDATA("XCB4",'cubi (2016)'!$A$3,"MA_HT","DTT","MA_QH","CSD")</f>
        <v>0</v>
      </c>
      <c r="BF36" s="103">
        <f ca="1" t="shared" si="13"/>
        <v>0</v>
      </c>
      <c r="BG36" s="104">
        <f ca="1">AI$59-$BF36</f>
        <v>0</v>
      </c>
      <c r="BH36" s="47" t="e">
        <f ca="1" t="shared" si="14"/>
        <v>#REF!</v>
      </c>
      <c r="BI36" s="105"/>
      <c r="BJ36" s="105" t="e">
        <f>#REF!</f>
        <v>#REF!</v>
      </c>
      <c r="BK36" s="108" t="e">
        <f ca="1" t="shared" si="19"/>
        <v>#REF!</v>
      </c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</row>
    <row r="37" s="4" customFormat="1" ht="16.5" customHeight="1" spans="1:79">
      <c r="A37" s="45" t="s">
        <v>8392</v>
      </c>
      <c r="B37" s="45" t="s">
        <v>8393</v>
      </c>
      <c r="C37" s="46" t="s">
        <v>8302</v>
      </c>
      <c r="D37" s="47" t="e">
        <f>+#REF!</f>
        <v>#REF!</v>
      </c>
      <c r="E37" s="42">
        <f ca="1" t="shared" si="15"/>
        <v>0</v>
      </c>
      <c r="F37" s="52">
        <f ca="1" t="shared" si="9"/>
        <v>0</v>
      </c>
      <c r="G37" s="50">
        <f ca="1">+GETPIVOTDATA("XCB4",'cubi (2016)'!$A$3,"MA_HT","NCK","MA_QH","LUC")</f>
        <v>0</v>
      </c>
      <c r="H37" s="50">
        <f ca="1">+GETPIVOTDATA("XCB4",'cubi (2016)'!$A$3,"MA_HT","NCK","MA_QH","LUK")</f>
        <v>0</v>
      </c>
      <c r="I37" s="50">
        <f ca="1">+GETPIVOTDATA("XCB4",'cubi (2016)'!$A$3,"MA_HT","NCK","MA_QH","LUN")</f>
        <v>0</v>
      </c>
      <c r="J37" s="50">
        <f ca="1">+GETPIVOTDATA("XCB4",'cubi (2016)'!$A$3,"MA_HT","NCK","MA_QH","HNK")</f>
        <v>0</v>
      </c>
      <c r="K37" s="50">
        <f ca="1">+GETPIVOTDATA("XCB4",'cubi (2016)'!$A$3,"MA_HT","NCK","MA_QH","CLN")</f>
        <v>0</v>
      </c>
      <c r="L37" s="50">
        <f ca="1">+GETPIVOTDATA("XCB4",'cubi (2016)'!$A$3,"MA_HT","NCK","MA_QH","RSX")</f>
        <v>0</v>
      </c>
      <c r="M37" s="50">
        <f ca="1">+GETPIVOTDATA("XCB4",'cubi (2016)'!$A$3,"MA_HT","NCK","MA_QH","RPH")</f>
        <v>0</v>
      </c>
      <c r="N37" s="50">
        <f ca="1">+GETPIVOTDATA("XCB4",'cubi (2016)'!$A$3,"MA_HT","NCK","MA_QH","RDD")</f>
        <v>0</v>
      </c>
      <c r="O37" s="50">
        <f ca="1">+GETPIVOTDATA("XCB4",'cubi (2016)'!$A$3,"MA_HT","NCK","MA_QH","NTS")</f>
        <v>0</v>
      </c>
      <c r="P37" s="50">
        <f ca="1">+GETPIVOTDATA("XCB4",'cubi (2016)'!$A$3,"MA_HT","NCK","MA_QH","LMU")</f>
        <v>0</v>
      </c>
      <c r="Q37" s="50">
        <f ca="1">+GETPIVOTDATA("XCB4",'cubi (2016)'!$A$3,"MA_HT","NCK","MA_QH","NKH")</f>
        <v>0</v>
      </c>
      <c r="R37" s="48">
        <f ca="1" t="shared" si="20"/>
        <v>0</v>
      </c>
      <c r="S37" s="50">
        <f ca="1">+GETPIVOTDATA("XCB4",'cubi (2016)'!$A$3,"MA_HT","NCK","MA_QH","CQP")</f>
        <v>0</v>
      </c>
      <c r="T37" s="50">
        <f ca="1">+GETPIVOTDATA("XCB4",'cubi (2016)'!$A$3,"MA_HT","NCK","MA_QH","CAN")</f>
        <v>0</v>
      </c>
      <c r="U37" s="50">
        <f ca="1">+GETPIVOTDATA("XCB4",'cubi (2016)'!$A$3,"MA_HT","NCK","MA_QH","SKK")</f>
        <v>0</v>
      </c>
      <c r="V37" s="50">
        <f ca="1">+GETPIVOTDATA("XCB4",'cubi (2016)'!$A$3,"MA_HT","NCK","MA_QH","SKT")</f>
        <v>0</v>
      </c>
      <c r="W37" s="50">
        <f ca="1">+GETPIVOTDATA("XCB4",'cubi (2016)'!$A$3,"MA_HT","NCK","MA_QH","SKN")</f>
        <v>0</v>
      </c>
      <c r="X37" s="50">
        <f ca="1">+GETPIVOTDATA("XCB4",'cubi (2016)'!$A$3,"MA_HT","NCK","MA_QH","TMD")</f>
        <v>0</v>
      </c>
      <c r="Y37" s="50">
        <f ca="1">+GETPIVOTDATA("XCB4",'cubi (2016)'!$A$3,"MA_HT","NCK","MA_QH","SKC")</f>
        <v>0</v>
      </c>
      <c r="Z37" s="50">
        <f ca="1">+GETPIVOTDATA("XCB4",'cubi (2016)'!$A$3,"MA_HT","NCK","MA_QH","SKS")</f>
        <v>0</v>
      </c>
      <c r="AA37" s="52">
        <f ca="1">+SUM(AB37:AI37,AK37:AM37)</f>
        <v>0</v>
      </c>
      <c r="AB37" s="50">
        <f ca="1">+GETPIVOTDATA("XCB4",'cubi (2016)'!$A$3,"MA_HT","NCK","MA_QH","DGT")</f>
        <v>0</v>
      </c>
      <c r="AC37" s="50">
        <f ca="1">+GETPIVOTDATA("XCB4",'cubi (2016)'!$A$3,"MA_HT","NCK","MA_QH","DTL")</f>
        <v>0</v>
      </c>
      <c r="AD37" s="50">
        <f ca="1">+GETPIVOTDATA("XCB4",'cubi (2016)'!$A$3,"MA_HT","NCK","MA_QH","DNL")</f>
        <v>0</v>
      </c>
      <c r="AE37" s="50">
        <f ca="1">+GETPIVOTDATA("XCB4",'cubi (2016)'!$A$3,"MA_HT","NCK","MA_QH","DBV")</f>
        <v>0</v>
      </c>
      <c r="AF37" s="50">
        <f ca="1">+GETPIVOTDATA("XCB4",'cubi (2016)'!$A$3,"MA_HT","NCK","MA_QH","DVH")</f>
        <v>0</v>
      </c>
      <c r="AG37" s="50">
        <f ca="1">+GETPIVOTDATA("XCB4",'cubi (2016)'!$A$3,"MA_HT","NCK","MA_QH","DYT")</f>
        <v>0</v>
      </c>
      <c r="AH37" s="50">
        <f ca="1">+GETPIVOTDATA("XCB4",'cubi (2016)'!$A$3,"MA_HT","NCK","MA_QH","DGD")</f>
        <v>0</v>
      </c>
      <c r="AI37" s="50">
        <f ca="1">+GETPIVOTDATA("XCB4",'cubi (2016)'!$A$3,"MA_HT","NCK","MA_QH","DTT")</f>
        <v>0</v>
      </c>
      <c r="AJ37" s="49" t="e">
        <f ca="1">$D37-$BF37</f>
        <v>#REF!</v>
      </c>
      <c r="AK37" s="50">
        <f ca="1">+GETPIVOTDATA("XCB4",'cubi (2016)'!$A$3,"MA_HT","NCK","MA_QH","DXH")</f>
        <v>0</v>
      </c>
      <c r="AL37" s="50">
        <f ca="1">+GETPIVOTDATA("XCB4",'cubi (2016)'!$A$3,"MA_HT","NCK","MA_QH","DCH")</f>
        <v>0</v>
      </c>
      <c r="AM37" s="50">
        <f ca="1">+GETPIVOTDATA("XCB4",'cubi (2016)'!$A$3,"MA_HT","NCK","MA_QH","DKG")</f>
        <v>0</v>
      </c>
      <c r="AN37" s="50">
        <f ca="1">+GETPIVOTDATA("XCB4",'cubi (2016)'!$A$3,"MA_HT","NCK","MA_QH","DDT")</f>
        <v>0</v>
      </c>
      <c r="AO37" s="50">
        <f ca="1">+GETPIVOTDATA("XCB4",'cubi (2016)'!$A$3,"MA_HT","NCK","MA_QH","DDL")</f>
        <v>0</v>
      </c>
      <c r="AP37" s="50">
        <f ca="1">+GETPIVOTDATA("XCB4",'cubi (2016)'!$A$3,"MA_HT","NCK","MA_QH","DRA")</f>
        <v>0</v>
      </c>
      <c r="AQ37" s="50">
        <f ca="1">+GETPIVOTDATA("XCB4",'cubi (2016)'!$A$3,"MA_HT","NCK","MA_QH","ONT")</f>
        <v>0</v>
      </c>
      <c r="AR37" s="50">
        <f ca="1">+GETPIVOTDATA("XCB4",'cubi (2016)'!$A$3,"MA_HT","NCK","MA_QH","ODT")</f>
        <v>0</v>
      </c>
      <c r="AS37" s="50">
        <f ca="1">+GETPIVOTDATA("XCB4",'cubi (2016)'!$A$3,"MA_HT","NCK","MA_QH","TSC")</f>
        <v>0</v>
      </c>
      <c r="AT37" s="50">
        <f ca="1">+GETPIVOTDATA("XCB4",'cubi (2016)'!$A$3,"MA_HT","NCK","MA_QH","DTS")</f>
        <v>0</v>
      </c>
      <c r="AU37" s="50">
        <f ca="1">+GETPIVOTDATA("XCB4",'cubi (2016)'!$A$3,"MA_HT","NCK","MA_QH","DNG")</f>
        <v>0</v>
      </c>
      <c r="AV37" s="50">
        <f ca="1">+GETPIVOTDATA("XCB4",'cubi (2016)'!$A$3,"MA_HT","NCK","MA_QH","TON")</f>
        <v>0</v>
      </c>
      <c r="AW37" s="50">
        <f ca="1">+GETPIVOTDATA("XCB4",'cubi (2016)'!$A$3,"MA_HT","NCK","MA_QH","NTD")</f>
        <v>0</v>
      </c>
      <c r="AX37" s="50">
        <f ca="1">+GETPIVOTDATA("XCB4",'cubi (2016)'!$A$3,"MA_HT","NCK","MA_QH","SKX")</f>
        <v>0</v>
      </c>
      <c r="AY37" s="50">
        <f ca="1">+GETPIVOTDATA("XCB4",'cubi (2016)'!$A$3,"MA_HT","NCK","MA_QH","DSH")</f>
        <v>0</v>
      </c>
      <c r="AZ37" s="50">
        <f ca="1">+GETPIVOTDATA("XCB4",'cubi (2016)'!$A$3,"MA_HT","NCK","MA_QH","DKV")</f>
        <v>0</v>
      </c>
      <c r="BA37" s="88">
        <f ca="1">+GETPIVOTDATA("XCB4",'cubi (2016)'!$A$3,"MA_HT","NCK","MA_QH","TIN")</f>
        <v>0</v>
      </c>
      <c r="BB37" s="50">
        <f ca="1">+GETPIVOTDATA("XCB4",'cubi (2016)'!$A$3,"MA_HT","NCK","MA_QH","SON")</f>
        <v>0</v>
      </c>
      <c r="BC37" s="50">
        <f ca="1">+GETPIVOTDATA("XCB4",'cubi (2016)'!$A$3,"MA_HT","NCK","MA_QH","MNC")</f>
        <v>0</v>
      </c>
      <c r="BD37" s="50">
        <f ca="1">+GETPIVOTDATA("XCB4",'cubi (2016)'!$A$3,"MA_HT","NCK","MA_QH","PNK")</f>
        <v>0</v>
      </c>
      <c r="BE37" s="80">
        <f ca="1">+GETPIVOTDATA("XCB4",'cubi (2016)'!$A$3,"MA_HT","NCK","MA_QH","CSD")</f>
        <v>0</v>
      </c>
      <c r="BF37" s="103">
        <f ca="1" t="shared" si="13"/>
        <v>0</v>
      </c>
      <c r="BG37" s="104">
        <f ca="1">AJ$59-$BF37</f>
        <v>0</v>
      </c>
      <c r="BH37" s="47" t="e">
        <f ca="1" t="shared" si="14"/>
        <v>#REF!</v>
      </c>
      <c r="BI37" s="105"/>
      <c r="BJ37" s="105" t="e">
        <f>#REF!</f>
        <v>#REF!</v>
      </c>
      <c r="BK37" s="108" t="e">
        <f ca="1" t="shared" si="19"/>
        <v>#REF!</v>
      </c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</row>
    <row r="38" s="4" customFormat="1" ht="16.5" customHeight="1" spans="1:79">
      <c r="A38" s="45" t="s">
        <v>8394</v>
      </c>
      <c r="B38" s="45" t="s">
        <v>8395</v>
      </c>
      <c r="C38" s="46" t="s">
        <v>8295</v>
      </c>
      <c r="D38" s="47" t="e">
        <f>+#REF!</f>
        <v>#REF!</v>
      </c>
      <c r="E38" s="42">
        <f ca="1" t="shared" si="15"/>
        <v>0</v>
      </c>
      <c r="F38" s="52">
        <f ca="1" t="shared" si="9"/>
        <v>0</v>
      </c>
      <c r="G38" s="50">
        <f ca="1">+GETPIVOTDATA("XCB4",'cubi (2016)'!$A$3,"MA_HT","DXH","MA_QH","LUC")</f>
        <v>0</v>
      </c>
      <c r="H38" s="50">
        <f ca="1">+GETPIVOTDATA("XCB4",'cubi (2016)'!$A$3,"MA_HT","DXH","MA_QH","LUK")</f>
        <v>0</v>
      </c>
      <c r="I38" s="50">
        <f ca="1">+GETPIVOTDATA("XCB4",'cubi (2016)'!$A$3,"MA_HT","DXH","MA_QH","LUN")</f>
        <v>0</v>
      </c>
      <c r="J38" s="50">
        <f ca="1">+GETPIVOTDATA("XCB4",'cubi (2016)'!$A$3,"MA_HT","DXH","MA_QH","HNK")</f>
        <v>0</v>
      </c>
      <c r="K38" s="50">
        <f ca="1">+GETPIVOTDATA("XCB4",'cubi (2016)'!$A$3,"MA_HT","DXH","MA_QH","CLN")</f>
        <v>0</v>
      </c>
      <c r="L38" s="50">
        <f ca="1">+GETPIVOTDATA("XCB4",'cubi (2016)'!$A$3,"MA_HT","DXH","MA_QH","RSX")</f>
        <v>0</v>
      </c>
      <c r="M38" s="50">
        <f ca="1">+GETPIVOTDATA("XCB4",'cubi (2016)'!$A$3,"MA_HT","DXH","MA_QH","RPH")</f>
        <v>0</v>
      </c>
      <c r="N38" s="50">
        <f ca="1">+GETPIVOTDATA("XCB4",'cubi (2016)'!$A$3,"MA_HT","DXH","MA_QH","RDD")</f>
        <v>0</v>
      </c>
      <c r="O38" s="50">
        <f ca="1">+GETPIVOTDATA("XCB4",'cubi (2016)'!$A$3,"MA_HT","DXH","MA_QH","NTS")</f>
        <v>0</v>
      </c>
      <c r="P38" s="50">
        <f ca="1">+GETPIVOTDATA("XCB4",'cubi (2016)'!$A$3,"MA_HT","DXH","MA_QH","LMU")</f>
        <v>0</v>
      </c>
      <c r="Q38" s="50">
        <f ca="1">+GETPIVOTDATA("XCB4",'cubi (2016)'!$A$3,"MA_HT","DXH","MA_QH","NKH")</f>
        <v>0</v>
      </c>
      <c r="R38" s="48">
        <f ca="1" t="shared" si="20"/>
        <v>0</v>
      </c>
      <c r="S38" s="50">
        <f ca="1">+GETPIVOTDATA("XCB4",'cubi (2016)'!$A$3,"MA_HT","DXH","MA_QH","CQP")</f>
        <v>0</v>
      </c>
      <c r="T38" s="50">
        <f ca="1">+GETPIVOTDATA("XCB4",'cubi (2016)'!$A$3,"MA_HT","DXH","MA_QH","CAN")</f>
        <v>0</v>
      </c>
      <c r="U38" s="50">
        <f ca="1">+GETPIVOTDATA("XCB4",'cubi (2016)'!$A$3,"MA_HT","DXH","MA_QH","SKK")</f>
        <v>0</v>
      </c>
      <c r="V38" s="50">
        <f ca="1">+GETPIVOTDATA("XCB4",'cubi (2016)'!$A$3,"MA_HT","DXH","MA_QH","SKT")</f>
        <v>0</v>
      </c>
      <c r="W38" s="50">
        <f ca="1">+GETPIVOTDATA("XCB4",'cubi (2016)'!$A$3,"MA_HT","DXH","MA_QH","SKN")</f>
        <v>0</v>
      </c>
      <c r="X38" s="50">
        <f ca="1">+GETPIVOTDATA("XCB4",'cubi (2016)'!$A$3,"MA_HT","DXH","MA_QH","TMD")</f>
        <v>0</v>
      </c>
      <c r="Y38" s="50">
        <f ca="1">+GETPIVOTDATA("XCB4",'cubi (2016)'!$A$3,"MA_HT","DXH","MA_QH","SKC")</f>
        <v>0</v>
      </c>
      <c r="Z38" s="50">
        <f ca="1">+GETPIVOTDATA("XCB4",'cubi (2016)'!$A$3,"MA_HT","DXH","MA_QH","SKS")</f>
        <v>0</v>
      </c>
      <c r="AA38" s="52">
        <f ca="1">+SUM(AB38:AJ38,AL38:AM38)</f>
        <v>0</v>
      </c>
      <c r="AB38" s="50">
        <f ca="1">+GETPIVOTDATA("XCB4",'cubi (2016)'!$A$3,"MA_HT","DXH","MA_QH","DGT")</f>
        <v>0</v>
      </c>
      <c r="AC38" s="50">
        <f ca="1">+GETPIVOTDATA("XCB4",'cubi (2016)'!$A$3,"MA_HT","DXH","MA_QH","DTL")</f>
        <v>0</v>
      </c>
      <c r="AD38" s="50">
        <f ca="1">+GETPIVOTDATA("XCB4",'cubi (2016)'!$A$3,"MA_HT","DXH","MA_QH","DNL")</f>
        <v>0</v>
      </c>
      <c r="AE38" s="50">
        <f ca="1">+GETPIVOTDATA("XCB4",'cubi (2016)'!$A$3,"MA_HT","DXH","MA_QH","DBV")</f>
        <v>0</v>
      </c>
      <c r="AF38" s="50">
        <f ca="1">+GETPIVOTDATA("XCB4",'cubi (2016)'!$A$3,"MA_HT","DXH","MA_QH","DVH")</f>
        <v>0</v>
      </c>
      <c r="AG38" s="50">
        <f ca="1">+GETPIVOTDATA("XCB4",'cubi (2016)'!$A$3,"MA_HT","DXH","MA_QH","DYT")</f>
        <v>0</v>
      </c>
      <c r="AH38" s="50">
        <f ca="1">+GETPIVOTDATA("XCB4",'cubi (2016)'!$A$3,"MA_HT","DXH","MA_QH","DGD")</f>
        <v>0</v>
      </c>
      <c r="AI38" s="50">
        <f ca="1">+GETPIVOTDATA("XCB4",'cubi (2016)'!$A$3,"MA_HT","DXH","MA_QH","DTT")</f>
        <v>0</v>
      </c>
      <c r="AJ38" s="50">
        <f ca="1">+GETPIVOTDATA("XCB4",'cubi (2016)'!$A$3,"MA_HT","DXH","MA_QH","NCK")</f>
        <v>0</v>
      </c>
      <c r="AK38" s="49" t="e">
        <f ca="1">$D38-$BF38</f>
        <v>#REF!</v>
      </c>
      <c r="AL38" s="50">
        <f ca="1">+GETPIVOTDATA("XCB4",'cubi (2016)'!$A$3,"MA_HT","DXH","MA_QH","DCH")</f>
        <v>0</v>
      </c>
      <c r="AM38" s="50">
        <f ca="1">+GETPIVOTDATA("XCB4",'cubi (2016)'!$A$3,"MA_HT","DXH","MA_QH","DKG")</f>
        <v>0</v>
      </c>
      <c r="AN38" s="50">
        <f ca="1">+GETPIVOTDATA("XCB4",'cubi (2016)'!$A$3,"MA_HT","DXH","MA_QH","DDT")</f>
        <v>0</v>
      </c>
      <c r="AO38" s="50">
        <f ca="1">+GETPIVOTDATA("XCB4",'cubi (2016)'!$A$3,"MA_HT","DXH","MA_QH","DDL")</f>
        <v>0</v>
      </c>
      <c r="AP38" s="50">
        <f ca="1">+GETPIVOTDATA("XCB4",'cubi (2016)'!$A$3,"MA_HT","DXH","MA_QH","DRA")</f>
        <v>0</v>
      </c>
      <c r="AQ38" s="50">
        <f ca="1">+GETPIVOTDATA("XCB4",'cubi (2016)'!$A$3,"MA_HT","DXH","MA_QH","ONT")</f>
        <v>0</v>
      </c>
      <c r="AR38" s="50">
        <f ca="1">+GETPIVOTDATA("XCB4",'cubi (2016)'!$A$3,"MA_HT","DXH","MA_QH","ODT")</f>
        <v>0</v>
      </c>
      <c r="AS38" s="50">
        <f ca="1">+GETPIVOTDATA("XCB4",'cubi (2016)'!$A$3,"MA_HT","DXH","MA_QH","TSC")</f>
        <v>0</v>
      </c>
      <c r="AT38" s="50">
        <f ca="1">+GETPIVOTDATA("XCB4",'cubi (2016)'!$A$3,"MA_HT","DXH","MA_QH","DTS")</f>
        <v>0</v>
      </c>
      <c r="AU38" s="50">
        <f ca="1">+GETPIVOTDATA("XCB4",'cubi (2016)'!$A$3,"MA_HT","DXH","MA_QH","DNG")</f>
        <v>0</v>
      </c>
      <c r="AV38" s="50">
        <f ca="1">+GETPIVOTDATA("XCB4",'cubi (2016)'!$A$3,"MA_HT","DXH","MA_QH","TON")</f>
        <v>0</v>
      </c>
      <c r="AW38" s="50">
        <f ca="1">+GETPIVOTDATA("XCB4",'cubi (2016)'!$A$3,"MA_HT","DXH","MA_QH","NTD")</f>
        <v>0</v>
      </c>
      <c r="AX38" s="50">
        <f ca="1">+GETPIVOTDATA("XCB4",'cubi (2016)'!$A$3,"MA_HT","DXH","MA_QH","SKX")</f>
        <v>0</v>
      </c>
      <c r="AY38" s="50">
        <f ca="1">+GETPIVOTDATA("XCB4",'cubi (2016)'!$A$3,"MA_HT","DXH","MA_QH","DSH")</f>
        <v>0</v>
      </c>
      <c r="AZ38" s="50">
        <f ca="1">+GETPIVOTDATA("XCB4",'cubi (2016)'!$A$3,"MA_HT","DXH","MA_QH","DKV")</f>
        <v>0</v>
      </c>
      <c r="BA38" s="88">
        <f ca="1">+GETPIVOTDATA("XCB4",'cubi (2016)'!$A$3,"MA_HT","DXH","MA_QH","TIN")</f>
        <v>0</v>
      </c>
      <c r="BB38" s="50">
        <f ca="1">+GETPIVOTDATA("XCB4",'cubi (2016)'!$A$3,"MA_HT","DXH","MA_QH","SON")</f>
        <v>0</v>
      </c>
      <c r="BC38" s="50">
        <f ca="1">+GETPIVOTDATA("XCB4",'cubi (2016)'!$A$3,"MA_HT","DXH","MA_QH","MNC")</f>
        <v>0</v>
      </c>
      <c r="BD38" s="50">
        <f ca="1">+GETPIVOTDATA("XCB4",'cubi (2016)'!$A$3,"MA_HT","DXH","MA_QH","PNK")</f>
        <v>0</v>
      </c>
      <c r="BE38" s="80">
        <f ca="1">+GETPIVOTDATA("XCB4",'cubi (2016)'!$A$3,"MA_HT","DXH","MA_QH","CSD")</f>
        <v>0</v>
      </c>
      <c r="BF38" s="103">
        <f ca="1" t="shared" si="13"/>
        <v>0</v>
      </c>
      <c r="BG38" s="104">
        <f ca="1">AK$59-$BF38</f>
        <v>0</v>
      </c>
      <c r="BH38" s="47" t="e">
        <f ca="1" t="shared" si="14"/>
        <v>#REF!</v>
      </c>
      <c r="BI38" s="105"/>
      <c r="BJ38" s="105" t="e">
        <f>#REF!</f>
        <v>#REF!</v>
      </c>
      <c r="BK38" s="108" t="e">
        <f ca="1" t="shared" si="19"/>
        <v>#REF!</v>
      </c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</row>
    <row r="39" s="5" customFormat="1" ht="16.5" customHeight="1" spans="1:79">
      <c r="A39" s="45" t="s">
        <v>8396</v>
      </c>
      <c r="B39" s="45" t="s">
        <v>8397</v>
      </c>
      <c r="C39" s="46" t="s">
        <v>178</v>
      </c>
      <c r="D39" s="47" t="e">
        <f>+#REF!</f>
        <v>#REF!</v>
      </c>
      <c r="E39" s="42">
        <f ca="1" t="shared" si="15"/>
        <v>0</v>
      </c>
      <c r="F39" s="52">
        <f ca="1" t="shared" si="9"/>
        <v>0</v>
      </c>
      <c r="G39" s="50">
        <f ca="1">+GETPIVOTDATA("XCB4",'cubi (2016)'!$A$3,"MA_HT","DCH","MA_QH","LUC")</f>
        <v>0</v>
      </c>
      <c r="H39" s="50">
        <f ca="1">+GETPIVOTDATA("XCB4",'cubi (2016)'!$A$3,"MA_HT","DCH","MA_QH","LUK")</f>
        <v>0</v>
      </c>
      <c r="I39" s="50">
        <f ca="1">+GETPIVOTDATA("XCB4",'cubi (2016)'!$A$3,"MA_HT","DCH","MA_QH","LUN")</f>
        <v>0</v>
      </c>
      <c r="J39" s="50">
        <f ca="1">+GETPIVOTDATA("XCB4",'cubi (2016)'!$A$3,"MA_HT","DCH","MA_QH","HNK")</f>
        <v>0</v>
      </c>
      <c r="K39" s="50">
        <f ca="1">+GETPIVOTDATA("XCB4",'cubi (2016)'!$A$3,"MA_HT","DCH","MA_QH","CLN")</f>
        <v>0</v>
      </c>
      <c r="L39" s="50">
        <f ca="1">+GETPIVOTDATA("XCB4",'cubi (2016)'!$A$3,"MA_HT","DCH","MA_QH","RSX")</f>
        <v>0</v>
      </c>
      <c r="M39" s="50">
        <f ca="1">+GETPIVOTDATA("XCB4",'cubi (2016)'!$A$3,"MA_HT","DCH","MA_QH","RPH")</f>
        <v>0</v>
      </c>
      <c r="N39" s="50">
        <f ca="1">+GETPIVOTDATA("XCB4",'cubi (2016)'!$A$3,"MA_HT","DCH","MA_QH","RDD")</f>
        <v>0</v>
      </c>
      <c r="O39" s="50">
        <f ca="1">+GETPIVOTDATA("XCB4",'cubi (2016)'!$A$3,"MA_HT","DCH","MA_QH","NTS")</f>
        <v>0</v>
      </c>
      <c r="P39" s="50">
        <f ca="1">+GETPIVOTDATA("XCB4",'cubi (2016)'!$A$3,"MA_HT","DCH","MA_QH","LMU")</f>
        <v>0</v>
      </c>
      <c r="Q39" s="50">
        <f ca="1">+GETPIVOTDATA("XCB4",'cubi (2016)'!$A$3,"MA_HT","DCH","MA_QH","NKH")</f>
        <v>0</v>
      </c>
      <c r="R39" s="48">
        <f ca="1" t="shared" si="20"/>
        <v>0</v>
      </c>
      <c r="S39" s="50">
        <f ca="1">+GETPIVOTDATA("XCB4",'cubi (2016)'!$A$3,"MA_HT","DCH","MA_QH","CQP")</f>
        <v>0</v>
      </c>
      <c r="T39" s="50">
        <f ca="1">+GETPIVOTDATA("XCB4",'cubi (2016)'!$A$3,"MA_HT","DCH","MA_QH","CAN")</f>
        <v>0</v>
      </c>
      <c r="U39" s="50">
        <f ca="1">+GETPIVOTDATA("XCB4",'cubi (2016)'!$A$3,"MA_HT","DCH","MA_QH","SKK")</f>
        <v>0</v>
      </c>
      <c r="V39" s="50">
        <f ca="1">+GETPIVOTDATA("XCB4",'cubi (2016)'!$A$3,"MA_HT","DCH","MA_QH","SKT")</f>
        <v>0</v>
      </c>
      <c r="W39" s="50">
        <f ca="1">+GETPIVOTDATA("XCB4",'cubi (2016)'!$A$3,"MA_HT","DCH","MA_QH","SKN")</f>
        <v>0</v>
      </c>
      <c r="X39" s="50">
        <f ca="1">+GETPIVOTDATA("XCB4",'cubi (2016)'!$A$3,"MA_HT","DCH","MA_QH","TMD")</f>
        <v>0</v>
      </c>
      <c r="Y39" s="50">
        <f ca="1">+GETPIVOTDATA("XCB4",'cubi (2016)'!$A$3,"MA_HT","DCH","MA_QH","SKC")</f>
        <v>0</v>
      </c>
      <c r="Z39" s="50">
        <f ca="1">+GETPIVOTDATA("XCB4",'cubi (2016)'!$A$3,"MA_HT","DCH","MA_QH","SKS")</f>
        <v>0</v>
      </c>
      <c r="AA39" s="52">
        <f ca="1">+SUM(AB39:AK39,AM39)</f>
        <v>0</v>
      </c>
      <c r="AB39" s="50">
        <f ca="1">+GETPIVOTDATA("XCB4",'cubi (2016)'!$A$3,"MA_HT","DCH","MA_QH","DGT")</f>
        <v>0</v>
      </c>
      <c r="AC39" s="50">
        <f ca="1">+GETPIVOTDATA("XCB4",'cubi (2016)'!$A$3,"MA_HT","DCH","MA_QH","DTL")</f>
        <v>0</v>
      </c>
      <c r="AD39" s="50">
        <f ca="1">+GETPIVOTDATA("XCB4",'cubi (2016)'!$A$3,"MA_HT","DCH","MA_QH","DNL")</f>
        <v>0</v>
      </c>
      <c r="AE39" s="50">
        <f ca="1">+GETPIVOTDATA("XCB4",'cubi (2016)'!$A$3,"MA_HT","DCH","MA_QH","DBV")</f>
        <v>0</v>
      </c>
      <c r="AF39" s="50">
        <f ca="1">+GETPIVOTDATA("XCB4",'cubi (2016)'!$A$3,"MA_HT","DCH","MA_QH","DVH")</f>
        <v>0</v>
      </c>
      <c r="AG39" s="50">
        <f ca="1">+GETPIVOTDATA("XCB4",'cubi (2016)'!$A$3,"MA_HT","DCH","MA_QH","DYT")</f>
        <v>0</v>
      </c>
      <c r="AH39" s="50">
        <f ca="1">+GETPIVOTDATA("XCB4",'cubi (2016)'!$A$3,"MA_HT","DCH","MA_QH","DGD")</f>
        <v>0</v>
      </c>
      <c r="AI39" s="50">
        <f ca="1">+GETPIVOTDATA("XCB4",'cubi (2016)'!$A$3,"MA_HT","DCH","MA_QH","DTT")</f>
        <v>0</v>
      </c>
      <c r="AJ39" s="50">
        <f ca="1">+GETPIVOTDATA("XCB4",'cubi (2016)'!$A$3,"MA_HT","DCH","MA_QH","NCK")</f>
        <v>0</v>
      </c>
      <c r="AK39" s="50">
        <f ca="1">+GETPIVOTDATA("XCB4",'cubi (2016)'!$A$3,"MA_HT","DCH","MA_QH","DXH")</f>
        <v>0</v>
      </c>
      <c r="AL39" s="49" t="e">
        <f ca="1">$D39-$BF39</f>
        <v>#REF!</v>
      </c>
      <c r="AM39" s="50">
        <f ca="1">+GETPIVOTDATA("XCB4",'cubi (2016)'!$A$3,"MA_HT","DXH","MA_QH","DKG")</f>
        <v>0</v>
      </c>
      <c r="AN39" s="50">
        <f ca="1">+GETPIVOTDATA("XCB4",'cubi (2016)'!$A$3,"MA_HT","DCH","MA_QH","DDT")</f>
        <v>0</v>
      </c>
      <c r="AO39" s="50">
        <f ca="1">+GETPIVOTDATA("XCB4",'cubi (2016)'!$A$3,"MA_HT","DCH","MA_QH","DDL")</f>
        <v>0</v>
      </c>
      <c r="AP39" s="50">
        <f ca="1">+GETPIVOTDATA("XCB4",'cubi (2016)'!$A$3,"MA_HT","DCH","MA_QH","DRA")</f>
        <v>0</v>
      </c>
      <c r="AQ39" s="50">
        <f ca="1">+GETPIVOTDATA("XCB4",'cubi (2016)'!$A$3,"MA_HT","DCH","MA_QH","ONT")</f>
        <v>0</v>
      </c>
      <c r="AR39" s="50">
        <f ca="1">+GETPIVOTDATA("XCB4",'cubi (2016)'!$A$3,"MA_HT","DCH","MA_QH","ODT")</f>
        <v>0</v>
      </c>
      <c r="AS39" s="50">
        <f ca="1">+GETPIVOTDATA("XCB4",'cubi (2016)'!$A$3,"MA_HT","DCH","MA_QH","TSC")</f>
        <v>0</v>
      </c>
      <c r="AT39" s="50">
        <f ca="1">+GETPIVOTDATA("XCB4",'cubi (2016)'!$A$3,"MA_HT","DCH","MA_QH","DTS")</f>
        <v>0</v>
      </c>
      <c r="AU39" s="50">
        <f ca="1">+GETPIVOTDATA("XCB4",'cubi (2016)'!$A$3,"MA_HT","DCH","MA_QH","DNG")</f>
        <v>0</v>
      </c>
      <c r="AV39" s="50">
        <f ca="1">+GETPIVOTDATA("XCB4",'cubi (2016)'!$A$3,"MA_HT","DCH","MA_QH","TON")</f>
        <v>0</v>
      </c>
      <c r="AW39" s="50">
        <f ca="1">+GETPIVOTDATA("XCB4",'cubi (2016)'!$A$3,"MA_HT","DCH","MA_QH","NTD")</f>
        <v>0</v>
      </c>
      <c r="AX39" s="50">
        <f ca="1">+GETPIVOTDATA("XCB4",'cubi (2016)'!$A$3,"MA_HT","DCH","MA_QH","SKX")</f>
        <v>0</v>
      </c>
      <c r="AY39" s="50">
        <f ca="1">+GETPIVOTDATA("XCB4",'cubi (2016)'!$A$3,"MA_HT","DCH","MA_QH","DSH")</f>
        <v>0</v>
      </c>
      <c r="AZ39" s="50">
        <f ca="1">+GETPIVOTDATA("XCB4",'cubi (2016)'!$A$3,"MA_HT","DCH","MA_QH","DKV")</f>
        <v>0</v>
      </c>
      <c r="BA39" s="88">
        <f ca="1">+GETPIVOTDATA("XCB4",'cubi (2016)'!$A$3,"MA_HT","DCH","MA_QH","TIN")</f>
        <v>0</v>
      </c>
      <c r="BB39" s="50">
        <f ca="1">+GETPIVOTDATA("XCB4",'cubi (2016)'!$A$3,"MA_HT","DCH","MA_QH","SON")</f>
        <v>0</v>
      </c>
      <c r="BC39" s="50">
        <f ca="1">+GETPIVOTDATA("XCB4",'cubi (2016)'!$A$3,"MA_HT","DCH","MA_QH","MNC")</f>
        <v>0</v>
      </c>
      <c r="BD39" s="50">
        <f ca="1">+GETPIVOTDATA("XCB4",'cubi (2016)'!$A$3,"MA_HT","DCH","MA_QH","PNK")</f>
        <v>0</v>
      </c>
      <c r="BE39" s="80">
        <f ca="1">+GETPIVOTDATA("XCB4",'cubi (2016)'!$A$3,"MA_HT","DCH","MA_QH","CSD")</f>
        <v>0</v>
      </c>
      <c r="BF39" s="103">
        <f ca="1" t="shared" si="13"/>
        <v>0</v>
      </c>
      <c r="BG39" s="104">
        <f ca="1">AL$59-$BF39</f>
        <v>0</v>
      </c>
      <c r="BH39" s="47" t="e">
        <f ca="1" t="shared" si="14"/>
        <v>#REF!</v>
      </c>
      <c r="BI39" s="109"/>
      <c r="BJ39" s="109" t="e">
        <f>#REF!</f>
        <v>#REF!</v>
      </c>
      <c r="BK39" s="110" t="e">
        <f ca="1" t="shared" si="19"/>
        <v>#REF!</v>
      </c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</row>
    <row r="40" s="5" customFormat="1" ht="16.5" customHeight="1" spans="1:79">
      <c r="A40" s="45" t="s">
        <v>8398</v>
      </c>
      <c r="B40" s="45" t="s">
        <v>8399</v>
      </c>
      <c r="C40" s="46" t="s">
        <v>8312</v>
      </c>
      <c r="D40" s="47" t="e">
        <f>+#REF!</f>
        <v>#REF!</v>
      </c>
      <c r="E40" s="42">
        <f ca="1" t="shared" si="15"/>
        <v>0</v>
      </c>
      <c r="F40" s="52">
        <f ca="1" t="shared" si="9"/>
        <v>0</v>
      </c>
      <c r="G40" s="50">
        <f ca="1">+GETPIVOTDATA("XCB4",'cubi (2016)'!$A$3,"MA_HT","DKG","MA_QH","LUC")</f>
        <v>0</v>
      </c>
      <c r="H40" s="50">
        <f ca="1">+GETPIVOTDATA("XCB4",'cubi (2016)'!$A$3,"MA_HT","DKG","MA_QH","LUK")</f>
        <v>0</v>
      </c>
      <c r="I40" s="50">
        <f ca="1">+GETPIVOTDATA("XCB4",'cubi (2016)'!$A$3,"MA_HT","DKG","MA_QH","LUN")</f>
        <v>0</v>
      </c>
      <c r="J40" s="50">
        <f ca="1">+GETPIVOTDATA("XCB4",'cubi (2016)'!$A$3,"MA_HT","DKG","MA_QH","HNK")</f>
        <v>0</v>
      </c>
      <c r="K40" s="50">
        <f ca="1">+GETPIVOTDATA("XCB4",'cubi (2016)'!$A$3,"MA_HT","DKG","MA_QH","CLN")</f>
        <v>0</v>
      </c>
      <c r="L40" s="50">
        <f ca="1">+GETPIVOTDATA("XCB4",'cubi (2016)'!$A$3,"MA_HT","DKG","MA_QH","RSX")</f>
        <v>0</v>
      </c>
      <c r="M40" s="50">
        <f ca="1">+GETPIVOTDATA("XCB4",'cubi (2016)'!$A$3,"MA_HT","DKG","MA_QH","RPH")</f>
        <v>0</v>
      </c>
      <c r="N40" s="50">
        <f ca="1">+GETPIVOTDATA("XCB4",'cubi (2016)'!$A$3,"MA_HT","DKG","MA_QH","RDD")</f>
        <v>0</v>
      </c>
      <c r="O40" s="50">
        <f ca="1">+GETPIVOTDATA("XCB4",'cubi (2016)'!$A$3,"MA_HT","DKG","MA_QH","NTS")</f>
        <v>0</v>
      </c>
      <c r="P40" s="50">
        <f ca="1">+GETPIVOTDATA("XCB4",'cubi (2016)'!$A$3,"MA_HT","DKG","MA_QH","LMU")</f>
        <v>0</v>
      </c>
      <c r="Q40" s="50">
        <f ca="1">+GETPIVOTDATA("XCB4",'cubi (2016)'!$A$3,"MA_HT","DKG","MA_QH","NKH")</f>
        <v>0</v>
      </c>
      <c r="R40" s="48">
        <f ca="1" t="shared" si="20"/>
        <v>0</v>
      </c>
      <c r="S40" s="50">
        <f ca="1">+GETPIVOTDATA("XCB4",'cubi (2016)'!$A$3,"MA_HT","DKG","MA_QH","CQP")</f>
        <v>0</v>
      </c>
      <c r="T40" s="50">
        <f ca="1">+GETPIVOTDATA("XCB4",'cubi (2016)'!$A$3,"MA_HT","DKG","MA_QH","CAN")</f>
        <v>0</v>
      </c>
      <c r="U40" s="50">
        <f ca="1">+GETPIVOTDATA("XCB4",'cubi (2016)'!$A$3,"MA_HT","DKG","MA_QH","SKK")</f>
        <v>0</v>
      </c>
      <c r="V40" s="50">
        <f ca="1">+GETPIVOTDATA("XCB4",'cubi (2016)'!$A$3,"MA_HT","DKG","MA_QH","SKT")</f>
        <v>0</v>
      </c>
      <c r="W40" s="50">
        <f ca="1">+GETPIVOTDATA("XCB4",'cubi (2016)'!$A$3,"MA_HT","DKG","MA_QH","SKN")</f>
        <v>0</v>
      </c>
      <c r="X40" s="50">
        <f ca="1">+GETPIVOTDATA("XCB4",'cubi (2016)'!$A$3,"MA_HT","DKG","MA_QH","TMD")</f>
        <v>0</v>
      </c>
      <c r="Y40" s="50">
        <f ca="1">+GETPIVOTDATA("XCB4",'cubi (2016)'!$A$3,"MA_HT","DKG","MA_QH","SKC")</f>
        <v>0</v>
      </c>
      <c r="Z40" s="50">
        <f ca="1">+GETPIVOTDATA("XCB4",'cubi (2016)'!$A$3,"MA_HT","DKG","MA_QH","SKS")</f>
        <v>0</v>
      </c>
      <c r="AA40" s="52">
        <f ca="1">+SUM(AB40:AL40)</f>
        <v>0</v>
      </c>
      <c r="AB40" s="50">
        <f ca="1">+GETPIVOTDATA("XCB4",'cubi (2016)'!$A$3,"MA_HT","DKG","MA_QH","DGT")</f>
        <v>0</v>
      </c>
      <c r="AC40" s="50">
        <f ca="1">+GETPIVOTDATA("XCB4",'cubi (2016)'!$A$3,"MA_HT","DKG","MA_QH","DTL")</f>
        <v>0</v>
      </c>
      <c r="AD40" s="50">
        <f ca="1">+GETPIVOTDATA("XCB4",'cubi (2016)'!$A$3,"MA_HT","DKG","MA_QH","DNL")</f>
        <v>0</v>
      </c>
      <c r="AE40" s="50">
        <f ca="1">+GETPIVOTDATA("XCB4",'cubi (2016)'!$A$3,"MA_HT","DKG","MA_QH","DBV")</f>
        <v>0</v>
      </c>
      <c r="AF40" s="50">
        <f ca="1">+GETPIVOTDATA("XCB4",'cubi (2016)'!$A$3,"MA_HT","DKG","MA_QH","DVH")</f>
        <v>0</v>
      </c>
      <c r="AG40" s="50">
        <f ca="1">+GETPIVOTDATA("XCB4",'cubi (2016)'!$A$3,"MA_HT","DKG","MA_QH","DYT")</f>
        <v>0</v>
      </c>
      <c r="AH40" s="50">
        <f ca="1">+GETPIVOTDATA("XCB4",'cubi (2016)'!$A$3,"MA_HT","DKG","MA_QH","DGD")</f>
        <v>0</v>
      </c>
      <c r="AI40" s="50">
        <f ca="1">+GETPIVOTDATA("XCB4",'cubi (2016)'!$A$3,"MA_HT","DKG","MA_QH","DTT")</f>
        <v>0</v>
      </c>
      <c r="AJ40" s="50">
        <f ca="1">+GETPIVOTDATA("XCB4",'cubi (2016)'!$A$3,"MA_HT","DKG","MA_QH","NCK")</f>
        <v>0</v>
      </c>
      <c r="AK40" s="50">
        <f ca="1">+GETPIVOTDATA("XCB4",'cubi (2016)'!$A$3,"MA_HT","DKG","MA_QH","DXH")</f>
        <v>0</v>
      </c>
      <c r="AL40" s="60">
        <f ca="1">+GETPIVOTDATA("XCB4",'cubi (2016)'!$A$3,"MA_HT","DDT","MA_QH","DKG")</f>
        <v>0</v>
      </c>
      <c r="AM40" s="49" t="e">
        <f ca="1">$D40-$BF40</f>
        <v>#REF!</v>
      </c>
      <c r="AN40" s="50">
        <f ca="1">+GETPIVOTDATA("XCB4",'cubi (2016)'!$A$3,"MA_HT","DKG","MA_QH","DDT")</f>
        <v>0</v>
      </c>
      <c r="AO40" s="50">
        <f ca="1">+GETPIVOTDATA("XCB4",'cubi (2016)'!$A$3,"MA_HT","DKG","MA_QH","DDL")</f>
        <v>0</v>
      </c>
      <c r="AP40" s="50">
        <f ca="1">+GETPIVOTDATA("XCB4",'cubi (2016)'!$A$3,"MA_HT","DKG","MA_QH","DRA")</f>
        <v>0</v>
      </c>
      <c r="AQ40" s="50">
        <f ca="1">+GETPIVOTDATA("XCB4",'cubi (2016)'!$A$3,"MA_HT","DKG","MA_QH","ONT")</f>
        <v>0</v>
      </c>
      <c r="AR40" s="50">
        <f ca="1">+GETPIVOTDATA("XCB4",'cubi (2016)'!$A$3,"MA_HT","DKG","MA_QH","ODT")</f>
        <v>0</v>
      </c>
      <c r="AS40" s="50">
        <f ca="1">+GETPIVOTDATA("XCB4",'cubi (2016)'!$A$3,"MA_HT","DKG","MA_QH","TSC")</f>
        <v>0</v>
      </c>
      <c r="AT40" s="50">
        <f ca="1">+GETPIVOTDATA("XCB4",'cubi (2016)'!$A$3,"MA_HT","DKG","MA_QH","DTS")</f>
        <v>0</v>
      </c>
      <c r="AU40" s="50">
        <f ca="1">+GETPIVOTDATA("XCB4",'cubi (2016)'!$A$3,"MA_HT","DKG","MA_QH","DNG")</f>
        <v>0</v>
      </c>
      <c r="AV40" s="50">
        <f ca="1">+GETPIVOTDATA("XCB4",'cubi (2016)'!$A$3,"MA_HT","DKG","MA_QH","TON")</f>
        <v>0</v>
      </c>
      <c r="AW40" s="50">
        <f ca="1">+GETPIVOTDATA("XCB4",'cubi (2016)'!$A$3,"MA_HT","DKG","MA_QH","NTD")</f>
        <v>0</v>
      </c>
      <c r="AX40" s="50">
        <f ca="1">+GETPIVOTDATA("XCB4",'cubi (2016)'!$A$3,"MA_HT","DKG","MA_QH","SKX")</f>
        <v>0</v>
      </c>
      <c r="AY40" s="50">
        <f ca="1">+GETPIVOTDATA("XCB4",'cubi (2016)'!$A$3,"MA_HT","DKG","MA_QH","DSH")</f>
        <v>0</v>
      </c>
      <c r="AZ40" s="50">
        <f ca="1">+GETPIVOTDATA("XCB4",'cubi (2016)'!$A$3,"MA_HT","DKG","MA_QH","DKV")</f>
        <v>0</v>
      </c>
      <c r="BA40" s="88">
        <f ca="1">+GETPIVOTDATA("XCB4",'cubi (2016)'!$A$3,"MA_HT","DKG","MA_QH","TIN")</f>
        <v>0</v>
      </c>
      <c r="BB40" s="50">
        <f ca="1">+GETPIVOTDATA("XCB4",'cubi (2016)'!$A$3,"MA_HT","DKG","MA_QH","SON")</f>
        <v>0</v>
      </c>
      <c r="BC40" s="50">
        <f ca="1">+GETPIVOTDATA("XCB4",'cubi (2016)'!$A$3,"MA_HT","DKG","MA_QH","MNC")</f>
        <v>0</v>
      </c>
      <c r="BD40" s="50">
        <f ca="1">+GETPIVOTDATA("XCB4",'cubi (2016)'!$A$3,"MA_HT","DKG","MA_QH","PNK")</f>
        <v>0</v>
      </c>
      <c r="BE40" s="80">
        <f ca="1">+GETPIVOTDATA("XCB4",'cubi (2016)'!$A$3,"MA_HT","DKG","MA_QH","CSD")</f>
        <v>0</v>
      </c>
      <c r="BF40" s="103">
        <f ca="1" t="shared" si="13"/>
        <v>0</v>
      </c>
      <c r="BG40" s="104">
        <f ca="1">AM$59-$BF40</f>
        <v>0</v>
      </c>
      <c r="BH40" s="47" t="e">
        <f ca="1" t="shared" si="14"/>
        <v>#REF!</v>
      </c>
      <c r="BI40" s="109"/>
      <c r="BJ40" s="109" t="e">
        <f>#REF!</f>
        <v>#REF!</v>
      </c>
      <c r="BK40" s="110" t="e">
        <f ca="1" t="shared" si="19"/>
        <v>#REF!</v>
      </c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</row>
    <row r="41" s="6" customFormat="1" ht="15.75" customHeight="1" spans="1:79">
      <c r="A41" s="54" t="s">
        <v>8400</v>
      </c>
      <c r="B41" s="55" t="s">
        <v>8401</v>
      </c>
      <c r="C41" s="56" t="s">
        <v>8287</v>
      </c>
      <c r="D41" s="57" t="e">
        <f>+#REF!</f>
        <v>#REF!</v>
      </c>
      <c r="E41" s="58">
        <f ca="1" t="shared" si="15"/>
        <v>0</v>
      </c>
      <c r="F41" s="59">
        <f ca="1" t="shared" si="9"/>
        <v>0</v>
      </c>
      <c r="G41" s="60">
        <f ca="1">+GETPIVOTDATA("XCB4",'cubi (2016)'!$A$3,"MA_HT","DDT","MA_QH","LUC")</f>
        <v>0</v>
      </c>
      <c r="H41" s="60">
        <f ca="1">+GETPIVOTDATA("XCB4",'cubi (2016)'!$A$3,"MA_HT","DDT","MA_QH","LUK")</f>
        <v>0</v>
      </c>
      <c r="I41" s="60">
        <f ca="1">+GETPIVOTDATA("XCB4",'cubi (2016)'!$A$3,"MA_HT","DDT","MA_QH","LUN")</f>
        <v>0</v>
      </c>
      <c r="J41" s="60">
        <f ca="1">+GETPIVOTDATA("XCB4",'cubi (2016)'!$A$3,"MA_HT","DDT","MA_QH","HNK")</f>
        <v>0</v>
      </c>
      <c r="K41" s="60">
        <f ca="1">+GETPIVOTDATA("XCB4",'cubi (2016)'!$A$3,"MA_HT","DDT","MA_QH","CLN")</f>
        <v>0</v>
      </c>
      <c r="L41" s="60">
        <f ca="1">+GETPIVOTDATA("XCB4",'cubi (2016)'!$A$3,"MA_HT","DDT","MA_QH","RSX")</f>
        <v>0</v>
      </c>
      <c r="M41" s="60">
        <f ca="1">+GETPIVOTDATA("XCB4",'cubi (2016)'!$A$3,"MA_HT","DDT","MA_QH","RPH")</f>
        <v>0</v>
      </c>
      <c r="N41" s="60">
        <f ca="1">+GETPIVOTDATA("XCB4",'cubi (2016)'!$A$3,"MA_HT","DDT","MA_QH","RDD")</f>
        <v>0</v>
      </c>
      <c r="O41" s="60">
        <f ca="1">+GETPIVOTDATA("XCB4",'cubi (2016)'!$A$3,"MA_HT","DDT","MA_QH","NTS")</f>
        <v>0</v>
      </c>
      <c r="P41" s="60">
        <f ca="1">+GETPIVOTDATA("XCB4",'cubi (2016)'!$A$3,"MA_HT","DDT","MA_QH","LMU")</f>
        <v>0</v>
      </c>
      <c r="Q41" s="60">
        <f ca="1">+GETPIVOTDATA("XCB4",'cubi (2016)'!$A$3,"MA_HT","DDT","MA_QH","NKH")</f>
        <v>0</v>
      </c>
      <c r="R41" s="78">
        <f ca="1">SUM(S41:AA41,AO41:BD41)</f>
        <v>0</v>
      </c>
      <c r="S41" s="60">
        <f ca="1">+GETPIVOTDATA("XCB4",'cubi (2016)'!$A$3,"MA_HT","DDT","MA_QH","CQP")</f>
        <v>0</v>
      </c>
      <c r="T41" s="60">
        <f ca="1">+GETPIVOTDATA("XCB4",'cubi (2016)'!$A$3,"MA_HT","DDT","MA_QH","CAN")</f>
        <v>0</v>
      </c>
      <c r="U41" s="60">
        <f ca="1">+GETPIVOTDATA("XCB4",'cubi (2016)'!$A$3,"MA_HT","DDT","MA_QH","SKK")</f>
        <v>0</v>
      </c>
      <c r="V41" s="60">
        <f ca="1">+GETPIVOTDATA("XCB4",'cubi (2016)'!$A$3,"MA_HT","DDT","MA_QH","SKT")</f>
        <v>0</v>
      </c>
      <c r="W41" s="60">
        <f ca="1">+GETPIVOTDATA("XCB4",'cubi (2016)'!$A$3,"MA_HT","DDT","MA_QH","SKN")</f>
        <v>0</v>
      </c>
      <c r="X41" s="60">
        <f ca="1">+GETPIVOTDATA("XCB4",'cubi (2016)'!$A$3,"MA_HT","DDT","MA_QH","TMD")</f>
        <v>0</v>
      </c>
      <c r="Y41" s="60">
        <f ca="1">+GETPIVOTDATA("XCB4",'cubi (2016)'!$A$3,"MA_HT","DDT","MA_QH","SKC")</f>
        <v>0</v>
      </c>
      <c r="Z41" s="60">
        <f ca="1">+GETPIVOTDATA("XCB4",'cubi (2016)'!$A$3,"MA_HT","DDT","MA_QH","SKS")</f>
        <v>0</v>
      </c>
      <c r="AA41" s="59">
        <f ca="1" t="shared" ref="AA41:AA58" si="21">+SUM(AB41:AM41)</f>
        <v>0</v>
      </c>
      <c r="AB41" s="60">
        <f ca="1">+GETPIVOTDATA("XCB4",'cubi (2016)'!$A$3,"MA_HT","DDT","MA_QH","DGT")</f>
        <v>0</v>
      </c>
      <c r="AC41" s="60">
        <f ca="1">+GETPIVOTDATA("XCB4",'cubi (2016)'!$A$3,"MA_HT","DDT","MA_QH","DTL")</f>
        <v>0</v>
      </c>
      <c r="AD41" s="60">
        <f ca="1">+GETPIVOTDATA("XCB4",'cubi (2016)'!$A$3,"MA_HT","DDT","MA_QH","DNL")</f>
        <v>0</v>
      </c>
      <c r="AE41" s="60">
        <f ca="1">+GETPIVOTDATA("XCB4",'cubi (2016)'!$A$3,"MA_HT","DDT","MA_QH","DBV")</f>
        <v>0</v>
      </c>
      <c r="AF41" s="60">
        <f ca="1">+GETPIVOTDATA("XCB4",'cubi (2016)'!$A$3,"MA_HT","DDT","MA_QH","DVH")</f>
        <v>0</v>
      </c>
      <c r="AG41" s="60">
        <f ca="1">+GETPIVOTDATA("XCB4",'cubi (2016)'!$A$3,"MA_HT","DDT","MA_QH","DYT")</f>
        <v>0</v>
      </c>
      <c r="AH41" s="60">
        <f ca="1">+GETPIVOTDATA("XCB4",'cubi (2016)'!$A$3,"MA_HT","DDT","MA_QH","DGD")</f>
        <v>0</v>
      </c>
      <c r="AI41" s="60">
        <f ca="1">+GETPIVOTDATA("XCB4",'cubi (2016)'!$A$3,"MA_HT","DDT","MA_QH","DTT")</f>
        <v>0</v>
      </c>
      <c r="AJ41" s="60">
        <f ca="1">+GETPIVOTDATA("XCB4",'cubi (2016)'!$A$3,"MA_HT","DDT","MA_QH","NCK")</f>
        <v>0</v>
      </c>
      <c r="AK41" s="60">
        <f ca="1">+GETPIVOTDATA("XCB4",'cubi (2016)'!$A$3,"MA_HT","DDT","MA_QH","DXH")</f>
        <v>0</v>
      </c>
      <c r="AL41" s="60">
        <f ca="1">+GETPIVOTDATA("XCB4",'cubi (2016)'!$A$3,"MA_HT","DDT","MA_QH","DCH")</f>
        <v>0</v>
      </c>
      <c r="AM41" s="60">
        <f ca="1">+GETPIVOTDATA("XCB4",'cubi (2016)'!$A$3,"MA_HT","DDT","MA_QH","DKG")</f>
        <v>0</v>
      </c>
      <c r="AN41" s="81" t="e">
        <f ca="1">$D41-$BF41</f>
        <v>#REF!</v>
      </c>
      <c r="AO41" s="60">
        <f ca="1">+GETPIVOTDATA("XCB4",'cubi (2016)'!$A$3,"MA_HT","DDT","MA_QH","DDL")</f>
        <v>0</v>
      </c>
      <c r="AP41" s="60">
        <f ca="1">+GETPIVOTDATA("XCB4",'cubi (2016)'!$A$3,"MA_HT","DDT","MA_QH","DRA")</f>
        <v>0</v>
      </c>
      <c r="AQ41" s="60">
        <f ca="1">+GETPIVOTDATA("XCB4",'cubi (2016)'!$A$3,"MA_HT","DDT","MA_QH","ONT")</f>
        <v>0</v>
      </c>
      <c r="AR41" s="60">
        <f ca="1">+GETPIVOTDATA("XCB4",'cubi (2016)'!$A$3,"MA_HT","DDT","MA_QH","ODT")</f>
        <v>0</v>
      </c>
      <c r="AS41" s="60">
        <f ca="1">+GETPIVOTDATA("XCB4",'cubi (2016)'!$A$3,"MA_HT","DDT","MA_QH","TSC")</f>
        <v>0</v>
      </c>
      <c r="AT41" s="60">
        <f ca="1">+GETPIVOTDATA("XCB4",'cubi (2016)'!$A$3,"MA_HT","DDT","MA_QH","DTS")</f>
        <v>0</v>
      </c>
      <c r="AU41" s="60">
        <f ca="1">+GETPIVOTDATA("XCB4",'cubi (2016)'!$A$3,"MA_HT","DDT","MA_QH","DNG")</f>
        <v>0</v>
      </c>
      <c r="AV41" s="60">
        <f ca="1">+GETPIVOTDATA("XCB4",'cubi (2016)'!$A$3,"MA_HT","DDT","MA_QH","TON")</f>
        <v>0</v>
      </c>
      <c r="AW41" s="60">
        <f ca="1">+GETPIVOTDATA("XCB4",'cubi (2016)'!$A$3,"MA_HT","DDT","MA_QH","NTD")</f>
        <v>0</v>
      </c>
      <c r="AX41" s="60">
        <f ca="1">+GETPIVOTDATA("XCB4",'cubi (2016)'!$A$3,"MA_HT","DDT","MA_QH","SKX")</f>
        <v>0</v>
      </c>
      <c r="AY41" s="60">
        <f ca="1">+GETPIVOTDATA("XCB4",'cubi (2016)'!$A$3,"MA_HT","DDT","MA_QH","DSH")</f>
        <v>0</v>
      </c>
      <c r="AZ41" s="60">
        <f ca="1">+GETPIVOTDATA("XCB4",'cubi (2016)'!$A$3,"MA_HT","DDT","MA_QH","DKV")</f>
        <v>0</v>
      </c>
      <c r="BA41" s="90">
        <f ca="1">+GETPIVOTDATA("XCB4",'cubi (2016)'!$A$3,"MA_HT","DDT","MA_QH","TIN")</f>
        <v>0</v>
      </c>
      <c r="BB41" s="91">
        <f ca="1">+GETPIVOTDATA("XCB4",'cubi (2016)'!$A$3,"MA_HT","DDT","MA_QH","SON")</f>
        <v>0</v>
      </c>
      <c r="BC41" s="91">
        <f ca="1">+GETPIVOTDATA("XCB4",'cubi (2016)'!$A$3,"MA_HT","DDT","MA_QH","MNC")</f>
        <v>0</v>
      </c>
      <c r="BD41" s="60">
        <f ca="1">+GETPIVOTDATA("XCB4",'cubi (2016)'!$A$3,"MA_HT","DDT","MA_QH","PNK")</f>
        <v>0</v>
      </c>
      <c r="BE41" s="111">
        <f ca="1">+GETPIVOTDATA("XCB4",'cubi (2016)'!$A$3,"MA_HT","DDT","MA_QH","CSD")</f>
        <v>0</v>
      </c>
      <c r="BF41" s="112">
        <f ca="1" t="shared" si="13"/>
        <v>0</v>
      </c>
      <c r="BG41" s="113">
        <f ca="1">AN$59-$BF41</f>
        <v>0</v>
      </c>
      <c r="BH41" s="57" t="e">
        <f ca="1" t="shared" si="14"/>
        <v>#REF!</v>
      </c>
      <c r="BI41" s="114"/>
      <c r="BJ41" s="115"/>
      <c r="BK41" s="115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</row>
    <row r="42" s="2" customFormat="1" ht="15.75" customHeight="1" spans="1:79">
      <c r="A42" s="39" t="s">
        <v>8402</v>
      </c>
      <c r="B42" s="53" t="s">
        <v>8403</v>
      </c>
      <c r="C42" s="40" t="s">
        <v>8286</v>
      </c>
      <c r="D42" s="41" t="e">
        <f>+#REF!</f>
        <v>#REF!</v>
      </c>
      <c r="E42" s="42">
        <f ca="1" t="shared" si="15"/>
        <v>0</v>
      </c>
      <c r="F42" s="52">
        <f ca="1" t="shared" si="9"/>
        <v>0</v>
      </c>
      <c r="G42" s="22">
        <f ca="1">+GETPIVOTDATA("XCB4",'cubi (2016)'!$A$3,"MA_HT","DDL","MA_QH","LUC")</f>
        <v>0</v>
      </c>
      <c r="H42" s="22">
        <f ca="1">+GETPIVOTDATA("XCB4",'cubi (2016)'!$A$3,"MA_HT","DDL","MA_QH","LUK")</f>
        <v>0</v>
      </c>
      <c r="I42" s="22">
        <f ca="1">+GETPIVOTDATA("XCB4",'cubi (2016)'!$A$3,"MA_HT","DDL","MA_QH","LUN")</f>
        <v>0</v>
      </c>
      <c r="J42" s="22">
        <f ca="1">+GETPIVOTDATA("XCB4",'cubi (2016)'!$A$3,"MA_HT","DDL","MA_QH","HNK")</f>
        <v>0</v>
      </c>
      <c r="K42" s="22">
        <f ca="1">+GETPIVOTDATA("XCB4",'cubi (2016)'!$A$3,"MA_HT","DDL","MA_QH","CLN")</f>
        <v>0</v>
      </c>
      <c r="L42" s="22">
        <f ca="1">+GETPIVOTDATA("XCB4",'cubi (2016)'!$A$3,"MA_HT","DDL","MA_QH","RSX")</f>
        <v>0</v>
      </c>
      <c r="M42" s="22">
        <f ca="1">+GETPIVOTDATA("XCB4",'cubi (2016)'!$A$3,"MA_HT","DDL","MA_QH","RPH")</f>
        <v>0</v>
      </c>
      <c r="N42" s="22">
        <f ca="1">+GETPIVOTDATA("XCB4",'cubi (2016)'!$A$3,"MA_HT","DDL","MA_QH","RDD")</f>
        <v>0</v>
      </c>
      <c r="O42" s="22">
        <f ca="1">+GETPIVOTDATA("XCB4",'cubi (2016)'!$A$3,"MA_HT","DDL","MA_QH","NTS")</f>
        <v>0</v>
      </c>
      <c r="P42" s="22">
        <f ca="1">+GETPIVOTDATA("XCB4",'cubi (2016)'!$A$3,"MA_HT","DDL","MA_QH","LMU")</f>
        <v>0</v>
      </c>
      <c r="Q42" s="22">
        <f ca="1">+GETPIVOTDATA("XCB4",'cubi (2016)'!$A$3,"MA_HT","DDL","MA_QH","NKH")</f>
        <v>0</v>
      </c>
      <c r="R42" s="79">
        <f ca="1">SUM(S42:AA42,AN42,AP42:BD42)</f>
        <v>0</v>
      </c>
      <c r="S42" s="22">
        <f ca="1">+GETPIVOTDATA("XCB4",'cubi (2016)'!$A$3,"MA_HT","DDL","MA_QH","CQP")</f>
        <v>0</v>
      </c>
      <c r="T42" s="22">
        <f ca="1">+GETPIVOTDATA("XCB4",'cubi (2016)'!$A$3,"MA_HT","DDL","MA_QH","CAN")</f>
        <v>0</v>
      </c>
      <c r="U42" s="22">
        <f ca="1">+GETPIVOTDATA("XCB4",'cubi (2016)'!$A$3,"MA_HT","DDL","MA_QH","SKK")</f>
        <v>0</v>
      </c>
      <c r="V42" s="22">
        <f ca="1">+GETPIVOTDATA("XCB4",'cubi (2016)'!$A$3,"MA_HT","DDL","MA_QH","SKT")</f>
        <v>0</v>
      </c>
      <c r="W42" s="22">
        <f ca="1">+GETPIVOTDATA("XCB4",'cubi (2016)'!$A$3,"MA_HT","DDL","MA_QH","SKN")</f>
        <v>0</v>
      </c>
      <c r="X42" s="22">
        <f ca="1">+GETPIVOTDATA("XCB4",'cubi (2016)'!$A$3,"MA_HT","DDL","MA_QH","TMD")</f>
        <v>0</v>
      </c>
      <c r="Y42" s="22">
        <f ca="1">+GETPIVOTDATA("XCB4",'cubi (2016)'!$A$3,"MA_HT","DDL","MA_QH","SKC")</f>
        <v>0</v>
      </c>
      <c r="Z42" s="22">
        <f ca="1">+GETPIVOTDATA("XCB4",'cubi (2016)'!$A$3,"MA_HT","DDL","MA_QH","SKS")</f>
        <v>0</v>
      </c>
      <c r="AA42" s="52">
        <f ca="1" t="shared" si="21"/>
        <v>0</v>
      </c>
      <c r="AB42" s="22">
        <f ca="1">+GETPIVOTDATA("XCB4",'cubi (2016)'!$A$3,"MA_HT","DDL","MA_QH","DGT")</f>
        <v>0</v>
      </c>
      <c r="AC42" s="22">
        <f ca="1">+GETPIVOTDATA("XCB4",'cubi (2016)'!$A$3,"MA_HT","DDL","MA_QH","DTL")</f>
        <v>0</v>
      </c>
      <c r="AD42" s="22">
        <f ca="1">+GETPIVOTDATA("XCB4",'cubi (2016)'!$A$3,"MA_HT","DDL","MA_QH","DNL")</f>
        <v>0</v>
      </c>
      <c r="AE42" s="22">
        <f ca="1">+GETPIVOTDATA("XCB4",'cubi (2016)'!$A$3,"MA_HT","DDL","MA_QH","DBV")</f>
        <v>0</v>
      </c>
      <c r="AF42" s="22">
        <f ca="1">+GETPIVOTDATA("XCB4",'cubi (2016)'!$A$3,"MA_HT","DDL","MA_QH","DVH")</f>
        <v>0</v>
      </c>
      <c r="AG42" s="22">
        <f ca="1">+GETPIVOTDATA("XCB4",'cubi (2016)'!$A$3,"MA_HT","DDL","MA_QH","DYT")</f>
        <v>0</v>
      </c>
      <c r="AH42" s="22">
        <f ca="1">+GETPIVOTDATA("XCB4",'cubi (2016)'!$A$3,"MA_HT","DDL","MA_QH","DGD")</f>
        <v>0</v>
      </c>
      <c r="AI42" s="22">
        <f ca="1">+GETPIVOTDATA("XCB4",'cubi (2016)'!$A$3,"MA_HT","DDL","MA_QH","DTT")</f>
        <v>0</v>
      </c>
      <c r="AJ42" s="22">
        <f ca="1">+GETPIVOTDATA("XCB4",'cubi (2016)'!$A$3,"MA_HT","DDL","MA_QH","NCK")</f>
        <v>0</v>
      </c>
      <c r="AK42" s="22">
        <f ca="1">+GETPIVOTDATA("XCB4",'cubi (2016)'!$A$3,"MA_HT","DDL","MA_QH","DXH")</f>
        <v>0</v>
      </c>
      <c r="AL42" s="22">
        <f ca="1">+GETPIVOTDATA("XCB4",'cubi (2016)'!$A$3,"MA_HT","DDL","MA_QH","DCH")</f>
        <v>0</v>
      </c>
      <c r="AM42" s="22">
        <f ca="1">+GETPIVOTDATA("XCB4",'cubi (2016)'!$A$3,"MA_HT","DDL","MA_QH","DKG")</f>
        <v>0</v>
      </c>
      <c r="AN42" s="22">
        <f ca="1">+GETPIVOTDATA("XCB4",'cubi (2016)'!$A$3,"MA_HT","DDL","MA_QH","DDT")</f>
        <v>0</v>
      </c>
      <c r="AO42" s="43" t="e">
        <f ca="1">$D42-$BF42</f>
        <v>#REF!</v>
      </c>
      <c r="AP42" s="22">
        <f ca="1">+GETPIVOTDATA("XCB4",'cubi (2016)'!$A$3,"MA_HT","DDL","MA_QH","DRA")</f>
        <v>0</v>
      </c>
      <c r="AQ42" s="22">
        <f ca="1">+GETPIVOTDATA("XCB4",'cubi (2016)'!$A$3,"MA_HT","DDL","MA_QH","ONT")</f>
        <v>0</v>
      </c>
      <c r="AR42" s="22">
        <f ca="1">+GETPIVOTDATA("XCB4",'cubi (2016)'!$A$3,"MA_HT","DDL","MA_QH","ODT")</f>
        <v>0</v>
      </c>
      <c r="AS42" s="22">
        <f ca="1">+GETPIVOTDATA("XCB4",'cubi (2016)'!$A$3,"MA_HT","DDL","MA_QH","TSC")</f>
        <v>0</v>
      </c>
      <c r="AT42" s="22">
        <f ca="1">+GETPIVOTDATA("XCB4",'cubi (2016)'!$A$3,"MA_HT","DDL","MA_QH","DTS")</f>
        <v>0</v>
      </c>
      <c r="AU42" s="22">
        <f ca="1">+GETPIVOTDATA("XCB4",'cubi (2016)'!$A$3,"MA_HT","DDL","MA_QH","DNG")</f>
        <v>0</v>
      </c>
      <c r="AV42" s="22">
        <f ca="1">+GETPIVOTDATA("XCB4",'cubi (2016)'!$A$3,"MA_HT","DDL","MA_QH","TON")</f>
        <v>0</v>
      </c>
      <c r="AW42" s="22">
        <f ca="1">+GETPIVOTDATA("XCB4",'cubi (2016)'!$A$3,"MA_HT","DDL","MA_QH","NTD")</f>
        <v>0</v>
      </c>
      <c r="AX42" s="22">
        <f ca="1">+GETPIVOTDATA("XCB4",'cubi (2016)'!$A$3,"MA_HT","DDL","MA_QH","SKX")</f>
        <v>0</v>
      </c>
      <c r="AY42" s="22">
        <f ca="1">+GETPIVOTDATA("XCB4",'cubi (2016)'!$A$3,"MA_HT","DDL","MA_QH","DSH")</f>
        <v>0</v>
      </c>
      <c r="AZ42" s="22">
        <f ca="1">+GETPIVOTDATA("XCB4",'cubi (2016)'!$A$3,"MA_HT","DDL","MA_QH","DKV")</f>
        <v>0</v>
      </c>
      <c r="BA42" s="89">
        <f ca="1">+GETPIVOTDATA("XCB4",'cubi (2016)'!$A$3,"MA_HT","DDL","MA_QH","TIN")</f>
        <v>0</v>
      </c>
      <c r="BB42" s="50">
        <f ca="1">+GETPIVOTDATA("XCB4",'cubi (2016)'!$A$3,"MA_HT","DDL","MA_QH","SON")</f>
        <v>0</v>
      </c>
      <c r="BC42" s="50">
        <f ca="1">+GETPIVOTDATA("XCB4",'cubi (2016)'!$A$3,"MA_HT","DDL","MA_QH","MNC")</f>
        <v>0</v>
      </c>
      <c r="BD42" s="22">
        <f ca="1">+GETPIVOTDATA("XCB4",'cubi (2016)'!$A$3,"MA_HT","DDL","MA_QH","PNK")</f>
        <v>0</v>
      </c>
      <c r="BE42" s="71">
        <f ca="1">+GETPIVOTDATA("XCB4",'cubi (2016)'!$A$3,"MA_HT","DDL","MA_QH","CSD")</f>
        <v>0</v>
      </c>
      <c r="BF42" s="74">
        <f ca="1" t="shared" si="13"/>
        <v>0</v>
      </c>
      <c r="BG42" s="101">
        <f ca="1">AO$59-$BF42</f>
        <v>0</v>
      </c>
      <c r="BH42" s="41" t="e">
        <f ca="1" t="shared" si="14"/>
        <v>#REF!</v>
      </c>
      <c r="BI42" s="98"/>
      <c r="BJ42" s="107"/>
      <c r="BK42" s="10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</row>
    <row r="43" s="2" customFormat="1" ht="15.75" customHeight="1" spans="1:79">
      <c r="A43" s="39" t="s">
        <v>8404</v>
      </c>
      <c r="B43" s="53" t="s">
        <v>8405</v>
      </c>
      <c r="C43" s="40" t="s">
        <v>8291</v>
      </c>
      <c r="D43" s="41" t="e">
        <f>+#REF!</f>
        <v>#REF!</v>
      </c>
      <c r="E43" s="42">
        <f ca="1" t="shared" si="15"/>
        <v>0</v>
      </c>
      <c r="F43" s="52">
        <f ca="1" t="shared" si="9"/>
        <v>0</v>
      </c>
      <c r="G43" s="22">
        <f ca="1">+GETPIVOTDATA("XCB4",'cubi (2016)'!$A$3,"MA_HT","DRA","MA_QH","LUC")</f>
        <v>0</v>
      </c>
      <c r="H43" s="22">
        <f ca="1">+GETPIVOTDATA("XCB4",'cubi (2016)'!$A$3,"MA_HT","DRA","MA_QH","LUK")</f>
        <v>0</v>
      </c>
      <c r="I43" s="22">
        <f ca="1">+GETPIVOTDATA("XCB4",'cubi (2016)'!$A$3,"MA_HT","DRA","MA_QH","LUN")</f>
        <v>0</v>
      </c>
      <c r="J43" s="22">
        <f ca="1">+GETPIVOTDATA("XCB4",'cubi (2016)'!$A$3,"MA_HT","DRA","MA_QH","HNK")</f>
        <v>0</v>
      </c>
      <c r="K43" s="22">
        <f ca="1">+GETPIVOTDATA("XCB4",'cubi (2016)'!$A$3,"MA_HT","DRA","MA_QH","CLN")</f>
        <v>0</v>
      </c>
      <c r="L43" s="22">
        <f ca="1">+GETPIVOTDATA("XCB4",'cubi (2016)'!$A$3,"MA_HT","DRA","MA_QH","RSX")</f>
        <v>0</v>
      </c>
      <c r="M43" s="22">
        <f ca="1">+GETPIVOTDATA("XCB4",'cubi (2016)'!$A$3,"MA_HT","DRA","MA_QH","RPH")</f>
        <v>0</v>
      </c>
      <c r="N43" s="22">
        <f ca="1">+GETPIVOTDATA("XCB4",'cubi (2016)'!$A$3,"MA_HT","DRA","MA_QH","RDD")</f>
        <v>0</v>
      </c>
      <c r="O43" s="22">
        <f ca="1">+GETPIVOTDATA("XCB4",'cubi (2016)'!$A$3,"MA_HT","DRA","MA_QH","NTS")</f>
        <v>0</v>
      </c>
      <c r="P43" s="22">
        <f ca="1">+GETPIVOTDATA("XCB4",'cubi (2016)'!$A$3,"MA_HT","DRA","MA_QH","LMU")</f>
        <v>0</v>
      </c>
      <c r="Q43" s="22">
        <f ca="1">+GETPIVOTDATA("XCB4",'cubi (2016)'!$A$3,"MA_HT","DRA","MA_QH","NKH")</f>
        <v>0</v>
      </c>
      <c r="R43" s="79">
        <f ca="1">SUM(S43:AA43,AN43:AO43,AQ43:BD43)</f>
        <v>0</v>
      </c>
      <c r="S43" s="22">
        <f ca="1">+GETPIVOTDATA("XCB4",'cubi (2016)'!$A$3,"MA_HT","DRA","MA_QH","CQP")</f>
        <v>0</v>
      </c>
      <c r="T43" s="22">
        <f ca="1">+GETPIVOTDATA("XCB4",'cubi (2016)'!$A$3,"MA_HT","DRA","MA_QH","CAN")</f>
        <v>0</v>
      </c>
      <c r="U43" s="22">
        <f ca="1">+GETPIVOTDATA("XCB4",'cubi (2016)'!$A$3,"MA_HT","DRA","MA_QH","SKK")</f>
        <v>0</v>
      </c>
      <c r="V43" s="22">
        <f ca="1">+GETPIVOTDATA("XCB4",'cubi (2016)'!$A$3,"MA_HT","DRA","MA_QH","SKT")</f>
        <v>0</v>
      </c>
      <c r="W43" s="22">
        <f ca="1">+GETPIVOTDATA("XCB4",'cubi (2016)'!$A$3,"MA_HT","DRA","MA_QH","SKN")</f>
        <v>0</v>
      </c>
      <c r="X43" s="22">
        <f ca="1">+GETPIVOTDATA("XCB4",'cubi (2016)'!$A$3,"MA_HT","DRA","MA_QH","TMD")</f>
        <v>0</v>
      </c>
      <c r="Y43" s="22">
        <f ca="1">+GETPIVOTDATA("XCB4",'cubi (2016)'!$A$3,"MA_HT","DRA","MA_QH","SKC")</f>
        <v>0</v>
      </c>
      <c r="Z43" s="22">
        <f ca="1">+GETPIVOTDATA("XCB4",'cubi (2016)'!$A$3,"MA_HT","DRA","MA_QH","SKS")</f>
        <v>0</v>
      </c>
      <c r="AA43" s="52">
        <f ca="1" t="shared" si="21"/>
        <v>0</v>
      </c>
      <c r="AB43" s="22">
        <f ca="1">+GETPIVOTDATA("XCB4",'cubi (2016)'!$A$3,"MA_HT","DRA","MA_QH","DGT")</f>
        <v>0</v>
      </c>
      <c r="AC43" s="22">
        <f ca="1">+GETPIVOTDATA("XCB4",'cubi (2016)'!$A$3,"MA_HT","DRA","MA_QH","DTL")</f>
        <v>0</v>
      </c>
      <c r="AD43" s="22">
        <f ca="1">+GETPIVOTDATA("XCB4",'cubi (2016)'!$A$3,"MA_HT","DRA","MA_QH","DNL")</f>
        <v>0</v>
      </c>
      <c r="AE43" s="22">
        <f ca="1">+GETPIVOTDATA("XCB4",'cubi (2016)'!$A$3,"MA_HT","DRA","MA_QH","DBV")</f>
        <v>0</v>
      </c>
      <c r="AF43" s="22">
        <f ca="1">+GETPIVOTDATA("XCB4",'cubi (2016)'!$A$3,"MA_HT","DRA","MA_QH","DVH")</f>
        <v>0</v>
      </c>
      <c r="AG43" s="22">
        <f ca="1">+GETPIVOTDATA("XCB4",'cubi (2016)'!$A$3,"MA_HT","DRA","MA_QH","DYT")</f>
        <v>0</v>
      </c>
      <c r="AH43" s="22">
        <f ca="1">+GETPIVOTDATA("XCB4",'cubi (2016)'!$A$3,"MA_HT","DRA","MA_QH","DGD")</f>
        <v>0</v>
      </c>
      <c r="AI43" s="22">
        <f ca="1">+GETPIVOTDATA("XCB4",'cubi (2016)'!$A$3,"MA_HT","DRA","MA_QH","DTT")</f>
        <v>0</v>
      </c>
      <c r="AJ43" s="22">
        <f ca="1">+GETPIVOTDATA("XCB4",'cubi (2016)'!$A$3,"MA_HT","DRA","MA_QH","NCK")</f>
        <v>0</v>
      </c>
      <c r="AK43" s="22">
        <f ca="1">+GETPIVOTDATA("XCB4",'cubi (2016)'!$A$3,"MA_HT","DRA","MA_QH","DXH")</f>
        <v>0</v>
      </c>
      <c r="AL43" s="22">
        <f ca="1">+GETPIVOTDATA("XCB4",'cubi (2016)'!$A$3,"MA_HT","DRA","MA_QH","DCH")</f>
        <v>0</v>
      </c>
      <c r="AM43" s="22">
        <f ca="1">+GETPIVOTDATA("XCB4",'cubi (2016)'!$A$3,"MA_HT","DRA","MA_QH","DKG")</f>
        <v>0</v>
      </c>
      <c r="AN43" s="22">
        <f ca="1">+GETPIVOTDATA("XCB4",'cubi (2016)'!$A$3,"MA_HT","DRA","MA_QH","DDT")</f>
        <v>0</v>
      </c>
      <c r="AO43" s="22">
        <f ca="1">+GETPIVOTDATA("XCB4",'cubi (2016)'!$A$3,"MA_HT","DRA","MA_QH","DDL")</f>
        <v>0</v>
      </c>
      <c r="AP43" s="43" t="e">
        <f ca="1">$D43-$BF43</f>
        <v>#REF!</v>
      </c>
      <c r="AQ43" s="22">
        <f ca="1">+GETPIVOTDATA("XCB4",'cubi (2016)'!$A$3,"MA_HT","DRA","MA_QH","ONT")</f>
        <v>0</v>
      </c>
      <c r="AR43" s="22">
        <f ca="1">+GETPIVOTDATA("XCB4",'cubi (2016)'!$A$3,"MA_HT","DRA","MA_QH","ODT")</f>
        <v>0</v>
      </c>
      <c r="AS43" s="22">
        <f ca="1">+GETPIVOTDATA("XCB4",'cubi (2016)'!$A$3,"MA_HT","DRA","MA_QH","TSC")</f>
        <v>0</v>
      </c>
      <c r="AT43" s="22">
        <f ca="1">+GETPIVOTDATA("XCB4",'cubi (2016)'!$A$3,"MA_HT","DRA","MA_QH","DTS")</f>
        <v>0</v>
      </c>
      <c r="AU43" s="22">
        <f ca="1">+GETPIVOTDATA("XCB4",'cubi (2016)'!$A$3,"MA_HT","DRA","MA_QH","DNG")</f>
        <v>0</v>
      </c>
      <c r="AV43" s="22">
        <f ca="1">+GETPIVOTDATA("XCB4",'cubi (2016)'!$A$3,"MA_HT","DRA","MA_QH","TON")</f>
        <v>0</v>
      </c>
      <c r="AW43" s="22">
        <f ca="1">+GETPIVOTDATA("XCB4",'cubi (2016)'!$A$3,"MA_HT","DRA","MA_QH","NTD")</f>
        <v>0</v>
      </c>
      <c r="AX43" s="22">
        <f ca="1">+GETPIVOTDATA("XCB4",'cubi (2016)'!$A$3,"MA_HT","DRA","MA_QH","SKX")</f>
        <v>0</v>
      </c>
      <c r="AY43" s="22">
        <f ca="1">+GETPIVOTDATA("XCB4",'cubi (2016)'!$A$3,"MA_HT","DRA","MA_QH","DSH")</f>
        <v>0</v>
      </c>
      <c r="AZ43" s="22">
        <f ca="1">+GETPIVOTDATA("XCB4",'cubi (2016)'!$A$3,"MA_HT","DRA","MA_QH","DKV")</f>
        <v>0</v>
      </c>
      <c r="BA43" s="89">
        <f ca="1">+GETPIVOTDATA("XCB4",'cubi (2016)'!$A$3,"MA_HT","DRA","MA_QH","TIN")</f>
        <v>0</v>
      </c>
      <c r="BB43" s="50">
        <f ca="1">+GETPIVOTDATA("XCB4",'cubi (2016)'!$A$3,"MA_HT","DRA","MA_QH","SON")</f>
        <v>0</v>
      </c>
      <c r="BC43" s="50">
        <f ca="1">+GETPIVOTDATA("XCB4",'cubi (2016)'!$A$3,"MA_HT","DRA","MA_QH","MNC")</f>
        <v>0</v>
      </c>
      <c r="BD43" s="22">
        <f ca="1">+GETPIVOTDATA("XCB4",'cubi (2016)'!$A$3,"MA_HT","DRA","MA_QH","PNK")</f>
        <v>0</v>
      </c>
      <c r="BE43" s="71">
        <f ca="1">+GETPIVOTDATA("XCB4",'cubi (2016)'!$A$3,"MA_HT","DRA","MA_QH","CSD")</f>
        <v>0</v>
      </c>
      <c r="BF43" s="74">
        <f ca="1" t="shared" si="13"/>
        <v>0</v>
      </c>
      <c r="BG43" s="101">
        <f ca="1">AP$59-$BF43</f>
        <v>0</v>
      </c>
      <c r="BH43" s="41" t="e">
        <f ca="1" t="shared" si="14"/>
        <v>#REF!</v>
      </c>
      <c r="BI43" s="98"/>
      <c r="BJ43" s="107" t="e">
        <f>#REF!</f>
        <v>#REF!</v>
      </c>
      <c r="BK43" s="107" t="e">
        <f ca="1">BH43-BJ43</f>
        <v>#REF!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</row>
    <row r="44" s="2" customFormat="1" ht="15.75" customHeight="1" spans="1:79">
      <c r="A44" s="39" t="s">
        <v>8406</v>
      </c>
      <c r="B44" s="53" t="s">
        <v>8407</v>
      </c>
      <c r="C44" s="40" t="s">
        <v>188</v>
      </c>
      <c r="D44" s="41" t="e">
        <f>+#REF!</f>
        <v>#REF!</v>
      </c>
      <c r="E44" s="42">
        <f ca="1" t="shared" si="15"/>
        <v>0</v>
      </c>
      <c r="F44" s="52">
        <f ca="1" t="shared" si="9"/>
        <v>0</v>
      </c>
      <c r="G44" s="22">
        <f ca="1">+GETPIVOTDATA("XCB4",'cubi (2016)'!$A$3,"MA_HT","ONT","MA_QH","LUC")</f>
        <v>0</v>
      </c>
      <c r="H44" s="22">
        <f ca="1">+GETPIVOTDATA("XCB4",'cubi (2016)'!$A$3,"MA_HT","ONT","MA_QH","LUK")</f>
        <v>0</v>
      </c>
      <c r="I44" s="22">
        <f ca="1">+GETPIVOTDATA("XCB4",'cubi (2016)'!$A$3,"MA_HT","ONT","MA_QH","LUN")</f>
        <v>0</v>
      </c>
      <c r="J44" s="22">
        <f ca="1">+GETPIVOTDATA("XCB4",'cubi (2016)'!$A$3,"MA_HT","ONT","MA_QH","HNK")</f>
        <v>0</v>
      </c>
      <c r="K44" s="22">
        <f ca="1">+GETPIVOTDATA("XCB4",'cubi (2016)'!$A$3,"MA_HT","ONT","MA_QH","CLN")</f>
        <v>0</v>
      </c>
      <c r="L44" s="22">
        <f ca="1">+GETPIVOTDATA("XCB4",'cubi (2016)'!$A$3,"MA_HT","ONT","MA_QH","RSX")</f>
        <v>0</v>
      </c>
      <c r="M44" s="22">
        <f ca="1">+GETPIVOTDATA("XCB4",'cubi (2016)'!$A$3,"MA_HT","ONT","MA_QH","RPH")</f>
        <v>0</v>
      </c>
      <c r="N44" s="22">
        <f ca="1">+GETPIVOTDATA("XCB4",'cubi (2016)'!$A$3,"MA_HT","ONT","MA_QH","RDD")</f>
        <v>0</v>
      </c>
      <c r="O44" s="22">
        <f ca="1">+GETPIVOTDATA("XCB4",'cubi (2016)'!$A$3,"MA_HT","ONT","MA_QH","NTS")</f>
        <v>0</v>
      </c>
      <c r="P44" s="22">
        <f ca="1">+GETPIVOTDATA("XCB4",'cubi (2016)'!$A$3,"MA_HT","ONT","MA_QH","LMU")</f>
        <v>0</v>
      </c>
      <c r="Q44" s="22">
        <f ca="1">+GETPIVOTDATA("XCB4",'cubi (2016)'!$A$3,"MA_HT","ONT","MA_QH","NKH")</f>
        <v>0</v>
      </c>
      <c r="R44" s="79">
        <f ca="1">SUM(S44:AA44,AN44:AP44,AR44:BD44)</f>
        <v>0</v>
      </c>
      <c r="S44" s="22">
        <f ca="1">+GETPIVOTDATA("XCB4",'cubi (2016)'!$A$3,"MA_HT","ONT","MA_QH","CQP")</f>
        <v>0</v>
      </c>
      <c r="T44" s="22">
        <f ca="1">+GETPIVOTDATA("XCB4",'cubi (2016)'!$A$3,"MA_HT","ONT","MA_QH","CAN")</f>
        <v>0</v>
      </c>
      <c r="U44" s="22">
        <f ca="1">+GETPIVOTDATA("XCB4",'cubi (2016)'!$A$3,"MA_HT","ONT","MA_QH","SKK")</f>
        <v>0</v>
      </c>
      <c r="V44" s="22">
        <f ca="1">+GETPIVOTDATA("XCB4",'cubi (2016)'!$A$3,"MA_HT","ONT","MA_QH","SKT")</f>
        <v>0</v>
      </c>
      <c r="W44" s="22">
        <f ca="1">+GETPIVOTDATA("XCB4",'cubi (2016)'!$A$3,"MA_HT","ONT","MA_QH","SKN")</f>
        <v>0</v>
      </c>
      <c r="X44" s="22">
        <f ca="1">+GETPIVOTDATA("XCB4",'cubi (2016)'!$A$3,"MA_HT","ONT","MA_QH","TMD")</f>
        <v>0</v>
      </c>
      <c r="Y44" s="22">
        <f ca="1">+GETPIVOTDATA("XCB4",'cubi (2016)'!$A$3,"MA_HT","ONT","MA_QH","SKC")</f>
        <v>0</v>
      </c>
      <c r="Z44" s="22">
        <f ca="1">+GETPIVOTDATA("XCB4",'cubi (2016)'!$A$3,"MA_HT","ONT","MA_QH","SKS")</f>
        <v>0</v>
      </c>
      <c r="AA44" s="52">
        <f ca="1" t="shared" si="21"/>
        <v>0</v>
      </c>
      <c r="AB44" s="22">
        <f ca="1">+GETPIVOTDATA("XCB4",'cubi (2016)'!$A$3,"MA_HT","ONT","MA_QH","DGT")</f>
        <v>0</v>
      </c>
      <c r="AC44" s="22">
        <f ca="1">+GETPIVOTDATA("XCB4",'cubi (2016)'!$A$3,"MA_HT","ONT","MA_QH","DTL")</f>
        <v>0</v>
      </c>
      <c r="AD44" s="22">
        <f ca="1">+GETPIVOTDATA("XCB4",'cubi (2016)'!$A$3,"MA_HT","ONT","MA_QH","DNL")</f>
        <v>0</v>
      </c>
      <c r="AE44" s="22">
        <f ca="1">+GETPIVOTDATA("XCB4",'cubi (2016)'!$A$3,"MA_HT","ONT","MA_QH","DBV")</f>
        <v>0</v>
      </c>
      <c r="AF44" s="22">
        <f ca="1">+GETPIVOTDATA("XCB4",'cubi (2016)'!$A$3,"MA_HT","ONT","MA_QH","DVH")</f>
        <v>0</v>
      </c>
      <c r="AG44" s="22">
        <f ca="1">+GETPIVOTDATA("XCB4",'cubi (2016)'!$A$3,"MA_HT","ONT","MA_QH","DYT")</f>
        <v>0</v>
      </c>
      <c r="AH44" s="22">
        <f ca="1">+GETPIVOTDATA("XCB4",'cubi (2016)'!$A$3,"MA_HT","ONT","MA_QH","DGD")</f>
        <v>0</v>
      </c>
      <c r="AI44" s="22">
        <f ca="1">+GETPIVOTDATA("XCB4",'cubi (2016)'!$A$3,"MA_HT","ONT","MA_QH","DTT")</f>
        <v>0</v>
      </c>
      <c r="AJ44" s="22">
        <f ca="1">+GETPIVOTDATA("XCB4",'cubi (2016)'!$A$3,"MA_HT","ONT","MA_QH","NCK")</f>
        <v>0</v>
      </c>
      <c r="AK44" s="22">
        <f ca="1">+GETPIVOTDATA("XCB4",'cubi (2016)'!$A$3,"MA_HT","ONT","MA_QH","DXH")</f>
        <v>0</v>
      </c>
      <c r="AL44" s="22">
        <f ca="1">+GETPIVOTDATA("XCB4",'cubi (2016)'!$A$3,"MA_HT","ONT","MA_QH","DCH")</f>
        <v>0</v>
      </c>
      <c r="AM44" s="22">
        <f ca="1">+GETPIVOTDATA("XCB4",'cubi (2016)'!$A$3,"MA_HT","ONT","MA_QH","DKG")</f>
        <v>0</v>
      </c>
      <c r="AN44" s="22">
        <f ca="1">+GETPIVOTDATA("XCB4",'cubi (2016)'!$A$3,"MA_HT","ONT","MA_QH","DDT")</f>
        <v>0</v>
      </c>
      <c r="AO44" s="22">
        <f ca="1">+GETPIVOTDATA("XCB4",'cubi (2016)'!$A$3,"MA_HT","ONT","MA_QH","DDL")</f>
        <v>0</v>
      </c>
      <c r="AP44" s="22">
        <f ca="1">+GETPIVOTDATA("XCB4",'cubi (2016)'!$A$3,"MA_HT","ONT","MA_QH","DRA")</f>
        <v>0</v>
      </c>
      <c r="AQ44" s="43" t="e">
        <f ca="1">$D44-$BF44</f>
        <v>#REF!</v>
      </c>
      <c r="AR44" s="22">
        <f ca="1">+GETPIVOTDATA("XCB4",'cubi (2016)'!$A$3,"MA_HT","ONT","MA_QH","ODT")</f>
        <v>0</v>
      </c>
      <c r="AS44" s="22">
        <f ca="1">+GETPIVOTDATA("XCB4",'cubi (2016)'!$A$3,"MA_HT","ONT","MA_QH","TSC")</f>
        <v>0</v>
      </c>
      <c r="AT44" s="22">
        <f ca="1">+GETPIVOTDATA("XCB4",'cubi (2016)'!$A$3,"MA_HT","ONT","MA_QH","DTS")</f>
        <v>0</v>
      </c>
      <c r="AU44" s="22">
        <f ca="1">+GETPIVOTDATA("XCB4",'cubi (2016)'!$A$3,"MA_HT","ONT","MA_QH","DNG")</f>
        <v>0</v>
      </c>
      <c r="AV44" s="22">
        <f ca="1">+GETPIVOTDATA("XCB4",'cubi (2016)'!$A$3,"MA_HT","ONT","MA_QH","TON")</f>
        <v>0</v>
      </c>
      <c r="AW44" s="22">
        <f ca="1">+GETPIVOTDATA("XCB4",'cubi (2016)'!$A$3,"MA_HT","ONT","MA_QH","NTD")</f>
        <v>0</v>
      </c>
      <c r="AX44" s="22">
        <f ca="1">+GETPIVOTDATA("XCB4",'cubi (2016)'!$A$3,"MA_HT","ONT","MA_QH","SKX")</f>
        <v>0</v>
      </c>
      <c r="AY44" s="22">
        <f ca="1">+GETPIVOTDATA("XCB4",'cubi (2016)'!$A$3,"MA_HT","ONT","MA_QH","DSH")</f>
        <v>0</v>
      </c>
      <c r="AZ44" s="22">
        <f ca="1">+GETPIVOTDATA("XCB4",'cubi (2016)'!$A$3,"MA_HT","ONT","MA_QH","DKV")</f>
        <v>0</v>
      </c>
      <c r="BA44" s="89">
        <f ca="1">+GETPIVOTDATA("XCB4",'cubi (2016)'!$A$3,"MA_HT","ONT","MA_QH","TIN")</f>
        <v>0</v>
      </c>
      <c r="BB44" s="50">
        <f ca="1">+GETPIVOTDATA("XCB4",'cubi (2016)'!$A$3,"MA_HT","ONT","MA_QH","SON")</f>
        <v>0</v>
      </c>
      <c r="BC44" s="50">
        <f ca="1">+GETPIVOTDATA("XCB4",'cubi (2016)'!$A$3,"MA_HT","ONT","MA_QH","MNC")</f>
        <v>0</v>
      </c>
      <c r="BD44" s="22">
        <f ca="1">+GETPIVOTDATA("XCB4",'cubi (2016)'!$A$3,"MA_HT","ONT","MA_QH","PNK")</f>
        <v>0</v>
      </c>
      <c r="BE44" s="71">
        <f ca="1">+GETPIVOTDATA("XCB4",'cubi (2016)'!$A$3,"MA_HT","ONT","MA_QH","CSD")</f>
        <v>0</v>
      </c>
      <c r="BF44" s="74">
        <f ca="1" t="shared" si="13"/>
        <v>0</v>
      </c>
      <c r="BG44" s="101">
        <f ca="1">AQ$59-$BF44</f>
        <v>0</v>
      </c>
      <c r="BH44" s="41" t="e">
        <f ca="1" t="shared" si="14"/>
        <v>#REF!</v>
      </c>
      <c r="BI44" s="98"/>
      <c r="BJ44" s="107" t="e">
        <f>#REF!</f>
        <v>#REF!</v>
      </c>
      <c r="BK44" s="107" t="e">
        <f ca="1">BH44-BJ44</f>
        <v>#REF!</v>
      </c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</row>
    <row r="45" s="2" customFormat="1" ht="15.75" customHeight="1" spans="1:79">
      <c r="A45" s="61" t="s">
        <v>8408</v>
      </c>
      <c r="B45" s="62" t="s">
        <v>8409</v>
      </c>
      <c r="C45" s="63" t="s">
        <v>201</v>
      </c>
      <c r="D45" s="64" t="e">
        <f>+#REF!</f>
        <v>#REF!</v>
      </c>
      <c r="E45" s="65">
        <f ca="1" t="shared" si="15"/>
        <v>0</v>
      </c>
      <c r="F45" s="66">
        <f ca="1" t="shared" si="9"/>
        <v>0</v>
      </c>
      <c r="G45" s="67">
        <f ca="1">+GETPIVOTDATA("XCB4",'cubi (2016)'!$A$3,"MA_HT","ODT","MA_QH","LUC")</f>
        <v>0</v>
      </c>
      <c r="H45" s="67">
        <f ca="1">+GETPIVOTDATA("XCB4",'cubi (2016)'!$A$3,"MA_HT","ODT","MA_QH","LUK")</f>
        <v>0</v>
      </c>
      <c r="I45" s="67">
        <f ca="1">+GETPIVOTDATA("XCB4",'cubi (2016)'!$A$3,"MA_HT","ODT","MA_QH","LUN")</f>
        <v>0</v>
      </c>
      <c r="J45" s="67">
        <f ca="1">+GETPIVOTDATA("XCB4",'cubi (2016)'!$A$3,"MA_HT","ODT","MA_QH","HNK")</f>
        <v>0</v>
      </c>
      <c r="K45" s="67">
        <f ca="1">+GETPIVOTDATA("XCB4",'cubi (2016)'!$A$3,"MA_HT","ODT","MA_QH","CLN")</f>
        <v>0</v>
      </c>
      <c r="L45" s="67">
        <f ca="1">+GETPIVOTDATA("XCB4",'cubi (2016)'!$A$3,"MA_HT","ODT","MA_QH","RSX")</f>
        <v>0</v>
      </c>
      <c r="M45" s="67">
        <f ca="1">+GETPIVOTDATA("XCB4",'cubi (2016)'!$A$3,"MA_HT","ODT","MA_QH","RPH")</f>
        <v>0</v>
      </c>
      <c r="N45" s="67">
        <f ca="1">+GETPIVOTDATA("XCB4",'cubi (2016)'!$A$3,"MA_HT","ODT","MA_QH","RDD")</f>
        <v>0</v>
      </c>
      <c r="O45" s="67">
        <f ca="1">+GETPIVOTDATA("XCB4",'cubi (2016)'!$A$3,"MA_HT","ODT","MA_QH","NTS")</f>
        <v>0</v>
      </c>
      <c r="P45" s="67">
        <f ca="1">+GETPIVOTDATA("XCB4",'cubi (2016)'!$A$3,"MA_HT","ODT","MA_QH","LMU")</f>
        <v>0</v>
      </c>
      <c r="Q45" s="67">
        <f ca="1">+GETPIVOTDATA("XCB4",'cubi (2016)'!$A$3,"MA_HT","ODT","MA_QH","NKH")</f>
        <v>0</v>
      </c>
      <c r="R45" s="79">
        <f ca="1">SUM(S45:AA45,AN45:AQ45,AS45:BD45)</f>
        <v>0</v>
      </c>
      <c r="S45" s="67">
        <f ca="1">+GETPIVOTDATA("XCB4",'cubi (2016)'!$A$3,"MA_HT","ODT","MA_QH","CQP")</f>
        <v>0</v>
      </c>
      <c r="T45" s="67">
        <f ca="1">+GETPIVOTDATA("XCB4",'cubi (2016)'!$A$3,"MA_HT","ODT","MA_QH","CAN")</f>
        <v>0</v>
      </c>
      <c r="U45" s="67">
        <f ca="1">+GETPIVOTDATA("XCB4",'cubi (2016)'!$A$3,"MA_HT","ODT","MA_QH","SKK")</f>
        <v>0</v>
      </c>
      <c r="V45" s="67">
        <f ca="1">+GETPIVOTDATA("XCB4",'cubi (2016)'!$A$3,"MA_HT","ODT","MA_QH","SKT")</f>
        <v>0</v>
      </c>
      <c r="W45" s="67">
        <f ca="1">+GETPIVOTDATA("XCB4",'cubi (2016)'!$A$3,"MA_HT","ODT","MA_QH","SKN")</f>
        <v>0</v>
      </c>
      <c r="X45" s="67">
        <f ca="1">+GETPIVOTDATA("XCB4",'cubi (2016)'!$A$3,"MA_HT","ODT","MA_QH","TMD")</f>
        <v>0</v>
      </c>
      <c r="Y45" s="67">
        <f ca="1">+GETPIVOTDATA("XCB4",'cubi (2016)'!$A$3,"MA_HT","ODT","MA_QH","SKC")</f>
        <v>0</v>
      </c>
      <c r="Z45" s="67">
        <f ca="1">+GETPIVOTDATA("XCB4",'cubi (2016)'!$A$3,"MA_HT","ODT","MA_QH","SKS")</f>
        <v>0</v>
      </c>
      <c r="AA45" s="66">
        <f ca="1" t="shared" si="21"/>
        <v>0</v>
      </c>
      <c r="AB45" s="67">
        <f ca="1">+GETPIVOTDATA("XCB4",'cubi (2016)'!$A$3,"MA_HT","ODT","MA_QH","DGT")</f>
        <v>0</v>
      </c>
      <c r="AC45" s="67">
        <f ca="1">+GETPIVOTDATA("XCB4",'cubi (2016)'!$A$3,"MA_HT","ODT","MA_QH","DTL")</f>
        <v>0</v>
      </c>
      <c r="AD45" s="67">
        <f ca="1">+GETPIVOTDATA("XCB4",'cubi (2016)'!$A$3,"MA_HT","ODT","MA_QH","DNL")</f>
        <v>0</v>
      </c>
      <c r="AE45" s="67">
        <f ca="1">+GETPIVOTDATA("XCB4",'cubi (2016)'!$A$3,"MA_HT","ODT","MA_QH","DBV")</f>
        <v>0</v>
      </c>
      <c r="AF45" s="67">
        <f ca="1">+GETPIVOTDATA("XCB4",'cubi (2016)'!$A$3,"MA_HT","ODT","MA_QH","DVH")</f>
        <v>0</v>
      </c>
      <c r="AG45" s="67">
        <f ca="1">+GETPIVOTDATA("XCB4",'cubi (2016)'!$A$3,"MA_HT","ODT","MA_QH","DYT")</f>
        <v>0</v>
      </c>
      <c r="AH45" s="67">
        <f ca="1">+GETPIVOTDATA("XCB4",'cubi (2016)'!$A$3,"MA_HT","ODT","MA_QH","DGD")</f>
        <v>0</v>
      </c>
      <c r="AI45" s="67">
        <f ca="1">+GETPIVOTDATA("XCB4",'cubi (2016)'!$A$3,"MA_HT","ODT","MA_QH","DTT")</f>
        <v>0</v>
      </c>
      <c r="AJ45" s="67">
        <f ca="1">+GETPIVOTDATA("XCB4",'cubi (2016)'!$A$3,"MA_HT","ODT","MA_QH","NCK")</f>
        <v>0</v>
      </c>
      <c r="AK45" s="67">
        <f ca="1">+GETPIVOTDATA("XCB4",'cubi (2016)'!$A$3,"MA_HT","ODT","MA_QH","DXH")</f>
        <v>0</v>
      </c>
      <c r="AL45" s="67">
        <f ca="1">+GETPIVOTDATA("XCB4",'cubi (2016)'!$A$3,"MA_HT","ODT","MA_QH","DCH")</f>
        <v>0</v>
      </c>
      <c r="AM45" s="67">
        <f ca="1">+GETPIVOTDATA("XCB4",'cubi (2016)'!$A$3,"MA_HT","ODT","MA_QH","DKG")</f>
        <v>0</v>
      </c>
      <c r="AN45" s="67">
        <f ca="1">+GETPIVOTDATA("XCB4",'cubi (2016)'!$A$3,"MA_HT","ODT","MA_QH","DDT")</f>
        <v>0</v>
      </c>
      <c r="AO45" s="67">
        <f ca="1">+GETPIVOTDATA("XCB4",'cubi (2016)'!$A$3,"MA_HT","ODT","MA_QH","DDL")</f>
        <v>0</v>
      </c>
      <c r="AP45" s="67">
        <f ca="1">+GETPIVOTDATA("XCB4",'cubi (2016)'!$A$3,"MA_HT","ODT","MA_QH","DRA")</f>
        <v>0</v>
      </c>
      <c r="AQ45" s="67">
        <f ca="1">+GETPIVOTDATA("XCB4",'cubi (2016)'!$A$3,"MA_HT","ODT","MA_QH","ONT")</f>
        <v>0</v>
      </c>
      <c r="AR45" s="82" t="e">
        <f ca="1">$D45-$BF45</f>
        <v>#REF!</v>
      </c>
      <c r="AS45" s="67">
        <f ca="1">+GETPIVOTDATA("XCB4",'cubi (2016)'!$A$3,"MA_HT","ODT","MA_QH","TSC")</f>
        <v>0</v>
      </c>
      <c r="AT45" s="67">
        <f ca="1">+GETPIVOTDATA("XCB4",'cubi (2016)'!$A$3,"MA_HT","ODT","MA_QH","DTS")</f>
        <v>0</v>
      </c>
      <c r="AU45" s="67">
        <f ca="1">+GETPIVOTDATA("XCB4",'cubi (2016)'!$A$3,"MA_HT","ODT","MA_QH","DNG")</f>
        <v>0</v>
      </c>
      <c r="AV45" s="67">
        <f ca="1">+GETPIVOTDATA("XCB4",'cubi (2016)'!$A$3,"MA_HT","ODT","MA_QH","TON")</f>
        <v>0</v>
      </c>
      <c r="AW45" s="67">
        <f ca="1">+GETPIVOTDATA("XCB4",'cubi (2016)'!$A$3,"MA_HT","ODT","MA_QH","NTD")</f>
        <v>0</v>
      </c>
      <c r="AX45" s="67">
        <f ca="1">+GETPIVOTDATA("XCB4",'cubi (2016)'!$A$3,"MA_HT","ODT","MA_QH","SKX")</f>
        <v>0</v>
      </c>
      <c r="AY45" s="67">
        <f ca="1">+GETPIVOTDATA("XCB4",'cubi (2016)'!$A$3,"MA_HT","ODT","MA_QH","DSH")</f>
        <v>0</v>
      </c>
      <c r="AZ45" s="67">
        <f ca="1">+GETPIVOTDATA("XCB4",'cubi (2016)'!$A$3,"MA_HT","ODT","MA_QH","DKV")</f>
        <v>0</v>
      </c>
      <c r="BA45" s="92">
        <f ca="1">+GETPIVOTDATA("XCB4",'cubi (2016)'!$A$3,"MA_HT","ODT","MA_QH","TIN")</f>
        <v>0</v>
      </c>
      <c r="BB45" s="93">
        <f ca="1">+GETPIVOTDATA("XCB4",'cubi (2016)'!$A$3,"MA_HT","ODT","MA_QH","SON")</f>
        <v>0</v>
      </c>
      <c r="BC45" s="93">
        <f ca="1">+GETPIVOTDATA("XCB4",'cubi (2016)'!$A$3,"MA_HT","ODT","MA_QH","MNC")</f>
        <v>0</v>
      </c>
      <c r="BD45" s="67">
        <f ca="1">+GETPIVOTDATA("XCB4",'cubi (2016)'!$A$3,"MA_HT","ODT","MA_QH","PNK")</f>
        <v>0</v>
      </c>
      <c r="BE45" s="116">
        <f ca="1">+GETPIVOTDATA("XCB4",'cubi (2016)'!$A$3,"MA_HT","ODT","MA_QH","CSD")</f>
        <v>0</v>
      </c>
      <c r="BF45" s="117">
        <f ca="1" t="shared" si="13"/>
        <v>0</v>
      </c>
      <c r="BG45" s="118">
        <f ca="1">AR$59-$BF45</f>
        <v>0</v>
      </c>
      <c r="BH45" s="64" t="e">
        <f ca="1" t="shared" si="14"/>
        <v>#REF!</v>
      </c>
      <c r="BI45" s="98"/>
      <c r="BJ45" s="107" t="e">
        <f>#REF!</f>
        <v>#REF!</v>
      </c>
      <c r="BK45" s="107" t="e">
        <f ca="1">BH45-BJ45</f>
        <v>#REF!</v>
      </c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</row>
    <row r="46" s="6" customFormat="1" ht="15.75" customHeight="1" spans="1:79">
      <c r="A46" s="39" t="s">
        <v>8410</v>
      </c>
      <c r="B46" s="53" t="s">
        <v>8411</v>
      </c>
      <c r="C46" s="40" t="s">
        <v>336</v>
      </c>
      <c r="D46" s="41" t="e">
        <f>+#REF!</f>
        <v>#REF!</v>
      </c>
      <c r="E46" s="42">
        <f ca="1" t="shared" si="15"/>
        <v>0</v>
      </c>
      <c r="F46" s="52">
        <f ca="1" t="shared" si="9"/>
        <v>0</v>
      </c>
      <c r="G46" s="22">
        <f ca="1">+GETPIVOTDATA("XCB4",'cubi (2016)'!$A$3,"MA_HT","TSC","MA_QH","LUC")</f>
        <v>0</v>
      </c>
      <c r="H46" s="22">
        <f ca="1">+GETPIVOTDATA("XCB4",'cubi (2016)'!$A$3,"MA_HT","TSC","MA_QH","LUK")</f>
        <v>0</v>
      </c>
      <c r="I46" s="22">
        <f ca="1">+GETPIVOTDATA("XCB4",'cubi (2016)'!$A$3,"MA_HT","TSC","MA_QH","LUN")</f>
        <v>0</v>
      </c>
      <c r="J46" s="22">
        <f ca="1">+GETPIVOTDATA("XCB4",'cubi (2016)'!$A$3,"MA_HT","TSC","MA_QH","HNK")</f>
        <v>0</v>
      </c>
      <c r="K46" s="22">
        <f ca="1">+GETPIVOTDATA("XCB4",'cubi (2016)'!$A$3,"MA_HT","TSC","MA_QH","CLN")</f>
        <v>0</v>
      </c>
      <c r="L46" s="22">
        <f ca="1">+GETPIVOTDATA("XCB4",'cubi (2016)'!$A$3,"MA_HT","TSC","MA_QH","RSX")</f>
        <v>0</v>
      </c>
      <c r="M46" s="22">
        <f ca="1">+GETPIVOTDATA("XCB4",'cubi (2016)'!$A$3,"MA_HT","TSC","MA_QH","RPH")</f>
        <v>0</v>
      </c>
      <c r="N46" s="22">
        <f ca="1">+GETPIVOTDATA("XCB4",'cubi (2016)'!$A$3,"MA_HT","TSC","MA_QH","RDD")</f>
        <v>0</v>
      </c>
      <c r="O46" s="22">
        <f ca="1">+GETPIVOTDATA("XCB4",'cubi (2016)'!$A$3,"MA_HT","TSC","MA_QH","NTS")</f>
        <v>0</v>
      </c>
      <c r="P46" s="22">
        <f ca="1">+GETPIVOTDATA("XCB4",'cubi (2016)'!$A$3,"MA_HT","TSC","MA_QH","LMU")</f>
        <v>0</v>
      </c>
      <c r="Q46" s="22">
        <f ca="1">+GETPIVOTDATA("XCB4",'cubi (2016)'!$A$3,"MA_HT","TSC","MA_QH","NKH")</f>
        <v>0</v>
      </c>
      <c r="R46" s="48">
        <f ca="1">SUM(S46:AA46,AN46:AR46,AT46:BD46)</f>
        <v>0</v>
      </c>
      <c r="S46" s="22">
        <f ca="1">+GETPIVOTDATA("XCB4",'cubi (2016)'!$A$3,"MA_HT","TSC","MA_QH","CQP")</f>
        <v>0</v>
      </c>
      <c r="T46" s="22">
        <f ca="1">+GETPIVOTDATA("XCB4",'cubi (2016)'!$A$3,"MA_HT","TSC","MA_QH","CAN")</f>
        <v>0</v>
      </c>
      <c r="U46" s="22">
        <f ca="1">+GETPIVOTDATA("XCB4",'cubi (2016)'!$A$3,"MA_HT","TSC","MA_QH","SKK")</f>
        <v>0</v>
      </c>
      <c r="V46" s="22">
        <f ca="1">+GETPIVOTDATA("XCB4",'cubi (2016)'!$A$3,"MA_HT","TSC","MA_QH","SKT")</f>
        <v>0</v>
      </c>
      <c r="W46" s="22">
        <f ca="1">+GETPIVOTDATA("XCB4",'cubi (2016)'!$A$3,"MA_HT","TSC","MA_QH","SKN")</f>
        <v>0</v>
      </c>
      <c r="X46" s="22">
        <f ca="1">+GETPIVOTDATA("XCB4",'cubi (2016)'!$A$3,"MA_HT","TSC","MA_QH","TMD")</f>
        <v>0</v>
      </c>
      <c r="Y46" s="22">
        <f ca="1">+GETPIVOTDATA("XCB4",'cubi (2016)'!$A$3,"MA_HT","TSC","MA_QH","SKC")</f>
        <v>0</v>
      </c>
      <c r="Z46" s="22">
        <f ca="1">+GETPIVOTDATA("XCB4",'cubi (2016)'!$A$3,"MA_HT","TSC","MA_QH","SKS")</f>
        <v>0</v>
      </c>
      <c r="AA46" s="52">
        <f ca="1" t="shared" si="21"/>
        <v>0</v>
      </c>
      <c r="AB46" s="22">
        <f ca="1">+GETPIVOTDATA("XCB4",'cubi (2016)'!$A$3,"MA_HT","TSC","MA_QH","DGT")</f>
        <v>0</v>
      </c>
      <c r="AC46" s="22">
        <f ca="1">+GETPIVOTDATA("XCB4",'cubi (2016)'!$A$3,"MA_HT","TSC","MA_QH","DTL")</f>
        <v>0</v>
      </c>
      <c r="AD46" s="22">
        <f ca="1">+GETPIVOTDATA("XCB4",'cubi (2016)'!$A$3,"MA_HT","TSC","MA_QH","DNL")</f>
        <v>0</v>
      </c>
      <c r="AE46" s="22">
        <f ca="1">+GETPIVOTDATA("XCB4",'cubi (2016)'!$A$3,"MA_HT","TSC","MA_QH","DBV")</f>
        <v>0</v>
      </c>
      <c r="AF46" s="22">
        <f ca="1">+GETPIVOTDATA("XCB4",'cubi (2016)'!$A$3,"MA_HT","TSC","MA_QH","DVH")</f>
        <v>0</v>
      </c>
      <c r="AG46" s="22">
        <f ca="1">+GETPIVOTDATA("XCB4",'cubi (2016)'!$A$3,"MA_HT","TSC","MA_QH","DYT")</f>
        <v>0</v>
      </c>
      <c r="AH46" s="22">
        <f ca="1">+GETPIVOTDATA("XCB4",'cubi (2016)'!$A$3,"MA_HT","TSC","MA_QH","DGD")</f>
        <v>0</v>
      </c>
      <c r="AI46" s="22">
        <f ca="1">+GETPIVOTDATA("XCB4",'cubi (2016)'!$A$3,"MA_HT","TSC","MA_QH","DTT")</f>
        <v>0</v>
      </c>
      <c r="AJ46" s="22">
        <f ca="1">+GETPIVOTDATA("XCB4",'cubi (2016)'!$A$3,"MA_HT","TSC","MA_QH","NCK")</f>
        <v>0</v>
      </c>
      <c r="AK46" s="22">
        <f ca="1">+GETPIVOTDATA("XCB4",'cubi (2016)'!$A$3,"MA_HT","TSC","MA_QH","DXH")</f>
        <v>0</v>
      </c>
      <c r="AL46" s="22">
        <f ca="1">+GETPIVOTDATA("XCB4",'cubi (2016)'!$A$3,"MA_HT","TSC","MA_QH","DCH")</f>
        <v>0</v>
      </c>
      <c r="AM46" s="22">
        <f ca="1">+GETPIVOTDATA("XCB4",'cubi (2016)'!$A$3,"MA_HT","TSC","MA_QH","DKG")</f>
        <v>0</v>
      </c>
      <c r="AN46" s="22">
        <f ca="1">+GETPIVOTDATA("XCB4",'cubi (2016)'!$A$3,"MA_HT","TSC","MA_QH","DDT")</f>
        <v>0</v>
      </c>
      <c r="AO46" s="22">
        <f ca="1">+GETPIVOTDATA("XCB4",'cubi (2016)'!$A$3,"MA_HT","TSC","MA_QH","DDL")</f>
        <v>0</v>
      </c>
      <c r="AP46" s="22">
        <f ca="1">+GETPIVOTDATA("XCB4",'cubi (2016)'!$A$3,"MA_HT","TSC","MA_QH","DRA")</f>
        <v>0</v>
      </c>
      <c r="AQ46" s="22">
        <f ca="1">+GETPIVOTDATA("XCB4",'cubi (2016)'!$A$3,"MA_HT","TSC","MA_QH","ONT")</f>
        <v>0</v>
      </c>
      <c r="AR46" s="22">
        <f ca="1">+GETPIVOTDATA("XCB4",'cubi (2016)'!$A$3,"MA_HT","TSC","MA_QH","ODT")</f>
        <v>0</v>
      </c>
      <c r="AS46" s="43" t="e">
        <f ca="1">$D46-$BF46</f>
        <v>#REF!</v>
      </c>
      <c r="AT46" s="22">
        <f ca="1">+GETPIVOTDATA("XCB4",'cubi (2016)'!$A$3,"MA_HT","TSC","MA_QH","DTS")</f>
        <v>0</v>
      </c>
      <c r="AU46" s="22">
        <f ca="1">+GETPIVOTDATA("XCB4",'cubi (2016)'!$A$3,"MA_HT","TSC","MA_QH","DNG")</f>
        <v>0</v>
      </c>
      <c r="AV46" s="22">
        <f ca="1">+GETPIVOTDATA("XCB4",'cubi (2016)'!$A$3,"MA_HT","TSC","MA_QH","TON")</f>
        <v>0</v>
      </c>
      <c r="AW46" s="22">
        <f ca="1">+GETPIVOTDATA("XCB4",'cubi (2016)'!$A$3,"MA_HT","TSC","MA_QH","NTD")</f>
        <v>0</v>
      </c>
      <c r="AX46" s="22">
        <f ca="1">+GETPIVOTDATA("XCB4",'cubi (2016)'!$A$3,"MA_HT","TSC","MA_QH","SKX")</f>
        <v>0</v>
      </c>
      <c r="AY46" s="22">
        <f ca="1">+GETPIVOTDATA("XCB4",'cubi (2016)'!$A$3,"MA_HT","TSC","MA_QH","DSH")</f>
        <v>0</v>
      </c>
      <c r="AZ46" s="22">
        <f ca="1">+GETPIVOTDATA("XCB4",'cubi (2016)'!$A$3,"MA_HT","TSC","MA_QH","DKV")</f>
        <v>0</v>
      </c>
      <c r="BA46" s="89">
        <f ca="1">+GETPIVOTDATA("XCB4",'cubi (2016)'!$A$3,"MA_HT","TSC","MA_QH","TIN")</f>
        <v>0</v>
      </c>
      <c r="BB46" s="50">
        <f ca="1">+GETPIVOTDATA("XCB4",'cubi (2016)'!$A$3,"MA_HT","TSC","MA_QH","SON")</f>
        <v>0</v>
      </c>
      <c r="BC46" s="50">
        <f ca="1">+GETPIVOTDATA("XCB4",'cubi (2016)'!$A$3,"MA_HT","TSC","MA_QH","MNC")</f>
        <v>0</v>
      </c>
      <c r="BD46" s="22">
        <f ca="1">+GETPIVOTDATA("XCB4",'cubi (2016)'!$A$3,"MA_HT","TSC","MA_QH","PNK")</f>
        <v>0</v>
      </c>
      <c r="BE46" s="71">
        <f ca="1">+GETPIVOTDATA("XCB4",'cubi (2016)'!$A$3,"MA_HT","TSC","MA_QH","CSD")</f>
        <v>0</v>
      </c>
      <c r="BF46" s="74">
        <f ca="1" t="shared" si="13"/>
        <v>0</v>
      </c>
      <c r="BG46" s="101">
        <f ca="1">AS$59-$BF46</f>
        <v>0</v>
      </c>
      <c r="BH46" s="41" t="e">
        <f ca="1" t="shared" si="14"/>
        <v>#REF!</v>
      </c>
      <c r="BI46" s="114"/>
      <c r="BJ46" s="114" t="e">
        <f>#REF!</f>
        <v>#REF!</v>
      </c>
      <c r="BK46" s="115" t="e">
        <f ca="1">BH46-BJ46</f>
        <v>#REF!</v>
      </c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</row>
    <row r="47" s="2" customFormat="1" ht="15.75" customHeight="1" spans="1:79">
      <c r="A47" s="54" t="s">
        <v>8412</v>
      </c>
      <c r="B47" s="55" t="s">
        <v>8413</v>
      </c>
      <c r="C47" s="56" t="s">
        <v>8293</v>
      </c>
      <c r="D47" s="57" t="e">
        <f>+#REF!</f>
        <v>#REF!</v>
      </c>
      <c r="E47" s="58">
        <f ca="1" t="shared" si="15"/>
        <v>0</v>
      </c>
      <c r="F47" s="59">
        <f ca="1" t="shared" si="9"/>
        <v>0</v>
      </c>
      <c r="G47" s="60">
        <f ca="1">+GETPIVOTDATA("XCB4",'cubi (2016)'!$A$3,"MA_HT","DTS","MA_QH","LUC")</f>
        <v>0</v>
      </c>
      <c r="H47" s="60">
        <f ca="1">+GETPIVOTDATA("XCB4",'cubi (2016)'!$A$3,"MA_HT","DTS","MA_QH","LUK")</f>
        <v>0</v>
      </c>
      <c r="I47" s="60">
        <f ca="1">+GETPIVOTDATA("XCB4",'cubi (2016)'!$A$3,"MA_HT","DTS","MA_QH","LUN")</f>
        <v>0</v>
      </c>
      <c r="J47" s="60">
        <f ca="1">+GETPIVOTDATA("XCB4",'cubi (2016)'!$A$3,"MA_HT","DTS","MA_QH","HNK")</f>
        <v>0</v>
      </c>
      <c r="K47" s="60">
        <f ca="1">+GETPIVOTDATA("XCB4",'cubi (2016)'!$A$3,"MA_HT","DTS","MA_QH","CLN")</f>
        <v>0</v>
      </c>
      <c r="L47" s="60">
        <f ca="1">+GETPIVOTDATA("XCB4",'cubi (2016)'!$A$3,"MA_HT","DTS","MA_QH","RSX")</f>
        <v>0</v>
      </c>
      <c r="M47" s="60">
        <f ca="1">+GETPIVOTDATA("XCB4",'cubi (2016)'!$A$3,"MA_HT","DTS","MA_QH","RPH")</f>
        <v>0</v>
      </c>
      <c r="N47" s="60">
        <f ca="1">+GETPIVOTDATA("XCB4",'cubi (2016)'!$A$3,"MA_HT","DTS","MA_QH","RDD")</f>
        <v>0</v>
      </c>
      <c r="O47" s="60">
        <f ca="1">+GETPIVOTDATA("XCB4",'cubi (2016)'!$A$3,"MA_HT","DTS","MA_QH","NTS")</f>
        <v>0</v>
      </c>
      <c r="P47" s="60">
        <f ca="1">+GETPIVOTDATA("XCB4",'cubi (2016)'!$A$3,"MA_HT","DTS","MA_QH","LMU")</f>
        <v>0</v>
      </c>
      <c r="Q47" s="60">
        <f ca="1">+GETPIVOTDATA("XCB4",'cubi (2016)'!$A$3,"MA_HT","DTS","MA_QH","NKH")</f>
        <v>0</v>
      </c>
      <c r="R47" s="78">
        <f ca="1">SUM(S47:AA47,AN47:AS47,AU47:BD47)</f>
        <v>0</v>
      </c>
      <c r="S47" s="60">
        <f ca="1">+GETPIVOTDATA("XCB4",'cubi (2016)'!$A$3,"MA_HT","DTS","MA_QH","CQP")</f>
        <v>0</v>
      </c>
      <c r="T47" s="60">
        <f ca="1">+GETPIVOTDATA("XCB4",'cubi (2016)'!$A$3,"MA_HT","DTS","MA_QH","CAN")</f>
        <v>0</v>
      </c>
      <c r="U47" s="60">
        <f ca="1">+GETPIVOTDATA("XCB4",'cubi (2016)'!$A$3,"MA_HT","DTS","MA_QH","SKK")</f>
        <v>0</v>
      </c>
      <c r="V47" s="60">
        <f ca="1">+GETPIVOTDATA("XCB4",'cubi (2016)'!$A$3,"MA_HT","DTS","MA_QH","SKT")</f>
        <v>0</v>
      </c>
      <c r="W47" s="60">
        <f ca="1">+GETPIVOTDATA("XCB4",'cubi (2016)'!$A$3,"MA_HT","DTS","MA_QH","SKN")</f>
        <v>0</v>
      </c>
      <c r="X47" s="60">
        <f ca="1">+GETPIVOTDATA("XCB4",'cubi (2016)'!$A$3,"MA_HT","DTS","MA_QH","TMD")</f>
        <v>0</v>
      </c>
      <c r="Y47" s="60">
        <f ca="1">+GETPIVOTDATA("XCB4",'cubi (2016)'!$A$3,"MA_HT","DTS","MA_QH","SKC")</f>
        <v>0</v>
      </c>
      <c r="Z47" s="60">
        <f ca="1">+GETPIVOTDATA("XCB4",'cubi (2016)'!$A$3,"MA_HT","DTS","MA_QH","SKS")</f>
        <v>0</v>
      </c>
      <c r="AA47" s="59">
        <f ca="1" t="shared" si="21"/>
        <v>0</v>
      </c>
      <c r="AB47" s="60">
        <f ca="1">+GETPIVOTDATA("XCB4",'cubi (2016)'!$A$3,"MA_HT","DTS","MA_QH","DGT")</f>
        <v>0</v>
      </c>
      <c r="AC47" s="60">
        <f ca="1">+GETPIVOTDATA("XCB4",'cubi (2016)'!$A$3,"MA_HT","DTS","MA_QH","DTL")</f>
        <v>0</v>
      </c>
      <c r="AD47" s="60">
        <f ca="1">+GETPIVOTDATA("XCB4",'cubi (2016)'!$A$3,"MA_HT","DTS","MA_QH","DNL")</f>
        <v>0</v>
      </c>
      <c r="AE47" s="60">
        <f ca="1">+GETPIVOTDATA("XCB4",'cubi (2016)'!$A$3,"MA_HT","DTS","MA_QH","DBV")</f>
        <v>0</v>
      </c>
      <c r="AF47" s="60">
        <f ca="1">+GETPIVOTDATA("XCB4",'cubi (2016)'!$A$3,"MA_HT","DTS","MA_QH","DVH")</f>
        <v>0</v>
      </c>
      <c r="AG47" s="60">
        <f ca="1">+GETPIVOTDATA("XCB4",'cubi (2016)'!$A$3,"MA_HT","DTS","MA_QH","DYT")</f>
        <v>0</v>
      </c>
      <c r="AH47" s="60">
        <f ca="1">+GETPIVOTDATA("XCB4",'cubi (2016)'!$A$3,"MA_HT","DTS","MA_QH","DGD")</f>
        <v>0</v>
      </c>
      <c r="AI47" s="60">
        <f ca="1">+GETPIVOTDATA("XCB4",'cubi (2016)'!$A$3,"MA_HT","DTS","MA_QH","DTT")</f>
        <v>0</v>
      </c>
      <c r="AJ47" s="60">
        <f ca="1">+GETPIVOTDATA("XCB4",'cubi (2016)'!$A$3,"MA_HT","DTS","MA_QH","NCK")</f>
        <v>0</v>
      </c>
      <c r="AK47" s="60">
        <f ca="1">+GETPIVOTDATA("XCB4",'cubi (2016)'!$A$3,"MA_HT","DTS","MA_QH","DXH")</f>
        <v>0</v>
      </c>
      <c r="AL47" s="60">
        <f ca="1">+GETPIVOTDATA("XCB4",'cubi (2016)'!$A$3,"MA_HT","DTS","MA_QH","DCH")</f>
        <v>0</v>
      </c>
      <c r="AM47" s="60">
        <f ca="1">+GETPIVOTDATA("XCB4",'cubi (2016)'!$A$3,"MA_HT","DTS","MA_QH","DKG")</f>
        <v>0</v>
      </c>
      <c r="AN47" s="60">
        <f ca="1">+GETPIVOTDATA("XCB4",'cubi (2016)'!$A$3,"MA_HT","DTS","MA_QH","DDT")</f>
        <v>0</v>
      </c>
      <c r="AO47" s="60">
        <f ca="1">+GETPIVOTDATA("XCB4",'cubi (2016)'!$A$3,"MA_HT","DTS","MA_QH","DDL")</f>
        <v>0</v>
      </c>
      <c r="AP47" s="60">
        <f ca="1">+GETPIVOTDATA("XCB4",'cubi (2016)'!$A$3,"MA_HT","DTS","MA_QH","DRA")</f>
        <v>0</v>
      </c>
      <c r="AQ47" s="60">
        <f ca="1">+GETPIVOTDATA("XCB4",'cubi (2016)'!$A$3,"MA_HT","DTS","MA_QH","ONT")</f>
        <v>0</v>
      </c>
      <c r="AR47" s="60">
        <f ca="1">+GETPIVOTDATA("XCB4",'cubi (2016)'!$A$3,"MA_HT","DTS","MA_QH","ODT")</f>
        <v>0</v>
      </c>
      <c r="AS47" s="60">
        <f ca="1">+GETPIVOTDATA("XCB4",'cubi (2016)'!$A$3,"MA_HT","DTS","MA_QH","TSC")</f>
        <v>0</v>
      </c>
      <c r="AT47" s="81" t="e">
        <f ca="1">$D47-$BF47</f>
        <v>#REF!</v>
      </c>
      <c r="AU47" s="60">
        <f ca="1">+GETPIVOTDATA("XCB4",'cubi (2016)'!$A$3,"MA_HT","DTS","MA_QH","DNG")</f>
        <v>0</v>
      </c>
      <c r="AV47" s="60">
        <f ca="1">+GETPIVOTDATA("XCB4",'cubi (2016)'!$A$3,"MA_HT","DTS","MA_QH","TON")</f>
        <v>0</v>
      </c>
      <c r="AW47" s="60">
        <f ca="1">+GETPIVOTDATA("XCB4",'cubi (2016)'!$A$3,"MA_HT","DTS","MA_QH","NTD")</f>
        <v>0</v>
      </c>
      <c r="AX47" s="60">
        <f ca="1">+GETPIVOTDATA("XCB4",'cubi (2016)'!$A$3,"MA_HT","DTS","MA_QH","SKX")</f>
        <v>0</v>
      </c>
      <c r="AY47" s="60">
        <f ca="1">+GETPIVOTDATA("XCB4",'cubi (2016)'!$A$3,"MA_HT","DTS","MA_QH","DSH")</f>
        <v>0</v>
      </c>
      <c r="AZ47" s="60">
        <f ca="1">+GETPIVOTDATA("XCB4",'cubi (2016)'!$A$3,"MA_HT","DTS","MA_QH","DKV")</f>
        <v>0</v>
      </c>
      <c r="BA47" s="90">
        <f ca="1">+GETPIVOTDATA("XCB4",'cubi (2016)'!$A$3,"MA_HT","DTS","MA_QH","TIN")</f>
        <v>0</v>
      </c>
      <c r="BB47" s="91">
        <f ca="1">+GETPIVOTDATA("XCB4",'cubi (2016)'!$A$3,"MA_HT","DTS","MA_QH","SON")</f>
        <v>0</v>
      </c>
      <c r="BC47" s="91">
        <f ca="1">+GETPIVOTDATA("XCB4",'cubi (2016)'!$A$3,"MA_HT","DTS","MA_QH","MNC")</f>
        <v>0</v>
      </c>
      <c r="BD47" s="60">
        <f ca="1">+GETPIVOTDATA("XCB4",'cubi (2016)'!$A$3,"MA_HT","DTS","MA_QH","PNK")</f>
        <v>0</v>
      </c>
      <c r="BE47" s="111">
        <f ca="1">+GETPIVOTDATA("XCB4",'cubi (2016)'!$A$3,"MA_HT","DTS","MA_QH","CSD")</f>
        <v>0</v>
      </c>
      <c r="BF47" s="112">
        <f ca="1" t="shared" si="13"/>
        <v>0</v>
      </c>
      <c r="BG47" s="113">
        <f ca="1">AT$59-$BF47</f>
        <v>0</v>
      </c>
      <c r="BH47" s="57" t="e">
        <f ca="1" t="shared" si="14"/>
        <v>#REF!</v>
      </c>
      <c r="BI47" s="98"/>
      <c r="BJ47" s="98"/>
      <c r="BK47" s="107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</row>
    <row r="48" s="2" customFormat="1" ht="15.75" customHeight="1" spans="1:79">
      <c r="A48" s="39" t="s">
        <v>8414</v>
      </c>
      <c r="B48" s="53" t="s">
        <v>8415</v>
      </c>
      <c r="C48" s="40" t="s">
        <v>8290</v>
      </c>
      <c r="D48" s="41" t="e">
        <f>+#REF!</f>
        <v>#REF!</v>
      </c>
      <c r="E48" s="42">
        <f ca="1" t="shared" si="15"/>
        <v>0</v>
      </c>
      <c r="F48" s="52">
        <f ca="1" t="shared" si="9"/>
        <v>0</v>
      </c>
      <c r="G48" s="22">
        <f ca="1">+GETPIVOTDATA("XCB4",'cubi (2016)'!$A$3,"MA_HT","DNG","MA_QH","LUC")</f>
        <v>0</v>
      </c>
      <c r="H48" s="22">
        <f ca="1">+GETPIVOTDATA("XCB4",'cubi (2016)'!$A$3,"MA_HT","DNG","MA_QH","LUK")</f>
        <v>0</v>
      </c>
      <c r="I48" s="22">
        <f ca="1">+GETPIVOTDATA("XCB4",'cubi (2016)'!$A$3,"MA_HT","DNG","MA_QH","LUN")</f>
        <v>0</v>
      </c>
      <c r="J48" s="22">
        <f ca="1">+GETPIVOTDATA("XCB4",'cubi (2016)'!$A$3,"MA_HT","DNG","MA_QH","HNK")</f>
        <v>0</v>
      </c>
      <c r="K48" s="22">
        <f ca="1">+GETPIVOTDATA("XCB4",'cubi (2016)'!$A$3,"MA_HT","DNG","MA_QH","CLN")</f>
        <v>0</v>
      </c>
      <c r="L48" s="22">
        <f ca="1">+GETPIVOTDATA("XCB4",'cubi (2016)'!$A$3,"MA_HT","DNG","MA_QH","RSX")</f>
        <v>0</v>
      </c>
      <c r="M48" s="22">
        <f ca="1">+GETPIVOTDATA("XCB4",'cubi (2016)'!$A$3,"MA_HT","DNG","MA_QH","RPH")</f>
        <v>0</v>
      </c>
      <c r="N48" s="22">
        <f ca="1">+GETPIVOTDATA("XCB4",'cubi (2016)'!$A$3,"MA_HT","DNG","MA_QH","RDD")</f>
        <v>0</v>
      </c>
      <c r="O48" s="22">
        <f ca="1">+GETPIVOTDATA("XCB4",'cubi (2016)'!$A$3,"MA_HT","DNG","MA_QH","NTS")</f>
        <v>0</v>
      </c>
      <c r="P48" s="22">
        <f ca="1">+GETPIVOTDATA("XCB4",'cubi (2016)'!$A$3,"MA_HT","DNG","MA_QH","LMU")</f>
        <v>0</v>
      </c>
      <c r="Q48" s="22">
        <f ca="1">+GETPIVOTDATA("XCB4",'cubi (2016)'!$A$3,"MA_HT","DNG","MA_QH","NKH")</f>
        <v>0</v>
      </c>
      <c r="R48" s="79">
        <f ca="1">SUM(S48:AA48,AN48:AT48,AV48:BD48)</f>
        <v>0</v>
      </c>
      <c r="S48" s="22">
        <f ca="1">+GETPIVOTDATA("XCB4",'cubi (2016)'!$A$3,"MA_HT","DNG","MA_QH","CQP")</f>
        <v>0</v>
      </c>
      <c r="T48" s="22">
        <f ca="1">+GETPIVOTDATA("XCB4",'cubi (2016)'!$A$3,"MA_HT","DNG","MA_QH","CAN")</f>
        <v>0</v>
      </c>
      <c r="U48" s="22">
        <f ca="1">+GETPIVOTDATA("XCB4",'cubi (2016)'!$A$3,"MA_HT","DNG","MA_QH","SKK")</f>
        <v>0</v>
      </c>
      <c r="V48" s="22">
        <f ca="1">+GETPIVOTDATA("XCB4",'cubi (2016)'!$A$3,"MA_HT","DNG","MA_QH","SKT")</f>
        <v>0</v>
      </c>
      <c r="W48" s="22">
        <f ca="1">+GETPIVOTDATA("XCB4",'cubi (2016)'!$A$3,"MA_HT","DNG","MA_QH","SKN")</f>
        <v>0</v>
      </c>
      <c r="X48" s="22">
        <f ca="1">+GETPIVOTDATA("XCB4",'cubi (2016)'!$A$3,"MA_HT","DNG","MA_QH","TMD")</f>
        <v>0</v>
      </c>
      <c r="Y48" s="22">
        <f ca="1">+GETPIVOTDATA("XCB4",'cubi (2016)'!$A$3,"MA_HT","DNG","MA_QH","SKC")</f>
        <v>0</v>
      </c>
      <c r="Z48" s="22">
        <f ca="1">+GETPIVOTDATA("XCB4",'cubi (2016)'!$A$3,"MA_HT","DNG","MA_QH","SKS")</f>
        <v>0</v>
      </c>
      <c r="AA48" s="52">
        <f ca="1" t="shared" si="21"/>
        <v>0</v>
      </c>
      <c r="AB48" s="22">
        <f ca="1">+GETPIVOTDATA("XCB4",'cubi (2016)'!$A$3,"MA_HT","DNG","MA_QH","DGT")</f>
        <v>0</v>
      </c>
      <c r="AC48" s="22">
        <f ca="1">+GETPIVOTDATA("XCB4",'cubi (2016)'!$A$3,"MA_HT","DNG","MA_QH","DTL")</f>
        <v>0</v>
      </c>
      <c r="AD48" s="22">
        <f ca="1">+GETPIVOTDATA("XCB4",'cubi (2016)'!$A$3,"MA_HT","DNG","MA_QH","DNL")</f>
        <v>0</v>
      </c>
      <c r="AE48" s="22">
        <f ca="1">+GETPIVOTDATA("XCB4",'cubi (2016)'!$A$3,"MA_HT","DNG","MA_QH","DBV")</f>
        <v>0</v>
      </c>
      <c r="AF48" s="22">
        <f ca="1">+GETPIVOTDATA("XCB4",'cubi (2016)'!$A$3,"MA_HT","DNG","MA_QH","DVH")</f>
        <v>0</v>
      </c>
      <c r="AG48" s="22">
        <f ca="1">+GETPIVOTDATA("XCB4",'cubi (2016)'!$A$3,"MA_HT","DNG","MA_QH","DYT")</f>
        <v>0</v>
      </c>
      <c r="AH48" s="22">
        <f ca="1">+GETPIVOTDATA("XCB4",'cubi (2016)'!$A$3,"MA_HT","DNG","MA_QH","DGD")</f>
        <v>0</v>
      </c>
      <c r="AI48" s="22">
        <f ca="1">+GETPIVOTDATA("XCB4",'cubi (2016)'!$A$3,"MA_HT","DNG","MA_QH","DTT")</f>
        <v>0</v>
      </c>
      <c r="AJ48" s="22">
        <f ca="1">+GETPIVOTDATA("XCB4",'cubi (2016)'!$A$3,"MA_HT","DNG","MA_QH","NCK")</f>
        <v>0</v>
      </c>
      <c r="AK48" s="22">
        <f ca="1">+GETPIVOTDATA("XCB4",'cubi (2016)'!$A$3,"MA_HT","DNG","MA_QH","DXH")</f>
        <v>0</v>
      </c>
      <c r="AL48" s="22">
        <f ca="1">+GETPIVOTDATA("XCB4",'cubi (2016)'!$A$3,"MA_HT","DNG","MA_QH","DCH")</f>
        <v>0</v>
      </c>
      <c r="AM48" s="22">
        <f ca="1">+GETPIVOTDATA("XCB4",'cubi (2016)'!$A$3,"MA_HT","DNG","MA_QH","DKG")</f>
        <v>0</v>
      </c>
      <c r="AN48" s="22">
        <f ca="1">+GETPIVOTDATA("XCB4",'cubi (2016)'!$A$3,"MA_HT","DNG","MA_QH","DDT")</f>
        <v>0</v>
      </c>
      <c r="AO48" s="22">
        <f ca="1">+GETPIVOTDATA("XCB4",'cubi (2016)'!$A$3,"MA_HT","DNG","MA_QH","DDL")</f>
        <v>0</v>
      </c>
      <c r="AP48" s="22">
        <f ca="1">+GETPIVOTDATA("XCB4",'cubi (2016)'!$A$3,"MA_HT","DNG","MA_QH","DRA")</f>
        <v>0</v>
      </c>
      <c r="AQ48" s="22">
        <f ca="1">+GETPIVOTDATA("XCB4",'cubi (2016)'!$A$3,"MA_HT","DNG","MA_QH","ONT")</f>
        <v>0</v>
      </c>
      <c r="AR48" s="22">
        <f ca="1">+GETPIVOTDATA("XCB4",'cubi (2016)'!$A$3,"MA_HT","DNG","MA_QH","ODT")</f>
        <v>0</v>
      </c>
      <c r="AS48" s="22">
        <f ca="1">+GETPIVOTDATA("XCB4",'cubi (2016)'!$A$3,"MA_HT","DNG","MA_QH","TSC")</f>
        <v>0</v>
      </c>
      <c r="AT48" s="22">
        <f ca="1">+GETPIVOTDATA("XCB4",'cubi (2016)'!$A$3,"MA_HT","DNG","MA_QH","DTS")</f>
        <v>0</v>
      </c>
      <c r="AU48" s="43" t="e">
        <f ca="1">$D48-$BF48</f>
        <v>#REF!</v>
      </c>
      <c r="AV48" s="22">
        <f ca="1">+GETPIVOTDATA("XCB4",'cubi (2016)'!$A$3,"MA_HT","DNG","MA_QH","TON")</f>
        <v>0</v>
      </c>
      <c r="AW48" s="22">
        <f ca="1">+GETPIVOTDATA("XCB4",'cubi (2016)'!$A$3,"MA_HT","DNG","MA_QH","NTD")</f>
        <v>0</v>
      </c>
      <c r="AX48" s="22">
        <f ca="1">+GETPIVOTDATA("XCB4",'cubi (2016)'!$A$3,"MA_HT","DNG","MA_QH","SKX")</f>
        <v>0</v>
      </c>
      <c r="AY48" s="22">
        <f ca="1">+GETPIVOTDATA("XCB4",'cubi (2016)'!$A$3,"MA_HT","DNG","MA_QH","DSH")</f>
        <v>0</v>
      </c>
      <c r="AZ48" s="22">
        <f ca="1">+GETPIVOTDATA("XCB4",'cubi (2016)'!$A$3,"MA_HT","DNG","MA_QH","DKV")</f>
        <v>0</v>
      </c>
      <c r="BA48" s="89">
        <f ca="1">+GETPIVOTDATA("XCB4",'cubi (2016)'!$A$3,"MA_HT","DNG","MA_QH","TIN")</f>
        <v>0</v>
      </c>
      <c r="BB48" s="50">
        <f ca="1">+GETPIVOTDATA("XCB4",'cubi (2016)'!$A$3,"MA_HT","DNG","MA_QH","SON")</f>
        <v>0</v>
      </c>
      <c r="BC48" s="50">
        <f ca="1">+GETPIVOTDATA("XCB4",'cubi (2016)'!$A$3,"MA_HT","DNG","MA_QH","MNC")</f>
        <v>0</v>
      </c>
      <c r="BD48" s="22">
        <f ca="1">+GETPIVOTDATA("XCB4",'cubi (2016)'!$A$3,"MA_HT","DNG","MA_QH","PNK")</f>
        <v>0</v>
      </c>
      <c r="BE48" s="71">
        <f ca="1">+GETPIVOTDATA("XCB4",'cubi (2016)'!$A$3,"MA_HT","DNG","MA_QH","CSD")</f>
        <v>0</v>
      </c>
      <c r="BF48" s="74">
        <f ca="1" t="shared" si="13"/>
        <v>0</v>
      </c>
      <c r="BG48" s="101">
        <f ca="1">AU$59-$BF48</f>
        <v>0</v>
      </c>
      <c r="BH48" s="41" t="e">
        <f ca="1" t="shared" si="14"/>
        <v>#REF!</v>
      </c>
      <c r="BI48" s="98"/>
      <c r="BJ48" s="98" t="e">
        <f>#REF!</f>
        <v>#REF!</v>
      </c>
      <c r="BK48" s="107" t="e">
        <f ca="1">BH48-BJ48</f>
        <v>#REF!</v>
      </c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</row>
    <row r="49" s="2" customFormat="1" ht="15.75" customHeight="1" spans="1:79">
      <c r="A49" s="39" t="s">
        <v>8416</v>
      </c>
      <c r="B49" s="53" t="s">
        <v>8417</v>
      </c>
      <c r="C49" s="40" t="s">
        <v>324</v>
      </c>
      <c r="D49" s="41" t="e">
        <f>+#REF!</f>
        <v>#REF!</v>
      </c>
      <c r="E49" s="42">
        <f ca="1" t="shared" si="15"/>
        <v>0</v>
      </c>
      <c r="F49" s="52">
        <f ca="1" t="shared" si="9"/>
        <v>0</v>
      </c>
      <c r="G49" s="22">
        <f ca="1">+GETPIVOTDATA("XCB4",'cubi (2016)'!$A$3,"MA_HT","TON","MA_QH","LUC")</f>
        <v>0</v>
      </c>
      <c r="H49" s="22">
        <f ca="1">+GETPIVOTDATA("XCB4",'cubi (2016)'!$A$3,"MA_HT","TON","MA_QH","LUK")</f>
        <v>0</v>
      </c>
      <c r="I49" s="22">
        <f ca="1">+GETPIVOTDATA("XCB4",'cubi (2016)'!$A$3,"MA_HT","TON","MA_QH","LUN")</f>
        <v>0</v>
      </c>
      <c r="J49" s="22">
        <f ca="1">+GETPIVOTDATA("XCB4",'cubi (2016)'!$A$3,"MA_HT","TON","MA_QH","HNK")</f>
        <v>0</v>
      </c>
      <c r="K49" s="22">
        <f ca="1">+GETPIVOTDATA("XCB4",'cubi (2016)'!$A$3,"MA_HT","TON","MA_QH","CLN")</f>
        <v>0</v>
      </c>
      <c r="L49" s="22">
        <f ca="1">+GETPIVOTDATA("XCB4",'cubi (2016)'!$A$3,"MA_HT","TON","MA_QH","RSX")</f>
        <v>0</v>
      </c>
      <c r="M49" s="22">
        <f ca="1">+GETPIVOTDATA("XCB4",'cubi (2016)'!$A$3,"MA_HT","TON","MA_QH","RPH")</f>
        <v>0</v>
      </c>
      <c r="N49" s="22">
        <f ca="1">+GETPIVOTDATA("XCB4",'cubi (2016)'!$A$3,"MA_HT","TON","MA_QH","RDD")</f>
        <v>0</v>
      </c>
      <c r="O49" s="22">
        <f ca="1">+GETPIVOTDATA("XCB4",'cubi (2016)'!$A$3,"MA_HT","TON","MA_QH","NTS")</f>
        <v>0</v>
      </c>
      <c r="P49" s="22">
        <f ca="1">+GETPIVOTDATA("XCB4",'cubi (2016)'!$A$3,"MA_HT","TON","MA_QH","LMU")</f>
        <v>0</v>
      </c>
      <c r="Q49" s="22">
        <f ca="1">+GETPIVOTDATA("XCB4",'cubi (2016)'!$A$3,"MA_HT","TON","MA_QH","NKH")</f>
        <v>0</v>
      </c>
      <c r="R49" s="79">
        <f ca="1">SUM(S49:AA49,AN49:AU49,AW49:BD49)</f>
        <v>0</v>
      </c>
      <c r="S49" s="22">
        <f ca="1">+GETPIVOTDATA("XCB4",'cubi (2016)'!$A$3,"MA_HT","TON","MA_QH","CQP")</f>
        <v>0</v>
      </c>
      <c r="T49" s="22">
        <f ca="1">+GETPIVOTDATA("XCB4",'cubi (2016)'!$A$3,"MA_HT","TON","MA_QH","CAN")</f>
        <v>0</v>
      </c>
      <c r="U49" s="22">
        <f ca="1">+GETPIVOTDATA("XCB4",'cubi (2016)'!$A$3,"MA_HT","TON","MA_QH","SKK")</f>
        <v>0</v>
      </c>
      <c r="V49" s="22">
        <f ca="1">+GETPIVOTDATA("XCB4",'cubi (2016)'!$A$3,"MA_HT","TON","MA_QH","SKT")</f>
        <v>0</v>
      </c>
      <c r="W49" s="22">
        <f ca="1">+GETPIVOTDATA("XCB4",'cubi (2016)'!$A$3,"MA_HT","TON","MA_QH","SKN")</f>
        <v>0</v>
      </c>
      <c r="X49" s="22">
        <f ca="1">+GETPIVOTDATA("XCB4",'cubi (2016)'!$A$3,"MA_HT","TON","MA_QH","TMD")</f>
        <v>0</v>
      </c>
      <c r="Y49" s="22">
        <f ca="1">+GETPIVOTDATA("XCB4",'cubi (2016)'!$A$3,"MA_HT","TON","MA_QH","SKC")</f>
        <v>0</v>
      </c>
      <c r="Z49" s="22">
        <f ca="1">+GETPIVOTDATA("XCB4",'cubi (2016)'!$A$3,"MA_HT","TON","MA_QH","SKS")</f>
        <v>0</v>
      </c>
      <c r="AA49" s="52">
        <f ca="1" t="shared" si="21"/>
        <v>0</v>
      </c>
      <c r="AB49" s="22">
        <f ca="1">+GETPIVOTDATA("XCB4",'cubi (2016)'!$A$3,"MA_HT","TON","MA_QH","DGT")</f>
        <v>0</v>
      </c>
      <c r="AC49" s="22">
        <f ca="1">+GETPIVOTDATA("XCB4",'cubi (2016)'!$A$3,"MA_HT","TON","MA_QH","DTL")</f>
        <v>0</v>
      </c>
      <c r="AD49" s="22">
        <f ca="1">+GETPIVOTDATA("XCB4",'cubi (2016)'!$A$3,"MA_HT","TON","MA_QH","DNL")</f>
        <v>0</v>
      </c>
      <c r="AE49" s="22">
        <f ca="1">+GETPIVOTDATA("XCB4",'cubi (2016)'!$A$3,"MA_HT","TON","MA_QH","DBV")</f>
        <v>0</v>
      </c>
      <c r="AF49" s="22">
        <f ca="1">+GETPIVOTDATA("XCB4",'cubi (2016)'!$A$3,"MA_HT","TON","MA_QH","DVH")</f>
        <v>0</v>
      </c>
      <c r="AG49" s="22">
        <f ca="1">+GETPIVOTDATA("XCB4",'cubi (2016)'!$A$3,"MA_HT","TON","MA_QH","DYT")</f>
        <v>0</v>
      </c>
      <c r="AH49" s="22">
        <f ca="1">+GETPIVOTDATA("XCB4",'cubi (2016)'!$A$3,"MA_HT","TON","MA_QH","DGD")</f>
        <v>0</v>
      </c>
      <c r="AI49" s="22">
        <f ca="1">+GETPIVOTDATA("XCB4",'cubi (2016)'!$A$3,"MA_HT","TON","MA_QH","DTT")</f>
        <v>0</v>
      </c>
      <c r="AJ49" s="22">
        <f ca="1">+GETPIVOTDATA("XCB4",'cubi (2016)'!$A$3,"MA_HT","TON","MA_QH","NCK")</f>
        <v>0</v>
      </c>
      <c r="AK49" s="22">
        <f ca="1">+GETPIVOTDATA("XCB4",'cubi (2016)'!$A$3,"MA_HT","TON","MA_QH","DXH")</f>
        <v>0</v>
      </c>
      <c r="AL49" s="22">
        <f ca="1">+GETPIVOTDATA("XCB4",'cubi (2016)'!$A$3,"MA_HT","TON","MA_QH","DCH")</f>
        <v>0</v>
      </c>
      <c r="AM49" s="22">
        <f ca="1">+GETPIVOTDATA("XCB4",'cubi (2016)'!$A$3,"MA_HT","TON","MA_QH","DKG")</f>
        <v>0</v>
      </c>
      <c r="AN49" s="22">
        <f ca="1">+GETPIVOTDATA("XCB4",'cubi (2016)'!$A$3,"MA_HT","TON","MA_QH","DDT")</f>
        <v>0</v>
      </c>
      <c r="AO49" s="22">
        <f ca="1">+GETPIVOTDATA("XCB4",'cubi (2016)'!$A$3,"MA_HT","TON","MA_QH","DDL")</f>
        <v>0</v>
      </c>
      <c r="AP49" s="22">
        <f ca="1">+GETPIVOTDATA("XCB4",'cubi (2016)'!$A$3,"MA_HT","TON","MA_QH","DRA")</f>
        <v>0</v>
      </c>
      <c r="AQ49" s="22">
        <f ca="1">+GETPIVOTDATA("XCB4",'cubi (2016)'!$A$3,"MA_HT","TON","MA_QH","ONT")</f>
        <v>0</v>
      </c>
      <c r="AR49" s="22">
        <f ca="1">+GETPIVOTDATA("XCB4",'cubi (2016)'!$A$3,"MA_HT","TON","MA_QH","ODT")</f>
        <v>0</v>
      </c>
      <c r="AS49" s="22">
        <f ca="1">+GETPIVOTDATA("XCB4",'cubi (2016)'!$A$3,"MA_HT","TON","MA_QH","TSC")</f>
        <v>0</v>
      </c>
      <c r="AT49" s="22">
        <f ca="1">+GETPIVOTDATA("XCB4",'cubi (2016)'!$A$3,"MA_HT","TON","MA_QH","DTS")</f>
        <v>0</v>
      </c>
      <c r="AU49" s="22">
        <f ca="1">+GETPIVOTDATA("XCB4",'cubi (2016)'!$A$3,"MA_HT","TON","MA_QH","DNG")</f>
        <v>0</v>
      </c>
      <c r="AV49" s="43" t="e">
        <f ca="1">$D49-$BF49</f>
        <v>#REF!</v>
      </c>
      <c r="AW49" s="22">
        <f ca="1">+GETPIVOTDATA("XCB4",'cubi (2016)'!$A$3,"MA_HT","TON","MA_QH","NTD")</f>
        <v>0</v>
      </c>
      <c r="AX49" s="22">
        <f ca="1">+GETPIVOTDATA("XCB4",'cubi (2016)'!$A$3,"MA_HT","TON","MA_QH","SKX")</f>
        <v>0</v>
      </c>
      <c r="AY49" s="22">
        <f ca="1">+GETPIVOTDATA("XCB4",'cubi (2016)'!$A$3,"MA_HT","TON","MA_QH","DSH")</f>
        <v>0</v>
      </c>
      <c r="AZ49" s="22">
        <f ca="1">+GETPIVOTDATA("XCB4",'cubi (2016)'!$A$3,"MA_HT","TON","MA_QH","DKV")</f>
        <v>0</v>
      </c>
      <c r="BA49" s="89">
        <f ca="1">+GETPIVOTDATA("XCB4",'cubi (2016)'!$A$3,"MA_HT","TON","MA_QH","TIN")</f>
        <v>0</v>
      </c>
      <c r="BB49" s="50">
        <f ca="1">+GETPIVOTDATA("XCB4",'cubi (2016)'!$A$3,"MA_HT","TON","MA_QH","SON")</f>
        <v>0</v>
      </c>
      <c r="BC49" s="50">
        <f ca="1">+GETPIVOTDATA("XCB4",'cubi (2016)'!$A$3,"MA_HT","TON","MA_QH","MNC")</f>
        <v>0</v>
      </c>
      <c r="BD49" s="22">
        <f ca="1">+GETPIVOTDATA("XCB4",'cubi (2016)'!$A$3,"MA_HT","TON","MA_QH","PNK")</f>
        <v>0</v>
      </c>
      <c r="BE49" s="71">
        <f ca="1">+GETPIVOTDATA("XCB4",'cubi (2016)'!$A$3,"MA_HT","TON","MA_QH","CSD")</f>
        <v>0</v>
      </c>
      <c r="BF49" s="74">
        <f ca="1" t="shared" si="13"/>
        <v>0</v>
      </c>
      <c r="BG49" s="101">
        <f ca="1">AV$59-$BF49</f>
        <v>0</v>
      </c>
      <c r="BH49" s="41" t="e">
        <f ca="1" t="shared" si="14"/>
        <v>#REF!</v>
      </c>
      <c r="BI49" s="98"/>
      <c r="BJ49" s="98" t="e">
        <f>#REF!</f>
        <v>#REF!</v>
      </c>
      <c r="BK49" s="107" t="e">
        <f ca="1">BH49-BJ49</f>
        <v>#REF!</v>
      </c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</row>
    <row r="50" s="2" customFormat="1" ht="15.75" customHeight="1" spans="1:79">
      <c r="A50" s="39" t="s">
        <v>8418</v>
      </c>
      <c r="B50" s="53" t="s">
        <v>8419</v>
      </c>
      <c r="C50" s="40" t="s">
        <v>182</v>
      </c>
      <c r="D50" s="41" t="e">
        <f>+#REF!</f>
        <v>#REF!</v>
      </c>
      <c r="E50" s="42">
        <f ca="1" t="shared" si="15"/>
        <v>0</v>
      </c>
      <c r="F50" s="52">
        <f ca="1" t="shared" si="9"/>
        <v>0</v>
      </c>
      <c r="G50" s="22">
        <f ca="1">+GETPIVOTDATA("XCB4",'cubi (2016)'!$A$3,"MA_HT","NTD","MA_QH","LUC")</f>
        <v>0</v>
      </c>
      <c r="H50" s="22">
        <f ca="1">+GETPIVOTDATA("XCB4",'cubi (2016)'!$A$3,"MA_HT","NTD","MA_QH","LUK")</f>
        <v>0</v>
      </c>
      <c r="I50" s="22">
        <f ca="1">+GETPIVOTDATA("XCB4",'cubi (2016)'!$A$3,"MA_HT","NTD","MA_QH","LUN")</f>
        <v>0</v>
      </c>
      <c r="J50" s="22">
        <f ca="1">+GETPIVOTDATA("XCB4",'cubi (2016)'!$A$3,"MA_HT","NTD","MA_QH","HNK")</f>
        <v>0</v>
      </c>
      <c r="K50" s="22">
        <f ca="1">+GETPIVOTDATA("XCB4",'cubi (2016)'!$A$3,"MA_HT","NTD","MA_QH","CLN")</f>
        <v>0</v>
      </c>
      <c r="L50" s="22">
        <f ca="1">+GETPIVOTDATA("XCB4",'cubi (2016)'!$A$3,"MA_HT","NTD","MA_QH","RSX")</f>
        <v>0</v>
      </c>
      <c r="M50" s="22">
        <f ca="1">+GETPIVOTDATA("XCB4",'cubi (2016)'!$A$3,"MA_HT","NTD","MA_QH","RPH")</f>
        <v>0</v>
      </c>
      <c r="N50" s="22">
        <f ca="1">+GETPIVOTDATA("XCB4",'cubi (2016)'!$A$3,"MA_HT","NTD","MA_QH","RDD")</f>
        <v>0</v>
      </c>
      <c r="O50" s="22">
        <f ca="1">+GETPIVOTDATA("XCB4",'cubi (2016)'!$A$3,"MA_HT","NTD","MA_QH","NTS")</f>
        <v>0</v>
      </c>
      <c r="P50" s="22">
        <f ca="1">+GETPIVOTDATA("XCB4",'cubi (2016)'!$A$3,"MA_HT","NTD","MA_QH","LMU")</f>
        <v>0</v>
      </c>
      <c r="Q50" s="22">
        <f ca="1">+GETPIVOTDATA("XCB4",'cubi (2016)'!$A$3,"MA_HT","NTD","MA_QH","NKH")</f>
        <v>0</v>
      </c>
      <c r="R50" s="79">
        <f ca="1">SUM(S50:AA50,AN50:AV50,AX50:BD50)</f>
        <v>0</v>
      </c>
      <c r="S50" s="22">
        <f ca="1">+GETPIVOTDATA("XCB4",'cubi (2016)'!$A$3,"MA_HT","NTD","MA_QH","CQP")</f>
        <v>0</v>
      </c>
      <c r="T50" s="22">
        <f ca="1">+GETPIVOTDATA("XCB4",'cubi (2016)'!$A$3,"MA_HT","NTD","MA_QH","CAN")</f>
        <v>0</v>
      </c>
      <c r="U50" s="22">
        <f ca="1">+GETPIVOTDATA("XCB4",'cubi (2016)'!$A$3,"MA_HT","NTD","MA_QH","SKK")</f>
        <v>0</v>
      </c>
      <c r="V50" s="22">
        <f ca="1">+GETPIVOTDATA("XCB4",'cubi (2016)'!$A$3,"MA_HT","NTD","MA_QH","SKT")</f>
        <v>0</v>
      </c>
      <c r="W50" s="22">
        <f ca="1">+GETPIVOTDATA("XCB4",'cubi (2016)'!$A$3,"MA_HT","NTD","MA_QH","SKN")</f>
        <v>0</v>
      </c>
      <c r="X50" s="22">
        <f ca="1">+GETPIVOTDATA("XCB4",'cubi (2016)'!$A$3,"MA_HT","NTD","MA_QH","TMD")</f>
        <v>0</v>
      </c>
      <c r="Y50" s="22">
        <f ca="1">+GETPIVOTDATA("XCB4",'cubi (2016)'!$A$3,"MA_HT","NTD","MA_QH","SKC")</f>
        <v>0</v>
      </c>
      <c r="Z50" s="22">
        <f ca="1">+GETPIVOTDATA("XCB4",'cubi (2016)'!$A$3,"MA_HT","NTD","MA_QH","SKS")</f>
        <v>0</v>
      </c>
      <c r="AA50" s="52">
        <f ca="1" t="shared" si="21"/>
        <v>0</v>
      </c>
      <c r="AB50" s="22">
        <f ca="1">+GETPIVOTDATA("XCB4",'cubi (2016)'!$A$3,"MA_HT","NTD","MA_QH","DGT")</f>
        <v>0</v>
      </c>
      <c r="AC50" s="22">
        <f ca="1">+GETPIVOTDATA("XCB4",'cubi (2016)'!$A$3,"MA_HT","NTD","MA_QH","DTL")</f>
        <v>0</v>
      </c>
      <c r="AD50" s="22">
        <f ca="1">+GETPIVOTDATA("XCB4",'cubi (2016)'!$A$3,"MA_HT","NTD","MA_QH","DNL")</f>
        <v>0</v>
      </c>
      <c r="AE50" s="22">
        <f ca="1">+GETPIVOTDATA("XCB4",'cubi (2016)'!$A$3,"MA_HT","NTD","MA_QH","DBV")</f>
        <v>0</v>
      </c>
      <c r="AF50" s="22">
        <f ca="1">+GETPIVOTDATA("XCB4",'cubi (2016)'!$A$3,"MA_HT","NTD","MA_QH","DVH")</f>
        <v>0</v>
      </c>
      <c r="AG50" s="22">
        <f ca="1">+GETPIVOTDATA("XCB4",'cubi (2016)'!$A$3,"MA_HT","NTD","MA_QH","DYT")</f>
        <v>0</v>
      </c>
      <c r="AH50" s="22">
        <f ca="1">+GETPIVOTDATA("XCB4",'cubi (2016)'!$A$3,"MA_HT","NTD","MA_QH","DGD")</f>
        <v>0</v>
      </c>
      <c r="AI50" s="22">
        <f ca="1">+GETPIVOTDATA("XCB4",'cubi (2016)'!$A$3,"MA_HT","NTD","MA_QH","DTT")</f>
        <v>0</v>
      </c>
      <c r="AJ50" s="22">
        <f ca="1">+GETPIVOTDATA("XCB4",'cubi (2016)'!$A$3,"MA_HT","NTD","MA_QH","NCK")</f>
        <v>0</v>
      </c>
      <c r="AK50" s="22">
        <f ca="1">+GETPIVOTDATA("XCB4",'cubi (2016)'!$A$3,"MA_HT","NTD","MA_QH","DXH")</f>
        <v>0</v>
      </c>
      <c r="AL50" s="22">
        <f ca="1">+GETPIVOTDATA("XCB4",'cubi (2016)'!$A$3,"MA_HT","NTD","MA_QH","DCH")</f>
        <v>0</v>
      </c>
      <c r="AM50" s="22">
        <f ca="1">+GETPIVOTDATA("XCB4",'cubi (2016)'!$A$3,"MA_HT","NTD","MA_QH","DKG")</f>
        <v>0</v>
      </c>
      <c r="AN50" s="22">
        <f ca="1">+GETPIVOTDATA("XCB4",'cubi (2016)'!$A$3,"MA_HT","NTD","MA_QH","DDT")</f>
        <v>0</v>
      </c>
      <c r="AO50" s="22">
        <f ca="1">+GETPIVOTDATA("XCB4",'cubi (2016)'!$A$3,"MA_HT","NTD","MA_QH","DDL")</f>
        <v>0</v>
      </c>
      <c r="AP50" s="22">
        <f ca="1">+GETPIVOTDATA("XCB4",'cubi (2016)'!$A$3,"MA_HT","NTD","MA_QH","DRA")</f>
        <v>0</v>
      </c>
      <c r="AQ50" s="22">
        <f ca="1">+GETPIVOTDATA("XCB4",'cubi (2016)'!$A$3,"MA_HT","NTD","MA_QH","ONT")</f>
        <v>0</v>
      </c>
      <c r="AR50" s="22">
        <f ca="1">+GETPIVOTDATA("XCB4",'cubi (2016)'!$A$3,"MA_HT","NTD","MA_QH","ODT")</f>
        <v>0</v>
      </c>
      <c r="AS50" s="22">
        <f ca="1">+GETPIVOTDATA("XCB4",'cubi (2016)'!$A$3,"MA_HT","NTD","MA_QH","TSC")</f>
        <v>0</v>
      </c>
      <c r="AT50" s="22">
        <f ca="1">+GETPIVOTDATA("XCB4",'cubi (2016)'!$A$3,"MA_HT","NTD","MA_QH","DTS")</f>
        <v>0</v>
      </c>
      <c r="AU50" s="22">
        <f ca="1">+GETPIVOTDATA("XCB4",'cubi (2016)'!$A$3,"MA_HT","NTD","MA_QH","DNG")</f>
        <v>0</v>
      </c>
      <c r="AV50" s="22">
        <f ca="1">+GETPIVOTDATA("XCB4",'cubi (2016)'!$A$3,"MA_HT","NTD","MA_QH","TON")</f>
        <v>0</v>
      </c>
      <c r="AW50" s="43" t="e">
        <f ca="1">$D50-$BF50</f>
        <v>#REF!</v>
      </c>
      <c r="AX50" s="22">
        <f ca="1">+GETPIVOTDATA("XCB4",'cubi (2016)'!$A$3,"MA_HT","NTD","MA_QH","SKX")</f>
        <v>0</v>
      </c>
      <c r="AY50" s="22">
        <f ca="1">+GETPIVOTDATA("XCB4",'cubi (2016)'!$A$3,"MA_HT","NTD","MA_QH","DSH")</f>
        <v>0</v>
      </c>
      <c r="AZ50" s="22">
        <f ca="1">+GETPIVOTDATA("XCB4",'cubi (2016)'!$A$3,"MA_HT","NTD","MA_QH","DKV")</f>
        <v>0</v>
      </c>
      <c r="BA50" s="89">
        <f ca="1">+GETPIVOTDATA("XCB4",'cubi (2016)'!$A$3,"MA_HT","NTD","MA_QH","TIN")</f>
        <v>0</v>
      </c>
      <c r="BB50" s="50">
        <f ca="1">+GETPIVOTDATA("XCB4",'cubi (2016)'!$A$3,"MA_HT","NTD","MA_QH","SON")</f>
        <v>0</v>
      </c>
      <c r="BC50" s="50">
        <f ca="1">+GETPIVOTDATA("XCB4",'cubi (2016)'!$A$3,"MA_HT","NTD","MA_QH","MNC")</f>
        <v>0</v>
      </c>
      <c r="BD50" s="22">
        <f ca="1">+GETPIVOTDATA("XCB4",'cubi (2016)'!$A$3,"MA_HT","NTD","MA_QH","PNK")</f>
        <v>0</v>
      </c>
      <c r="BE50" s="71">
        <f ca="1">+GETPIVOTDATA("XCB4",'cubi (2016)'!$A$3,"MA_HT","NTD","MA_QH","CSD")</f>
        <v>0</v>
      </c>
      <c r="BF50" s="74">
        <f ca="1" t="shared" si="13"/>
        <v>0</v>
      </c>
      <c r="BG50" s="101">
        <f ca="1">AW$59-$BF50</f>
        <v>0</v>
      </c>
      <c r="BH50" s="41" t="e">
        <f ca="1" t="shared" si="14"/>
        <v>#REF!</v>
      </c>
      <c r="BI50" s="98"/>
      <c r="BJ50" s="98"/>
      <c r="BK50" s="107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</row>
    <row r="51" s="2" customFormat="1" ht="15.75" customHeight="1" spans="1:79">
      <c r="A51" s="39" t="s">
        <v>8420</v>
      </c>
      <c r="B51" s="39" t="s">
        <v>8421</v>
      </c>
      <c r="C51" s="40" t="s">
        <v>236</v>
      </c>
      <c r="D51" s="41" t="e">
        <f>+#REF!</f>
        <v>#REF!</v>
      </c>
      <c r="E51" s="42">
        <f ca="1" t="shared" si="15"/>
        <v>0</v>
      </c>
      <c r="F51" s="52">
        <f ca="1" t="shared" si="9"/>
        <v>0</v>
      </c>
      <c r="G51" s="22">
        <f ca="1">+GETPIVOTDATA("XCB4",'cubi (2016)'!$A$3,"MA_HT","SKX","MA_QH","LUC")</f>
        <v>0</v>
      </c>
      <c r="H51" s="22">
        <f ca="1">+GETPIVOTDATA("XCB4",'cubi (2016)'!$A$3,"MA_HT","SKX","MA_QH","LUK")</f>
        <v>0</v>
      </c>
      <c r="I51" s="22">
        <f ca="1">+GETPIVOTDATA("XCB4",'cubi (2016)'!$A$3,"MA_HT","SKX","MA_QH","LUN")</f>
        <v>0</v>
      </c>
      <c r="J51" s="22">
        <f ca="1">+GETPIVOTDATA("XCB4",'cubi (2016)'!$A$3,"MA_HT","SKX","MA_QH","HNK")</f>
        <v>0</v>
      </c>
      <c r="K51" s="22">
        <f ca="1">+GETPIVOTDATA("XCB4",'cubi (2016)'!$A$3,"MA_HT","SKX","MA_QH","CLN")</f>
        <v>0</v>
      </c>
      <c r="L51" s="22">
        <f ca="1">+GETPIVOTDATA("XCB4",'cubi (2016)'!$A$3,"MA_HT","SKX","MA_QH","RSX")</f>
        <v>0</v>
      </c>
      <c r="M51" s="22">
        <f ca="1">+GETPIVOTDATA("XCB4",'cubi (2016)'!$A$3,"MA_HT","SKX","MA_QH","RPH")</f>
        <v>0</v>
      </c>
      <c r="N51" s="22">
        <f ca="1">+GETPIVOTDATA("XCB4",'cubi (2016)'!$A$3,"MA_HT","SKX","MA_QH","RDD")</f>
        <v>0</v>
      </c>
      <c r="O51" s="22">
        <f ca="1">+GETPIVOTDATA("XCB4",'cubi (2016)'!$A$3,"MA_HT","SKX","MA_QH","NTS")</f>
        <v>0</v>
      </c>
      <c r="P51" s="22">
        <f ca="1">+GETPIVOTDATA("XCB4",'cubi (2016)'!$A$3,"MA_HT","SKX","MA_QH","LMU")</f>
        <v>0</v>
      </c>
      <c r="Q51" s="22">
        <f ca="1">+GETPIVOTDATA("XCB4",'cubi (2016)'!$A$3,"MA_HT","SKX","MA_QH","NKH")</f>
        <v>0</v>
      </c>
      <c r="R51" s="79">
        <f ca="1">SUM(S51:AA51,AN51:AW51,AY51:BD51)</f>
        <v>0</v>
      </c>
      <c r="S51" s="22">
        <f ca="1">+GETPIVOTDATA("XCB4",'cubi (2016)'!$A$3,"MA_HT","SKX","MA_QH","CQP")</f>
        <v>0</v>
      </c>
      <c r="T51" s="22">
        <f ca="1">+GETPIVOTDATA("XCB4",'cubi (2016)'!$A$3,"MA_HT","SKX","MA_QH","CAN")</f>
        <v>0</v>
      </c>
      <c r="U51" s="22">
        <f ca="1">+GETPIVOTDATA("XCB4",'cubi (2016)'!$A$3,"MA_HT","SKX","MA_QH","SKK")</f>
        <v>0</v>
      </c>
      <c r="V51" s="22">
        <f ca="1">+GETPIVOTDATA("XCB4",'cubi (2016)'!$A$3,"MA_HT","SKX","MA_QH","SKT")</f>
        <v>0</v>
      </c>
      <c r="W51" s="22">
        <f ca="1">+GETPIVOTDATA("XCB4",'cubi (2016)'!$A$3,"MA_HT","SKX","MA_QH","SKN")</f>
        <v>0</v>
      </c>
      <c r="X51" s="22">
        <f ca="1">+GETPIVOTDATA("XCB4",'cubi (2016)'!$A$3,"MA_HT","SKX","MA_QH","TMD")</f>
        <v>0</v>
      </c>
      <c r="Y51" s="22">
        <f ca="1">+GETPIVOTDATA("XCB4",'cubi (2016)'!$A$3,"MA_HT","SKX","MA_QH","SKC")</f>
        <v>0</v>
      </c>
      <c r="Z51" s="22">
        <f ca="1">+GETPIVOTDATA("XCB4",'cubi (2016)'!$A$3,"MA_HT","SKX","MA_QH","SKS")</f>
        <v>0</v>
      </c>
      <c r="AA51" s="52">
        <f ca="1" t="shared" si="21"/>
        <v>0</v>
      </c>
      <c r="AB51" s="22">
        <f ca="1">+GETPIVOTDATA("XCB4",'cubi (2016)'!$A$3,"MA_HT","SKX","MA_QH","DGT")</f>
        <v>0</v>
      </c>
      <c r="AC51" s="22">
        <f ca="1">+GETPIVOTDATA("XCB4",'cubi (2016)'!$A$3,"MA_HT","SKX","MA_QH","DTL")</f>
        <v>0</v>
      </c>
      <c r="AD51" s="22">
        <f ca="1">+GETPIVOTDATA("XCB4",'cubi (2016)'!$A$3,"MA_HT","SKX","MA_QH","DNL")</f>
        <v>0</v>
      </c>
      <c r="AE51" s="22">
        <f ca="1">+GETPIVOTDATA("XCB4",'cubi (2016)'!$A$3,"MA_HT","SKX","MA_QH","DBV")</f>
        <v>0</v>
      </c>
      <c r="AF51" s="22">
        <f ca="1">+GETPIVOTDATA("XCB4",'cubi (2016)'!$A$3,"MA_HT","SKX","MA_QH","DVH")</f>
        <v>0</v>
      </c>
      <c r="AG51" s="22">
        <f ca="1">+GETPIVOTDATA("XCB4",'cubi (2016)'!$A$3,"MA_HT","SKX","MA_QH","DYT")</f>
        <v>0</v>
      </c>
      <c r="AH51" s="22">
        <f ca="1">+GETPIVOTDATA("XCB4",'cubi (2016)'!$A$3,"MA_HT","SKX","MA_QH","DGD")</f>
        <v>0</v>
      </c>
      <c r="AI51" s="22">
        <f ca="1">+GETPIVOTDATA("XCB4",'cubi (2016)'!$A$3,"MA_HT","SKX","MA_QH","DTT")</f>
        <v>0</v>
      </c>
      <c r="AJ51" s="22">
        <f ca="1">+GETPIVOTDATA("XCB4",'cubi (2016)'!$A$3,"MA_HT","SKX","MA_QH","NCK")</f>
        <v>0</v>
      </c>
      <c r="AK51" s="22">
        <f ca="1">+GETPIVOTDATA("XCB4",'cubi (2016)'!$A$3,"MA_HT","SKX","MA_QH","DXH")</f>
        <v>0</v>
      </c>
      <c r="AL51" s="22">
        <f ca="1">+GETPIVOTDATA("XCB4",'cubi (2016)'!$A$3,"MA_HT","SKX","MA_QH","DCH")</f>
        <v>0</v>
      </c>
      <c r="AM51" s="22">
        <f ca="1">+GETPIVOTDATA("XCB4",'cubi (2016)'!$A$3,"MA_HT","SKX","MA_QH","DKG")</f>
        <v>0</v>
      </c>
      <c r="AN51" s="22">
        <f ca="1">+GETPIVOTDATA("XCB4",'cubi (2016)'!$A$3,"MA_HT","SKX","MA_QH","DDT")</f>
        <v>0</v>
      </c>
      <c r="AO51" s="22">
        <f ca="1">+GETPIVOTDATA("XCB4",'cubi (2016)'!$A$3,"MA_HT","SKX","MA_QH","DDL")</f>
        <v>0</v>
      </c>
      <c r="AP51" s="22">
        <f ca="1">+GETPIVOTDATA("XCB4",'cubi (2016)'!$A$3,"MA_HT","SKX","MA_QH","DRA")</f>
        <v>0</v>
      </c>
      <c r="AQ51" s="22">
        <f ca="1">+GETPIVOTDATA("XCB4",'cubi (2016)'!$A$3,"MA_HT","SKX","MA_QH","ONT")</f>
        <v>0</v>
      </c>
      <c r="AR51" s="22">
        <f ca="1">+GETPIVOTDATA("XCB4",'cubi (2016)'!$A$3,"MA_HT","SKX","MA_QH","ODT")</f>
        <v>0</v>
      </c>
      <c r="AS51" s="22">
        <f ca="1">+GETPIVOTDATA("XCB4",'cubi (2016)'!$A$3,"MA_HT","SKX","MA_QH","TSC")</f>
        <v>0</v>
      </c>
      <c r="AT51" s="22">
        <f ca="1">+GETPIVOTDATA("XCB4",'cubi (2016)'!$A$3,"MA_HT","SKX","MA_QH","DTS")</f>
        <v>0</v>
      </c>
      <c r="AU51" s="22">
        <f ca="1">+GETPIVOTDATA("XCB4",'cubi (2016)'!$A$3,"MA_HT","SKX","MA_QH","DNG")</f>
        <v>0</v>
      </c>
      <c r="AV51" s="22">
        <f ca="1">+GETPIVOTDATA("XCB4",'cubi (2016)'!$A$3,"MA_HT","SKX","MA_QH","TON")</f>
        <v>0</v>
      </c>
      <c r="AW51" s="22">
        <f ca="1">+GETPIVOTDATA("XCB4",'cubi (2016)'!$A$3,"MA_HT","SKX","MA_QH","NTD")</f>
        <v>0</v>
      </c>
      <c r="AX51" s="43" t="e">
        <f ca="1">$D51-$BF51</f>
        <v>#REF!</v>
      </c>
      <c r="AY51" s="22">
        <f ca="1">+GETPIVOTDATA("XCB4",'cubi (2016)'!$A$3,"MA_HT","SKX","MA_QH","DSH")</f>
        <v>0</v>
      </c>
      <c r="AZ51" s="22">
        <f ca="1">+GETPIVOTDATA("XCB4",'cubi (2016)'!$A$3,"MA_HT","SKX","MA_QH","DKV")</f>
        <v>0</v>
      </c>
      <c r="BA51" s="89">
        <f ca="1">+GETPIVOTDATA("XCB4",'cubi (2016)'!$A$3,"MA_HT","SKX","MA_QH","TIN")</f>
        <v>0</v>
      </c>
      <c r="BB51" s="50">
        <f ca="1">+GETPIVOTDATA("XCB4",'cubi (2016)'!$A$3,"MA_HT","SKX","MA_QH","SON")</f>
        <v>0</v>
      </c>
      <c r="BC51" s="50">
        <f ca="1">+GETPIVOTDATA("XCB4",'cubi (2016)'!$A$3,"MA_HT","SKX","MA_QH","MNC")</f>
        <v>0</v>
      </c>
      <c r="BD51" s="22">
        <f ca="1">+GETPIVOTDATA("XCB4",'cubi (2016)'!$A$3,"MA_HT","SKX","MA_QH","PNK")</f>
        <v>0</v>
      </c>
      <c r="BE51" s="71">
        <f ca="1">+GETPIVOTDATA("XCB4",'cubi (2016)'!$A$3,"MA_HT","SKX","MA_QH","CSD")</f>
        <v>0</v>
      </c>
      <c r="BF51" s="74">
        <f ca="1" t="shared" si="13"/>
        <v>0</v>
      </c>
      <c r="BG51" s="101">
        <f ca="1">AX$59-$BF51</f>
        <v>0</v>
      </c>
      <c r="BH51" s="41" t="e">
        <f ca="1" t="shared" si="14"/>
        <v>#REF!</v>
      </c>
      <c r="BI51" s="98"/>
      <c r="BJ51" s="98" t="e">
        <f>#REF!</f>
        <v>#REF!</v>
      </c>
      <c r="BK51" s="107" t="e">
        <f ca="1">BH51-BJ51</f>
        <v>#REF!</v>
      </c>
      <c r="BL51" s="98"/>
      <c r="BM51" s="122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</row>
    <row r="52" s="2" customFormat="1" ht="15.75" customHeight="1" spans="1:79">
      <c r="A52" s="39" t="s">
        <v>8422</v>
      </c>
      <c r="B52" s="39" t="s">
        <v>8423</v>
      </c>
      <c r="C52" s="40" t="s">
        <v>8292</v>
      </c>
      <c r="D52" s="41" t="e">
        <f>+#REF!</f>
        <v>#REF!</v>
      </c>
      <c r="E52" s="42">
        <f ca="1" t="shared" si="15"/>
        <v>0</v>
      </c>
      <c r="F52" s="52">
        <f ca="1" t="shared" si="9"/>
        <v>0</v>
      </c>
      <c r="G52" s="22">
        <f ca="1">+GETPIVOTDATA("XCB4",'cubi (2016)'!$A$3,"MA_HT","DSH","MA_QH","LUC")</f>
        <v>0</v>
      </c>
      <c r="H52" s="22">
        <f ca="1">+GETPIVOTDATA("XCB4",'cubi (2016)'!$A$3,"MA_HT","DSH","MA_QH","LUK")</f>
        <v>0</v>
      </c>
      <c r="I52" s="22">
        <f ca="1">+GETPIVOTDATA("XCB4",'cubi (2016)'!$A$3,"MA_HT","DSH","MA_QH","LUN")</f>
        <v>0</v>
      </c>
      <c r="J52" s="22">
        <f ca="1">+GETPIVOTDATA("XCB4",'cubi (2016)'!$A$3,"MA_HT","DSH","MA_QH","HNK")</f>
        <v>0</v>
      </c>
      <c r="K52" s="22">
        <f ca="1">+GETPIVOTDATA("XCB4",'cubi (2016)'!$A$3,"MA_HT","DSH","MA_QH","CLN")</f>
        <v>0</v>
      </c>
      <c r="L52" s="22">
        <f ca="1">+GETPIVOTDATA("XCB4",'cubi (2016)'!$A$3,"MA_HT","DSH","MA_QH","RSX")</f>
        <v>0</v>
      </c>
      <c r="M52" s="22">
        <f ca="1">+GETPIVOTDATA("XCB4",'cubi (2016)'!$A$3,"MA_HT","DSH","MA_QH","RPH")</f>
        <v>0</v>
      </c>
      <c r="N52" s="22">
        <f ca="1">+GETPIVOTDATA("XCB4",'cubi (2016)'!$A$3,"MA_HT","DSH","MA_QH","RDD")</f>
        <v>0</v>
      </c>
      <c r="O52" s="22">
        <f ca="1">+GETPIVOTDATA("XCB4",'cubi (2016)'!$A$3,"MA_HT","DSH","MA_QH","NTS")</f>
        <v>0</v>
      </c>
      <c r="P52" s="22">
        <f ca="1">+GETPIVOTDATA("XCB4",'cubi (2016)'!$A$3,"MA_HT","DSH","MA_QH","LMU")</f>
        <v>0</v>
      </c>
      <c r="Q52" s="22">
        <f ca="1">+GETPIVOTDATA("XCB4",'cubi (2016)'!$A$3,"MA_HT","DSH","MA_QH","NKH")</f>
        <v>0</v>
      </c>
      <c r="R52" s="79">
        <f ca="1">SUM(S52:AA52,AN52:AX52,AZ52:BD52)</f>
        <v>0</v>
      </c>
      <c r="S52" s="22">
        <f ca="1">+GETPIVOTDATA("XCB4",'cubi (2016)'!$A$3,"MA_HT","DSH","MA_QH","CQP")</f>
        <v>0</v>
      </c>
      <c r="T52" s="22">
        <f ca="1">+GETPIVOTDATA("XCB4",'cubi (2016)'!$A$3,"MA_HT","DSH","MA_QH","CAN")</f>
        <v>0</v>
      </c>
      <c r="U52" s="22">
        <f ca="1">+GETPIVOTDATA("XCB4",'cubi (2016)'!$A$3,"MA_HT","DSH","MA_QH","SKK")</f>
        <v>0</v>
      </c>
      <c r="V52" s="22">
        <f ca="1">+GETPIVOTDATA("XCB4",'cubi (2016)'!$A$3,"MA_HT","DSH","MA_QH","SKT")</f>
        <v>0</v>
      </c>
      <c r="W52" s="22">
        <f ca="1">+GETPIVOTDATA("XCB4",'cubi (2016)'!$A$3,"MA_HT","DSH","MA_QH","SKN")</f>
        <v>0</v>
      </c>
      <c r="X52" s="22">
        <f ca="1">+GETPIVOTDATA("XCB4",'cubi (2016)'!$A$3,"MA_HT","DSH","MA_QH","TMD")</f>
        <v>0</v>
      </c>
      <c r="Y52" s="22">
        <f ca="1">+GETPIVOTDATA("XCB4",'cubi (2016)'!$A$3,"MA_HT","DSH","MA_QH","SKC")</f>
        <v>0</v>
      </c>
      <c r="Z52" s="22">
        <f ca="1">+GETPIVOTDATA("XCB4",'cubi (2016)'!$A$3,"MA_HT","DSH","MA_QH","SKS")</f>
        <v>0</v>
      </c>
      <c r="AA52" s="52">
        <f ca="1" t="shared" si="21"/>
        <v>0</v>
      </c>
      <c r="AB52" s="22">
        <f ca="1">+GETPIVOTDATA("XCB4",'cubi (2016)'!$A$3,"MA_HT","DSH","MA_QH","DGT")</f>
        <v>0</v>
      </c>
      <c r="AC52" s="22">
        <f ca="1">+GETPIVOTDATA("XCB4",'cubi (2016)'!$A$3,"MA_HT","DSH","MA_QH","DTL")</f>
        <v>0</v>
      </c>
      <c r="AD52" s="22">
        <f ca="1">+GETPIVOTDATA("XCB4",'cubi (2016)'!$A$3,"MA_HT","DSH","MA_QH","DNL")</f>
        <v>0</v>
      </c>
      <c r="AE52" s="22">
        <f ca="1">+GETPIVOTDATA("XCB4",'cubi (2016)'!$A$3,"MA_HT","DSH","MA_QH","DBV")</f>
        <v>0</v>
      </c>
      <c r="AF52" s="22">
        <f ca="1">+GETPIVOTDATA("XCB4",'cubi (2016)'!$A$3,"MA_HT","DSH","MA_QH","DVH")</f>
        <v>0</v>
      </c>
      <c r="AG52" s="22">
        <f ca="1">+GETPIVOTDATA("XCB4",'cubi (2016)'!$A$3,"MA_HT","DSH","MA_QH","DYT")</f>
        <v>0</v>
      </c>
      <c r="AH52" s="22">
        <f ca="1">+GETPIVOTDATA("XCB4",'cubi (2016)'!$A$3,"MA_HT","DSH","MA_QH","DGD")</f>
        <v>0</v>
      </c>
      <c r="AI52" s="22">
        <f ca="1">+GETPIVOTDATA("XCB4",'cubi (2016)'!$A$3,"MA_HT","DSH","MA_QH","DTT")</f>
        <v>0</v>
      </c>
      <c r="AJ52" s="22">
        <f ca="1">+GETPIVOTDATA("XCB4",'cubi (2016)'!$A$3,"MA_HT","DSH","MA_QH","NCK")</f>
        <v>0</v>
      </c>
      <c r="AK52" s="22">
        <f ca="1">+GETPIVOTDATA("XCB4",'cubi (2016)'!$A$3,"MA_HT","DSH","MA_QH","DXH")</f>
        <v>0</v>
      </c>
      <c r="AL52" s="22">
        <f ca="1">+GETPIVOTDATA("XCB4",'cubi (2016)'!$A$3,"MA_HT","DSH","MA_QH","DCH")</f>
        <v>0</v>
      </c>
      <c r="AM52" s="22">
        <f ca="1">+GETPIVOTDATA("XCB4",'cubi (2016)'!$A$3,"MA_HT","DSH","MA_QH","DKG")</f>
        <v>0</v>
      </c>
      <c r="AN52" s="22">
        <f ca="1">+GETPIVOTDATA("XCB4",'cubi (2016)'!$A$3,"MA_HT","DSH","MA_QH","DDT")</f>
        <v>0</v>
      </c>
      <c r="AO52" s="22">
        <f ca="1">+GETPIVOTDATA("XCB4",'cubi (2016)'!$A$3,"MA_HT","DSH","MA_QH","DDL")</f>
        <v>0</v>
      </c>
      <c r="AP52" s="22">
        <f ca="1">+GETPIVOTDATA("XCB4",'cubi (2016)'!$A$3,"MA_HT","DSH","MA_QH","DRA")</f>
        <v>0</v>
      </c>
      <c r="AQ52" s="22">
        <f ca="1">+GETPIVOTDATA("XCB4",'cubi (2016)'!$A$3,"MA_HT","DSH","MA_QH","ONT")</f>
        <v>0</v>
      </c>
      <c r="AR52" s="22">
        <f ca="1">+GETPIVOTDATA("XCB4",'cubi (2016)'!$A$3,"MA_HT","DSH","MA_QH","ODT")</f>
        <v>0</v>
      </c>
      <c r="AS52" s="22">
        <f ca="1">+GETPIVOTDATA("XCB4",'cubi (2016)'!$A$3,"MA_HT","DSH","MA_QH","TSC")</f>
        <v>0</v>
      </c>
      <c r="AT52" s="22">
        <f ca="1">+GETPIVOTDATA("XCB4",'cubi (2016)'!$A$3,"MA_HT","DSH","MA_QH","DTS")</f>
        <v>0</v>
      </c>
      <c r="AU52" s="22">
        <f ca="1">+GETPIVOTDATA("XCB4",'cubi (2016)'!$A$3,"MA_HT","DSH","MA_QH","DNG")</f>
        <v>0</v>
      </c>
      <c r="AV52" s="22">
        <f ca="1">+GETPIVOTDATA("XCB4",'cubi (2016)'!$A$3,"MA_HT","DSH","MA_QH","TON")</f>
        <v>0</v>
      </c>
      <c r="AW52" s="22">
        <f ca="1">+GETPIVOTDATA("XCB4",'cubi (2016)'!$A$3,"MA_HT","DSH","MA_QH","NTD")</f>
        <v>0</v>
      </c>
      <c r="AX52" s="22">
        <f ca="1">+GETPIVOTDATA("XCB4",'cubi (2016)'!$A$3,"MA_HT","DSH","MA_QH","SKX")</f>
        <v>0</v>
      </c>
      <c r="AY52" s="43" t="e">
        <f ca="1">$D52-$BF52</f>
        <v>#REF!</v>
      </c>
      <c r="AZ52" s="22">
        <f ca="1">+GETPIVOTDATA("XCB4",'cubi (2016)'!$A$3,"MA_HT","DSH","MA_QH","DKV")</f>
        <v>0</v>
      </c>
      <c r="BA52" s="89">
        <f ca="1">+GETPIVOTDATA("XCB4",'cubi (2016)'!$A$3,"MA_HT","DSH","MA_QH","TIN")</f>
        <v>0</v>
      </c>
      <c r="BB52" s="50">
        <f ca="1">+GETPIVOTDATA("XCB4",'cubi (2016)'!$A$3,"MA_HT","DSH","MA_QH","SON")</f>
        <v>0</v>
      </c>
      <c r="BC52" s="50">
        <f ca="1">+GETPIVOTDATA("XCB4",'cubi (2016)'!$A$3,"MA_HT","DSH","MA_QH","MNC")</f>
        <v>0</v>
      </c>
      <c r="BD52" s="22">
        <f ca="1">+GETPIVOTDATA("XCB4",'cubi (2016)'!$A$3,"MA_HT","DSH","MA_QH","PNK")</f>
        <v>0</v>
      </c>
      <c r="BE52" s="71">
        <f ca="1">+GETPIVOTDATA("XCB4",'cubi (2016)'!$A$3,"MA_HT","DSH","MA_QH","CSD")</f>
        <v>0</v>
      </c>
      <c r="BF52" s="74">
        <f ca="1" t="shared" si="13"/>
        <v>0</v>
      </c>
      <c r="BG52" s="101">
        <f ca="1">AY$59-$BF52</f>
        <v>0</v>
      </c>
      <c r="BH52" s="41" t="e">
        <f ca="1" t="shared" si="14"/>
        <v>#REF!</v>
      </c>
      <c r="BI52" s="98"/>
      <c r="BJ52" s="98" t="e">
        <f>#REF!</f>
        <v>#REF!</v>
      </c>
      <c r="BK52" s="107" t="e">
        <f ca="1">BH52-BJ52</f>
        <v>#REF!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</row>
    <row r="53" s="2" customFormat="1" ht="15.75" customHeight="1" spans="1:79">
      <c r="A53" s="39" t="s">
        <v>8424</v>
      </c>
      <c r="B53" s="39" t="s">
        <v>8425</v>
      </c>
      <c r="C53" s="40" t="s">
        <v>8289</v>
      </c>
      <c r="D53" s="41" t="e">
        <f>+#REF!</f>
        <v>#REF!</v>
      </c>
      <c r="E53" s="42">
        <f ca="1" t="shared" si="15"/>
        <v>0</v>
      </c>
      <c r="F53" s="52">
        <f ca="1" t="shared" si="9"/>
        <v>0</v>
      </c>
      <c r="G53" s="22">
        <f ca="1">+GETPIVOTDATA("XCB4",'cubi (2016)'!$A$3,"MA_HT","DKV","MA_QH","LUC")</f>
        <v>0</v>
      </c>
      <c r="H53" s="22">
        <f ca="1">+GETPIVOTDATA("XCB4",'cubi (2016)'!$A$3,"MA_HT","DKV","MA_QH","LUK")</f>
        <v>0</v>
      </c>
      <c r="I53" s="22">
        <f ca="1">+GETPIVOTDATA("XCB4",'cubi (2016)'!$A$3,"MA_HT","DKV","MA_QH","LUN")</f>
        <v>0</v>
      </c>
      <c r="J53" s="22">
        <f ca="1">+GETPIVOTDATA("XCB4",'cubi (2016)'!$A$3,"MA_HT","DKV","MA_QH","HNK")</f>
        <v>0</v>
      </c>
      <c r="K53" s="22">
        <f ca="1">+GETPIVOTDATA("XCB4",'cubi (2016)'!$A$3,"MA_HT","DKV","MA_QH","CLN")</f>
        <v>0</v>
      </c>
      <c r="L53" s="22">
        <f ca="1">+GETPIVOTDATA("XCB4",'cubi (2016)'!$A$3,"MA_HT","DKV","MA_QH","RSX")</f>
        <v>0</v>
      </c>
      <c r="M53" s="22">
        <f ca="1">+GETPIVOTDATA("XCB4",'cubi (2016)'!$A$3,"MA_HT","DKV","MA_QH","RPH")</f>
        <v>0</v>
      </c>
      <c r="N53" s="22">
        <f ca="1">+GETPIVOTDATA("XCB4",'cubi (2016)'!$A$3,"MA_HT","DKV","MA_QH","RDD")</f>
        <v>0</v>
      </c>
      <c r="O53" s="22">
        <f ca="1">+GETPIVOTDATA("XCB4",'cubi (2016)'!$A$3,"MA_HT","DKV","MA_QH","NTS")</f>
        <v>0</v>
      </c>
      <c r="P53" s="22">
        <f ca="1">+GETPIVOTDATA("XCB4",'cubi (2016)'!$A$3,"MA_HT","DKV","MA_QH","LMU")</f>
        <v>0</v>
      </c>
      <c r="Q53" s="22">
        <f ca="1">+GETPIVOTDATA("XCB4",'cubi (2016)'!$A$3,"MA_HT","DKV","MA_QH","NKH")</f>
        <v>0</v>
      </c>
      <c r="R53" s="79">
        <f ca="1">SUM(S53:AA53,AN53:AY53,BB53:BD53)</f>
        <v>0</v>
      </c>
      <c r="S53" s="22">
        <f ca="1">+GETPIVOTDATA("XCB4",'cubi (2016)'!$A$3,"MA_HT","DKV","MA_QH","CQP")</f>
        <v>0</v>
      </c>
      <c r="T53" s="22">
        <f ca="1">+GETPIVOTDATA("XCB4",'cubi (2016)'!$A$3,"MA_HT","DKV","MA_QH","CAN")</f>
        <v>0</v>
      </c>
      <c r="U53" s="22">
        <f ca="1">+GETPIVOTDATA("XCB4",'cubi (2016)'!$A$3,"MA_HT","DKV","MA_QH","SKK")</f>
        <v>0</v>
      </c>
      <c r="V53" s="22">
        <f ca="1">+GETPIVOTDATA("XCB4",'cubi (2016)'!$A$3,"MA_HT","DKV","MA_QH","SKT")</f>
        <v>0</v>
      </c>
      <c r="W53" s="22">
        <f ca="1">+GETPIVOTDATA("XCB4",'cubi (2016)'!$A$3,"MA_HT","DKV","MA_QH","SKN")</f>
        <v>0</v>
      </c>
      <c r="X53" s="22">
        <f ca="1">+GETPIVOTDATA("XCB4",'cubi (2016)'!$A$3,"MA_HT","DKV","MA_QH","TMD")</f>
        <v>0</v>
      </c>
      <c r="Y53" s="22">
        <f ca="1">+GETPIVOTDATA("XCB4",'cubi (2016)'!$A$3,"MA_HT","DKV","MA_QH","SKC")</f>
        <v>0</v>
      </c>
      <c r="Z53" s="22">
        <f ca="1">+GETPIVOTDATA("XCB4",'cubi (2016)'!$A$3,"MA_HT","DKV","MA_QH","SKS")</f>
        <v>0</v>
      </c>
      <c r="AA53" s="52">
        <f ca="1" t="shared" si="21"/>
        <v>0</v>
      </c>
      <c r="AB53" s="22">
        <f ca="1">+GETPIVOTDATA("XCB4",'cubi (2016)'!$A$3,"MA_HT","DKV","MA_QH","DGT")</f>
        <v>0</v>
      </c>
      <c r="AC53" s="22">
        <f ca="1">+GETPIVOTDATA("XCB4",'cubi (2016)'!$A$3,"MA_HT","DKV","MA_QH","DTL")</f>
        <v>0</v>
      </c>
      <c r="AD53" s="22">
        <f ca="1">+GETPIVOTDATA("XCB4",'cubi (2016)'!$A$3,"MA_HT","DKV","MA_QH","DNL")</f>
        <v>0</v>
      </c>
      <c r="AE53" s="22">
        <f ca="1">+GETPIVOTDATA("XCB4",'cubi (2016)'!$A$3,"MA_HT","DKV","MA_QH","DBV")</f>
        <v>0</v>
      </c>
      <c r="AF53" s="22">
        <f ca="1">+GETPIVOTDATA("XCB4",'cubi (2016)'!$A$3,"MA_HT","DKV","MA_QH","DVH")</f>
        <v>0</v>
      </c>
      <c r="AG53" s="22">
        <f ca="1">+GETPIVOTDATA("XCB4",'cubi (2016)'!$A$3,"MA_HT","DKV","MA_QH","DYT")</f>
        <v>0</v>
      </c>
      <c r="AH53" s="22">
        <f ca="1">+GETPIVOTDATA("XCB4",'cubi (2016)'!$A$3,"MA_HT","DKV","MA_QH","DGD")</f>
        <v>0</v>
      </c>
      <c r="AI53" s="22">
        <f ca="1">+GETPIVOTDATA("XCB4",'cubi (2016)'!$A$3,"MA_HT","DKV","MA_QH","DTT")</f>
        <v>0</v>
      </c>
      <c r="AJ53" s="22">
        <f ca="1">+GETPIVOTDATA("XCB4",'cubi (2016)'!$A$3,"MA_HT","DKV","MA_QH","NCK")</f>
        <v>0</v>
      </c>
      <c r="AK53" s="22">
        <f ca="1">+GETPIVOTDATA("XCB4",'cubi (2016)'!$A$3,"MA_HT","DKV","MA_QH","DXH")</f>
        <v>0</v>
      </c>
      <c r="AL53" s="22">
        <f ca="1">+GETPIVOTDATA("XCB4",'cubi (2016)'!$A$3,"MA_HT","DKV","MA_QH","DCH")</f>
        <v>0</v>
      </c>
      <c r="AM53" s="22">
        <f ca="1">+GETPIVOTDATA("XCB4",'cubi (2016)'!$A$3,"MA_HT","DKV","MA_QH","DKG")</f>
        <v>0</v>
      </c>
      <c r="AN53" s="22">
        <f ca="1">+GETPIVOTDATA("XCB4",'cubi (2016)'!$A$3,"MA_HT","DKV","MA_QH","DDT")</f>
        <v>0</v>
      </c>
      <c r="AO53" s="22">
        <f ca="1">+GETPIVOTDATA("XCB4",'cubi (2016)'!$A$3,"MA_HT","DKV","MA_QH","DDL")</f>
        <v>0</v>
      </c>
      <c r="AP53" s="22">
        <f ca="1">+GETPIVOTDATA("XCB4",'cubi (2016)'!$A$3,"MA_HT","DKV","MA_QH","DRA")</f>
        <v>0</v>
      </c>
      <c r="AQ53" s="22">
        <f ca="1">+GETPIVOTDATA("XCB4",'cubi (2016)'!$A$3,"MA_HT","DKV","MA_QH","ONT")</f>
        <v>0</v>
      </c>
      <c r="AR53" s="22">
        <f ca="1">+GETPIVOTDATA("XCB4",'cubi (2016)'!$A$3,"MA_HT","DKV","MA_QH","ODT")</f>
        <v>0</v>
      </c>
      <c r="AS53" s="22">
        <f ca="1">+GETPIVOTDATA("XCB4",'cubi (2016)'!$A$3,"MA_HT","DKV","MA_QH","TSC")</f>
        <v>0</v>
      </c>
      <c r="AT53" s="22">
        <f ca="1">+GETPIVOTDATA("XCB4",'cubi (2016)'!$A$3,"MA_HT","DKV","MA_QH","DTS")</f>
        <v>0</v>
      </c>
      <c r="AU53" s="22">
        <f ca="1">+GETPIVOTDATA("XCB4",'cubi (2016)'!$A$3,"MA_HT","DKV","MA_QH","DNG")</f>
        <v>0</v>
      </c>
      <c r="AV53" s="22">
        <f ca="1">+GETPIVOTDATA("XCB4",'cubi (2016)'!$A$3,"MA_HT","DKV","MA_QH","TON")</f>
        <v>0</v>
      </c>
      <c r="AW53" s="22">
        <f ca="1">+GETPIVOTDATA("XCB4",'cubi (2016)'!$A$3,"MA_HT","DKV","MA_QH","NTD")</f>
        <v>0</v>
      </c>
      <c r="AX53" s="22">
        <f ca="1">+GETPIVOTDATA("XCB4",'cubi (2016)'!$A$3,"MA_HT","DKV","MA_QH","SKX")</f>
        <v>0</v>
      </c>
      <c r="AY53" s="22">
        <f ca="1">+GETPIVOTDATA("XCB4",'cubi (2016)'!$A$3,"MA_HT","DKV","MA_QH","DSH")</f>
        <v>0</v>
      </c>
      <c r="AZ53" s="43" t="e">
        <f ca="1">$D53-$BF53</f>
        <v>#REF!</v>
      </c>
      <c r="BA53" s="89">
        <f ca="1">+GETPIVOTDATA("XCB4",'cubi (2016)'!$A$3,"MA_HT","DKV","MA_QH","TIN")</f>
        <v>0</v>
      </c>
      <c r="BB53" s="50">
        <f ca="1">+GETPIVOTDATA("XCB4",'cubi (2016)'!$A$3,"MA_HT","DKV","MA_QH","SON")</f>
        <v>0</v>
      </c>
      <c r="BC53" s="50">
        <f ca="1">+GETPIVOTDATA("XCB4",'cubi (2016)'!$A$3,"MA_HT","DKV","MA_QH","MNC")</f>
        <v>0</v>
      </c>
      <c r="BD53" s="22">
        <f ca="1">+GETPIVOTDATA("XCB4",'cubi (2016)'!$A$3,"MA_HT","DKV","MA_QH","PNK")</f>
        <v>0</v>
      </c>
      <c r="BE53" s="71">
        <f ca="1">+GETPIVOTDATA("XCB4",'cubi (2016)'!$A$3,"MA_HT","DKV","MA_QH","CSD")</f>
        <v>0</v>
      </c>
      <c r="BF53" s="74">
        <f ca="1" t="shared" si="13"/>
        <v>0</v>
      </c>
      <c r="BG53" s="101">
        <f ca="1">AZ$59-$BF53</f>
        <v>0</v>
      </c>
      <c r="BH53" s="41" t="e">
        <f ca="1" t="shared" si="14"/>
        <v>#REF!</v>
      </c>
      <c r="BI53" s="98"/>
      <c r="BJ53" s="98" t="e">
        <f>#REF!</f>
        <v>#REF!</v>
      </c>
      <c r="BK53" s="107" t="e">
        <f ca="1">BH53-BJ53</f>
        <v>#REF!</v>
      </c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</row>
    <row r="54" s="2" customFormat="1" ht="15.75" customHeight="1" spans="1:75">
      <c r="A54" s="39" t="s">
        <v>8426</v>
      </c>
      <c r="B54" s="39" t="s">
        <v>8427</v>
      </c>
      <c r="C54" s="40" t="s">
        <v>8310</v>
      </c>
      <c r="D54" s="41" t="e">
        <f>+#REF!</f>
        <v>#REF!</v>
      </c>
      <c r="E54" s="33">
        <f ca="1" t="shared" si="15"/>
        <v>0</v>
      </c>
      <c r="F54" s="52">
        <f ca="1">SUM(F29:F39)</f>
        <v>0</v>
      </c>
      <c r="G54" s="22">
        <f ca="1">+GETPIVOTDATA("XCB4",'cubi (2016)'!$A$3,"MA_HT","TIN","MA_QH","LUC")</f>
        <v>0</v>
      </c>
      <c r="H54" s="22">
        <f ca="1">+GETPIVOTDATA("XCB4",'cubi (2016)'!$A$3,"MA_HT","TIN","MA_QH","LUK")</f>
        <v>0</v>
      </c>
      <c r="I54" s="22">
        <f ca="1">+GETPIVOTDATA("XCB4",'cubi (2016)'!$A$3,"MA_HT","TIN","MA_QH","LUN")</f>
        <v>0</v>
      </c>
      <c r="J54" s="22">
        <f ca="1">+GETPIVOTDATA("XCB4",'cubi (2016)'!$A$3,"MA_HT","TIN","MA_QH","HNK")</f>
        <v>0</v>
      </c>
      <c r="K54" s="22">
        <f ca="1">+GETPIVOTDATA("XCB4",'cubi (2016)'!$A$3,"MA_HT","TIN","MA_QH","CLN")</f>
        <v>0</v>
      </c>
      <c r="L54" s="22">
        <f ca="1">+GETPIVOTDATA("XCB4",'cubi (2016)'!$A$3,"MA_HT","TIN","MA_QH","RSX")</f>
        <v>0</v>
      </c>
      <c r="M54" s="22">
        <f ca="1">+GETPIVOTDATA("XCB4",'cubi (2016)'!$A$3,"MA_HT","TIN","MA_QH","RPH")</f>
        <v>0</v>
      </c>
      <c r="N54" s="22">
        <f ca="1">+GETPIVOTDATA("XCB4",'cubi (2016)'!$A$3,"MA_HT","TIN","MA_QH","RDD")</f>
        <v>0</v>
      </c>
      <c r="O54" s="22">
        <f ca="1">+GETPIVOTDATA("XCB4",'cubi (2016)'!$A$3,"MA_HT","TIN","MA_QH","NTS")</f>
        <v>0</v>
      </c>
      <c r="P54" s="22">
        <f ca="1">+GETPIVOTDATA("XCB4",'cubi (2016)'!$A$3,"MA_HT","TIN","MA_QH","LMU")</f>
        <v>0</v>
      </c>
      <c r="Q54" s="22">
        <f ca="1">+GETPIVOTDATA("XCB4",'cubi (2016)'!$A$3,"MA_HT","TIN","MA_QH","NKH")</f>
        <v>0</v>
      </c>
      <c r="R54" s="79">
        <f ca="1">SUM(S54:AA54,AN54:AZ54,BB54:BD54)</f>
        <v>0</v>
      </c>
      <c r="S54" s="22">
        <f ca="1">+GETPIVOTDATA("XCB4",'cubi (2016)'!$A$3,"MA_HT","TIN","MA_QH","CQP")</f>
        <v>0</v>
      </c>
      <c r="T54" s="22">
        <f ca="1">+GETPIVOTDATA("XCB4",'cubi (2016)'!$A$3,"MA_HT","TIN","MA_QH","CAN")</f>
        <v>0</v>
      </c>
      <c r="U54" s="22">
        <f ca="1">+GETPIVOTDATA("XCB4",'cubi (2016)'!$A$3,"MA_HT","TIN","MA_QH","SKK")</f>
        <v>0</v>
      </c>
      <c r="V54" s="22">
        <f ca="1">+GETPIVOTDATA("XCB4",'cubi (2016)'!$A$3,"MA_HT","TIN","MA_QH","SKT")</f>
        <v>0</v>
      </c>
      <c r="W54" s="22">
        <f ca="1">+GETPIVOTDATA("XCB4",'cubi (2016)'!$A$3,"MA_HT","TIN","MA_QH","SKN")</f>
        <v>0</v>
      </c>
      <c r="X54" s="22">
        <f ca="1">+GETPIVOTDATA("XCB4",'cubi (2016)'!$A$3,"MA_HT","TIN","MA_QH","TMD")</f>
        <v>0</v>
      </c>
      <c r="Y54" s="22">
        <f ca="1">+GETPIVOTDATA("XCB4",'cubi (2016)'!$A$3,"MA_HT","TIN","MA_QH","SKC")</f>
        <v>0</v>
      </c>
      <c r="Z54" s="22">
        <f ca="1">+GETPIVOTDATA("XCB4",'cubi (2016)'!$A$3,"MA_HT","TIN","MA_QH","SKS")</f>
        <v>0</v>
      </c>
      <c r="AA54" s="52">
        <f ca="1" t="shared" si="21"/>
        <v>0</v>
      </c>
      <c r="AB54" s="22">
        <f ca="1">+GETPIVOTDATA("XCB4",'cubi (2016)'!$A$3,"MA_HT","TIN","MA_QH","DGT")</f>
        <v>0</v>
      </c>
      <c r="AC54" s="22">
        <f ca="1">+GETPIVOTDATA("XCB4",'cubi (2016)'!$A$3,"MA_HT","TIN","MA_QH","DTL")</f>
        <v>0</v>
      </c>
      <c r="AD54" s="22">
        <f ca="1">+GETPIVOTDATA("XCB4",'cubi (2016)'!$A$3,"MA_HT","TIN","MA_QH","DNL")</f>
        <v>0</v>
      </c>
      <c r="AE54" s="22">
        <f ca="1">+GETPIVOTDATA("XCB4",'cubi (2016)'!$A$3,"MA_HT","TIN","MA_QH","DBV")</f>
        <v>0</v>
      </c>
      <c r="AF54" s="22">
        <f ca="1">+GETPIVOTDATA("XCB4",'cubi (2016)'!$A$3,"MA_HT","TIN","MA_QH","DVH")</f>
        <v>0</v>
      </c>
      <c r="AG54" s="22">
        <f ca="1">+GETPIVOTDATA("XCB4",'cubi (2016)'!$A$3,"MA_HT","TIN","MA_QH","DYT")</f>
        <v>0</v>
      </c>
      <c r="AH54" s="22">
        <f ca="1">+GETPIVOTDATA("XCB4",'cubi (2016)'!$A$3,"MA_HT","TIN","MA_QH","DGD")</f>
        <v>0</v>
      </c>
      <c r="AI54" s="22">
        <f ca="1">+GETPIVOTDATA("XCB4",'cubi (2016)'!$A$3,"MA_HT","TIN","MA_QH","DTT")</f>
        <v>0</v>
      </c>
      <c r="AJ54" s="22">
        <f ca="1">+GETPIVOTDATA("XCB4",'cubi (2016)'!$A$3,"MA_HT","TIN","MA_QH","NCK")</f>
        <v>0</v>
      </c>
      <c r="AK54" s="22">
        <f ca="1">+GETPIVOTDATA("XCB4",'cubi (2016)'!$A$3,"MA_HT","TIN","MA_QH","DXH")</f>
        <v>0</v>
      </c>
      <c r="AL54" s="22">
        <f ca="1">+GETPIVOTDATA("XCB4",'cubi (2016)'!$A$3,"MA_HT","TIN","MA_QH","DCH")</f>
        <v>0</v>
      </c>
      <c r="AM54" s="22">
        <f ca="1">+GETPIVOTDATA("XCB4",'cubi (2016)'!$A$3,"MA_HT","TIN","MA_QH","DKG")</f>
        <v>0</v>
      </c>
      <c r="AN54" s="22">
        <f ca="1">+GETPIVOTDATA("XCB4",'cubi (2016)'!$A$3,"MA_HT","TIN","MA_QH","DDT")</f>
        <v>0</v>
      </c>
      <c r="AO54" s="22">
        <f ca="1">+GETPIVOTDATA("XCB4",'cubi (2016)'!$A$3,"MA_HT","TIN","MA_QH","DDL")</f>
        <v>0</v>
      </c>
      <c r="AP54" s="22">
        <f ca="1">+GETPIVOTDATA("XCB4",'cubi (2016)'!$A$3,"MA_HT","TIN","MA_QH","DRA")</f>
        <v>0</v>
      </c>
      <c r="AQ54" s="22">
        <f ca="1">+GETPIVOTDATA("XCB4",'cubi (2016)'!$A$3,"MA_HT","TIN","MA_QH","ONT")</f>
        <v>0</v>
      </c>
      <c r="AR54" s="22">
        <f ca="1">+GETPIVOTDATA("XCB4",'cubi (2016)'!$A$3,"MA_HT","TIN","MA_QH","ODT")</f>
        <v>0</v>
      </c>
      <c r="AS54" s="22">
        <f ca="1">+GETPIVOTDATA("XCB4",'cubi (2016)'!$A$3,"MA_HT","TIN","MA_QH","TSC")</f>
        <v>0</v>
      </c>
      <c r="AT54" s="22">
        <f ca="1">+GETPIVOTDATA("XCB4",'cubi (2016)'!$A$3,"MA_HT","TIN","MA_QH","DTS")</f>
        <v>0</v>
      </c>
      <c r="AU54" s="22">
        <f ca="1">+GETPIVOTDATA("XCB4",'cubi (2016)'!$A$3,"MA_HT","TIN","MA_QH","DNG")</f>
        <v>0</v>
      </c>
      <c r="AV54" s="22">
        <f ca="1">+GETPIVOTDATA("XCB4",'cubi (2016)'!$A$3,"MA_HT","TIN","MA_QH","TON")</f>
        <v>0</v>
      </c>
      <c r="AW54" s="22">
        <f ca="1">+GETPIVOTDATA("XCB4",'cubi (2016)'!$A$3,"MA_HT","TIN","MA_QH","NTD")</f>
        <v>0</v>
      </c>
      <c r="AX54" s="22">
        <f ca="1">+GETPIVOTDATA("XCB4",'cubi (2016)'!$A$3,"MA_HT","TIN","MA_QH","SKX")</f>
        <v>0</v>
      </c>
      <c r="AY54" s="22">
        <f ca="1">+GETPIVOTDATA("XCB4",'cubi (2016)'!$A$3,"MA_HT","TIN","MA_QH","DSH")</f>
        <v>0</v>
      </c>
      <c r="AZ54" s="22">
        <f ca="1">+GETPIVOTDATA("XCB4",'cubi (2016)'!$A$3,"MA_HT","TIN","MA_QH","DKV")</f>
        <v>0</v>
      </c>
      <c r="BA54" s="43" t="e">
        <f ca="1">$D54-$BF54</f>
        <v>#REF!</v>
      </c>
      <c r="BB54" s="22">
        <f ca="1">+GETPIVOTDATA("XCB4",'cubi (2016)'!$A$3,"MA_HT","TIN","MA_QH","SON")</f>
        <v>0</v>
      </c>
      <c r="BC54" s="22">
        <f ca="1">+GETPIVOTDATA("XCB4",'cubi (2016)'!$A$3,"MA_HT","TIN","MA_QH","MNC")</f>
        <v>0</v>
      </c>
      <c r="BD54" s="22">
        <f ca="1">+GETPIVOTDATA("XCB4",'cubi (2016)'!$A$3,"MA_HT","TIN","MA_QH","PNK")</f>
        <v>0</v>
      </c>
      <c r="BE54" s="71">
        <f ca="1">+GETPIVOTDATA("XCB4",'cubi (2016)'!$A$3,"MA_HT","TIN","MA_QH","CSD")</f>
        <v>0</v>
      </c>
      <c r="BF54" s="74">
        <f ca="1" t="shared" si="13"/>
        <v>0</v>
      </c>
      <c r="BG54" s="101">
        <f ca="1">BA59-BF54</f>
        <v>0</v>
      </c>
      <c r="BH54" s="41" t="e">
        <f ca="1" t="shared" si="14"/>
        <v>#REF!</v>
      </c>
      <c r="BI54" s="98"/>
      <c r="BJ54" s="39" t="e">
        <f>SUM(BJ29:BJ39)</f>
        <v>#REF!</v>
      </c>
      <c r="BK54" s="107" t="e">
        <f ca="1">BH54-BJ54</f>
        <v>#REF!</v>
      </c>
      <c r="BL54" s="107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</row>
    <row r="55" s="2" customFormat="1" ht="15.75" customHeight="1" spans="1:79">
      <c r="A55" s="68" t="s">
        <v>8428</v>
      </c>
      <c r="B55" s="69" t="s">
        <v>8429</v>
      </c>
      <c r="C55" s="40" t="s">
        <v>8309</v>
      </c>
      <c r="D55" s="41" t="e">
        <f>+#REF!</f>
        <v>#REF!</v>
      </c>
      <c r="E55" s="42">
        <f ca="1" t="shared" si="15"/>
        <v>0</v>
      </c>
      <c r="F55" s="52">
        <f ca="1" t="shared" si="9"/>
        <v>0</v>
      </c>
      <c r="G55" s="22">
        <f ca="1">+GETPIVOTDATA("XCB4",'cubi (2016)'!$A$3,"MA_HT","SON","MA_QH","LUC")</f>
        <v>0</v>
      </c>
      <c r="H55" s="22">
        <f ca="1">+GETPIVOTDATA("XCB4",'cubi (2016)'!$A$3,"MA_HT","SON","MA_QH","LUK")</f>
        <v>0</v>
      </c>
      <c r="I55" s="22">
        <f ca="1">+GETPIVOTDATA("XCB4",'cubi (2016)'!$A$3,"MA_HT","SON","MA_QH","LUN")</f>
        <v>0</v>
      </c>
      <c r="J55" s="22">
        <f ca="1">+GETPIVOTDATA("XCB4",'cubi (2016)'!$A$3,"MA_HT","SON","MA_QH","HNK")</f>
        <v>0</v>
      </c>
      <c r="K55" s="22">
        <f ca="1">+GETPIVOTDATA("XCB4",'cubi (2016)'!$A$3,"MA_HT","SON","MA_QH","CLN")</f>
        <v>0</v>
      </c>
      <c r="L55" s="22">
        <f ca="1">+GETPIVOTDATA("XCB4",'cubi (2016)'!$A$3,"MA_HT","SON","MA_QH","RSX")</f>
        <v>0</v>
      </c>
      <c r="M55" s="22">
        <f ca="1">+GETPIVOTDATA("XCB4",'cubi (2016)'!$A$3,"MA_HT","SON","MA_QH","RPH")</f>
        <v>0</v>
      </c>
      <c r="N55" s="22">
        <f ca="1">+GETPIVOTDATA("XCB4",'cubi (2016)'!$A$3,"MA_HT","SON","MA_QH","RDD")</f>
        <v>0</v>
      </c>
      <c r="O55" s="22">
        <f ca="1">+GETPIVOTDATA("XCB4",'cubi (2016)'!$A$3,"MA_HT","SON","MA_QH","NTS")</f>
        <v>0</v>
      </c>
      <c r="P55" s="22">
        <f ca="1">+GETPIVOTDATA("XCB4",'cubi (2016)'!$A$3,"MA_HT","SON","MA_QH","LMU")</f>
        <v>0</v>
      </c>
      <c r="Q55" s="22">
        <f ca="1">+GETPIVOTDATA("XCB4",'cubi (2016)'!$A$3,"MA_HT","SON","MA_QH","NKH")</f>
        <v>0</v>
      </c>
      <c r="R55" s="79">
        <f ca="1">SUM(S55:AA55,AN55:AZ55,BC55:BD55)</f>
        <v>0</v>
      </c>
      <c r="S55" s="22">
        <f ca="1">+GETPIVOTDATA("XCB4",'cubi (2016)'!$A$3,"MA_HT","SON","MA_QH","CQP")</f>
        <v>0</v>
      </c>
      <c r="T55" s="22">
        <f ca="1">+GETPIVOTDATA("XCB4",'cubi (2016)'!$A$3,"MA_HT","SON","MA_QH","CAN")</f>
        <v>0</v>
      </c>
      <c r="U55" s="22">
        <f ca="1">+GETPIVOTDATA("XCB4",'cubi (2016)'!$A$3,"MA_HT","SON","MA_QH","SKK")</f>
        <v>0</v>
      </c>
      <c r="V55" s="22">
        <f ca="1">+GETPIVOTDATA("XCB4",'cubi (2016)'!$A$3,"MA_HT","SON","MA_QH","SKT")</f>
        <v>0</v>
      </c>
      <c r="W55" s="22">
        <f ca="1">+GETPIVOTDATA("XCB4",'cubi (2016)'!$A$3,"MA_HT","SON","MA_QH","SKN")</f>
        <v>0</v>
      </c>
      <c r="X55" s="22">
        <f ca="1">+GETPIVOTDATA("XCB4",'cubi (2016)'!$A$3,"MA_HT","SON","MA_QH","TMD")</f>
        <v>0</v>
      </c>
      <c r="Y55" s="22">
        <f ca="1">+GETPIVOTDATA("XCB4",'cubi (2016)'!$A$3,"MA_HT","SON","MA_QH","SKC")</f>
        <v>0</v>
      </c>
      <c r="Z55" s="22">
        <f ca="1">+GETPIVOTDATA("XCB4",'cubi (2016)'!$A$3,"MA_HT","SON","MA_QH","SKS")</f>
        <v>0</v>
      </c>
      <c r="AA55" s="52">
        <f ca="1" t="shared" si="21"/>
        <v>0</v>
      </c>
      <c r="AB55" s="22">
        <f ca="1">+GETPIVOTDATA("XCB4",'cubi (2016)'!$A$3,"MA_HT","SON","MA_QH","DGT")</f>
        <v>0</v>
      </c>
      <c r="AC55" s="22">
        <f ca="1">+GETPIVOTDATA("XCB4",'cubi (2016)'!$A$3,"MA_HT","SON","MA_QH","DTL")</f>
        <v>0</v>
      </c>
      <c r="AD55" s="22">
        <f ca="1">+GETPIVOTDATA("XCB4",'cubi (2016)'!$A$3,"MA_HT","SON","MA_QH","DNL")</f>
        <v>0</v>
      </c>
      <c r="AE55" s="22">
        <f ca="1">+GETPIVOTDATA("XCB4",'cubi (2016)'!$A$3,"MA_HT","SON","MA_QH","DBV")</f>
        <v>0</v>
      </c>
      <c r="AF55" s="22">
        <f ca="1">+GETPIVOTDATA("XCB4",'cubi (2016)'!$A$3,"MA_HT","SON","MA_QH","DVH")</f>
        <v>0</v>
      </c>
      <c r="AG55" s="22">
        <f ca="1">+GETPIVOTDATA("XCB4",'cubi (2016)'!$A$3,"MA_HT","SON","MA_QH","DYT")</f>
        <v>0</v>
      </c>
      <c r="AH55" s="22">
        <f ca="1">+GETPIVOTDATA("XCB4",'cubi (2016)'!$A$3,"MA_HT","SON","MA_QH","DGD")</f>
        <v>0</v>
      </c>
      <c r="AI55" s="22">
        <f ca="1">+GETPIVOTDATA("XCB4",'cubi (2016)'!$A$3,"MA_HT","SON","MA_QH","DTT")</f>
        <v>0</v>
      </c>
      <c r="AJ55" s="22">
        <f ca="1">+GETPIVOTDATA("XCB4",'cubi (2016)'!$A$3,"MA_HT","SON","MA_QH","NCK")</f>
        <v>0</v>
      </c>
      <c r="AK55" s="22">
        <f ca="1">+GETPIVOTDATA("XCB4",'cubi (2016)'!$A$3,"MA_HT","SON","MA_QH","DXH")</f>
        <v>0</v>
      </c>
      <c r="AL55" s="22">
        <f ca="1">+GETPIVOTDATA("XCB4",'cubi (2016)'!$A$3,"MA_HT","SON","MA_QH","DCH")</f>
        <v>0</v>
      </c>
      <c r="AM55" s="22">
        <f ca="1">+GETPIVOTDATA("XCB4",'cubi (2016)'!$A$3,"MA_HT","SON","MA_QH","DKG")</f>
        <v>0</v>
      </c>
      <c r="AN55" s="22">
        <f ca="1">+GETPIVOTDATA("XCB4",'cubi (2016)'!$A$3,"MA_HT","SON","MA_QH","DDT")</f>
        <v>0</v>
      </c>
      <c r="AO55" s="22">
        <f ca="1">+GETPIVOTDATA("XCB4",'cubi (2016)'!$A$3,"MA_HT","SON","MA_QH","DDL")</f>
        <v>0</v>
      </c>
      <c r="AP55" s="22">
        <f ca="1">+GETPIVOTDATA("XCB4",'cubi (2016)'!$A$3,"MA_HT","SON","MA_QH","DRA")</f>
        <v>0</v>
      </c>
      <c r="AQ55" s="22">
        <f ca="1">+GETPIVOTDATA("XCB4",'cubi (2016)'!$A$3,"MA_HT","SON","MA_QH","ONT")</f>
        <v>0</v>
      </c>
      <c r="AR55" s="22">
        <f ca="1">+GETPIVOTDATA("XCB4",'cubi (2016)'!$A$3,"MA_HT","SON","MA_QH","ODT")</f>
        <v>0</v>
      </c>
      <c r="AS55" s="22">
        <f ca="1">+GETPIVOTDATA("XCB4",'cubi (2016)'!$A$3,"MA_HT","SON","MA_QH","TSC")</f>
        <v>0</v>
      </c>
      <c r="AT55" s="22">
        <f ca="1">+GETPIVOTDATA("XCB4",'cubi (2016)'!$A$3,"MA_HT","SON","MA_QH","DTS")</f>
        <v>0</v>
      </c>
      <c r="AU55" s="22">
        <f ca="1">+GETPIVOTDATA("XCB4",'cubi (2016)'!$A$3,"MA_HT","SON","MA_QH","DNG")</f>
        <v>0</v>
      </c>
      <c r="AV55" s="22">
        <f ca="1">+GETPIVOTDATA("XCB4",'cubi (2016)'!$A$3,"MA_HT","SON","MA_QH","TON")</f>
        <v>0</v>
      </c>
      <c r="AW55" s="22">
        <f ca="1">+GETPIVOTDATA("XCB4",'cubi (2016)'!$A$3,"MA_HT","SON","MA_QH","NTD")</f>
        <v>0</v>
      </c>
      <c r="AX55" s="22">
        <f ca="1">+GETPIVOTDATA("XCB4",'cubi (2016)'!$A$3,"MA_HT","SON","MA_QH","SKX")</f>
        <v>0</v>
      </c>
      <c r="AY55" s="22">
        <f ca="1">+GETPIVOTDATA("XCB4",'cubi (2016)'!$A$3,"MA_HT","SON","MA_QH","DSH")</f>
        <v>0</v>
      </c>
      <c r="AZ55" s="22">
        <f ca="1">+GETPIVOTDATA("XCB4",'cubi (2016)'!$A$3,"MA_HT","SON","MA_QH","DKV")</f>
        <v>0</v>
      </c>
      <c r="BA55" s="89">
        <f ca="1">+GETPIVOTDATA("XCB4",'cubi (2016)'!$A$3,"MA_HT","SON","MA_QH","TIN")</f>
        <v>0</v>
      </c>
      <c r="BB55" s="43" t="e">
        <f ca="1">$D55-$BF55</f>
        <v>#REF!</v>
      </c>
      <c r="BC55" s="50">
        <f ca="1">+GETPIVOTDATA("XCB4",'cubi (2016)'!$A$3,"MA_HT","SON","MA_QH","MNC")</f>
        <v>0</v>
      </c>
      <c r="BD55" s="22">
        <f ca="1">+GETPIVOTDATA("XCB4",'cubi (2016)'!$A$3,"MA_HT","SON","MA_QH","PNK")</f>
        <v>0</v>
      </c>
      <c r="BE55" s="71">
        <f ca="1">+GETPIVOTDATA("XCB4",'cubi (2016)'!$A$3,"MA_HT","SON","MA_QH","CSD")</f>
        <v>0</v>
      </c>
      <c r="BF55" s="74">
        <f ca="1" t="shared" si="13"/>
        <v>0</v>
      </c>
      <c r="BG55" s="101">
        <f ca="1">BB$59-$BF55</f>
        <v>0</v>
      </c>
      <c r="BH55" s="41" t="e">
        <f ca="1" t="shared" si="14"/>
        <v>#REF!</v>
      </c>
      <c r="BI55" s="98"/>
      <c r="BJ55" s="98"/>
      <c r="BK55" s="107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</row>
    <row r="56" s="2" customFormat="1" ht="15.75" customHeight="1" spans="1:79">
      <c r="A56" s="68" t="s">
        <v>8430</v>
      </c>
      <c r="B56" s="69" t="s">
        <v>8431</v>
      </c>
      <c r="C56" s="40" t="s">
        <v>8301</v>
      </c>
      <c r="D56" s="41" t="e">
        <f>+#REF!</f>
        <v>#REF!</v>
      </c>
      <c r="E56" s="42">
        <f ca="1" t="shared" si="15"/>
        <v>0</v>
      </c>
      <c r="F56" s="52">
        <f ca="1" t="shared" si="9"/>
        <v>0</v>
      </c>
      <c r="G56" s="22">
        <f ca="1">+GETPIVOTDATA("XCB4",'cubi (2016)'!$A$3,"MA_HT","MNC","MA_QH","LUC")</f>
        <v>0</v>
      </c>
      <c r="H56" s="22">
        <f ca="1">+GETPIVOTDATA("XCB4",'cubi (2016)'!$A$3,"MA_HT","MNC","MA_QH","LUK")</f>
        <v>0</v>
      </c>
      <c r="I56" s="22">
        <f ca="1">+GETPIVOTDATA("XCB4",'cubi (2016)'!$A$3,"MA_HT","MNC","MA_QH","LUN")</f>
        <v>0</v>
      </c>
      <c r="J56" s="22">
        <f ca="1">+GETPIVOTDATA("XCB4",'cubi (2016)'!$A$3,"MA_HT","MNC","MA_QH","HNK")</f>
        <v>0</v>
      </c>
      <c r="K56" s="22">
        <f ca="1">+GETPIVOTDATA("XCB4",'cubi (2016)'!$A$3,"MA_HT","MNC","MA_QH","CLN")</f>
        <v>0</v>
      </c>
      <c r="L56" s="22">
        <f ca="1">+GETPIVOTDATA("XCB4",'cubi (2016)'!$A$3,"MA_HT","MNC","MA_QH","RSX")</f>
        <v>0</v>
      </c>
      <c r="M56" s="22">
        <f ca="1">+GETPIVOTDATA("XCB4",'cubi (2016)'!$A$3,"MA_HT","MNC","MA_QH","RPH")</f>
        <v>0</v>
      </c>
      <c r="N56" s="22">
        <f ca="1">+GETPIVOTDATA("XCB4",'cubi (2016)'!$A$3,"MA_HT","MNC","MA_QH","RDD")</f>
        <v>0</v>
      </c>
      <c r="O56" s="22">
        <f ca="1">+GETPIVOTDATA("XCB4",'cubi (2016)'!$A$3,"MA_HT","MNC","MA_QH","NTS")</f>
        <v>0</v>
      </c>
      <c r="P56" s="22">
        <f ca="1">+GETPIVOTDATA("XCB4",'cubi (2016)'!$A$3,"MA_HT","MNC","MA_QH","LMU")</f>
        <v>0</v>
      </c>
      <c r="Q56" s="22">
        <f ca="1">+GETPIVOTDATA("XCB4",'cubi (2016)'!$A$3,"MA_HT","MNC","MA_QH","NKH")</f>
        <v>0</v>
      </c>
      <c r="R56" s="79">
        <f ca="1">SUM(S56:AA56,AN56:BB56,BD56)</f>
        <v>0</v>
      </c>
      <c r="S56" s="22">
        <f ca="1">+GETPIVOTDATA("XCB4",'cubi (2016)'!$A$3,"MA_HT","MNC","MA_QH","CQP")</f>
        <v>0</v>
      </c>
      <c r="T56" s="22">
        <f ca="1">+GETPIVOTDATA("XCB4",'cubi (2016)'!$A$3,"MA_HT","MNC","MA_QH","CAN")</f>
        <v>0</v>
      </c>
      <c r="U56" s="22">
        <f ca="1">+GETPIVOTDATA("XCB4",'cubi (2016)'!$A$3,"MA_HT","MNC","MA_QH","SKK")</f>
        <v>0</v>
      </c>
      <c r="V56" s="22">
        <f ca="1">+GETPIVOTDATA("XCB4",'cubi (2016)'!$A$3,"MA_HT","MNC","MA_QH","SKT")</f>
        <v>0</v>
      </c>
      <c r="W56" s="22">
        <f ca="1">+GETPIVOTDATA("XCB4",'cubi (2016)'!$A$3,"MA_HT","MNC","MA_QH","SKN")</f>
        <v>0</v>
      </c>
      <c r="X56" s="22">
        <f ca="1">+GETPIVOTDATA("XCB4",'cubi (2016)'!$A$3,"MA_HT","MNC","MA_QH","TMD")</f>
        <v>0</v>
      </c>
      <c r="Y56" s="22">
        <f ca="1">+GETPIVOTDATA("XCB4",'cubi (2016)'!$A$3,"MA_HT","MNC","MA_QH","SKC")</f>
        <v>0</v>
      </c>
      <c r="Z56" s="22">
        <f ca="1">+GETPIVOTDATA("XCB4",'cubi (2016)'!$A$3,"MA_HT","MNC","MA_QH","SKS")</f>
        <v>0</v>
      </c>
      <c r="AA56" s="52">
        <f ca="1" t="shared" si="21"/>
        <v>0</v>
      </c>
      <c r="AB56" s="22">
        <f ca="1">+GETPIVOTDATA("XCB4",'cubi (2016)'!$A$3,"MA_HT","MNC","MA_QH","DGT")</f>
        <v>0</v>
      </c>
      <c r="AC56" s="22">
        <f ca="1">+GETPIVOTDATA("XCB4",'cubi (2016)'!$A$3,"MA_HT","MNC","MA_QH","DTL")</f>
        <v>0</v>
      </c>
      <c r="AD56" s="22">
        <f ca="1">+GETPIVOTDATA("XCB4",'cubi (2016)'!$A$3,"MA_HT","MNC","MA_QH","DNL")</f>
        <v>0</v>
      </c>
      <c r="AE56" s="22">
        <f ca="1">+GETPIVOTDATA("XCB4",'cubi (2016)'!$A$3,"MA_HT","MNC","MA_QH","DBV")</f>
        <v>0</v>
      </c>
      <c r="AF56" s="22">
        <f ca="1">+GETPIVOTDATA("XCB4",'cubi (2016)'!$A$3,"MA_HT","MNC","MA_QH","DVH")</f>
        <v>0</v>
      </c>
      <c r="AG56" s="22">
        <f ca="1">+GETPIVOTDATA("XCB4",'cubi (2016)'!$A$3,"MA_HT","MNC","MA_QH","DYT")</f>
        <v>0</v>
      </c>
      <c r="AH56" s="22">
        <f ca="1">+GETPIVOTDATA("XCB4",'cubi (2016)'!$A$3,"MA_HT","MNC","MA_QH","DGD")</f>
        <v>0</v>
      </c>
      <c r="AI56" s="22">
        <f ca="1">+GETPIVOTDATA("XCB4",'cubi (2016)'!$A$3,"MA_HT","MNC","MA_QH","DTT")</f>
        <v>0</v>
      </c>
      <c r="AJ56" s="22">
        <f ca="1">+GETPIVOTDATA("XCB4",'cubi (2016)'!$A$3,"MA_HT","MNC","MA_QH","NCK")</f>
        <v>0</v>
      </c>
      <c r="AK56" s="22">
        <f ca="1">+GETPIVOTDATA("XCB4",'cubi (2016)'!$A$3,"MA_HT","MNC","MA_QH","DXH")</f>
        <v>0</v>
      </c>
      <c r="AL56" s="22">
        <f ca="1">+GETPIVOTDATA("XCB4",'cubi (2016)'!$A$3,"MA_HT","MNC","MA_QH","DCH")</f>
        <v>0</v>
      </c>
      <c r="AM56" s="22">
        <f ca="1">+GETPIVOTDATA("XCB4",'cubi (2016)'!$A$3,"MA_HT","MNC","MA_QH","DKG")</f>
        <v>0</v>
      </c>
      <c r="AN56" s="22">
        <f ca="1">+GETPIVOTDATA("XCB4",'cubi (2016)'!$A$3,"MA_HT","MNC","MA_QH","DDT")</f>
        <v>0</v>
      </c>
      <c r="AO56" s="22">
        <f ca="1">+GETPIVOTDATA("XCB4",'cubi (2016)'!$A$3,"MA_HT","MNC","MA_QH","DDL")</f>
        <v>0</v>
      </c>
      <c r="AP56" s="22">
        <f ca="1">+GETPIVOTDATA("XCB4",'cubi (2016)'!$A$3,"MA_HT","MNC","MA_QH","DRA")</f>
        <v>0</v>
      </c>
      <c r="AQ56" s="22">
        <f ca="1">+GETPIVOTDATA("XCB4",'cubi (2016)'!$A$3,"MA_HT","MNC","MA_QH","ONT")</f>
        <v>0</v>
      </c>
      <c r="AR56" s="22">
        <f ca="1">+GETPIVOTDATA("XCB4",'cubi (2016)'!$A$3,"MA_HT","MNC","MA_QH","ODT")</f>
        <v>0</v>
      </c>
      <c r="AS56" s="22">
        <f ca="1">+GETPIVOTDATA("XCB4",'cubi (2016)'!$A$3,"MA_HT","MNC","MA_QH","TSC")</f>
        <v>0</v>
      </c>
      <c r="AT56" s="22">
        <f ca="1">+GETPIVOTDATA("XCB4",'cubi (2016)'!$A$3,"MA_HT","MNC","MA_QH","DTS")</f>
        <v>0</v>
      </c>
      <c r="AU56" s="22">
        <f ca="1">+GETPIVOTDATA("XCB4",'cubi (2016)'!$A$3,"MA_HT","MNC","MA_QH","DNG")</f>
        <v>0</v>
      </c>
      <c r="AV56" s="22">
        <f ca="1">+GETPIVOTDATA("XCB4",'cubi (2016)'!$A$3,"MA_HT","MNC","MA_QH","TON")</f>
        <v>0</v>
      </c>
      <c r="AW56" s="22">
        <f ca="1">+GETPIVOTDATA("XCB4",'cubi (2016)'!$A$3,"MA_HT","MNC","MA_QH","NTD")</f>
        <v>0</v>
      </c>
      <c r="AX56" s="22">
        <f ca="1">+GETPIVOTDATA("XCB4",'cubi (2016)'!$A$3,"MA_HT","MNC","MA_QH","SKX")</f>
        <v>0</v>
      </c>
      <c r="AY56" s="22">
        <f ca="1">+GETPIVOTDATA("XCB4",'cubi (2016)'!$A$3,"MA_HT","MNC","MA_QH","DSH")</f>
        <v>0</v>
      </c>
      <c r="AZ56" s="22">
        <f ca="1">+GETPIVOTDATA("XCB4",'cubi (2016)'!$A$3,"MA_HT","MNC","MA_QH","DKV")</f>
        <v>0</v>
      </c>
      <c r="BA56" s="89">
        <f ca="1">+GETPIVOTDATA("XCB4",'cubi (2016)'!$A$3,"MA_HT","MNC","MA_QH","TIN")</f>
        <v>0</v>
      </c>
      <c r="BB56" s="50">
        <f ca="1">+GETPIVOTDATA("XCB4",'cubi (2016)'!$A$3,"MA_HT","MNC","MA_QH","SON")</f>
        <v>0</v>
      </c>
      <c r="BC56" s="43" t="e">
        <f ca="1">$D56-$BF56</f>
        <v>#REF!</v>
      </c>
      <c r="BD56" s="22">
        <f ca="1">+GETPIVOTDATA("XCB4",'cubi (2016)'!$A$3,"MA_HT","MNC","MA_QH","PNK")</f>
        <v>0</v>
      </c>
      <c r="BE56" s="71">
        <f ca="1">+GETPIVOTDATA("XCB4",'cubi (2016)'!$A$3,"MA_HT","MNC","MA_QH","CSD")</f>
        <v>0</v>
      </c>
      <c r="BF56" s="74">
        <f ca="1" t="shared" si="13"/>
        <v>0</v>
      </c>
      <c r="BG56" s="101">
        <f ca="1">BC$59-$BF56</f>
        <v>0</v>
      </c>
      <c r="BH56" s="41" t="e">
        <f ca="1" t="shared" si="14"/>
        <v>#REF!</v>
      </c>
      <c r="BI56" s="98"/>
      <c r="BJ56" s="98"/>
      <c r="BK56" s="107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</row>
    <row r="57" s="2" customFormat="1" ht="15.75" customHeight="1" spans="1:79">
      <c r="A57" s="68" t="s">
        <v>8432</v>
      </c>
      <c r="B57" s="69" t="s">
        <v>8433</v>
      </c>
      <c r="C57" s="40" t="s">
        <v>59</v>
      </c>
      <c r="D57" s="41" t="e">
        <f>+#REF!</f>
        <v>#REF!</v>
      </c>
      <c r="E57" s="42">
        <f ca="1" t="shared" si="15"/>
        <v>0</v>
      </c>
      <c r="F57" s="52">
        <f ca="1" t="shared" si="9"/>
        <v>0</v>
      </c>
      <c r="G57" s="22">
        <f ca="1">+GETPIVOTDATA("XCB4",'cubi (2016)'!$A$3,"MA_HT","PNK","MA_QH","LUC")</f>
        <v>0</v>
      </c>
      <c r="H57" s="22">
        <f ca="1">+GETPIVOTDATA("XCB4",'cubi (2016)'!$A$3,"MA_HT","PNK","MA_QH","LUK")</f>
        <v>0</v>
      </c>
      <c r="I57" s="22">
        <f ca="1">+GETPIVOTDATA("XCB4",'cubi (2016)'!$A$3,"MA_HT","PNK","MA_QH","LUN")</f>
        <v>0</v>
      </c>
      <c r="J57" s="22">
        <f ca="1">+GETPIVOTDATA("XCB4",'cubi (2016)'!$A$3,"MA_HT","PNK","MA_QH","HNK")</f>
        <v>0</v>
      </c>
      <c r="K57" s="22">
        <f ca="1">+GETPIVOTDATA("XCB4",'cubi (2016)'!$A$3,"MA_HT","PNK","MA_QH","CLN")</f>
        <v>0</v>
      </c>
      <c r="L57" s="22">
        <f ca="1">+GETPIVOTDATA("XCB4",'cubi (2016)'!$A$3,"MA_HT","PNK","MA_QH","RSX")</f>
        <v>0</v>
      </c>
      <c r="M57" s="22">
        <f ca="1">+GETPIVOTDATA("XCB4",'cubi (2016)'!$A$3,"MA_HT","PNK","MA_QH","RPH")</f>
        <v>0</v>
      </c>
      <c r="N57" s="22">
        <f ca="1">+GETPIVOTDATA("XCB4",'cubi (2016)'!$A$3,"MA_HT","PNK","MA_QH","RDD")</f>
        <v>0</v>
      </c>
      <c r="O57" s="22">
        <f ca="1">+GETPIVOTDATA("XCB4",'cubi (2016)'!$A$3,"MA_HT","PNK","MA_QH","NTS")</f>
        <v>0</v>
      </c>
      <c r="P57" s="22">
        <f ca="1">+GETPIVOTDATA("XCB4",'cubi (2016)'!$A$3,"MA_HT","PNK","MA_QH","LMU")</f>
        <v>0</v>
      </c>
      <c r="Q57" s="22">
        <f ca="1">+GETPIVOTDATA("XCB4",'cubi (2016)'!$A$3,"MA_HT","PNK","MA_QH","NKH")</f>
        <v>0</v>
      </c>
      <c r="R57" s="79">
        <f ca="1">SUM(S57:AA57,AN57:BC57)</f>
        <v>0</v>
      </c>
      <c r="S57" s="22">
        <f ca="1">+GETPIVOTDATA("XCB4",'cubi (2016)'!$A$3,"MA_HT","PNK","MA_QH","CQP")</f>
        <v>0</v>
      </c>
      <c r="T57" s="22">
        <f ca="1">+GETPIVOTDATA("XCB4",'cubi (2016)'!$A$3,"MA_HT","PNK","MA_QH","CAN")</f>
        <v>0</v>
      </c>
      <c r="U57" s="22">
        <f ca="1">+GETPIVOTDATA("XCB4",'cubi (2016)'!$A$3,"MA_HT","PNK","MA_QH","SKK")</f>
        <v>0</v>
      </c>
      <c r="V57" s="22">
        <f ca="1">+GETPIVOTDATA("XCB4",'cubi (2016)'!$A$3,"MA_HT","PNK","MA_QH","SKT")</f>
        <v>0</v>
      </c>
      <c r="W57" s="22">
        <f ca="1">+GETPIVOTDATA("XCB4",'cubi (2016)'!$A$3,"MA_HT","PNK","MA_QH","SKN")</f>
        <v>0</v>
      </c>
      <c r="X57" s="22">
        <f ca="1">+GETPIVOTDATA("XCB4",'cubi (2016)'!$A$3,"MA_HT","PNK","MA_QH","TMD")</f>
        <v>0</v>
      </c>
      <c r="Y57" s="22">
        <f ca="1">+GETPIVOTDATA("XCB4",'cubi (2016)'!$A$3,"MA_HT","PNK","MA_QH","SKC")</f>
        <v>0</v>
      </c>
      <c r="Z57" s="22">
        <f ca="1">+GETPIVOTDATA("XCB4",'cubi (2016)'!$A$3,"MA_HT","PNK","MA_QH","SKS")</f>
        <v>0</v>
      </c>
      <c r="AA57" s="52">
        <f ca="1" t="shared" si="21"/>
        <v>0</v>
      </c>
      <c r="AB57" s="22">
        <f ca="1">+GETPIVOTDATA("XCB4",'cubi (2016)'!$A$3,"MA_HT","PNK","MA_QH","DGT")</f>
        <v>0</v>
      </c>
      <c r="AC57" s="22">
        <f ca="1">+GETPIVOTDATA("XCB4",'cubi (2016)'!$A$3,"MA_HT","PNK","MA_QH","DTL")</f>
        <v>0</v>
      </c>
      <c r="AD57" s="22">
        <f ca="1">+GETPIVOTDATA("XCB4",'cubi (2016)'!$A$3,"MA_HT","PNK","MA_QH","DNL")</f>
        <v>0</v>
      </c>
      <c r="AE57" s="22">
        <f ca="1">+GETPIVOTDATA("XCB4",'cubi (2016)'!$A$3,"MA_HT","PNK","MA_QH","DBV")</f>
        <v>0</v>
      </c>
      <c r="AF57" s="22">
        <f ca="1">+GETPIVOTDATA("XCB4",'cubi (2016)'!$A$3,"MA_HT","PNK","MA_QH","DVH")</f>
        <v>0</v>
      </c>
      <c r="AG57" s="22">
        <f ca="1">+GETPIVOTDATA("XCB4",'cubi (2016)'!$A$3,"MA_HT","PNK","MA_QH","DYT")</f>
        <v>0</v>
      </c>
      <c r="AH57" s="22">
        <f ca="1">+GETPIVOTDATA("XCB4",'cubi (2016)'!$A$3,"MA_HT","PNK","MA_QH","DGD")</f>
        <v>0</v>
      </c>
      <c r="AI57" s="22">
        <f ca="1">+GETPIVOTDATA("XCB4",'cubi (2016)'!$A$3,"MA_HT","PNK","MA_QH","DTT")</f>
        <v>0</v>
      </c>
      <c r="AJ57" s="22">
        <f ca="1">+GETPIVOTDATA("XCB4",'cubi (2016)'!$A$3,"MA_HT","PNK","MA_QH","NCK")</f>
        <v>0</v>
      </c>
      <c r="AK57" s="22">
        <f ca="1">+GETPIVOTDATA("XCB4",'cubi (2016)'!$A$3,"MA_HT","PNK","MA_QH","DXH")</f>
        <v>0</v>
      </c>
      <c r="AL57" s="22">
        <f ca="1">+GETPIVOTDATA("XCB4",'cubi (2016)'!$A$3,"MA_HT","PNK","MA_QH","DCH")</f>
        <v>0</v>
      </c>
      <c r="AM57" s="22">
        <f ca="1">+GETPIVOTDATA("XCB4",'cubi (2016)'!$A$3,"MA_HT","PNK","MA_QH","DKG")</f>
        <v>0</v>
      </c>
      <c r="AN57" s="22">
        <f ca="1">+GETPIVOTDATA("XCB4",'cubi (2016)'!$A$3,"MA_HT","PNK","MA_QH","DDT")</f>
        <v>0</v>
      </c>
      <c r="AO57" s="22">
        <f ca="1">+GETPIVOTDATA("XCB4",'cubi (2016)'!$A$3,"MA_HT","PNK","MA_QH","DDL")</f>
        <v>0</v>
      </c>
      <c r="AP57" s="22">
        <f ca="1">+GETPIVOTDATA("XCB4",'cubi (2016)'!$A$3,"MA_HT","PNK","MA_QH","DRA")</f>
        <v>0</v>
      </c>
      <c r="AQ57" s="22">
        <f ca="1">+GETPIVOTDATA("XCB4",'cubi (2016)'!$A$3,"MA_HT","PNK","MA_QH","ONT")</f>
        <v>0</v>
      </c>
      <c r="AR57" s="22">
        <f ca="1">+GETPIVOTDATA("XCB4",'cubi (2016)'!$A$3,"MA_HT","PNK","MA_QH","ODT")</f>
        <v>0</v>
      </c>
      <c r="AS57" s="22">
        <f ca="1">+GETPIVOTDATA("XCB4",'cubi (2016)'!$A$3,"MA_HT","PNK","MA_QH","TSC")</f>
        <v>0</v>
      </c>
      <c r="AT57" s="22">
        <f ca="1">+GETPIVOTDATA("XCB4",'cubi (2016)'!$A$3,"MA_HT","PNK","MA_QH","DTS")</f>
        <v>0</v>
      </c>
      <c r="AU57" s="22">
        <f ca="1">+GETPIVOTDATA("XCB4",'cubi (2016)'!$A$3,"MA_HT","PNK","MA_QH","DNG")</f>
        <v>0</v>
      </c>
      <c r="AV57" s="22">
        <f ca="1">+GETPIVOTDATA("XCB4",'cubi (2016)'!$A$3,"MA_HT","PNK","MA_QH","TON")</f>
        <v>0</v>
      </c>
      <c r="AW57" s="22">
        <f ca="1">+GETPIVOTDATA("XCB4",'cubi (2016)'!$A$3,"MA_HT","PNK","MA_QH","NTD")</f>
        <v>0</v>
      </c>
      <c r="AX57" s="22">
        <f ca="1">+GETPIVOTDATA("XCB4",'cubi (2016)'!$A$3,"MA_HT","PNK","MA_QH","SKX")</f>
        <v>0</v>
      </c>
      <c r="AY57" s="22">
        <f ca="1">+GETPIVOTDATA("XCB4",'cubi (2016)'!$A$3,"MA_HT","PNK","MA_QH","DSH")</f>
        <v>0</v>
      </c>
      <c r="AZ57" s="22">
        <f ca="1">+GETPIVOTDATA("XCB4",'cubi (2016)'!$A$3,"MA_HT","PNK","MA_QH","DKV")</f>
        <v>0</v>
      </c>
      <c r="BA57" s="89">
        <f ca="1">+GETPIVOTDATA("XCB4",'cubi (2016)'!$A$3,"MA_HT","PNK","MA_QH","TIN")</f>
        <v>0</v>
      </c>
      <c r="BB57" s="50">
        <f ca="1">+GETPIVOTDATA("XCB4",'cubi (2016)'!$A$3,"MA_HT","PNK","MA_QH","SON")</f>
        <v>0</v>
      </c>
      <c r="BC57" s="50">
        <f ca="1">+GETPIVOTDATA("XCB4",'cubi (2016)'!$A$3,"MA_HT","PNK","MA_QH","MNC")</f>
        <v>0</v>
      </c>
      <c r="BD57" s="43" t="e">
        <f ca="1">$D57-$BF57</f>
        <v>#REF!</v>
      </c>
      <c r="BE57" s="71">
        <f ca="1">+GETPIVOTDATA("XCB4",'cubi (2016)'!$A$3,"MA_HT","PNK","MA_QH","CSD")</f>
        <v>0</v>
      </c>
      <c r="BF57" s="74">
        <f ca="1" t="shared" si="13"/>
        <v>0</v>
      </c>
      <c r="BG57" s="101">
        <f ca="1">BD$59-$BF57</f>
        <v>0</v>
      </c>
      <c r="BH57" s="41" t="e">
        <f ca="1" t="shared" si="14"/>
        <v>#REF!</v>
      </c>
      <c r="BI57" s="98"/>
      <c r="BJ57" s="98" t="e">
        <f>#REF!</f>
        <v>#REF!</v>
      </c>
      <c r="BK57" s="107" t="e">
        <f ca="1">BH57-BJ57</f>
        <v>#REF!</v>
      </c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</row>
    <row r="58" s="3" customFormat="1" ht="15.75" customHeight="1" spans="1:79">
      <c r="A58" s="70" t="s">
        <v>8434</v>
      </c>
      <c r="B58" s="36" t="s">
        <v>8435</v>
      </c>
      <c r="C58" s="37" t="s">
        <v>8284</v>
      </c>
      <c r="D58" s="32" t="e">
        <f>+#REF!</f>
        <v>#REF!</v>
      </c>
      <c r="E58" s="42">
        <f ca="1" t="shared" si="15"/>
        <v>0</v>
      </c>
      <c r="F58" s="33">
        <f ca="1" t="shared" si="9"/>
        <v>0</v>
      </c>
      <c r="G58" s="71">
        <f ca="1">+GETPIVOTDATA("XCB4",'cubi (2016)'!$A$3,"MA_HT","CSD","MA_QH","LUC")</f>
        <v>0</v>
      </c>
      <c r="H58" s="71">
        <f ca="1">+GETPIVOTDATA("XCB4",'cubi (2016)'!$A$3,"MA_HT","CSD","MA_QH","LUK")</f>
        <v>0</v>
      </c>
      <c r="I58" s="71">
        <f ca="1">+GETPIVOTDATA("XCB4",'cubi (2016)'!$A$3,"MA_HT","CSD","MA_QH","LUN")</f>
        <v>0</v>
      </c>
      <c r="J58" s="71">
        <f ca="1">+GETPIVOTDATA("XCB4",'cubi (2016)'!$A$3,"MA_HT","CSD","MA_QH","HNK")</f>
        <v>0</v>
      </c>
      <c r="K58" s="71">
        <f ca="1">+GETPIVOTDATA("XCB4",'cubi (2016)'!$A$3,"MA_HT","CSD","MA_QH","CLN")</f>
        <v>0</v>
      </c>
      <c r="L58" s="71">
        <f ca="1">+GETPIVOTDATA("XCB4",'cubi (2016)'!$A$3,"MA_HT","CSD","MA_QH","RSX")</f>
        <v>0</v>
      </c>
      <c r="M58" s="71">
        <f ca="1">+GETPIVOTDATA("XCB4",'cubi (2016)'!$A$3,"MA_HT","CSD","MA_QH","RPH")</f>
        <v>0</v>
      </c>
      <c r="N58" s="71">
        <f ca="1">+GETPIVOTDATA("XCB4",'cubi (2016)'!$A$3,"MA_HT","CSD","MA_QH","RDD")</f>
        <v>0</v>
      </c>
      <c r="O58" s="71">
        <f ca="1">+GETPIVOTDATA("XCB4",'cubi (2016)'!$A$3,"MA_HT","CSD","MA_QH","NTS")</f>
        <v>0</v>
      </c>
      <c r="P58" s="71">
        <f ca="1">+GETPIVOTDATA("XCB4",'cubi (2016)'!$A$3,"MA_HT","CSD","MA_QH","LMU")</f>
        <v>0</v>
      </c>
      <c r="Q58" s="71">
        <f ca="1">+GETPIVOTDATA("XCB4",'cubi (2016)'!$A$3,"MA_HT","CSD","MA_QH","NKH")</f>
        <v>0</v>
      </c>
      <c r="R58" s="79">
        <f ca="1">SUM(S58:AA58,AN58:BD58)</f>
        <v>0</v>
      </c>
      <c r="S58" s="80">
        <f ca="1">+GETPIVOTDATA("XCB4",'cubi (2016)'!$A$3,"MA_HT","CSD","MA_QH","CQP")</f>
        <v>0</v>
      </c>
      <c r="T58" s="80">
        <f ca="1">+GETPIVOTDATA("XCB4",'cubi (2016)'!$A$3,"MA_HT","CSD","MA_QH","CAN")</f>
        <v>0</v>
      </c>
      <c r="U58" s="71">
        <f ca="1">+GETPIVOTDATA("XCB4",'cubi (2016)'!$A$3,"MA_HT","CSD","MA_QH","SKK")</f>
        <v>0</v>
      </c>
      <c r="V58" s="71">
        <f ca="1">+GETPIVOTDATA("XCB4",'cubi (2016)'!$A$3,"MA_HT","CSD","MA_QH","SKT")</f>
        <v>0</v>
      </c>
      <c r="W58" s="71">
        <f ca="1">+GETPIVOTDATA("XCB4",'cubi (2016)'!$A$3,"MA_HT","CSD","MA_QH","SKN")</f>
        <v>0</v>
      </c>
      <c r="X58" s="71">
        <f ca="1">+GETPIVOTDATA("XCB4",'cubi (2016)'!$A$3,"MA_HT","CSD","MA_QH","TMD")</f>
        <v>0</v>
      </c>
      <c r="Y58" s="71">
        <f ca="1">+GETPIVOTDATA("XCB4",'cubi (2016)'!$A$3,"MA_HT","CSD","MA_QH","SKC")</f>
        <v>0</v>
      </c>
      <c r="Z58" s="71">
        <f ca="1">+GETPIVOTDATA("XCB4",'cubi (2016)'!$A$3,"MA_HT","CSD","MA_QH","SKS")</f>
        <v>0</v>
      </c>
      <c r="AA58" s="52">
        <f ca="1" t="shared" si="21"/>
        <v>0</v>
      </c>
      <c r="AB58" s="80">
        <f ca="1">+GETPIVOTDATA("XCB4",'cubi (2016)'!$A$3,"MA_HT","CSD","MA_QH","DGT")</f>
        <v>0</v>
      </c>
      <c r="AC58" s="80">
        <f ca="1">+GETPIVOTDATA("XCB4",'cubi (2016)'!$A$3,"MA_HT","CSD","MA_QH","DTL")</f>
        <v>0</v>
      </c>
      <c r="AD58" s="80">
        <f ca="1">+GETPIVOTDATA("XCB4",'cubi (2016)'!$A$3,"MA_HT","CSD","MA_QH","DNL")</f>
        <v>0</v>
      </c>
      <c r="AE58" s="80">
        <f ca="1">+GETPIVOTDATA("XCB4",'cubi (2016)'!$A$3,"MA_HT","CSD","MA_QH","DBV")</f>
        <v>0</v>
      </c>
      <c r="AF58" s="80">
        <f ca="1">+GETPIVOTDATA("XCB4",'cubi (2016)'!$A$3,"MA_HT","CSD","MA_QH","DVH")</f>
        <v>0</v>
      </c>
      <c r="AG58" s="80">
        <f ca="1">+GETPIVOTDATA("XCB4",'cubi (2016)'!$A$3,"MA_HT","CSD","MA_QH","DYT")</f>
        <v>0</v>
      </c>
      <c r="AH58" s="80">
        <f ca="1">+GETPIVOTDATA("XCB4",'cubi (2016)'!$A$3,"MA_HT","CSD","MA_QH","DGD")</f>
        <v>0</v>
      </c>
      <c r="AI58" s="80">
        <f ca="1">+GETPIVOTDATA("XCB4",'cubi (2016)'!$A$3,"MA_HT","CSD","MA_QH","DTT")</f>
        <v>0</v>
      </c>
      <c r="AJ58" s="80">
        <f ca="1">+GETPIVOTDATA("XCB4",'cubi (2016)'!$A$3,"MA_HT","CSD","MA_QH","NCK")</f>
        <v>0</v>
      </c>
      <c r="AK58" s="80">
        <f ca="1">+GETPIVOTDATA("XCB4",'cubi (2016)'!$A$3,"MA_HT","CSD","MA_QH","DXH")</f>
        <v>0</v>
      </c>
      <c r="AL58" s="80">
        <f ca="1">+GETPIVOTDATA("XCB4",'cubi (2016)'!$A$3,"MA_HT","CSD","MA_QH","DCH")</f>
        <v>0</v>
      </c>
      <c r="AM58" s="80">
        <f ca="1">+GETPIVOTDATA("XCB4",'cubi (2016)'!$A$3,"MA_HT","CSD","MA_QH","DKG")</f>
        <v>0</v>
      </c>
      <c r="AN58" s="71">
        <f ca="1">+GETPIVOTDATA("XCB4",'cubi (2016)'!$A$3,"MA_HT","CSD","MA_QH","DDT")</f>
        <v>0</v>
      </c>
      <c r="AO58" s="71">
        <f ca="1">+GETPIVOTDATA("XCB4",'cubi (2016)'!$A$3,"MA_HT","CSD","MA_QH","DDL")</f>
        <v>0</v>
      </c>
      <c r="AP58" s="71">
        <f ca="1">+GETPIVOTDATA("XCB4",'cubi (2016)'!$A$3,"MA_HT","CSD","MA_QH","DRA")</f>
        <v>0</v>
      </c>
      <c r="AQ58" s="71">
        <f ca="1">+GETPIVOTDATA("XCB4",'cubi (2016)'!$A$3,"MA_HT","CSD","MA_QH","ONT")</f>
        <v>0</v>
      </c>
      <c r="AR58" s="71">
        <f ca="1">+GETPIVOTDATA("XCB4",'cubi (2016)'!$A$3,"MA_HT","CSD","MA_QH","ODT")</f>
        <v>0</v>
      </c>
      <c r="AS58" s="71">
        <f ca="1">+GETPIVOTDATA("XCB4",'cubi (2016)'!$A$3,"MA_HT","CSD","MA_QH","TSC")</f>
        <v>0</v>
      </c>
      <c r="AT58" s="71">
        <f ca="1">+GETPIVOTDATA("XCB4",'cubi (2016)'!$A$3,"MA_HT","CSD","MA_QH","DTS")</f>
        <v>0</v>
      </c>
      <c r="AU58" s="71">
        <f ca="1">+GETPIVOTDATA("XCB4",'cubi (2016)'!$A$3,"MA_HT","CSD","MA_QH","DNG")</f>
        <v>0</v>
      </c>
      <c r="AV58" s="71">
        <f ca="1">+GETPIVOTDATA("XCB4",'cubi (2016)'!$A$3,"MA_HT","CSD","MA_QH","TON")</f>
        <v>0</v>
      </c>
      <c r="AW58" s="71">
        <f ca="1">+GETPIVOTDATA("XCB4",'cubi (2016)'!$A$3,"MA_HT","CSD","MA_QH","NTD")</f>
        <v>0</v>
      </c>
      <c r="AX58" s="71">
        <f ca="1">+GETPIVOTDATA("XCB4",'cubi (2016)'!$A$3,"MA_HT","CSD","MA_QH","SKX")</f>
        <v>0</v>
      </c>
      <c r="AY58" s="71">
        <f ca="1">+GETPIVOTDATA("XCB4",'cubi (2016)'!$A$3,"MA_HT","CSD","MA_QH","DSH")</f>
        <v>0</v>
      </c>
      <c r="AZ58" s="71">
        <f ca="1">+GETPIVOTDATA("XCB4",'cubi (2016)'!$A$3,"MA_HT","CSD","MA_QH","DKV")</f>
        <v>0</v>
      </c>
      <c r="BA58" s="89">
        <f ca="1">+GETPIVOTDATA("XCB4",'cubi (2016)'!$A$3,"MA_HT","CSD","MA_QH","TIN")</f>
        <v>0</v>
      </c>
      <c r="BB58" s="80">
        <f ca="1">+GETPIVOTDATA("XCB4",'cubi (2016)'!$A$3,"MA_HT","CSD","MA_QH","SON")</f>
        <v>0</v>
      </c>
      <c r="BC58" s="80">
        <f ca="1">+GETPIVOTDATA("XCB4",'cubi (2016)'!$A$3,"MA_HT","CSD","MA_QH","MNC")</f>
        <v>0</v>
      </c>
      <c r="BD58" s="71">
        <f ca="1">+GETPIVOTDATA("XCB4",'cubi (2016)'!$A$3,"MA_HT","CSD","MA_QH","PNK")</f>
        <v>0</v>
      </c>
      <c r="BE58" s="38" t="e">
        <f ca="1">$D58-$BF58</f>
        <v>#REF!</v>
      </c>
      <c r="BF58" s="74">
        <f ca="1">R58+E58</f>
        <v>0</v>
      </c>
      <c r="BG58" s="119">
        <f ca="1">BE$59-$BF58</f>
        <v>0</v>
      </c>
      <c r="BH58" s="41" t="e">
        <f ca="1" t="shared" si="14"/>
        <v>#REF!</v>
      </c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</row>
    <row r="59" s="2" customFormat="1" ht="13.5" spans="1:246">
      <c r="A59" s="72"/>
      <c r="B59" s="72" t="s">
        <v>8436</v>
      </c>
      <c r="C59" s="73"/>
      <c r="D59" s="74"/>
      <c r="E59" s="75">
        <f ca="1">E58+E19</f>
        <v>0</v>
      </c>
      <c r="F59" s="74">
        <f ca="1" t="shared" ref="F59:Q59" si="22">F58+F19+F6</f>
        <v>0</v>
      </c>
      <c r="G59" s="74">
        <f ca="1" t="shared" si="22"/>
        <v>0</v>
      </c>
      <c r="H59" s="74">
        <f ca="1" t="shared" si="22"/>
        <v>0</v>
      </c>
      <c r="I59" s="74">
        <f ca="1" t="shared" si="22"/>
        <v>0</v>
      </c>
      <c r="J59" s="74">
        <f ca="1" t="shared" si="22"/>
        <v>0</v>
      </c>
      <c r="K59" s="74">
        <f ca="1" t="shared" si="22"/>
        <v>0</v>
      </c>
      <c r="L59" s="74">
        <f ca="1" t="shared" si="22"/>
        <v>0</v>
      </c>
      <c r="M59" s="74">
        <f ca="1" t="shared" si="22"/>
        <v>0</v>
      </c>
      <c r="N59" s="74">
        <f ca="1" t="shared" si="22"/>
        <v>0</v>
      </c>
      <c r="O59" s="74">
        <f ca="1" t="shared" si="22"/>
        <v>0</v>
      </c>
      <c r="P59" s="74">
        <f ca="1" t="shared" si="22"/>
        <v>0</v>
      </c>
      <c r="Q59" s="74">
        <f ca="1" t="shared" si="22"/>
        <v>0</v>
      </c>
      <c r="R59" s="75">
        <f ca="1">+R58+R6</f>
        <v>0</v>
      </c>
      <c r="S59" s="74">
        <f ca="1" t="shared" ref="S59:BD59" si="23">S58+S19+S6</f>
        <v>0</v>
      </c>
      <c r="T59" s="74">
        <f ca="1" t="shared" si="23"/>
        <v>0</v>
      </c>
      <c r="U59" s="74">
        <f ca="1" t="shared" si="23"/>
        <v>0</v>
      </c>
      <c r="V59" s="74">
        <f ca="1" t="shared" si="23"/>
        <v>0</v>
      </c>
      <c r="W59" s="74">
        <f ca="1" t="shared" si="23"/>
        <v>0</v>
      </c>
      <c r="X59" s="74">
        <f ca="1" t="shared" si="23"/>
        <v>0</v>
      </c>
      <c r="Y59" s="74">
        <f ca="1" t="shared" si="23"/>
        <v>0</v>
      </c>
      <c r="Z59" s="74">
        <f ca="1" t="shared" si="23"/>
        <v>0</v>
      </c>
      <c r="AA59" s="74">
        <f ca="1" t="shared" si="23"/>
        <v>0</v>
      </c>
      <c r="AB59" s="74">
        <f ca="1" t="shared" si="23"/>
        <v>0</v>
      </c>
      <c r="AC59" s="74">
        <f ca="1" t="shared" si="23"/>
        <v>0</v>
      </c>
      <c r="AD59" s="74">
        <f ca="1" t="shared" si="23"/>
        <v>0</v>
      </c>
      <c r="AE59" s="74">
        <f ca="1" t="shared" si="23"/>
        <v>0</v>
      </c>
      <c r="AF59" s="74">
        <f ca="1" t="shared" si="23"/>
        <v>0</v>
      </c>
      <c r="AG59" s="74">
        <f ca="1" t="shared" si="23"/>
        <v>0</v>
      </c>
      <c r="AH59" s="74">
        <f ca="1" t="shared" si="23"/>
        <v>0</v>
      </c>
      <c r="AI59" s="74">
        <f ca="1" t="shared" si="23"/>
        <v>0</v>
      </c>
      <c r="AJ59" s="74">
        <f ca="1" t="shared" si="23"/>
        <v>0</v>
      </c>
      <c r="AK59" s="74">
        <f ca="1" t="shared" si="23"/>
        <v>0</v>
      </c>
      <c r="AL59" s="74">
        <f ca="1" t="shared" si="23"/>
        <v>0</v>
      </c>
      <c r="AM59" s="74">
        <f ca="1" t="shared" si="23"/>
        <v>0</v>
      </c>
      <c r="AN59" s="74">
        <f ca="1" t="shared" si="23"/>
        <v>0</v>
      </c>
      <c r="AO59" s="74">
        <f ca="1" t="shared" si="23"/>
        <v>0</v>
      </c>
      <c r="AP59" s="74">
        <f ca="1" t="shared" si="23"/>
        <v>0</v>
      </c>
      <c r="AQ59" s="74">
        <f ca="1" t="shared" si="23"/>
        <v>0</v>
      </c>
      <c r="AR59" s="74">
        <f ca="1" t="shared" si="23"/>
        <v>0</v>
      </c>
      <c r="AS59" s="74">
        <f ca="1" t="shared" si="23"/>
        <v>0</v>
      </c>
      <c r="AT59" s="74">
        <f ca="1" t="shared" si="23"/>
        <v>0</v>
      </c>
      <c r="AU59" s="74">
        <f ca="1" t="shared" si="23"/>
        <v>0</v>
      </c>
      <c r="AV59" s="74">
        <f ca="1" t="shared" si="23"/>
        <v>0</v>
      </c>
      <c r="AW59" s="74">
        <f ca="1" t="shared" si="23"/>
        <v>0</v>
      </c>
      <c r="AX59" s="74">
        <f ca="1" t="shared" si="23"/>
        <v>0</v>
      </c>
      <c r="AY59" s="74">
        <f ca="1" t="shared" si="23"/>
        <v>0</v>
      </c>
      <c r="AZ59" s="74">
        <f ca="1" t="shared" si="23"/>
        <v>0</v>
      </c>
      <c r="BA59" s="75">
        <f ca="1" t="shared" si="23"/>
        <v>0</v>
      </c>
      <c r="BB59" s="74">
        <f ca="1" t="shared" si="23"/>
        <v>0</v>
      </c>
      <c r="BC59" s="74">
        <f ca="1" t="shared" si="23"/>
        <v>0</v>
      </c>
      <c r="BD59" s="74">
        <f ca="1" t="shared" si="23"/>
        <v>0</v>
      </c>
      <c r="BE59" s="120">
        <f ca="1">BE19+BE6</f>
        <v>0</v>
      </c>
      <c r="BF59" s="74"/>
      <c r="BG59" s="74"/>
      <c r="BH59" s="74"/>
      <c r="BI59" s="121"/>
      <c r="BJ59" s="121"/>
      <c r="BK59" s="121"/>
      <c r="BL59" s="1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3"/>
      <c r="CB59" s="123"/>
      <c r="CC59" s="124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</row>
    <row r="61" spans="61:76"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</row>
  </sheetData>
  <mergeCells count="3">
    <mergeCell ref="A3:A4"/>
    <mergeCell ref="B3:B4"/>
    <mergeCell ref="C3:C4"/>
  </mergeCells>
  <pageMargins left="0.65" right="0" top="0.5" bottom="0.25" header="0.5" footer="0.5"/>
  <pageSetup paperSize="8" orientation="landscape" horizontalDpi="360" verticalDpi="36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5">
    <tabColor rgb="FFFF0000"/>
  </sheetPr>
  <dimension ref="A1:IL61"/>
  <sheetViews>
    <sheetView workbookViewId="0">
      <selection activeCell="A1" sqref="A1"/>
    </sheetView>
  </sheetViews>
  <sheetFormatPr defaultColWidth="9" defaultRowHeight="15"/>
  <cols>
    <col min="1" max="1" width="6.375" style="7" customWidth="1"/>
    <col min="2" max="2" width="29.125" style="7" customWidth="1"/>
    <col min="3" max="3" width="6" style="7" customWidth="1"/>
    <col min="4" max="4" width="9.75" style="8" customWidth="1"/>
    <col min="5" max="5" width="9.375" style="9" customWidth="1"/>
    <col min="6" max="6" width="7" style="8" customWidth="1"/>
    <col min="7" max="7" width="7.75" style="8" customWidth="1"/>
    <col min="8" max="8" width="7" style="8" customWidth="1"/>
    <col min="9" max="9" width="6.875" style="8" customWidth="1"/>
    <col min="10" max="10" width="7.625" style="8" customWidth="1"/>
    <col min="11" max="11" width="9.125" style="8" customWidth="1"/>
    <col min="12" max="12" width="8.25" style="8" customWidth="1"/>
    <col min="13" max="13" width="6" style="8" customWidth="1"/>
    <col min="14" max="14" width="6.25" style="8" customWidth="1"/>
    <col min="15" max="15" width="5.875" style="8" customWidth="1"/>
    <col min="16" max="16" width="5.75" style="8" customWidth="1"/>
    <col min="17" max="17" width="6.25" style="8" customWidth="1"/>
    <col min="18" max="18" width="8.75" style="10" customWidth="1"/>
    <col min="19" max="19" width="7.125" style="8" customWidth="1"/>
    <col min="20" max="20" width="7.75" style="8" customWidth="1"/>
    <col min="21" max="23" width="6.125" style="8" customWidth="1"/>
    <col min="24" max="24" width="7.125" style="8" customWidth="1"/>
    <col min="25" max="25" width="7.75" style="8" customWidth="1"/>
    <col min="26" max="26" width="6.875" style="8" customWidth="1"/>
    <col min="27" max="27" width="7.375" style="8" customWidth="1"/>
    <col min="28" max="28" width="9" style="8"/>
    <col min="29" max="29" width="7.25" style="8" customWidth="1"/>
    <col min="30" max="30" width="7" style="8" customWidth="1"/>
    <col min="31" max="31" width="6.125" style="8" customWidth="1"/>
    <col min="32" max="33" width="6.625" style="8" customWidth="1"/>
    <col min="34" max="34" width="6.125" style="8" customWidth="1"/>
    <col min="35" max="35" width="8.5" style="8" customWidth="1"/>
    <col min="36" max="36" width="8.875" style="8" customWidth="1"/>
    <col min="37" max="37" width="8.75" style="8" customWidth="1"/>
    <col min="38" max="39" width="6.625" style="8" customWidth="1"/>
    <col min="40" max="41" width="6.875" style="8" customWidth="1"/>
    <col min="42" max="42" width="6.75" style="8" customWidth="1"/>
    <col min="43" max="43" width="6.375" style="8" customWidth="1"/>
    <col min="44" max="44" width="6.125" style="8" customWidth="1"/>
    <col min="45" max="46" width="5.75" style="8" customWidth="1"/>
    <col min="47" max="47" width="6.5" style="8" customWidth="1"/>
    <col min="48" max="49" width="5.625" style="8" customWidth="1"/>
    <col min="50" max="51" width="6.125" style="8" customWidth="1"/>
    <col min="52" max="52" width="7.625" style="8" customWidth="1"/>
    <col min="53" max="53" width="9.375" style="11" customWidth="1"/>
    <col min="54" max="54" width="6.625" style="12" customWidth="1"/>
    <col min="55" max="55" width="6.25" style="12" customWidth="1"/>
    <col min="56" max="56" width="7.125" style="8" customWidth="1"/>
    <col min="57" max="57" width="6.25" style="9" customWidth="1"/>
    <col min="58" max="58" width="7.25" style="11" customWidth="1"/>
    <col min="59" max="59" width="8.25" style="11" customWidth="1"/>
    <col min="60" max="60" width="10.125" style="11" customWidth="1"/>
    <col min="61" max="61" width="5.125" style="7" customWidth="1"/>
    <col min="62" max="62" width="8.375" style="7" hidden="1" customWidth="1"/>
    <col min="63" max="63" width="9" style="7" hidden="1" customWidth="1"/>
    <col min="64" max="64" width="4.875" style="7" customWidth="1"/>
    <col min="65" max="65" width="6.25" style="7" customWidth="1"/>
    <col min="66" max="66" width="5" style="7" customWidth="1"/>
    <col min="67" max="67" width="4.25" style="7" customWidth="1"/>
    <col min="68" max="68" width="5.375" style="7" customWidth="1"/>
    <col min="69" max="69" width="5.125" style="7" customWidth="1"/>
    <col min="70" max="70" width="4.625" style="7" customWidth="1"/>
    <col min="71" max="71" width="5.625" style="7" customWidth="1"/>
    <col min="72" max="72" width="5.875" style="7" customWidth="1"/>
    <col min="73" max="73" width="5" style="7" customWidth="1"/>
    <col min="74" max="74" width="3.875" style="7" customWidth="1"/>
    <col min="75" max="75" width="4.625" style="7" customWidth="1"/>
    <col min="76" max="76" width="5.5" style="7" customWidth="1"/>
    <col min="77" max="77" width="7.625" style="13" customWidth="1"/>
    <col min="78" max="79" width="8.375" style="13" customWidth="1"/>
    <col min="80" max="80" width="7.5" style="7" customWidth="1"/>
    <col min="81" max="16384" width="9" style="7"/>
  </cols>
  <sheetData>
    <row r="1" ht="21" customHeight="1" spans="1:82">
      <c r="A1" s="14" t="s">
        <v>8330</v>
      </c>
      <c r="B1" s="15"/>
      <c r="C1" s="16" t="e">
        <f>+"CHU CHUYỂN ĐẤT ĐAI TRONG KẾ HOẠCH SỬ DỤNG ĐẤT NĂM 2015 CỦA "&amp;#REF!</f>
        <v>#REF!</v>
      </c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83"/>
      <c r="BC1" s="83"/>
      <c r="BD1" s="18"/>
      <c r="BE1" s="18"/>
      <c r="BF1" s="18"/>
      <c r="BG1" s="18"/>
      <c r="BH1" s="18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7"/>
      <c r="BZ1" s="7"/>
      <c r="CA1" s="7"/>
      <c r="CB1" s="8"/>
      <c r="CC1" s="8"/>
      <c r="CD1" s="8"/>
    </row>
    <row r="2" s="1" customFormat="1" ht="7.5" customHeight="1" spans="1:82">
      <c r="A2" s="1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9"/>
      <c r="BA2" s="20"/>
      <c r="BB2" s="84"/>
      <c r="BC2" s="84"/>
      <c r="BD2" s="20"/>
      <c r="BE2" s="20"/>
      <c r="BF2" s="20"/>
      <c r="BG2" s="20"/>
      <c r="BH2" s="95" t="s">
        <v>8331</v>
      </c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CB2" s="9"/>
      <c r="CC2" s="9"/>
      <c r="CD2" s="9"/>
    </row>
    <row r="3" s="2" customFormat="1" ht="15.75" customHeight="1" spans="1:79">
      <c r="A3" s="21" t="s">
        <v>3</v>
      </c>
      <c r="B3" s="21" t="s">
        <v>8332</v>
      </c>
      <c r="C3" s="21" t="s">
        <v>8333</v>
      </c>
      <c r="D3" s="22"/>
      <c r="E3" s="23" t="s">
        <v>8334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7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85"/>
      <c r="BC3" s="85"/>
      <c r="BD3" s="24"/>
      <c r="BE3" s="97"/>
      <c r="BF3" s="22"/>
      <c r="BG3" s="22"/>
      <c r="BH3" s="22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</row>
    <row r="4" s="2" customFormat="1" ht="31.5" customHeight="1" spans="1:79">
      <c r="A4" s="25"/>
      <c r="B4" s="25"/>
      <c r="C4" s="25"/>
      <c r="D4" s="26" t="s">
        <v>8335</v>
      </c>
      <c r="E4" s="27" t="s">
        <v>8303</v>
      </c>
      <c r="F4" s="28" t="s">
        <v>8298</v>
      </c>
      <c r="G4" s="29" t="s">
        <v>8299</v>
      </c>
      <c r="H4" s="29" t="s">
        <v>221</v>
      </c>
      <c r="I4" s="29" t="s">
        <v>8300</v>
      </c>
      <c r="J4" s="28" t="s">
        <v>2492</v>
      </c>
      <c r="K4" s="28" t="s">
        <v>30</v>
      </c>
      <c r="L4" s="28" t="s">
        <v>8307</v>
      </c>
      <c r="M4" s="28" t="s">
        <v>8306</v>
      </c>
      <c r="N4" s="28" t="s">
        <v>8305</v>
      </c>
      <c r="O4" s="76" t="s">
        <v>318</v>
      </c>
      <c r="P4" s="28" t="s">
        <v>8297</v>
      </c>
      <c r="Q4" s="28" t="s">
        <v>553</v>
      </c>
      <c r="R4" s="37" t="s">
        <v>8304</v>
      </c>
      <c r="S4" s="40" t="s">
        <v>31</v>
      </c>
      <c r="T4" s="40" t="s">
        <v>8283</v>
      </c>
      <c r="U4" s="40" t="s">
        <v>47</v>
      </c>
      <c r="V4" s="40" t="s">
        <v>8308</v>
      </c>
      <c r="W4" s="40" t="s">
        <v>56</v>
      </c>
      <c r="X4" s="40" t="s">
        <v>265</v>
      </c>
      <c r="Y4" s="40" t="s">
        <v>204</v>
      </c>
      <c r="Z4" s="40" t="s">
        <v>174</v>
      </c>
      <c r="AA4" s="40" t="s">
        <v>8288</v>
      </c>
      <c r="AB4" s="46" t="s">
        <v>94</v>
      </c>
      <c r="AC4" s="46" t="s">
        <v>216</v>
      </c>
      <c r="AD4" s="46" t="s">
        <v>71</v>
      </c>
      <c r="AE4" s="46" t="s">
        <v>8285</v>
      </c>
      <c r="AF4" s="46" t="s">
        <v>212</v>
      </c>
      <c r="AG4" s="46" t="s">
        <v>8296</v>
      </c>
      <c r="AH4" s="46" t="s">
        <v>165</v>
      </c>
      <c r="AI4" s="46" t="s">
        <v>8294</v>
      </c>
      <c r="AJ4" s="46" t="s">
        <v>8302</v>
      </c>
      <c r="AK4" s="46" t="s">
        <v>8295</v>
      </c>
      <c r="AL4" s="46" t="s">
        <v>178</v>
      </c>
      <c r="AM4" s="46" t="s">
        <v>8312</v>
      </c>
      <c r="AN4" s="40" t="s">
        <v>8287</v>
      </c>
      <c r="AO4" s="40" t="s">
        <v>8286</v>
      </c>
      <c r="AP4" s="40" t="s">
        <v>8291</v>
      </c>
      <c r="AQ4" s="40" t="s">
        <v>188</v>
      </c>
      <c r="AR4" s="40" t="s">
        <v>201</v>
      </c>
      <c r="AS4" s="40" t="s">
        <v>336</v>
      </c>
      <c r="AT4" s="40" t="s">
        <v>8293</v>
      </c>
      <c r="AU4" s="40" t="s">
        <v>8290</v>
      </c>
      <c r="AV4" s="40" t="s">
        <v>324</v>
      </c>
      <c r="AW4" s="40" t="s">
        <v>182</v>
      </c>
      <c r="AX4" s="40" t="s">
        <v>236</v>
      </c>
      <c r="AY4" s="40" t="s">
        <v>8292</v>
      </c>
      <c r="AZ4" s="40" t="s">
        <v>8289</v>
      </c>
      <c r="BA4" s="40" t="s">
        <v>8310</v>
      </c>
      <c r="BB4" s="40" t="s">
        <v>8309</v>
      </c>
      <c r="BC4" s="40" t="s">
        <v>8301</v>
      </c>
      <c r="BD4" s="40" t="s">
        <v>59</v>
      </c>
      <c r="BE4" s="27" t="s">
        <v>8284</v>
      </c>
      <c r="BF4" s="99" t="s">
        <v>8336</v>
      </c>
      <c r="BG4" s="100" t="s">
        <v>8337</v>
      </c>
      <c r="BH4" s="26" t="s">
        <v>8335</v>
      </c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</row>
    <row r="5" s="2" customFormat="1" ht="15.75" customHeight="1" spans="1:79">
      <c r="A5" s="30"/>
      <c r="B5" s="30" t="s">
        <v>8338</v>
      </c>
      <c r="C5" s="31"/>
      <c r="D5" s="32" t="e">
        <f>+#REF!</f>
        <v>#REF!</v>
      </c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86"/>
      <c r="BC5" s="86"/>
      <c r="BD5" s="34"/>
      <c r="BE5" s="33"/>
      <c r="BF5" s="34"/>
      <c r="BG5" s="34"/>
      <c r="BH5" s="34" t="e">
        <f ca="1">BH6+BH19+BH58</f>
        <v>#REF!</v>
      </c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</row>
    <row r="6" s="3" customFormat="1" ht="15.75" customHeight="1" spans="1:79">
      <c r="A6" s="35">
        <v>1</v>
      </c>
      <c r="B6" s="36" t="s">
        <v>8339</v>
      </c>
      <c r="C6" s="37" t="s">
        <v>8303</v>
      </c>
      <c r="D6" s="33" t="e">
        <f>+#REF!</f>
        <v>#REF!</v>
      </c>
      <c r="E6" s="38" t="e">
        <f ca="1">$D6-$BF6</f>
        <v>#REF!</v>
      </c>
      <c r="F6" s="33">
        <f ca="1">SUM(F11:F18)</f>
        <v>0</v>
      </c>
      <c r="G6" s="33">
        <f ca="1">SUM(G7,G11:G18)</f>
        <v>0</v>
      </c>
      <c r="H6" s="33">
        <f ca="1">SUM(H7,H11:H18)</f>
        <v>0</v>
      </c>
      <c r="I6" s="33">
        <f ca="1">SUM(I7,I11:I18)</f>
        <v>0</v>
      </c>
      <c r="J6" s="33">
        <f ca="1">SUM(J7,J12:J18)</f>
        <v>0</v>
      </c>
      <c r="K6" s="33">
        <f ca="1">SUM(K7,K11,K13:K18)</f>
        <v>0</v>
      </c>
      <c r="L6" s="33">
        <f ca="1">SUM(L7,L11:L12,L14:L18)</f>
        <v>0</v>
      </c>
      <c r="M6" s="33">
        <f ca="1">SUM(M7,M11:M13,M15:M18)</f>
        <v>0</v>
      </c>
      <c r="N6" s="33">
        <f ca="1">SUM(N7,N11:N14,N16:N18)</f>
        <v>0</v>
      </c>
      <c r="O6" s="33">
        <f ca="1">SUM(O7,O11:O15,O17:O18)</f>
        <v>0</v>
      </c>
      <c r="P6" s="33">
        <f ca="1">SUM(P7,P11:P16,P18:P18)</f>
        <v>0</v>
      </c>
      <c r="Q6" s="33">
        <f ca="1">SUM(Q7,Q11:Q17)</f>
        <v>0</v>
      </c>
      <c r="R6" s="33">
        <f ca="1">SUM(R7,R11:R18)</f>
        <v>0</v>
      </c>
      <c r="S6" s="33">
        <f ca="1">SUM(S7,S11:S18)</f>
        <v>0</v>
      </c>
      <c r="T6" s="33">
        <f ca="1" t="shared" ref="T6:BE6" si="0">SUM(T7,T11:T18)</f>
        <v>0</v>
      </c>
      <c r="U6" s="33">
        <f ca="1" t="shared" si="0"/>
        <v>0</v>
      </c>
      <c r="V6" s="33">
        <f ca="1" t="shared" si="0"/>
        <v>0</v>
      </c>
      <c r="W6" s="33">
        <f ca="1" t="shared" si="0"/>
        <v>0</v>
      </c>
      <c r="X6" s="33">
        <f ca="1" t="shared" si="0"/>
        <v>0</v>
      </c>
      <c r="Y6" s="33">
        <f ca="1" t="shared" si="0"/>
        <v>0</v>
      </c>
      <c r="Z6" s="33">
        <f ca="1" t="shared" si="0"/>
        <v>0</v>
      </c>
      <c r="AA6" s="33">
        <f ca="1" t="shared" si="0"/>
        <v>0</v>
      </c>
      <c r="AB6" s="33">
        <f ca="1" t="shared" si="0"/>
        <v>0</v>
      </c>
      <c r="AC6" s="33">
        <f ca="1" t="shared" si="0"/>
        <v>0</v>
      </c>
      <c r="AD6" s="33">
        <f ca="1" t="shared" si="0"/>
        <v>0</v>
      </c>
      <c r="AE6" s="33">
        <f ca="1" t="shared" si="0"/>
        <v>0</v>
      </c>
      <c r="AF6" s="33">
        <f ca="1" t="shared" si="0"/>
        <v>0</v>
      </c>
      <c r="AG6" s="33">
        <f ca="1" t="shared" si="0"/>
        <v>0</v>
      </c>
      <c r="AH6" s="33">
        <f ca="1" t="shared" si="0"/>
        <v>0</v>
      </c>
      <c r="AI6" s="33">
        <f ca="1" t="shared" si="0"/>
        <v>0</v>
      </c>
      <c r="AJ6" s="33">
        <f ca="1" t="shared" si="0"/>
        <v>0</v>
      </c>
      <c r="AK6" s="33">
        <f ca="1" t="shared" si="0"/>
        <v>0</v>
      </c>
      <c r="AL6" s="33">
        <f ca="1" t="shared" si="0"/>
        <v>0</v>
      </c>
      <c r="AM6" s="33">
        <f ca="1" t="shared" si="0"/>
        <v>0</v>
      </c>
      <c r="AN6" s="33">
        <f ca="1" t="shared" si="0"/>
        <v>0</v>
      </c>
      <c r="AO6" s="33">
        <f ca="1" t="shared" si="0"/>
        <v>0</v>
      </c>
      <c r="AP6" s="33">
        <f ca="1" t="shared" si="0"/>
        <v>0</v>
      </c>
      <c r="AQ6" s="33">
        <f ca="1" t="shared" si="0"/>
        <v>0</v>
      </c>
      <c r="AR6" s="33">
        <f ca="1" t="shared" si="0"/>
        <v>0</v>
      </c>
      <c r="AS6" s="33">
        <f ca="1" t="shared" si="0"/>
        <v>0</v>
      </c>
      <c r="AT6" s="33">
        <f ca="1" t="shared" si="0"/>
        <v>0</v>
      </c>
      <c r="AU6" s="33">
        <f ca="1" t="shared" si="0"/>
        <v>0</v>
      </c>
      <c r="AV6" s="33">
        <f ca="1" t="shared" si="0"/>
        <v>0</v>
      </c>
      <c r="AW6" s="33">
        <f ca="1" t="shared" si="0"/>
        <v>0</v>
      </c>
      <c r="AX6" s="33">
        <f ca="1" t="shared" si="0"/>
        <v>0</v>
      </c>
      <c r="AY6" s="33">
        <f ca="1" t="shared" si="0"/>
        <v>0</v>
      </c>
      <c r="AZ6" s="33">
        <f ca="1" t="shared" si="0"/>
        <v>0</v>
      </c>
      <c r="BA6" s="33">
        <f ca="1" t="shared" si="0"/>
        <v>0</v>
      </c>
      <c r="BB6" s="33">
        <f ca="1" t="shared" si="0"/>
        <v>0</v>
      </c>
      <c r="BC6" s="33">
        <f ca="1" t="shared" si="0"/>
        <v>0</v>
      </c>
      <c r="BD6" s="33">
        <f ca="1" t="shared" si="0"/>
        <v>0</v>
      </c>
      <c r="BE6" s="33">
        <f ca="1" t="shared" si="0"/>
        <v>0</v>
      </c>
      <c r="BF6" s="74">
        <f ca="1">BE6+R6</f>
        <v>0</v>
      </c>
      <c r="BG6" s="101">
        <f ca="1">E$59-$BF6</f>
        <v>0</v>
      </c>
      <c r="BH6" s="33" t="e">
        <f ca="1">SUM(BH7,BH11:BH18)</f>
        <v>#REF!</v>
      </c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</row>
    <row r="7" s="2" customFormat="1" ht="15.75" customHeight="1" spans="1:79">
      <c r="A7" s="39" t="s">
        <v>27</v>
      </c>
      <c r="B7" s="39" t="s">
        <v>8340</v>
      </c>
      <c r="C7" s="40" t="s">
        <v>8298</v>
      </c>
      <c r="D7" s="41" t="e">
        <f>+#REF!</f>
        <v>#REF!</v>
      </c>
      <c r="E7" s="42">
        <f ca="1">SUM(J7:Q7)</f>
        <v>0</v>
      </c>
      <c r="F7" s="43" t="e">
        <f ca="1">$D7-$BF7</f>
        <v>#REF!</v>
      </c>
      <c r="G7" s="44">
        <f ca="1">SUM(G9:G10)</f>
        <v>0</v>
      </c>
      <c r="H7" s="44">
        <f ca="1">SUM(H8,H10)</f>
        <v>0</v>
      </c>
      <c r="I7" s="44">
        <f ca="1">SUM(I8:I9)</f>
        <v>0</v>
      </c>
      <c r="J7" s="44">
        <f ca="1">SUM(J8:J10)</f>
        <v>0</v>
      </c>
      <c r="K7" s="44">
        <f ca="1" t="shared" ref="K7:Q7" si="1">SUM(K8:K10)</f>
        <v>0</v>
      </c>
      <c r="L7" s="44">
        <f ca="1" t="shared" si="1"/>
        <v>0</v>
      </c>
      <c r="M7" s="44">
        <f ca="1" t="shared" si="1"/>
        <v>0</v>
      </c>
      <c r="N7" s="44">
        <f ca="1" t="shared" si="1"/>
        <v>0</v>
      </c>
      <c r="O7" s="44">
        <f ca="1" t="shared" si="1"/>
        <v>0</v>
      </c>
      <c r="P7" s="44">
        <f ca="1" t="shared" si="1"/>
        <v>0</v>
      </c>
      <c r="Q7" s="44">
        <f ca="1" t="shared" si="1"/>
        <v>0</v>
      </c>
      <c r="R7" s="42">
        <f ca="1" t="shared" ref="R7:R18" si="2">SUM(S7:AA7,AN7:BD7)</f>
        <v>0</v>
      </c>
      <c r="S7" s="52">
        <f ca="1" t="shared" ref="S7:AY7" si="3">SUM(S8:S10)</f>
        <v>0</v>
      </c>
      <c r="T7" s="52">
        <f ca="1" t="shared" si="3"/>
        <v>0</v>
      </c>
      <c r="U7" s="52">
        <f ca="1" t="shared" si="3"/>
        <v>0</v>
      </c>
      <c r="V7" s="52">
        <f ca="1" t="shared" si="3"/>
        <v>0</v>
      </c>
      <c r="W7" s="52">
        <f ca="1" t="shared" si="3"/>
        <v>0</v>
      </c>
      <c r="X7" s="52">
        <f ca="1" t="shared" si="3"/>
        <v>0</v>
      </c>
      <c r="Y7" s="52">
        <f ca="1" t="shared" si="3"/>
        <v>0</v>
      </c>
      <c r="Z7" s="52">
        <f ca="1" t="shared" si="3"/>
        <v>0</v>
      </c>
      <c r="AA7" s="52">
        <f ca="1" t="shared" ref="AA7:AA18" si="4">+SUM(AB7:AM7)</f>
        <v>0</v>
      </c>
      <c r="AB7" s="52">
        <f ca="1" t="shared" ref="AB7:AM7" si="5">SUM(AB8:AB10)</f>
        <v>0</v>
      </c>
      <c r="AC7" s="52">
        <f ca="1" t="shared" si="5"/>
        <v>0</v>
      </c>
      <c r="AD7" s="52">
        <f ca="1" t="shared" si="5"/>
        <v>0</v>
      </c>
      <c r="AE7" s="52">
        <f ca="1" t="shared" si="5"/>
        <v>0</v>
      </c>
      <c r="AF7" s="52">
        <f ca="1" t="shared" si="5"/>
        <v>0</v>
      </c>
      <c r="AG7" s="52">
        <f ca="1" t="shared" si="5"/>
        <v>0</v>
      </c>
      <c r="AH7" s="52">
        <f ca="1" t="shared" si="5"/>
        <v>0</v>
      </c>
      <c r="AI7" s="52">
        <f ca="1" t="shared" si="5"/>
        <v>0</v>
      </c>
      <c r="AJ7" s="52">
        <f ca="1" t="shared" si="5"/>
        <v>0</v>
      </c>
      <c r="AK7" s="52">
        <f ca="1" t="shared" si="5"/>
        <v>0</v>
      </c>
      <c r="AL7" s="52">
        <f ca="1" t="shared" si="5"/>
        <v>0</v>
      </c>
      <c r="AM7" s="52">
        <f ca="1" t="shared" si="5"/>
        <v>0</v>
      </c>
      <c r="AN7" s="52">
        <f ca="1" t="shared" si="3"/>
        <v>0</v>
      </c>
      <c r="AO7" s="52">
        <f ca="1" t="shared" si="3"/>
        <v>0</v>
      </c>
      <c r="AP7" s="52">
        <f ca="1" t="shared" si="3"/>
        <v>0</v>
      </c>
      <c r="AQ7" s="52">
        <f ca="1" t="shared" si="3"/>
        <v>0</v>
      </c>
      <c r="AR7" s="52">
        <f ca="1" t="shared" si="3"/>
        <v>0</v>
      </c>
      <c r="AS7" s="52">
        <f ca="1" t="shared" si="3"/>
        <v>0</v>
      </c>
      <c r="AT7" s="52">
        <f ca="1" t="shared" si="3"/>
        <v>0</v>
      </c>
      <c r="AU7" s="52">
        <f ca="1" t="shared" si="3"/>
        <v>0</v>
      </c>
      <c r="AV7" s="52">
        <f ca="1" t="shared" si="3"/>
        <v>0</v>
      </c>
      <c r="AW7" s="52">
        <f ca="1" t="shared" si="3"/>
        <v>0</v>
      </c>
      <c r="AX7" s="52">
        <f ca="1" t="shared" si="3"/>
        <v>0</v>
      </c>
      <c r="AY7" s="52">
        <f ca="1" t="shared" si="3"/>
        <v>0</v>
      </c>
      <c r="AZ7" s="52">
        <f ca="1" t="shared" ref="AZ7:BE7" si="6">SUM(AZ8:AZ10)</f>
        <v>0</v>
      </c>
      <c r="BA7" s="87">
        <f ca="1" t="shared" si="6"/>
        <v>0</v>
      </c>
      <c r="BB7" s="52">
        <f ca="1" t="shared" si="6"/>
        <v>0</v>
      </c>
      <c r="BC7" s="52">
        <f ca="1" t="shared" si="6"/>
        <v>0</v>
      </c>
      <c r="BD7" s="52">
        <f ca="1" t="shared" si="6"/>
        <v>0</v>
      </c>
      <c r="BE7" s="52">
        <f ca="1" t="shared" si="6"/>
        <v>0</v>
      </c>
      <c r="BF7" s="74">
        <f ca="1" t="shared" ref="BF7:BF18" si="7">BE7+R7+E7</f>
        <v>0</v>
      </c>
      <c r="BG7" s="101">
        <f ca="1">F$59-$BF7</f>
        <v>0</v>
      </c>
      <c r="BH7" s="41" t="e">
        <f ca="1" t="shared" ref="BH7:BH18" si="8">BG7+D7</f>
        <v>#REF!</v>
      </c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</row>
    <row r="8" s="4" customFormat="1" ht="15.75" customHeight="1" spans="1:79">
      <c r="A8" s="45"/>
      <c r="B8" s="316" t="s">
        <v>8341</v>
      </c>
      <c r="C8" s="46" t="s">
        <v>8299</v>
      </c>
      <c r="D8" s="47" t="e">
        <f>+#REF!</f>
        <v>#REF!</v>
      </c>
      <c r="E8" s="48">
        <f ca="1">SUM(F8,J8:Q8)</f>
        <v>0</v>
      </c>
      <c r="F8" s="44">
        <f ca="1">SUM(H8:I8)</f>
        <v>0</v>
      </c>
      <c r="G8" s="49" t="e">
        <f ca="1">$D8-$BF8</f>
        <v>#REF!</v>
      </c>
      <c r="H8" s="50">
        <f ca="1">+GETPIVOTDATA("XDB4",'dabac (2016)'!$A$3,"MA_HT","LUC","MA_QH","LUK")</f>
        <v>0</v>
      </c>
      <c r="I8" s="50">
        <f ca="1">+GETPIVOTDATA("XDB4",'dabac (2016)'!$A$3,"MA_HT","LUC","MA_QH","LUN")</f>
        <v>0</v>
      </c>
      <c r="J8" s="50">
        <f ca="1">+GETPIVOTDATA("XDB4",'dabac (2016)'!$A$3,"MA_HT","LUC","MA_QH","HNK")</f>
        <v>0</v>
      </c>
      <c r="K8" s="50">
        <f ca="1">+GETPIVOTDATA("XDB4",'dabac (2016)'!$A$3,"MA_HT","LUC","MA_QH","CLN")</f>
        <v>0</v>
      </c>
      <c r="L8" s="50">
        <f ca="1">+GETPIVOTDATA("XDB4",'dabac (2016)'!$A$3,"MA_HT","LUC","MA_QH","RSX")</f>
        <v>0</v>
      </c>
      <c r="M8" s="50">
        <f ca="1">+GETPIVOTDATA("XDB4",'dabac (2016)'!$A$3,"MA_HT","LUC","MA_QH","RPH")</f>
        <v>0</v>
      </c>
      <c r="N8" s="50">
        <f ca="1">+GETPIVOTDATA("XDB4",'dabac (2016)'!$A$3,"MA_HT","LUC","MA_QH","RDD")</f>
        <v>0</v>
      </c>
      <c r="O8" s="50">
        <f ca="1">+GETPIVOTDATA("XDB4",'dabac (2016)'!$A$3,"MA_HT","LUC","MA_QH","NTS")</f>
        <v>0</v>
      </c>
      <c r="P8" s="50">
        <f ca="1">+GETPIVOTDATA("XDB4",'dabac (2016)'!$A$3,"MA_HT","LUC","MA_QH","LMU")</f>
        <v>0</v>
      </c>
      <c r="Q8" s="50">
        <f ca="1">+GETPIVOTDATA("XDB4",'dabac (2016)'!$A$3,"MA_HT","LUC","MA_QH","NKH")</f>
        <v>0</v>
      </c>
      <c r="R8" s="48">
        <f ca="1" t="shared" si="2"/>
        <v>0</v>
      </c>
      <c r="S8" s="50">
        <f ca="1">+GETPIVOTDATA("XDB4",'dabac (2016)'!$A$3,"MA_HT","LUC","MA_QH","CQP")</f>
        <v>0</v>
      </c>
      <c r="T8" s="50">
        <f ca="1">+GETPIVOTDATA("XDB4",'dabac (2016)'!$A$3,"MA_HT","LUC","MA_QH","CAN")</f>
        <v>0</v>
      </c>
      <c r="U8" s="50">
        <f ca="1">+GETPIVOTDATA("XDB4",'dabac (2016)'!$A$3,"MA_HT","LUC","MA_QH","SKK")</f>
        <v>0</v>
      </c>
      <c r="V8" s="50">
        <f ca="1">+GETPIVOTDATA("XDB4",'dabac (2016)'!$A$3,"MA_HT","LUC","MA_QH","SKT")</f>
        <v>0</v>
      </c>
      <c r="W8" s="50">
        <f ca="1">+GETPIVOTDATA("XDB4",'dabac (2016)'!$A$3,"MA_HT","LUC","MA_QH","SKN")</f>
        <v>0</v>
      </c>
      <c r="X8" s="50">
        <f ca="1">+GETPIVOTDATA("XDB4",'dabac (2016)'!$A$3,"MA_HT","LUC","MA_QH","TMD")</f>
        <v>0</v>
      </c>
      <c r="Y8" s="50">
        <f ca="1">+GETPIVOTDATA("XDB4",'dabac (2016)'!$A$3,"MA_HT","LUC","MA_QH","SKC")</f>
        <v>0</v>
      </c>
      <c r="Z8" s="50">
        <f ca="1">+GETPIVOTDATA("XDB4",'dabac (2016)'!$A$3,"MA_HT","LUC","MA_QH","SKS")</f>
        <v>0</v>
      </c>
      <c r="AA8" s="52">
        <f ca="1" t="shared" si="4"/>
        <v>0</v>
      </c>
      <c r="AB8" s="50">
        <f ca="1">+GETPIVOTDATA("XDB4",'dabac (2016)'!$A$3,"MA_HT","LUC","MA_QH","DGT")</f>
        <v>0</v>
      </c>
      <c r="AC8" s="50">
        <f ca="1">+GETPIVOTDATA("XDB4",'dabac (2016)'!$A$3,"MA_HT","LUC","MA_QH","DTL")</f>
        <v>0</v>
      </c>
      <c r="AD8" s="50">
        <f ca="1">+GETPIVOTDATA("XDB4",'dabac (2016)'!$A$3,"MA_HT","LUC","MA_QH","DNL")</f>
        <v>0</v>
      </c>
      <c r="AE8" s="50">
        <f ca="1">+GETPIVOTDATA("XDB4",'dabac (2016)'!$A$3,"MA_HT","LUC","MA_QH","DBV")</f>
        <v>0</v>
      </c>
      <c r="AF8" s="50">
        <f ca="1">+GETPIVOTDATA("XDB4",'dabac (2016)'!$A$3,"MA_HT","LUC","MA_QH","DVH")</f>
        <v>0</v>
      </c>
      <c r="AG8" s="50">
        <f ca="1">+GETPIVOTDATA("XDB4",'dabac (2016)'!$A$3,"MA_HT","LUC","MA_QH","DYT")</f>
        <v>0</v>
      </c>
      <c r="AH8" s="50">
        <f ca="1">+GETPIVOTDATA("XDB4",'dabac (2016)'!$A$3,"MA_HT","LUC","MA_QH","DGD")</f>
        <v>0</v>
      </c>
      <c r="AI8" s="50">
        <f ca="1">+GETPIVOTDATA("XDB4",'dabac (2016)'!$A$3,"MA_HT","LUC","MA_QH","DTT")</f>
        <v>0</v>
      </c>
      <c r="AJ8" s="50">
        <f ca="1">+GETPIVOTDATA("XDB4",'dabac (2016)'!$A$3,"MA_HT","LUC","MA_QH","NCK")</f>
        <v>0</v>
      </c>
      <c r="AK8" s="50">
        <f ca="1">+GETPIVOTDATA("XDB4",'dabac (2016)'!$A$3,"MA_HT","LUC","MA_QH","DXH")</f>
        <v>0</v>
      </c>
      <c r="AL8" s="50">
        <f ca="1">+GETPIVOTDATA("XDB4",'dabac (2016)'!$A$3,"MA_HT","LUC","MA_QH","DCH")</f>
        <v>0</v>
      </c>
      <c r="AM8" s="50">
        <f ca="1">+GETPIVOTDATA("XDB4",'dabac (2016)'!$A$3,"MA_HT","LUC","MA_QH","DKG")</f>
        <v>0</v>
      </c>
      <c r="AN8" s="50">
        <f ca="1">+GETPIVOTDATA("XDB4",'dabac (2016)'!$A$3,"MA_HT","LUC","MA_QH","DDT")</f>
        <v>0</v>
      </c>
      <c r="AO8" s="50">
        <f ca="1">+GETPIVOTDATA("XDB4",'dabac (2016)'!$A$3,"MA_HT","LUC","MA_QH","DDL")</f>
        <v>0</v>
      </c>
      <c r="AP8" s="50">
        <f ca="1">+GETPIVOTDATA("XDB4",'dabac (2016)'!$A$3,"MA_HT","LUC","MA_QH","DRA")</f>
        <v>0</v>
      </c>
      <c r="AQ8" s="50">
        <f ca="1">+GETPIVOTDATA("XDB4",'dabac (2016)'!$A$3,"MA_HT","LUC","MA_QH","ONT")</f>
        <v>0</v>
      </c>
      <c r="AR8" s="50">
        <f ca="1">+GETPIVOTDATA("XDB4",'dabac (2016)'!$A$3,"MA_HT","LUC","MA_QH","ODT")</f>
        <v>0</v>
      </c>
      <c r="AS8" s="50">
        <f ca="1">+GETPIVOTDATA("XDB4",'dabac (2016)'!$A$3,"MA_HT","LUC","MA_QH","TSC")</f>
        <v>0</v>
      </c>
      <c r="AT8" s="50">
        <f ca="1">+GETPIVOTDATA("XDB4",'dabac (2016)'!$A$3,"MA_HT","LUC","MA_QH","DTS")</f>
        <v>0</v>
      </c>
      <c r="AU8" s="50">
        <f ca="1">+GETPIVOTDATA("XDB4",'dabac (2016)'!$A$3,"MA_HT","LUC","MA_QH","DNG")</f>
        <v>0</v>
      </c>
      <c r="AV8" s="50">
        <f ca="1">+GETPIVOTDATA("XDB4",'dabac (2016)'!$A$3,"MA_HT","LUC","MA_QH","TON")</f>
        <v>0</v>
      </c>
      <c r="AW8" s="50">
        <f ca="1">+GETPIVOTDATA("XDB4",'dabac (2016)'!$A$3,"MA_HT","LUC","MA_QH","NTD")</f>
        <v>0</v>
      </c>
      <c r="AX8" s="50">
        <f ca="1">+GETPIVOTDATA("XDB4",'dabac (2016)'!$A$3,"MA_HT","LUC","MA_QH","SKX")</f>
        <v>0</v>
      </c>
      <c r="AY8" s="50">
        <f ca="1">+GETPIVOTDATA("XDB4",'dabac (2016)'!$A$3,"MA_HT","LUC","MA_QH","DSH")</f>
        <v>0</v>
      </c>
      <c r="AZ8" s="50">
        <f ca="1">+GETPIVOTDATA("XDB4",'dabac (2016)'!$A$3,"MA_HT","LUC","MA_QH","DKV")</f>
        <v>0</v>
      </c>
      <c r="BA8" s="88">
        <f ca="1">+GETPIVOTDATA("XDB4",'dabac (2016)'!$A$3,"MA_HT","LUC","MA_QH","TIN")</f>
        <v>0</v>
      </c>
      <c r="BB8" s="50">
        <f ca="1">+GETPIVOTDATA("XDB4",'dabac (2016)'!$A$3,"MA_HT","LUC","MA_QH","SON")</f>
        <v>0</v>
      </c>
      <c r="BC8" s="50">
        <f ca="1">+GETPIVOTDATA("XDB4",'dabac (2016)'!$A$3,"MA_HT","LUC","MA_QH","MNC")</f>
        <v>0</v>
      </c>
      <c r="BD8" s="50">
        <f ca="1">+GETPIVOTDATA("XDB4",'dabac (2016)'!$A$3,"MA_HT","LUC","MA_QH","PNK")</f>
        <v>0</v>
      </c>
      <c r="BE8" s="80">
        <f ca="1">+GETPIVOTDATA("XDB4",'dabac (2016)'!$A$3,"MA_HT","LUC","MA_QH","CSD")</f>
        <v>0</v>
      </c>
      <c r="BF8" s="103">
        <f ca="1" t="shared" si="7"/>
        <v>0</v>
      </c>
      <c r="BG8" s="104">
        <f ca="1">G$59-$BF8</f>
        <v>0</v>
      </c>
      <c r="BH8" s="47" t="e">
        <f ca="1" t="shared" si="8"/>
        <v>#REF!</v>
      </c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</row>
    <row r="9" s="4" customFormat="1" ht="15.75" customHeight="1" spans="1:79">
      <c r="A9" s="45"/>
      <c r="B9" s="316" t="s">
        <v>8342</v>
      </c>
      <c r="C9" s="46" t="s">
        <v>221</v>
      </c>
      <c r="D9" s="47" t="e">
        <f>+#REF!</f>
        <v>#REF!</v>
      </c>
      <c r="E9" s="48">
        <f ca="1">SUM(F9,J9:Q9)</f>
        <v>0</v>
      </c>
      <c r="F9" s="44">
        <f ca="1">SUM(G9,I9)</f>
        <v>0</v>
      </c>
      <c r="G9" s="51">
        <f ca="1">+GETPIVOTDATA("XDB4",'dabac (2016)'!$A$3,"MA_HT","LUK","MA_QH","LUC")</f>
        <v>0</v>
      </c>
      <c r="H9" s="49" t="e">
        <f ca="1">$D9-$BF9</f>
        <v>#REF!</v>
      </c>
      <c r="I9" s="50">
        <f ca="1">+GETPIVOTDATA("XDB4",'dabac (2016)'!$A$3,"MA_HT","LUK","MA_QH","LUN")</f>
        <v>0</v>
      </c>
      <c r="J9" s="50">
        <f ca="1">+GETPIVOTDATA("XDB4",'dabac (2016)'!$A$3,"MA_HT","LUK","MA_QH","HNK")</f>
        <v>0</v>
      </c>
      <c r="K9" s="50">
        <f ca="1">+GETPIVOTDATA("XDB4",'dabac (2016)'!$A$3,"MA_HT","LUK","MA_QH","CLN")</f>
        <v>0</v>
      </c>
      <c r="L9" s="50">
        <f ca="1">+GETPIVOTDATA("XDB4",'dabac (2016)'!$A$3,"MA_HT","LUK","MA_QH","RSX")</f>
        <v>0</v>
      </c>
      <c r="M9" s="50">
        <f ca="1">+GETPIVOTDATA("XDB4",'dabac (2016)'!$A$3,"MA_HT","LUK","MA_QH","RPH")</f>
        <v>0</v>
      </c>
      <c r="N9" s="50">
        <f ca="1">+GETPIVOTDATA("XDB4",'dabac (2016)'!$A$3,"MA_HT","LUK","MA_QH","RDD")</f>
        <v>0</v>
      </c>
      <c r="O9" s="50">
        <f ca="1">+GETPIVOTDATA("XDB4",'dabac (2016)'!$A$3,"MA_HT","LUK","MA_QH","NTS")</f>
        <v>0</v>
      </c>
      <c r="P9" s="50">
        <f ca="1">+GETPIVOTDATA("XDB4",'dabac (2016)'!$A$3,"MA_HT","LUK","MA_QH","LMU")</f>
        <v>0</v>
      </c>
      <c r="Q9" s="50">
        <f ca="1">+GETPIVOTDATA("XDB4",'dabac (2016)'!$A$3,"MA_HT","LUK","MA_QH","NKH")</f>
        <v>0</v>
      </c>
      <c r="R9" s="48">
        <f ca="1" t="shared" si="2"/>
        <v>0</v>
      </c>
      <c r="S9" s="50">
        <f ca="1">+GETPIVOTDATA("XDB4",'dabac (2016)'!$A$3,"MA_HT","LUK","MA_QH","CQP")</f>
        <v>0</v>
      </c>
      <c r="T9" s="50">
        <f ca="1">+GETPIVOTDATA("XDB4",'dabac (2016)'!$A$3,"MA_HT","LUK","MA_QH","CAN")</f>
        <v>0</v>
      </c>
      <c r="U9" s="50">
        <f ca="1">+GETPIVOTDATA("XDB4",'dabac (2016)'!$A$3,"MA_HT","LUK","MA_QH","SKK")</f>
        <v>0</v>
      </c>
      <c r="V9" s="50">
        <f ca="1">+GETPIVOTDATA("XDB4",'dabac (2016)'!$A$3,"MA_HT","LUK","MA_QH","SKT")</f>
        <v>0</v>
      </c>
      <c r="W9" s="50">
        <f ca="1">+GETPIVOTDATA("XDB4",'dabac (2016)'!$A$3,"MA_HT","LUK","MA_QH","SKN")</f>
        <v>0</v>
      </c>
      <c r="X9" s="50">
        <f ca="1">+GETPIVOTDATA("XDB4",'dabac (2016)'!$A$3,"MA_HT","LUK","MA_QH","TMD")</f>
        <v>0</v>
      </c>
      <c r="Y9" s="50">
        <f ca="1">+GETPIVOTDATA("XDB4",'dabac (2016)'!$A$3,"MA_HT","LUK","MA_QH","SKC")</f>
        <v>0</v>
      </c>
      <c r="Z9" s="50">
        <f ca="1">+GETPIVOTDATA("XDB4",'dabac (2016)'!$A$3,"MA_HT","LUK","MA_QH","SKS")</f>
        <v>0</v>
      </c>
      <c r="AA9" s="52">
        <f ca="1" t="shared" si="4"/>
        <v>0</v>
      </c>
      <c r="AB9" s="50">
        <f ca="1">+GETPIVOTDATA("XDB4",'dabac (2016)'!$A$3,"MA_HT","LUK","MA_QH","DGT")</f>
        <v>0</v>
      </c>
      <c r="AC9" s="50">
        <f ca="1">+GETPIVOTDATA("XDB4",'dabac (2016)'!$A$3,"MA_HT","LUK","MA_QH","DTL")</f>
        <v>0</v>
      </c>
      <c r="AD9" s="50">
        <f ca="1">+GETPIVOTDATA("XDB4",'dabac (2016)'!$A$3,"MA_HT","LUK","MA_QH","DNL")</f>
        <v>0</v>
      </c>
      <c r="AE9" s="50">
        <f ca="1">+GETPIVOTDATA("XDB4",'dabac (2016)'!$A$3,"MA_HT","LUK","MA_QH","DBV")</f>
        <v>0</v>
      </c>
      <c r="AF9" s="50">
        <f ca="1">+GETPIVOTDATA("XDB4",'dabac (2016)'!$A$3,"MA_HT","LUK","MA_QH","DVH")</f>
        <v>0</v>
      </c>
      <c r="AG9" s="50">
        <f ca="1">+GETPIVOTDATA("XDB4",'dabac (2016)'!$A$3,"MA_HT","LUK","MA_QH","DYT")</f>
        <v>0</v>
      </c>
      <c r="AH9" s="50">
        <f ca="1">+GETPIVOTDATA("XDB4",'dabac (2016)'!$A$3,"MA_HT","LUK","MA_QH","DGD")</f>
        <v>0</v>
      </c>
      <c r="AI9" s="50">
        <f ca="1">+GETPIVOTDATA("XDB4",'dabac (2016)'!$A$3,"MA_HT","LUK","MA_QH","DTT")</f>
        <v>0</v>
      </c>
      <c r="AJ9" s="50">
        <f ca="1">+GETPIVOTDATA("XDB4",'dabac (2016)'!$A$3,"MA_HT","LUK","MA_QH","NCK")</f>
        <v>0</v>
      </c>
      <c r="AK9" s="50">
        <f ca="1">+GETPIVOTDATA("XDB4",'dabac (2016)'!$A$3,"MA_HT","LUK","MA_QH","DXH")</f>
        <v>0</v>
      </c>
      <c r="AL9" s="50">
        <f ca="1">+GETPIVOTDATA("XDB4",'dabac (2016)'!$A$3,"MA_HT","LUK","MA_QH","DCH")</f>
        <v>0</v>
      </c>
      <c r="AM9" s="50">
        <f ca="1">+GETPIVOTDATA("XDB4",'dabac (2016)'!$A$3,"MA_HT","LUK","MA_QH","DKG")</f>
        <v>0</v>
      </c>
      <c r="AN9" s="50">
        <f ca="1">+GETPIVOTDATA("XDB4",'dabac (2016)'!$A$3,"MA_HT","LUK","MA_QH","DDT")</f>
        <v>0</v>
      </c>
      <c r="AO9" s="50">
        <f ca="1">+GETPIVOTDATA("XDB4",'dabac (2016)'!$A$3,"MA_HT","LUK","MA_QH","DDL")</f>
        <v>0</v>
      </c>
      <c r="AP9" s="50">
        <f ca="1">+GETPIVOTDATA("XDB4",'dabac (2016)'!$A$3,"MA_HT","LUK","MA_QH","DRA")</f>
        <v>0</v>
      </c>
      <c r="AQ9" s="50">
        <f ca="1">+GETPIVOTDATA("XDB4",'dabac (2016)'!$A$3,"MA_HT","LUK","MA_QH","ONT")</f>
        <v>0</v>
      </c>
      <c r="AR9" s="50">
        <f ca="1">+GETPIVOTDATA("XDB4",'dabac (2016)'!$A$3,"MA_HT","LUK","MA_QH","ODT")</f>
        <v>0</v>
      </c>
      <c r="AS9" s="50">
        <f ca="1">+GETPIVOTDATA("XDB4",'dabac (2016)'!$A$3,"MA_HT","LUK","MA_QH","TSC")</f>
        <v>0</v>
      </c>
      <c r="AT9" s="50">
        <f ca="1">+GETPIVOTDATA("XDB4",'dabac (2016)'!$A$3,"MA_HT","LUK","MA_QH","DTS")</f>
        <v>0</v>
      </c>
      <c r="AU9" s="50">
        <f ca="1">+GETPIVOTDATA("XDB4",'dabac (2016)'!$A$3,"MA_HT","LUK","MA_QH","DNG")</f>
        <v>0</v>
      </c>
      <c r="AV9" s="50">
        <f ca="1">+GETPIVOTDATA("XDB4",'dabac (2016)'!$A$3,"MA_HT","LUK","MA_QH","TON")</f>
        <v>0</v>
      </c>
      <c r="AW9" s="50">
        <f ca="1">+GETPIVOTDATA("XDB4",'dabac (2016)'!$A$3,"MA_HT","LUK","MA_QH","NTD")</f>
        <v>0</v>
      </c>
      <c r="AX9" s="50">
        <f ca="1">+GETPIVOTDATA("XDB4",'dabac (2016)'!$A$3,"MA_HT","LUK","MA_QH","SKX")</f>
        <v>0</v>
      </c>
      <c r="AY9" s="50">
        <f ca="1">+GETPIVOTDATA("XDB4",'dabac (2016)'!$A$3,"MA_HT","LUK","MA_QH","DSH")</f>
        <v>0</v>
      </c>
      <c r="AZ9" s="50">
        <f ca="1">+GETPIVOTDATA("XDB4",'dabac (2016)'!$A$3,"MA_HT","LUK","MA_QH","DKV")</f>
        <v>0</v>
      </c>
      <c r="BA9" s="88">
        <f ca="1">+GETPIVOTDATA("XDB4",'dabac (2016)'!$A$3,"MA_HT","LUK","MA_QH","TIN")</f>
        <v>0</v>
      </c>
      <c r="BB9" s="50">
        <f ca="1">+GETPIVOTDATA("XDB4",'dabac (2016)'!$A$3,"MA_HT","LUK","MA_QH","SON")</f>
        <v>0</v>
      </c>
      <c r="BC9" s="50">
        <f ca="1">+GETPIVOTDATA("XDB4",'dabac (2016)'!$A$3,"MA_HT","LUK","MA_QH","MNC")</f>
        <v>0</v>
      </c>
      <c r="BD9" s="50">
        <f ca="1">+GETPIVOTDATA("XDB4",'dabac (2016)'!$A$3,"MA_HT","LUK","MA_QH","PNK")</f>
        <v>0</v>
      </c>
      <c r="BE9" s="80">
        <f ca="1">+GETPIVOTDATA("XDB4",'dabac (2016)'!$A$3,"MA_HT","LUK","MA_QH","CSD")</f>
        <v>0</v>
      </c>
      <c r="BF9" s="103">
        <f ca="1" t="shared" si="7"/>
        <v>0</v>
      </c>
      <c r="BG9" s="104">
        <f ca="1">H$59-$BF9</f>
        <v>0</v>
      </c>
      <c r="BH9" s="47" t="e">
        <f ca="1" t="shared" si="8"/>
        <v>#REF!</v>
      </c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</row>
    <row r="10" s="4" customFormat="1" ht="15.75" customHeight="1" spans="1:79">
      <c r="A10" s="45"/>
      <c r="B10" s="316" t="s">
        <v>8343</v>
      </c>
      <c r="C10" s="46" t="s">
        <v>8300</v>
      </c>
      <c r="D10" s="47" t="e">
        <f>+#REF!</f>
        <v>#REF!</v>
      </c>
      <c r="E10" s="48">
        <f ca="1">SUM(J10:Q10,F10)</f>
        <v>0</v>
      </c>
      <c r="F10" s="44">
        <f ca="1">SUM(G10:H10)</f>
        <v>0</v>
      </c>
      <c r="G10" s="50">
        <f ca="1">+GETPIVOTDATA("XDB4",'dabac (2016)'!$A$3,"MA_HT","LUN","MA_QH","LUC")</f>
        <v>0</v>
      </c>
      <c r="H10" s="50">
        <f ca="1">+GETPIVOTDATA("XDB4",'dabac (2016)'!$A$3,"MA_HT","LUN","MA_QH","LUK")</f>
        <v>0</v>
      </c>
      <c r="I10" s="49" t="e">
        <f ca="1">$D10-$BF10</f>
        <v>#REF!</v>
      </c>
      <c r="J10" s="50">
        <f ca="1">+GETPIVOTDATA("XDB4",'dabac (2016)'!$A$3,"MA_HT","LUN","MA_QH","HNK")</f>
        <v>0</v>
      </c>
      <c r="K10" s="50">
        <f ca="1">+GETPIVOTDATA("XDB4",'dabac (2016)'!$A$3,"MA_HT","LUN","MA_QH","CLN")</f>
        <v>0</v>
      </c>
      <c r="L10" s="50">
        <f ca="1">+GETPIVOTDATA("XDB4",'dabac (2016)'!$A$3,"MA_HT","LUN","MA_QH","RSX")</f>
        <v>0</v>
      </c>
      <c r="M10" s="50">
        <f ca="1">+GETPIVOTDATA("XDB4",'dabac (2016)'!$A$3,"MA_HT","LUN","MA_QH","RPH")</f>
        <v>0</v>
      </c>
      <c r="N10" s="50">
        <f ca="1">+GETPIVOTDATA("XDB4",'dabac (2016)'!$A$3,"MA_HT","LUN","MA_QH","RDD")</f>
        <v>0</v>
      </c>
      <c r="O10" s="50">
        <f ca="1">+GETPIVOTDATA("XDB4",'dabac (2016)'!$A$3,"MA_HT","LUN","MA_QH","NTS")</f>
        <v>0</v>
      </c>
      <c r="P10" s="50">
        <f ca="1">+GETPIVOTDATA("XDB4",'dabac (2016)'!$A$3,"MA_HT","LUN","MA_QH","LMU")</f>
        <v>0</v>
      </c>
      <c r="Q10" s="50">
        <f ca="1">+GETPIVOTDATA("XDB4",'dabac (2016)'!$A$3,"MA_HT","LUN","MA_QH","NKH")</f>
        <v>0</v>
      </c>
      <c r="R10" s="48">
        <f ca="1" t="shared" si="2"/>
        <v>0</v>
      </c>
      <c r="S10" s="50">
        <f ca="1">+GETPIVOTDATA("XDB4",'dabac (2016)'!$A$3,"MA_HT","LUN","MA_QH","CQP")</f>
        <v>0</v>
      </c>
      <c r="T10" s="50">
        <f ca="1">+GETPIVOTDATA("XDB4",'dabac (2016)'!$A$3,"MA_HT","LUN","MA_QH","CAN")</f>
        <v>0</v>
      </c>
      <c r="U10" s="50">
        <f ca="1">+GETPIVOTDATA("XDB4",'dabac (2016)'!$A$3,"MA_HT","LUN","MA_QH","SKK")</f>
        <v>0</v>
      </c>
      <c r="V10" s="50">
        <f ca="1">+GETPIVOTDATA("XDB4",'dabac (2016)'!$A$3,"MA_HT","LUN","MA_QH","SKT")</f>
        <v>0</v>
      </c>
      <c r="W10" s="50">
        <f ca="1">+GETPIVOTDATA("XDB4",'dabac (2016)'!$A$3,"MA_HT","LUN","MA_QH","SKN")</f>
        <v>0</v>
      </c>
      <c r="X10" s="50">
        <f ca="1">+GETPIVOTDATA("XDB4",'dabac (2016)'!$A$3,"MA_HT","LUN","MA_QH","TMD")</f>
        <v>0</v>
      </c>
      <c r="Y10" s="50">
        <f ca="1">+GETPIVOTDATA("XDB4",'dabac (2016)'!$A$3,"MA_HT","LUN","MA_QH","SKC")</f>
        <v>0</v>
      </c>
      <c r="Z10" s="50">
        <f ca="1">+GETPIVOTDATA("XDB4",'dabac (2016)'!$A$3,"MA_HT","LUN","MA_QH","SKS")</f>
        <v>0</v>
      </c>
      <c r="AA10" s="52">
        <f ca="1" t="shared" si="4"/>
        <v>0</v>
      </c>
      <c r="AB10" s="50">
        <f ca="1">+GETPIVOTDATA("XDB4",'dabac (2016)'!$A$3,"MA_HT","LUN","MA_QH","DGT")</f>
        <v>0</v>
      </c>
      <c r="AC10" s="50">
        <f ca="1">+GETPIVOTDATA("XDB4",'dabac (2016)'!$A$3,"MA_HT","LUN","MA_QH","DTL")</f>
        <v>0</v>
      </c>
      <c r="AD10" s="50">
        <f ca="1">+GETPIVOTDATA("XDB4",'dabac (2016)'!$A$3,"MA_HT","LUN","MA_QH","DNL")</f>
        <v>0</v>
      </c>
      <c r="AE10" s="50">
        <f ca="1">+GETPIVOTDATA("XDB4",'dabac (2016)'!$A$3,"MA_HT","LUN","MA_QH","DBV")</f>
        <v>0</v>
      </c>
      <c r="AF10" s="50">
        <f ca="1">+GETPIVOTDATA("XDB4",'dabac (2016)'!$A$3,"MA_HT","LUN","MA_QH","DVH")</f>
        <v>0</v>
      </c>
      <c r="AG10" s="50">
        <f ca="1">+GETPIVOTDATA("XDB4",'dabac (2016)'!$A$3,"MA_HT","LUN","MA_QH","DYT")</f>
        <v>0</v>
      </c>
      <c r="AH10" s="50">
        <f ca="1">+GETPIVOTDATA("XDB4",'dabac (2016)'!$A$3,"MA_HT","LUN","MA_QH","DGD")</f>
        <v>0</v>
      </c>
      <c r="AI10" s="50">
        <f ca="1">+GETPIVOTDATA("XDB4",'dabac (2016)'!$A$3,"MA_HT","LUN","MA_QH","DTT")</f>
        <v>0</v>
      </c>
      <c r="AJ10" s="50">
        <f ca="1">+GETPIVOTDATA("XDB4",'dabac (2016)'!$A$3,"MA_HT","LUN","MA_QH","NCK")</f>
        <v>0</v>
      </c>
      <c r="AK10" s="50">
        <f ca="1">+GETPIVOTDATA("XDB4",'dabac (2016)'!$A$3,"MA_HT","LUN","MA_QH","DXH")</f>
        <v>0</v>
      </c>
      <c r="AL10" s="50">
        <f ca="1">+GETPIVOTDATA("XDB4",'dabac (2016)'!$A$3,"MA_HT","LUN","MA_QH","DCH")</f>
        <v>0</v>
      </c>
      <c r="AM10" s="50">
        <f ca="1">+GETPIVOTDATA("XDB4",'dabac (2016)'!$A$3,"MA_HT","LUN","MA_QH","DKG")</f>
        <v>0</v>
      </c>
      <c r="AN10" s="50">
        <f ca="1">+GETPIVOTDATA("XDB4",'dabac (2016)'!$A$3,"MA_HT","LUN","MA_QH","DDT")</f>
        <v>0</v>
      </c>
      <c r="AO10" s="50">
        <f ca="1">+GETPIVOTDATA("XDB4",'dabac (2016)'!$A$3,"MA_HT","LUN","MA_QH","DDL")</f>
        <v>0</v>
      </c>
      <c r="AP10" s="50">
        <f ca="1">+GETPIVOTDATA("XDB4",'dabac (2016)'!$A$3,"MA_HT","LUN","MA_QH","DRA")</f>
        <v>0</v>
      </c>
      <c r="AQ10" s="50">
        <f ca="1">+GETPIVOTDATA("XDB4",'dabac (2016)'!$A$3,"MA_HT","LUN","MA_QH","ONT")</f>
        <v>0</v>
      </c>
      <c r="AR10" s="50">
        <f ca="1">+GETPIVOTDATA("XDB4",'dabac (2016)'!$A$3,"MA_HT","LUN","MA_QH","ODT")</f>
        <v>0</v>
      </c>
      <c r="AS10" s="50">
        <f ca="1">+GETPIVOTDATA("XDB4",'dabac (2016)'!$A$3,"MA_HT","LUN","MA_QH","TSC")</f>
        <v>0</v>
      </c>
      <c r="AT10" s="50">
        <f ca="1">+GETPIVOTDATA("XDB4",'dabac (2016)'!$A$3,"MA_HT","LUN","MA_QH","DTS")</f>
        <v>0</v>
      </c>
      <c r="AU10" s="50">
        <f ca="1">+GETPIVOTDATA("XDB4",'dabac (2016)'!$A$3,"MA_HT","LUN","MA_QH","DNG")</f>
        <v>0</v>
      </c>
      <c r="AV10" s="50">
        <f ca="1">+GETPIVOTDATA("XDB4",'dabac (2016)'!$A$3,"MA_HT","LUN","MA_QH","TON")</f>
        <v>0</v>
      </c>
      <c r="AW10" s="50">
        <f ca="1">+GETPIVOTDATA("XDB4",'dabac (2016)'!$A$3,"MA_HT","LUN","MA_QH","NTD")</f>
        <v>0</v>
      </c>
      <c r="AX10" s="50">
        <f ca="1">+GETPIVOTDATA("XDB4",'dabac (2016)'!$A$3,"MA_HT","LUN","MA_QH","SKX")</f>
        <v>0</v>
      </c>
      <c r="AY10" s="50">
        <f ca="1">+GETPIVOTDATA("XDB4",'dabac (2016)'!$A$3,"MA_HT","LUN","MA_QH","DSH")</f>
        <v>0</v>
      </c>
      <c r="AZ10" s="50">
        <f ca="1">+GETPIVOTDATA("XDB4",'dabac (2016)'!$A$3,"MA_HT","LUN","MA_QH","DKV")</f>
        <v>0</v>
      </c>
      <c r="BA10" s="88">
        <f ca="1">+GETPIVOTDATA("XDB4",'dabac (2016)'!$A$3,"MA_HT","LUN","MA_QH","TIN")</f>
        <v>0</v>
      </c>
      <c r="BB10" s="50">
        <f ca="1">+GETPIVOTDATA("XDB4",'dabac (2016)'!$A$3,"MA_HT","LUN","MA_QH","SON")</f>
        <v>0</v>
      </c>
      <c r="BC10" s="50">
        <f ca="1">+GETPIVOTDATA("XDB4",'dabac (2016)'!$A$3,"MA_HT","LUN","MA_QH","MNC")</f>
        <v>0</v>
      </c>
      <c r="BD10" s="50">
        <f ca="1">+GETPIVOTDATA("XDB4",'dabac (2016)'!$A$3,"MA_HT","LUN","MA_QH","PNK")</f>
        <v>0</v>
      </c>
      <c r="BE10" s="80">
        <f ca="1">+GETPIVOTDATA("XDB4",'dabac (2016)'!$A$3,"MA_HT","LUN","MA_QH","CSD")</f>
        <v>0</v>
      </c>
      <c r="BF10" s="103">
        <f ca="1" t="shared" si="7"/>
        <v>0</v>
      </c>
      <c r="BG10" s="104">
        <f ca="1">I$59-$BF10</f>
        <v>0</v>
      </c>
      <c r="BH10" s="47" t="e">
        <f ca="1" t="shared" si="8"/>
        <v>#REF!</v>
      </c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</row>
    <row r="11" s="2" customFormat="1" ht="15.75" customHeight="1" spans="1:79">
      <c r="A11" s="39" t="s">
        <v>40</v>
      </c>
      <c r="B11" s="39" t="s">
        <v>8344</v>
      </c>
      <c r="C11" s="40" t="s">
        <v>2492</v>
      </c>
      <c r="D11" s="47" t="e">
        <f>+#REF!</f>
        <v>#REF!</v>
      </c>
      <c r="E11" s="42">
        <f ca="1">SUM(K11:Q11,F11)</f>
        <v>0</v>
      </c>
      <c r="F11" s="52">
        <f ca="1">SUM(G11:I11)</f>
        <v>0</v>
      </c>
      <c r="G11" s="22">
        <f ca="1">+GETPIVOTDATA("XDB4",'dabac (2016)'!$A$3,"MA_HT","HNK","MA_QH","LUC")</f>
        <v>0</v>
      </c>
      <c r="H11" s="22">
        <f ca="1">+GETPIVOTDATA("XDB4",'dabac (2016)'!$A$3,"MA_HT","HNK","MA_QH","LUK")</f>
        <v>0</v>
      </c>
      <c r="I11" s="22">
        <f ca="1">+GETPIVOTDATA("XDB4",'dabac (2016)'!$A$3,"MA_HT","HNK","MA_QH","LUN")</f>
        <v>0</v>
      </c>
      <c r="J11" s="43" t="e">
        <f ca="1">$D11-$BF11</f>
        <v>#REF!</v>
      </c>
      <c r="K11" s="22">
        <f ca="1">+GETPIVOTDATA("XDB4",'dabac (2016)'!$A$3,"MA_HT","HNK","MA_QH","CLN")</f>
        <v>0</v>
      </c>
      <c r="L11" s="22">
        <f ca="1">+GETPIVOTDATA("XDB4",'dabac (2016)'!$A$3,"MA_HT","HNK","MA_QH","RSX")</f>
        <v>0</v>
      </c>
      <c r="M11" s="22">
        <f ca="1">+GETPIVOTDATA("XDB4",'dabac (2016)'!$A$3,"MA_HT","HNK","MA_QH","RPH")</f>
        <v>0</v>
      </c>
      <c r="N11" s="22">
        <f ca="1">+GETPIVOTDATA("XDB4",'dabac (2016)'!$A$3,"MA_HT","HNK","MA_QH","RDD")</f>
        <v>0</v>
      </c>
      <c r="O11" s="22">
        <f ca="1">+GETPIVOTDATA("XDB4",'dabac (2016)'!$A$3,"MA_HT","HNK","MA_QH","NTS")</f>
        <v>0</v>
      </c>
      <c r="P11" s="22">
        <f ca="1">+GETPIVOTDATA("XDB4",'dabac (2016)'!$A$3,"MA_HT","HNK","MA_QH","LMU")</f>
        <v>0</v>
      </c>
      <c r="Q11" s="22">
        <f ca="1">+GETPIVOTDATA("XDB4",'dabac (2016)'!$A$3,"MA_HT","HNK","MA_QH","NKH")</f>
        <v>0</v>
      </c>
      <c r="R11" s="42">
        <f ca="1" t="shared" si="2"/>
        <v>0</v>
      </c>
      <c r="S11" s="22">
        <f ca="1">+GETPIVOTDATA("XDB4",'dabac (2016)'!$A$3,"MA_HT","HNK","MA_QH","CQP")</f>
        <v>0</v>
      </c>
      <c r="T11" s="22">
        <f ca="1">+GETPIVOTDATA("XDB4",'dabac (2016)'!$A$3,"MA_HT","HNK","MA_QH","CAN")</f>
        <v>0</v>
      </c>
      <c r="U11" s="22">
        <f ca="1">+GETPIVOTDATA("XDB4",'dabac (2016)'!$A$3,"MA_HT","HNK","MA_QH","SKK")</f>
        <v>0</v>
      </c>
      <c r="V11" s="22">
        <f ca="1">+GETPIVOTDATA("XDB4",'dabac (2016)'!$A$3,"MA_HT","HNK","MA_QH","SKT")</f>
        <v>0</v>
      </c>
      <c r="W11" s="22">
        <f ca="1">+GETPIVOTDATA("XDB4",'dabac (2016)'!$A$3,"MA_HT","HNK","MA_QH","SKN")</f>
        <v>0</v>
      </c>
      <c r="X11" s="22">
        <f ca="1">+GETPIVOTDATA("XDB4",'dabac (2016)'!$A$3,"MA_HT","HNK","MA_QH","TMD")</f>
        <v>0</v>
      </c>
      <c r="Y11" s="22">
        <f ca="1">+GETPIVOTDATA("XDB4",'dabac (2016)'!$A$3,"MA_HT","HNK","MA_QH","SKC")</f>
        <v>0</v>
      </c>
      <c r="Z11" s="22">
        <f ca="1">+GETPIVOTDATA("XDB4",'dabac (2016)'!$A$3,"MA_HT","HNK","MA_QH","SKS")</f>
        <v>0</v>
      </c>
      <c r="AA11" s="52">
        <f ca="1" t="shared" si="4"/>
        <v>0</v>
      </c>
      <c r="AB11" s="22">
        <f ca="1">+GETPIVOTDATA("XDB4",'dabac (2016)'!$A$3,"MA_HT","HNK","MA_QH","DGT")</f>
        <v>0</v>
      </c>
      <c r="AC11" s="22">
        <f ca="1">+GETPIVOTDATA("XDB4",'dabac (2016)'!$A$3,"MA_HT","HNK","MA_QH","DTL")</f>
        <v>0</v>
      </c>
      <c r="AD11" s="22">
        <f ca="1">+GETPIVOTDATA("XDB4",'dabac (2016)'!$A$3,"MA_HT","HNK","MA_QH","DNL")</f>
        <v>0</v>
      </c>
      <c r="AE11" s="22">
        <f ca="1">+GETPIVOTDATA("XDB4",'dabac (2016)'!$A$3,"MA_HT","HNK","MA_QH","DBV")</f>
        <v>0</v>
      </c>
      <c r="AF11" s="22">
        <f ca="1">+GETPIVOTDATA("XDB4",'dabac (2016)'!$A$3,"MA_HT","HNK","MA_QH","DVH")</f>
        <v>0</v>
      </c>
      <c r="AG11" s="22">
        <f ca="1">+GETPIVOTDATA("XDB4",'dabac (2016)'!$A$3,"MA_HT","HNK","MA_QH","DYT")</f>
        <v>0</v>
      </c>
      <c r="AH11" s="22">
        <f ca="1">+GETPIVOTDATA("XDB4",'dabac (2016)'!$A$3,"MA_HT","HNK","MA_QH","DGD")</f>
        <v>0</v>
      </c>
      <c r="AI11" s="22">
        <f ca="1">+GETPIVOTDATA("XDB4",'dabac (2016)'!$A$3,"MA_HT","HNK","MA_QH","DTT")</f>
        <v>0</v>
      </c>
      <c r="AJ11" s="22">
        <f ca="1">+GETPIVOTDATA("XDB4",'dabac (2016)'!$A$3,"MA_HT","HNK","MA_QH","NCK")</f>
        <v>0</v>
      </c>
      <c r="AK11" s="22">
        <f ca="1">+GETPIVOTDATA("XDB4",'dabac (2016)'!$A$3,"MA_HT","HNK","MA_QH","DXH")</f>
        <v>0</v>
      </c>
      <c r="AL11" s="22">
        <f ca="1">+GETPIVOTDATA("XDB4",'dabac (2016)'!$A$3,"MA_HT","HNK","MA_QH","DCH")</f>
        <v>0</v>
      </c>
      <c r="AM11" s="22">
        <f ca="1">+GETPIVOTDATA("XDB4",'dabac (2016)'!$A$3,"MA_HT","HNK","MA_QH","DKG")</f>
        <v>0</v>
      </c>
      <c r="AN11" s="22">
        <f ca="1">+GETPIVOTDATA("XDB4",'dabac (2016)'!$A$3,"MA_HT","HNK","MA_QH","DDT")</f>
        <v>0</v>
      </c>
      <c r="AO11" s="22">
        <f ca="1">+GETPIVOTDATA("XDB4",'dabac (2016)'!$A$3,"MA_HT","HNK","MA_QH","DDL")</f>
        <v>0</v>
      </c>
      <c r="AP11" s="22">
        <f ca="1">+GETPIVOTDATA("XDB4",'dabac (2016)'!$A$3,"MA_HT","HNK","MA_QH","DRA")</f>
        <v>0</v>
      </c>
      <c r="AQ11" s="22">
        <f ca="1">+GETPIVOTDATA("XDB4",'dabac (2016)'!$A$3,"MA_HT","HNK","MA_QH","ONT")</f>
        <v>0</v>
      </c>
      <c r="AR11" s="22">
        <f ca="1">+GETPIVOTDATA("XDB4",'dabac (2016)'!$A$3,"MA_HT","HNK","MA_QH","ODT")</f>
        <v>0</v>
      </c>
      <c r="AS11" s="22">
        <f ca="1">+GETPIVOTDATA("XDB4",'dabac (2016)'!$A$3,"MA_HT","HNK","MA_QH","TSC")</f>
        <v>0</v>
      </c>
      <c r="AT11" s="22">
        <f ca="1">+GETPIVOTDATA("XDB4",'dabac (2016)'!$A$3,"MA_HT","HNK","MA_QH","DTS")</f>
        <v>0</v>
      </c>
      <c r="AU11" s="22">
        <f ca="1">+GETPIVOTDATA("XDB4",'dabac (2016)'!$A$3,"MA_HT","HNK","MA_QH","DNG")</f>
        <v>0</v>
      </c>
      <c r="AV11" s="22">
        <f ca="1">+GETPIVOTDATA("XDB4",'dabac (2016)'!$A$3,"MA_HT","HNK","MA_QH","TON")</f>
        <v>0</v>
      </c>
      <c r="AW11" s="22">
        <f ca="1">+GETPIVOTDATA("XDB4",'dabac (2016)'!$A$3,"MA_HT","HNK","MA_QH","NTD")</f>
        <v>0</v>
      </c>
      <c r="AX11" s="22">
        <f ca="1">+GETPIVOTDATA("XDB4",'dabac (2016)'!$A$3,"MA_HT","HNK","MA_QH","SKX")</f>
        <v>0</v>
      </c>
      <c r="AY11" s="22">
        <f ca="1">+GETPIVOTDATA("XDB4",'dabac (2016)'!$A$3,"MA_HT","HNK","MA_QH","DSH")</f>
        <v>0</v>
      </c>
      <c r="AZ11" s="22">
        <f ca="1">+GETPIVOTDATA("XDB4",'dabac (2016)'!$A$3,"MA_HT","HNK","MA_QH","DKV")</f>
        <v>0</v>
      </c>
      <c r="BA11" s="89">
        <f ca="1">+GETPIVOTDATA("XDB4",'dabac (2016)'!$A$3,"MA_HT","HNK","MA_QH","TIN")</f>
        <v>0</v>
      </c>
      <c r="BB11" s="50">
        <f ca="1">+GETPIVOTDATA("XDB4",'dabac (2016)'!$A$3,"MA_HT","HNK","MA_QH","SON")</f>
        <v>0</v>
      </c>
      <c r="BC11" s="50">
        <f ca="1">+GETPIVOTDATA("XDB4",'dabac (2016)'!$A$3,"MA_HT","HNK","MA_QH","MNC")</f>
        <v>0</v>
      </c>
      <c r="BD11" s="22">
        <f ca="1">+GETPIVOTDATA("XDB4",'dabac (2016)'!$A$3,"MA_HT","HNK","MA_QH","PNK")</f>
        <v>0</v>
      </c>
      <c r="BE11" s="71">
        <f ca="1">+GETPIVOTDATA("XDB4",'dabac (2016)'!$A$3,"MA_HT","HNK","MA_QH","CSD")</f>
        <v>0</v>
      </c>
      <c r="BF11" s="74">
        <f ca="1" t="shared" si="7"/>
        <v>0</v>
      </c>
      <c r="BG11" s="101">
        <f ca="1">J$59-$BF11</f>
        <v>0</v>
      </c>
      <c r="BH11" s="41" t="e">
        <f ca="1" t="shared" si="8"/>
        <v>#REF!</v>
      </c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</row>
    <row r="12" s="2" customFormat="1" ht="15.75" customHeight="1" spans="1:79">
      <c r="A12" s="39" t="s">
        <v>8345</v>
      </c>
      <c r="B12" s="39" t="s">
        <v>8346</v>
      </c>
      <c r="C12" s="40" t="s">
        <v>30</v>
      </c>
      <c r="D12" s="47" t="e">
        <f>+#REF!</f>
        <v>#REF!</v>
      </c>
      <c r="E12" s="42">
        <f ca="1">SUM(L12:Q12,F12,J12)</f>
        <v>0</v>
      </c>
      <c r="F12" s="52">
        <f ca="1" t="shared" ref="F12:F58" si="9">SUM(G12:I12)</f>
        <v>0</v>
      </c>
      <c r="G12" s="22">
        <f ca="1">+GETPIVOTDATA("XDB4",'dabac (2016)'!$A$3,"MA_HT","CLN","MA_QH","LUC")</f>
        <v>0</v>
      </c>
      <c r="H12" s="22">
        <f ca="1">+GETPIVOTDATA("XDB4",'dabac (2016)'!$A$3,"MA_HT","CLN","MA_QH","LUK")</f>
        <v>0</v>
      </c>
      <c r="I12" s="22">
        <f ca="1">+GETPIVOTDATA("XDB4",'dabac (2016)'!$A$3,"MA_HT","CLN","MA_QH","LUN")</f>
        <v>0</v>
      </c>
      <c r="J12" s="22">
        <f ca="1">+GETPIVOTDATA("XDB4",'dabac (2016)'!$A$3,"MA_HT","CLN","MA_QH","HNK")</f>
        <v>0</v>
      </c>
      <c r="K12" s="43" t="e">
        <f ca="1">$D12-$BF12</f>
        <v>#REF!</v>
      </c>
      <c r="L12" s="22">
        <f ca="1">+GETPIVOTDATA("XDB4",'dabac (2016)'!$A$3,"MA_HT","CLN","MA_QH","RSX")</f>
        <v>0</v>
      </c>
      <c r="M12" s="22">
        <f ca="1">+GETPIVOTDATA("XDB4",'dabac (2016)'!$A$3,"MA_HT","CLN","MA_QH","RPH")</f>
        <v>0</v>
      </c>
      <c r="N12" s="22">
        <f ca="1">+GETPIVOTDATA("XDB4",'dabac (2016)'!$A$3,"MA_HT","CLN","MA_QH","RDD")</f>
        <v>0</v>
      </c>
      <c r="O12" s="22">
        <f ca="1">+GETPIVOTDATA("XDB4",'dabac (2016)'!$A$3,"MA_HT","CLN","MA_QH","NTS")</f>
        <v>0</v>
      </c>
      <c r="P12" s="22">
        <f ca="1">+GETPIVOTDATA("XDB4",'dabac (2016)'!$A$3,"MA_HT","CLN","MA_QH","LMU")</f>
        <v>0</v>
      </c>
      <c r="Q12" s="22">
        <f ca="1">+GETPIVOTDATA("XDB4",'dabac (2016)'!$A$3,"MA_HT","CLN","MA_QH","NKH")</f>
        <v>0</v>
      </c>
      <c r="R12" s="42">
        <f ca="1" t="shared" si="2"/>
        <v>0</v>
      </c>
      <c r="S12" s="22">
        <f ca="1">+GETPIVOTDATA("XDB4",'dabac (2016)'!$A$3,"MA_HT","CLN","MA_QH","CQP")</f>
        <v>0</v>
      </c>
      <c r="T12" s="22">
        <f ca="1">+GETPIVOTDATA("XDB4",'dabac (2016)'!$A$3,"MA_HT","CLN","MA_QH","CAN")</f>
        <v>0</v>
      </c>
      <c r="U12" s="22">
        <f ca="1">+GETPIVOTDATA("XDB4",'dabac (2016)'!$A$3,"MA_HT","CLN","MA_QH","SKK")</f>
        <v>0</v>
      </c>
      <c r="V12" s="22">
        <f ca="1">+GETPIVOTDATA("XDB4",'dabac (2016)'!$A$3,"MA_HT","CLN","MA_QH","SKT")</f>
        <v>0</v>
      </c>
      <c r="W12" s="22">
        <f ca="1">+GETPIVOTDATA("XDB4",'dabac (2016)'!$A$3,"MA_HT","CLN","MA_QH","SKN")</f>
        <v>0</v>
      </c>
      <c r="X12" s="22">
        <f ca="1">+GETPIVOTDATA("XDB4",'dabac (2016)'!$A$3,"MA_HT","CLN","MA_QH","TMD")</f>
        <v>0</v>
      </c>
      <c r="Y12" s="22">
        <f ca="1">+GETPIVOTDATA("XDB4",'dabac (2016)'!$A$3,"MA_HT","CLN","MA_QH","SKC")</f>
        <v>0</v>
      </c>
      <c r="Z12" s="22">
        <f ca="1">+GETPIVOTDATA("XDB4",'dabac (2016)'!$A$3,"MA_HT","CLN","MA_QH","SKS")</f>
        <v>0</v>
      </c>
      <c r="AA12" s="52">
        <f ca="1" t="shared" si="4"/>
        <v>0</v>
      </c>
      <c r="AB12" s="22">
        <f ca="1">+GETPIVOTDATA("XDB4",'dabac (2016)'!$A$3,"MA_HT","CLN","MA_QH","DGT")</f>
        <v>0</v>
      </c>
      <c r="AC12" s="22">
        <f ca="1">+GETPIVOTDATA("XDB4",'dabac (2016)'!$A$3,"MA_HT","CLN","MA_QH","DTL")</f>
        <v>0</v>
      </c>
      <c r="AD12" s="22">
        <f ca="1">+GETPIVOTDATA("XDB4",'dabac (2016)'!$A$3,"MA_HT","CLN","MA_QH","DNL")</f>
        <v>0</v>
      </c>
      <c r="AE12" s="22">
        <f ca="1">+GETPIVOTDATA("XDB4",'dabac (2016)'!$A$3,"MA_HT","CLN","MA_QH","DBV")</f>
        <v>0</v>
      </c>
      <c r="AF12" s="22">
        <f ca="1">+GETPIVOTDATA("XDB4",'dabac (2016)'!$A$3,"MA_HT","CLN","MA_QH","DVH")</f>
        <v>0</v>
      </c>
      <c r="AG12" s="22">
        <f ca="1">+GETPIVOTDATA("XDB4",'dabac (2016)'!$A$3,"MA_HT","CLN","MA_QH","DYT")</f>
        <v>0</v>
      </c>
      <c r="AH12" s="22">
        <f ca="1">+GETPIVOTDATA("XDB4",'dabac (2016)'!$A$3,"MA_HT","CLN","MA_QH","DGD")</f>
        <v>0</v>
      </c>
      <c r="AI12" s="22">
        <f ca="1">+GETPIVOTDATA("XDB4",'dabac (2016)'!$A$3,"MA_HT","CLN","MA_QH","DTT")</f>
        <v>0</v>
      </c>
      <c r="AJ12" s="22">
        <f ca="1">+GETPIVOTDATA("XDB4",'dabac (2016)'!$A$3,"MA_HT","CLN","MA_QH","NCK")</f>
        <v>0</v>
      </c>
      <c r="AK12" s="22">
        <f ca="1">+GETPIVOTDATA("XDB4",'dabac (2016)'!$A$3,"MA_HT","CLN","MA_QH","DXH")</f>
        <v>0</v>
      </c>
      <c r="AL12" s="22">
        <f ca="1">+GETPIVOTDATA("XDB4",'dabac (2016)'!$A$3,"MA_HT","CLN","MA_QH","DCH")</f>
        <v>0</v>
      </c>
      <c r="AM12" s="22">
        <f ca="1">+GETPIVOTDATA("XDB4",'dabac (2016)'!$A$3,"MA_HT","CLN","MA_QH","DKG")</f>
        <v>0</v>
      </c>
      <c r="AN12" s="22">
        <f ca="1">+GETPIVOTDATA("XDB4",'dabac (2016)'!$A$3,"MA_HT","CLN","MA_QH","DDT")</f>
        <v>0</v>
      </c>
      <c r="AO12" s="22">
        <f ca="1">+GETPIVOTDATA("XDB4",'dabac (2016)'!$A$3,"MA_HT","CLN","MA_QH","DDL")</f>
        <v>0</v>
      </c>
      <c r="AP12" s="22">
        <f ca="1">+GETPIVOTDATA("XDB4",'dabac (2016)'!$A$3,"MA_HT","CLN","MA_QH","DRA")</f>
        <v>0</v>
      </c>
      <c r="AQ12" s="22">
        <f ca="1">+GETPIVOTDATA("XDB4",'dabac (2016)'!$A$3,"MA_HT","CLN","MA_QH","ONT")</f>
        <v>0</v>
      </c>
      <c r="AR12" s="22">
        <f ca="1">+GETPIVOTDATA("XDB4",'dabac (2016)'!$A$3,"MA_HT","CLN","MA_QH","ODT")</f>
        <v>0</v>
      </c>
      <c r="AS12" s="22">
        <f ca="1">+GETPIVOTDATA("XDB4",'dabac (2016)'!$A$3,"MA_HT","CLN","MA_QH","TSC")</f>
        <v>0</v>
      </c>
      <c r="AT12" s="22">
        <f ca="1">+GETPIVOTDATA("XDB4",'dabac (2016)'!$A$3,"MA_HT","CLN","MA_QH","DTS")</f>
        <v>0</v>
      </c>
      <c r="AU12" s="22">
        <f ca="1">+GETPIVOTDATA("XDB4",'dabac (2016)'!$A$3,"MA_HT","CLN","MA_QH","DNG")</f>
        <v>0</v>
      </c>
      <c r="AV12" s="22">
        <f ca="1">+GETPIVOTDATA("XDB4",'dabac (2016)'!$A$3,"MA_HT","CLN","MA_QH","TON")</f>
        <v>0</v>
      </c>
      <c r="AW12" s="22">
        <f ca="1">+GETPIVOTDATA("XDB4",'dabac (2016)'!$A$3,"MA_HT","CLN","MA_QH","NTD")</f>
        <v>0</v>
      </c>
      <c r="AX12" s="22">
        <f ca="1">+GETPIVOTDATA("XDB4",'dabac (2016)'!$A$3,"MA_HT","CLN","MA_QH","SKX")</f>
        <v>0</v>
      </c>
      <c r="AY12" s="22">
        <f ca="1">+GETPIVOTDATA("XDB4",'dabac (2016)'!$A$3,"MA_HT","CLN","MA_QH","DSH")</f>
        <v>0</v>
      </c>
      <c r="AZ12" s="22">
        <f ca="1">+GETPIVOTDATA("XDB4",'dabac (2016)'!$A$3,"MA_HT","CLN","MA_QH","DKV")</f>
        <v>0</v>
      </c>
      <c r="BA12" s="89">
        <f ca="1">+GETPIVOTDATA("XDB4",'dabac (2016)'!$A$3,"MA_HT","CLN","MA_QH","TIN")</f>
        <v>0</v>
      </c>
      <c r="BB12" s="50">
        <f ca="1">+GETPIVOTDATA("XDB4",'dabac (2016)'!$A$3,"MA_HT","CLN","MA_QH","SON")</f>
        <v>0</v>
      </c>
      <c r="BC12" s="50">
        <f ca="1">+GETPIVOTDATA("XDB4",'dabac (2016)'!$A$3,"MA_HT","CLN","MA_QH","MNC")</f>
        <v>0</v>
      </c>
      <c r="BD12" s="22">
        <f ca="1">+GETPIVOTDATA("XDB4",'dabac (2016)'!$A$3,"MA_HT","CLN","MA_QH","PNK")</f>
        <v>0</v>
      </c>
      <c r="BE12" s="71">
        <f ca="1">+GETPIVOTDATA("XDB4",'dabac (2016)'!$A$3,"MA_HT","CLN","MA_QH","CSD")</f>
        <v>0</v>
      </c>
      <c r="BF12" s="74">
        <f ca="1" t="shared" si="7"/>
        <v>0</v>
      </c>
      <c r="BG12" s="101">
        <f ca="1">K$59-$BF12</f>
        <v>0</v>
      </c>
      <c r="BH12" s="41" t="e">
        <f ca="1" t="shared" si="8"/>
        <v>#REF!</v>
      </c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</row>
    <row r="13" s="2" customFormat="1" ht="15.75" customHeight="1" spans="1:79">
      <c r="A13" s="39" t="s">
        <v>8347</v>
      </c>
      <c r="B13" s="39" t="s">
        <v>8348</v>
      </c>
      <c r="C13" s="40" t="s">
        <v>8307</v>
      </c>
      <c r="D13" s="47" t="e">
        <f>+#REF!</f>
        <v>#REF!</v>
      </c>
      <c r="E13" s="42">
        <f ca="1">SUM(F13,J13:K13,M13:Q13)</f>
        <v>0</v>
      </c>
      <c r="F13" s="52">
        <f ca="1" t="shared" si="9"/>
        <v>0</v>
      </c>
      <c r="G13" s="22">
        <f ca="1">+GETPIVOTDATA("XDB4",'dabac (2016)'!$A$3,"MA_HT","RSX","MA_QH","LUC")</f>
        <v>0</v>
      </c>
      <c r="H13" s="22">
        <f ca="1">+GETPIVOTDATA("XDB4",'dabac (2016)'!$A$3,"MA_HT","RSX","MA_QH","LUK")</f>
        <v>0</v>
      </c>
      <c r="I13" s="22">
        <f ca="1">+GETPIVOTDATA("XDB4",'dabac (2016)'!$A$3,"MA_HT","RSX","MA_QH","LUN")</f>
        <v>0</v>
      </c>
      <c r="J13" s="22">
        <f ca="1">+GETPIVOTDATA("XDB4",'dabac (2016)'!$A$3,"MA_HT","RSX","MA_QH","HNK")</f>
        <v>0</v>
      </c>
      <c r="K13" s="22">
        <f ca="1">+GETPIVOTDATA("XDB4",'dabac (2016)'!$A$3,"MA_HT","RSX","MA_QH","CLN")</f>
        <v>0</v>
      </c>
      <c r="L13" s="43" t="e">
        <f ca="1">$D13-$BF13</f>
        <v>#REF!</v>
      </c>
      <c r="M13" s="22">
        <f ca="1">+GETPIVOTDATA("XDB4",'dabac (2016)'!$A$3,"MA_HT","RSX","MA_QH","RPH")</f>
        <v>0</v>
      </c>
      <c r="N13" s="22">
        <f ca="1">+GETPIVOTDATA("XDB4",'dabac (2016)'!$A$3,"MA_HT","RSX","MA_QH","RDD")</f>
        <v>0</v>
      </c>
      <c r="O13" s="22">
        <f ca="1">+GETPIVOTDATA("XDB4",'dabac (2016)'!$A$3,"MA_HT","RSX","MA_QH","NTS")</f>
        <v>0</v>
      </c>
      <c r="P13" s="22">
        <f ca="1">+GETPIVOTDATA("XDB4",'dabac (2016)'!$A$3,"MA_HT","RSX","MA_QH","LMU")</f>
        <v>0</v>
      </c>
      <c r="Q13" s="22">
        <f ca="1">+GETPIVOTDATA("XDB4",'dabac (2016)'!$A$3,"MA_HT","RSX","MA_QH","NKH")</f>
        <v>0</v>
      </c>
      <c r="R13" s="42">
        <f ca="1" t="shared" si="2"/>
        <v>0</v>
      </c>
      <c r="S13" s="22">
        <f ca="1">+GETPIVOTDATA("XDB4",'dabac (2016)'!$A$3,"MA_HT","RSX","MA_QH","CQP")</f>
        <v>0</v>
      </c>
      <c r="T13" s="22">
        <f ca="1">+GETPIVOTDATA("XDB4",'dabac (2016)'!$A$3,"MA_HT","RSX","MA_QH","CAN")</f>
        <v>0</v>
      </c>
      <c r="U13" s="22">
        <f ca="1">+GETPIVOTDATA("XDB4",'dabac (2016)'!$A$3,"MA_HT","RSX","MA_QH","SKK")</f>
        <v>0</v>
      </c>
      <c r="V13" s="22">
        <f ca="1">+GETPIVOTDATA("XDB4",'dabac (2016)'!$A$3,"MA_HT","RSX","MA_QH","SKT")</f>
        <v>0</v>
      </c>
      <c r="W13" s="22">
        <f ca="1">+GETPIVOTDATA("XDB4",'dabac (2016)'!$A$3,"MA_HT","RSX","MA_QH","SKN")</f>
        <v>0</v>
      </c>
      <c r="X13" s="22">
        <f ca="1">+GETPIVOTDATA("XDB4",'dabac (2016)'!$A$3,"MA_HT","RSX","MA_QH","TMD")</f>
        <v>0</v>
      </c>
      <c r="Y13" s="22">
        <f ca="1">+GETPIVOTDATA("XDB4",'dabac (2016)'!$A$3,"MA_HT","RSX","MA_QH","SKC")</f>
        <v>0</v>
      </c>
      <c r="Z13" s="22">
        <f ca="1">+GETPIVOTDATA("XDB4",'dabac (2016)'!$A$3,"MA_HT","RSX","MA_QH","SKS")</f>
        <v>0</v>
      </c>
      <c r="AA13" s="52">
        <f ca="1" t="shared" si="4"/>
        <v>0</v>
      </c>
      <c r="AB13" s="22">
        <f ca="1">+GETPIVOTDATA("XDB4",'dabac (2016)'!$A$3,"MA_HT","RSX","MA_QH","DGT")</f>
        <v>0</v>
      </c>
      <c r="AC13" s="22">
        <f ca="1">+GETPIVOTDATA("XDB4",'dabac (2016)'!$A$3,"MA_HT","RSX","MA_QH","DTL")</f>
        <v>0</v>
      </c>
      <c r="AD13" s="22">
        <f ca="1">+GETPIVOTDATA("XDB4",'dabac (2016)'!$A$3,"MA_HT","RSX","MA_QH","DNL")</f>
        <v>0</v>
      </c>
      <c r="AE13" s="22">
        <f ca="1">+GETPIVOTDATA("XDB4",'dabac (2016)'!$A$3,"MA_HT","RSX","MA_QH","DBV")</f>
        <v>0</v>
      </c>
      <c r="AF13" s="22">
        <f ca="1">+GETPIVOTDATA("XDB4",'dabac (2016)'!$A$3,"MA_HT","RSX","MA_QH","DVH")</f>
        <v>0</v>
      </c>
      <c r="AG13" s="22">
        <f ca="1">+GETPIVOTDATA("XDB4",'dabac (2016)'!$A$3,"MA_HT","RSX","MA_QH","DYT")</f>
        <v>0</v>
      </c>
      <c r="AH13" s="22">
        <f ca="1">+GETPIVOTDATA("XDB4",'dabac (2016)'!$A$3,"MA_HT","RSX","MA_QH","DGD")</f>
        <v>0</v>
      </c>
      <c r="AI13" s="22">
        <f ca="1">+GETPIVOTDATA("XDB4",'dabac (2016)'!$A$3,"MA_HT","RSX","MA_QH","DTT")</f>
        <v>0</v>
      </c>
      <c r="AJ13" s="22">
        <f ca="1">+GETPIVOTDATA("XDB4",'dabac (2016)'!$A$3,"MA_HT","RSX","MA_QH","NCK")</f>
        <v>0</v>
      </c>
      <c r="AK13" s="22">
        <f ca="1">+GETPIVOTDATA("XDB4",'dabac (2016)'!$A$3,"MA_HT","RSX","MA_QH","DXH")</f>
        <v>0</v>
      </c>
      <c r="AL13" s="22">
        <f ca="1">+GETPIVOTDATA("XDB4",'dabac (2016)'!$A$3,"MA_HT","RSX","MA_QH","DCH")</f>
        <v>0</v>
      </c>
      <c r="AM13" s="22">
        <f ca="1">+GETPIVOTDATA("XDB4",'dabac (2016)'!$A$3,"MA_HT","RSX","MA_QH","DKG")</f>
        <v>0</v>
      </c>
      <c r="AN13" s="22">
        <f ca="1">+GETPIVOTDATA("XDB4",'dabac (2016)'!$A$3,"MA_HT","RSX","MA_QH","DDT")</f>
        <v>0</v>
      </c>
      <c r="AO13" s="22">
        <f ca="1">+GETPIVOTDATA("XDB4",'dabac (2016)'!$A$3,"MA_HT","RSX","MA_QH","DDL")</f>
        <v>0</v>
      </c>
      <c r="AP13" s="22">
        <f ca="1">+GETPIVOTDATA("XDB4",'dabac (2016)'!$A$3,"MA_HT","RSX","MA_QH","DRA")</f>
        <v>0</v>
      </c>
      <c r="AQ13" s="22">
        <f ca="1">+GETPIVOTDATA("XDB4",'dabac (2016)'!$A$3,"MA_HT","RSX","MA_QH","ONT")</f>
        <v>0</v>
      </c>
      <c r="AR13" s="22">
        <f ca="1">+GETPIVOTDATA("XDB4",'dabac (2016)'!$A$3,"MA_HT","RSX","MA_QH","ODT")</f>
        <v>0</v>
      </c>
      <c r="AS13" s="22">
        <f ca="1">+GETPIVOTDATA("XDB4",'dabac (2016)'!$A$3,"MA_HT","RSX","MA_QH","TSC")</f>
        <v>0</v>
      </c>
      <c r="AT13" s="22">
        <f ca="1">+GETPIVOTDATA("XDB4",'dabac (2016)'!$A$3,"MA_HT","RSX","MA_QH","DTS")</f>
        <v>0</v>
      </c>
      <c r="AU13" s="22">
        <f ca="1">+GETPIVOTDATA("XDB4",'dabac (2016)'!$A$3,"MA_HT","RSX","MA_QH","DNG")</f>
        <v>0</v>
      </c>
      <c r="AV13" s="22">
        <f ca="1">+GETPIVOTDATA("XDB4",'dabac (2016)'!$A$3,"MA_HT","RSX","MA_QH","TON")</f>
        <v>0</v>
      </c>
      <c r="AW13" s="22">
        <f ca="1">+GETPIVOTDATA("XDB4",'dabac (2016)'!$A$3,"MA_HT","RSX","MA_QH","NTD")</f>
        <v>0</v>
      </c>
      <c r="AX13" s="22">
        <f ca="1">+GETPIVOTDATA("XDB4",'dabac (2016)'!$A$3,"MA_HT","RSX","MA_QH","SKX")</f>
        <v>0</v>
      </c>
      <c r="AY13" s="22">
        <f ca="1">+GETPIVOTDATA("XDB4",'dabac (2016)'!$A$3,"MA_HT","RSX","MA_QH","DSH")</f>
        <v>0</v>
      </c>
      <c r="AZ13" s="22">
        <f ca="1">+GETPIVOTDATA("XDB4",'dabac (2016)'!$A$3,"MA_HT","RSX","MA_QH","DKV")</f>
        <v>0</v>
      </c>
      <c r="BA13" s="89">
        <f ca="1">+GETPIVOTDATA("XDB4",'dabac (2016)'!$A$3,"MA_HT","RSX","MA_QH","TIN")</f>
        <v>0</v>
      </c>
      <c r="BB13" s="50">
        <f ca="1">+GETPIVOTDATA("XDB4",'dabac (2016)'!$A$3,"MA_HT","RSX","MA_QH","SON")</f>
        <v>0</v>
      </c>
      <c r="BC13" s="50">
        <f ca="1">+GETPIVOTDATA("XDB4",'dabac (2016)'!$A$3,"MA_HT","RSX","MA_QH","MNC")</f>
        <v>0</v>
      </c>
      <c r="BD13" s="22">
        <f ca="1">+GETPIVOTDATA("XDB4",'dabac (2016)'!$A$3,"MA_HT","RSX","MA_QH","PNK")</f>
        <v>0</v>
      </c>
      <c r="BE13" s="71">
        <f ca="1">+GETPIVOTDATA("XDB4",'dabac (2016)'!$A$3,"MA_HT","RSX","MA_QH","CSD")</f>
        <v>0</v>
      </c>
      <c r="BF13" s="74">
        <f ca="1" t="shared" si="7"/>
        <v>0</v>
      </c>
      <c r="BG13" s="101">
        <f ca="1">L$59-$BF13</f>
        <v>0</v>
      </c>
      <c r="BH13" s="41" t="e">
        <f ca="1" t="shared" si="8"/>
        <v>#REF!</v>
      </c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</row>
    <row r="14" s="2" customFormat="1" ht="15.75" customHeight="1" spans="1:79">
      <c r="A14" s="39" t="s">
        <v>8349</v>
      </c>
      <c r="B14" s="39" t="s">
        <v>8350</v>
      </c>
      <c r="C14" s="40" t="s">
        <v>8306</v>
      </c>
      <c r="D14" s="47" t="e">
        <f>+#REF!</f>
        <v>#REF!</v>
      </c>
      <c r="E14" s="42">
        <f ca="1">SUM(F14,J14:L14,N14:Q14)</f>
        <v>0</v>
      </c>
      <c r="F14" s="52">
        <f ca="1" t="shared" si="9"/>
        <v>0</v>
      </c>
      <c r="G14" s="22">
        <f ca="1">+GETPIVOTDATA("XDB4",'dabac (2016)'!$A$3,"MA_HT","RPH","MA_QH","LUC")</f>
        <v>0</v>
      </c>
      <c r="H14" s="22">
        <f ca="1">+GETPIVOTDATA("XDB4",'dabac (2016)'!$A$3,"MA_HT","RPH","MA_QH","LUK")</f>
        <v>0</v>
      </c>
      <c r="I14" s="22">
        <f ca="1">+GETPIVOTDATA("XDB4",'dabac (2016)'!$A$3,"MA_HT","RPH","MA_QH","LUN")</f>
        <v>0</v>
      </c>
      <c r="J14" s="22">
        <f ca="1">+GETPIVOTDATA("XDB4",'dabac (2016)'!$A$3,"MA_HT","RPH","MA_QH","HNK")</f>
        <v>0</v>
      </c>
      <c r="K14" s="22">
        <f ca="1">+GETPIVOTDATA("XDB4",'dabac (2016)'!$A$3,"MA_HT","RPH","MA_QH","CLN")</f>
        <v>0</v>
      </c>
      <c r="L14" s="22">
        <f ca="1">+GETPIVOTDATA("XDB4",'dabac (2016)'!$A$3,"MA_HT","RPH","MA_QH","RSX")</f>
        <v>0</v>
      </c>
      <c r="M14" s="43" t="e">
        <f ca="1">$D14-$BF14</f>
        <v>#REF!</v>
      </c>
      <c r="N14" s="22">
        <f ca="1">+GETPIVOTDATA("XDB4",'dabac (2016)'!$A$3,"MA_HT","RPH","MA_QH","RDD")</f>
        <v>0</v>
      </c>
      <c r="O14" s="22">
        <f ca="1">+GETPIVOTDATA("XDB4",'dabac (2016)'!$A$3,"MA_HT","RPH","MA_QH","NTS")</f>
        <v>0</v>
      </c>
      <c r="P14" s="22">
        <f ca="1">+GETPIVOTDATA("XDB4",'dabac (2016)'!$A$3,"MA_HT","RPH","MA_QH","LMU")</f>
        <v>0</v>
      </c>
      <c r="Q14" s="22">
        <f ca="1">+GETPIVOTDATA("XDB4",'dabac (2016)'!$A$3,"MA_HT","RPH","MA_QH","NKH")</f>
        <v>0</v>
      </c>
      <c r="R14" s="42">
        <f ca="1" t="shared" si="2"/>
        <v>0</v>
      </c>
      <c r="S14" s="22">
        <f ca="1">+GETPIVOTDATA("XDB4",'dabac (2016)'!$A$3,"MA_HT","RPH","MA_QH","CQP")</f>
        <v>0</v>
      </c>
      <c r="T14" s="22">
        <f ca="1">+GETPIVOTDATA("XDB4",'dabac (2016)'!$A$3,"MA_HT","RPH","MA_QH","CAN")</f>
        <v>0</v>
      </c>
      <c r="U14" s="22">
        <f ca="1">+GETPIVOTDATA("XDB4",'dabac (2016)'!$A$3,"MA_HT","RPH","MA_QH","SKK")</f>
        <v>0</v>
      </c>
      <c r="V14" s="22">
        <f ca="1">+GETPIVOTDATA("XDB4",'dabac (2016)'!$A$3,"MA_HT","RPH","MA_QH","SKT")</f>
        <v>0</v>
      </c>
      <c r="W14" s="22">
        <f ca="1">+GETPIVOTDATA("XDB4",'dabac (2016)'!$A$3,"MA_HT","RPH","MA_QH","SKN")</f>
        <v>0</v>
      </c>
      <c r="X14" s="22">
        <f ca="1">+GETPIVOTDATA("XDB4",'dabac (2016)'!$A$3,"MA_HT","RPH","MA_QH","TMD")</f>
        <v>0</v>
      </c>
      <c r="Y14" s="22">
        <f ca="1">+GETPIVOTDATA("XDB4",'dabac (2016)'!$A$3,"MA_HT","RPH","MA_QH","SKC")</f>
        <v>0</v>
      </c>
      <c r="Z14" s="22">
        <f ca="1">+GETPIVOTDATA("XDB4",'dabac (2016)'!$A$3,"MA_HT","RPH","MA_QH","SKS")</f>
        <v>0</v>
      </c>
      <c r="AA14" s="52">
        <f ca="1" t="shared" si="4"/>
        <v>0</v>
      </c>
      <c r="AB14" s="22">
        <f ca="1">+GETPIVOTDATA("XDB4",'dabac (2016)'!$A$3,"MA_HT","RPH","MA_QH","DGT")</f>
        <v>0</v>
      </c>
      <c r="AC14" s="22">
        <f ca="1">+GETPIVOTDATA("XDB4",'dabac (2016)'!$A$3,"MA_HT","RPH","MA_QH","DTL")</f>
        <v>0</v>
      </c>
      <c r="AD14" s="22">
        <f ca="1">+GETPIVOTDATA("XDB4",'dabac (2016)'!$A$3,"MA_HT","RPH","MA_QH","DNL")</f>
        <v>0</v>
      </c>
      <c r="AE14" s="22">
        <f ca="1">+GETPIVOTDATA("XDB4",'dabac (2016)'!$A$3,"MA_HT","RPH","MA_QH","DBV")</f>
        <v>0</v>
      </c>
      <c r="AF14" s="22">
        <f ca="1">+GETPIVOTDATA("XDB4",'dabac (2016)'!$A$3,"MA_HT","RPH","MA_QH","DVH")</f>
        <v>0</v>
      </c>
      <c r="AG14" s="22">
        <f ca="1">+GETPIVOTDATA("XDB4",'dabac (2016)'!$A$3,"MA_HT","RPH","MA_QH","DYT")</f>
        <v>0</v>
      </c>
      <c r="AH14" s="22">
        <f ca="1">+GETPIVOTDATA("XDB4",'dabac (2016)'!$A$3,"MA_HT","RPH","MA_QH","DGD")</f>
        <v>0</v>
      </c>
      <c r="AI14" s="22">
        <f ca="1">+GETPIVOTDATA("XDB4",'dabac (2016)'!$A$3,"MA_HT","RPH","MA_QH","DTT")</f>
        <v>0</v>
      </c>
      <c r="AJ14" s="22">
        <f ca="1">+GETPIVOTDATA("XDB4",'dabac (2016)'!$A$3,"MA_HT","RPH","MA_QH","NCK")</f>
        <v>0</v>
      </c>
      <c r="AK14" s="22">
        <f ca="1">+GETPIVOTDATA("XDB4",'dabac (2016)'!$A$3,"MA_HT","RPH","MA_QH","DXH")</f>
        <v>0</v>
      </c>
      <c r="AL14" s="22">
        <f ca="1">+GETPIVOTDATA("XDB4",'dabac (2016)'!$A$3,"MA_HT","RPH","MA_QH","DCH")</f>
        <v>0</v>
      </c>
      <c r="AM14" s="22">
        <f ca="1">+GETPIVOTDATA("XDB4",'dabac (2016)'!$A$3,"MA_HT","RPH","MA_QH","DKG")</f>
        <v>0</v>
      </c>
      <c r="AN14" s="22">
        <f ca="1">+GETPIVOTDATA("XDB4",'dabac (2016)'!$A$3,"MA_HT","RPH","MA_QH","DDT")</f>
        <v>0</v>
      </c>
      <c r="AO14" s="22">
        <f ca="1">+GETPIVOTDATA("XDB4",'dabac (2016)'!$A$3,"MA_HT","RPH","MA_QH","DDL")</f>
        <v>0</v>
      </c>
      <c r="AP14" s="22">
        <f ca="1">+GETPIVOTDATA("XDB4",'dabac (2016)'!$A$3,"MA_HT","RPH","MA_QH","DRA")</f>
        <v>0</v>
      </c>
      <c r="AQ14" s="22">
        <f ca="1">+GETPIVOTDATA("XDB4",'dabac (2016)'!$A$3,"MA_HT","RPH","MA_QH","ONT")</f>
        <v>0</v>
      </c>
      <c r="AR14" s="22">
        <f ca="1">+GETPIVOTDATA("XDB4",'dabac (2016)'!$A$3,"MA_HT","RPH","MA_QH","ODT")</f>
        <v>0</v>
      </c>
      <c r="AS14" s="22">
        <f ca="1">+GETPIVOTDATA("XDB4",'dabac (2016)'!$A$3,"MA_HT","RPH","MA_QH","TSC")</f>
        <v>0</v>
      </c>
      <c r="AT14" s="22">
        <f ca="1">+GETPIVOTDATA("XDB4",'dabac (2016)'!$A$3,"MA_HT","RPH","MA_QH","DTS")</f>
        <v>0</v>
      </c>
      <c r="AU14" s="22">
        <f ca="1">+GETPIVOTDATA("XDB4",'dabac (2016)'!$A$3,"MA_HT","RPH","MA_QH","DNG")</f>
        <v>0</v>
      </c>
      <c r="AV14" s="22">
        <f ca="1">+GETPIVOTDATA("XDB4",'dabac (2016)'!$A$3,"MA_HT","RPH","MA_QH","TON")</f>
        <v>0</v>
      </c>
      <c r="AW14" s="22">
        <f ca="1">+GETPIVOTDATA("XDB4",'dabac (2016)'!$A$3,"MA_HT","RPH","MA_QH","NTD")</f>
        <v>0</v>
      </c>
      <c r="AX14" s="22">
        <f ca="1">+GETPIVOTDATA("XDB4",'dabac (2016)'!$A$3,"MA_HT","RPH","MA_QH","SKX")</f>
        <v>0</v>
      </c>
      <c r="AY14" s="22">
        <f ca="1">+GETPIVOTDATA("XDB4",'dabac (2016)'!$A$3,"MA_HT","RPH","MA_QH","DSH")</f>
        <v>0</v>
      </c>
      <c r="AZ14" s="22">
        <f ca="1">+GETPIVOTDATA("XDB4",'dabac (2016)'!$A$3,"MA_HT","RPH","MA_QH","DKV")</f>
        <v>0</v>
      </c>
      <c r="BA14" s="89">
        <f ca="1">+GETPIVOTDATA("XDB4",'dabac (2016)'!$A$3,"MA_HT","RPH","MA_QH","TIN")</f>
        <v>0</v>
      </c>
      <c r="BB14" s="50">
        <f ca="1">+GETPIVOTDATA("XDB4",'dabac (2016)'!$A$3,"MA_HT","RPH","MA_QH","SON")</f>
        <v>0</v>
      </c>
      <c r="BC14" s="50">
        <f ca="1">+GETPIVOTDATA("XDB4",'dabac (2016)'!$A$3,"MA_HT","RPH","MA_QH","MNC")</f>
        <v>0</v>
      </c>
      <c r="BD14" s="22">
        <f ca="1">+GETPIVOTDATA("XDB4",'dabac (2016)'!$A$3,"MA_HT","RPH","MA_QH","PNK")</f>
        <v>0</v>
      </c>
      <c r="BE14" s="71">
        <f ca="1">+GETPIVOTDATA("XDB4",'dabac (2016)'!$A$3,"MA_HT","RPH","MA_QH","CSD")</f>
        <v>0</v>
      </c>
      <c r="BF14" s="74">
        <f ca="1" t="shared" si="7"/>
        <v>0</v>
      </c>
      <c r="BG14" s="101">
        <f ca="1">M$59-$BF14</f>
        <v>0</v>
      </c>
      <c r="BH14" s="41" t="e">
        <f ca="1" t="shared" si="8"/>
        <v>#REF!</v>
      </c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</row>
    <row r="15" s="2" customFormat="1" ht="15.75" customHeight="1" spans="1:79">
      <c r="A15" s="39" t="s">
        <v>8351</v>
      </c>
      <c r="B15" s="39" t="s">
        <v>8352</v>
      </c>
      <c r="C15" s="40" t="s">
        <v>8305</v>
      </c>
      <c r="D15" s="47" t="e">
        <f>+#REF!</f>
        <v>#REF!</v>
      </c>
      <c r="E15" s="42">
        <f ca="1">SUM(F15,J15:M15,O15:Q15)</f>
        <v>0</v>
      </c>
      <c r="F15" s="52">
        <f ca="1" t="shared" si="9"/>
        <v>0</v>
      </c>
      <c r="G15" s="22">
        <f ca="1">+GETPIVOTDATA("XDB4",'dabac (2016)'!$A$3,"MA_HT","RDD","MA_QH","LUC")</f>
        <v>0</v>
      </c>
      <c r="H15" s="22">
        <f ca="1">+GETPIVOTDATA("XDB4",'dabac (2016)'!$A$3,"MA_HT","RDD","MA_QH","LUK")</f>
        <v>0</v>
      </c>
      <c r="I15" s="22">
        <f ca="1">+GETPIVOTDATA("XDB4",'dabac (2016)'!$A$3,"MA_HT","RDD","MA_QH","LUN")</f>
        <v>0</v>
      </c>
      <c r="J15" s="22">
        <f ca="1">+GETPIVOTDATA("XDB4",'dabac (2016)'!$A$3,"MA_HT","RDD","MA_QH","HNK")</f>
        <v>0</v>
      </c>
      <c r="K15" s="22">
        <f ca="1">+GETPIVOTDATA("XDB4",'dabac (2016)'!$A$3,"MA_HT","RDD","MA_QH","CLN")</f>
        <v>0</v>
      </c>
      <c r="L15" s="22">
        <f ca="1">+GETPIVOTDATA("XDB4",'dabac (2016)'!$A$3,"MA_HT","RDD","MA_QH","RSX")</f>
        <v>0</v>
      </c>
      <c r="M15" s="22">
        <f ca="1">+GETPIVOTDATA("XDB4",'dabac (2016)'!$A$3,"MA_HT","RDD","MA_QH","RPH")</f>
        <v>0</v>
      </c>
      <c r="N15" s="43" t="e">
        <f ca="1">$D15-$BF15</f>
        <v>#REF!</v>
      </c>
      <c r="O15" s="22">
        <f ca="1">+GETPIVOTDATA("XDB4",'dabac (2016)'!$A$3,"MA_HT","RDD","MA_QH","NTS")</f>
        <v>0</v>
      </c>
      <c r="P15" s="22">
        <f ca="1">+GETPIVOTDATA("XDB4",'dabac (2016)'!$A$3,"MA_HT","RDD","MA_QH","LMU")</f>
        <v>0</v>
      </c>
      <c r="Q15" s="22">
        <f ca="1">+GETPIVOTDATA("XDB4",'dabac (2016)'!$A$3,"MA_HT","RDD","MA_QH","NKH")</f>
        <v>0</v>
      </c>
      <c r="R15" s="42">
        <f ca="1" t="shared" si="2"/>
        <v>0</v>
      </c>
      <c r="S15" s="22">
        <f ca="1">+GETPIVOTDATA("XDB4",'dabac (2016)'!$A$3,"MA_HT","RDD","MA_QH","CQP")</f>
        <v>0</v>
      </c>
      <c r="T15" s="22">
        <f ca="1">+GETPIVOTDATA("XDB4",'dabac (2016)'!$A$3,"MA_HT","RDD","MA_QH","CAN")</f>
        <v>0</v>
      </c>
      <c r="U15" s="22">
        <f ca="1">+GETPIVOTDATA("XDB4",'dabac (2016)'!$A$3,"MA_HT","RDD","MA_QH","SKK")</f>
        <v>0</v>
      </c>
      <c r="V15" s="22">
        <f ca="1">+GETPIVOTDATA("XDB4",'dabac (2016)'!$A$3,"MA_HT","RDD","MA_QH","SKT")</f>
        <v>0</v>
      </c>
      <c r="W15" s="22">
        <f ca="1">+GETPIVOTDATA("XDB4",'dabac (2016)'!$A$3,"MA_HT","RDD","MA_QH","SKN")</f>
        <v>0</v>
      </c>
      <c r="X15" s="22">
        <f ca="1">+GETPIVOTDATA("XDB4",'dabac (2016)'!$A$3,"MA_HT","RDD","MA_QH","TMD")</f>
        <v>0</v>
      </c>
      <c r="Y15" s="22">
        <f ca="1">+GETPIVOTDATA("XDB4",'dabac (2016)'!$A$3,"MA_HT","RDD","MA_QH","SKC")</f>
        <v>0</v>
      </c>
      <c r="Z15" s="22">
        <f ca="1">+GETPIVOTDATA("XDB4",'dabac (2016)'!$A$3,"MA_HT","RDD","MA_QH","SKS")</f>
        <v>0</v>
      </c>
      <c r="AA15" s="52">
        <f ca="1" t="shared" si="4"/>
        <v>0</v>
      </c>
      <c r="AB15" s="22">
        <f ca="1">+GETPIVOTDATA("XDB4",'dabac (2016)'!$A$3,"MA_HT","RDD","MA_QH","DGT")</f>
        <v>0</v>
      </c>
      <c r="AC15" s="22">
        <f ca="1">+GETPIVOTDATA("XDB4",'dabac (2016)'!$A$3,"MA_HT","RDD","MA_QH","DTL")</f>
        <v>0</v>
      </c>
      <c r="AD15" s="22">
        <f ca="1">+GETPIVOTDATA("XDB4",'dabac (2016)'!$A$3,"MA_HT","RDD","MA_QH","DNL")</f>
        <v>0</v>
      </c>
      <c r="AE15" s="22">
        <f ca="1">+GETPIVOTDATA("XDB4",'dabac (2016)'!$A$3,"MA_HT","RDD","MA_QH","DBV")</f>
        <v>0</v>
      </c>
      <c r="AF15" s="22">
        <f ca="1">+GETPIVOTDATA("XDB4",'dabac (2016)'!$A$3,"MA_HT","RDD","MA_QH","DVH")</f>
        <v>0</v>
      </c>
      <c r="AG15" s="22">
        <f ca="1">+GETPIVOTDATA("XDB4",'dabac (2016)'!$A$3,"MA_HT","RDD","MA_QH","DYT")</f>
        <v>0</v>
      </c>
      <c r="AH15" s="22">
        <f ca="1">+GETPIVOTDATA("XDB4",'dabac (2016)'!$A$3,"MA_HT","RDD","MA_QH","DGD")</f>
        <v>0</v>
      </c>
      <c r="AI15" s="22">
        <f ca="1">+GETPIVOTDATA("XDB4",'dabac (2016)'!$A$3,"MA_HT","RDD","MA_QH","DTT")</f>
        <v>0</v>
      </c>
      <c r="AJ15" s="22">
        <f ca="1">+GETPIVOTDATA("XDB4",'dabac (2016)'!$A$3,"MA_HT","RDD","MA_QH","NCK")</f>
        <v>0</v>
      </c>
      <c r="AK15" s="22">
        <f ca="1">+GETPIVOTDATA("XDB4",'dabac (2016)'!$A$3,"MA_HT","RDD","MA_QH","DXH")</f>
        <v>0</v>
      </c>
      <c r="AL15" s="22">
        <f ca="1">+GETPIVOTDATA("XDB4",'dabac (2016)'!$A$3,"MA_HT","RDD","MA_QH","DCH")</f>
        <v>0</v>
      </c>
      <c r="AM15" s="22">
        <f ca="1">+GETPIVOTDATA("XDB4",'dabac (2016)'!$A$3,"MA_HT","RDD","MA_QH","DKG")</f>
        <v>0</v>
      </c>
      <c r="AN15" s="22">
        <f ca="1">+GETPIVOTDATA("XDB4",'dabac (2016)'!$A$3,"MA_HT","RDD","MA_QH","DDT")</f>
        <v>0</v>
      </c>
      <c r="AO15" s="22">
        <f ca="1">+GETPIVOTDATA("XDB4",'dabac (2016)'!$A$3,"MA_HT","RDD","MA_QH","DDL")</f>
        <v>0</v>
      </c>
      <c r="AP15" s="22">
        <f ca="1">+GETPIVOTDATA("XDB4",'dabac (2016)'!$A$3,"MA_HT","RDD","MA_QH","DRA")</f>
        <v>0</v>
      </c>
      <c r="AQ15" s="22">
        <f ca="1">+GETPIVOTDATA("XDB4",'dabac (2016)'!$A$3,"MA_HT","RDD","MA_QH","ONT")</f>
        <v>0</v>
      </c>
      <c r="AR15" s="22">
        <f ca="1">+GETPIVOTDATA("XDB4",'dabac (2016)'!$A$3,"MA_HT","RDD","MA_QH","ODT")</f>
        <v>0</v>
      </c>
      <c r="AS15" s="22">
        <f ca="1">+GETPIVOTDATA("XDB4",'dabac (2016)'!$A$3,"MA_HT","RDD","MA_QH","TSC")</f>
        <v>0</v>
      </c>
      <c r="AT15" s="22">
        <f ca="1">+GETPIVOTDATA("XDB4",'dabac (2016)'!$A$3,"MA_HT","RDD","MA_QH","DTS")</f>
        <v>0</v>
      </c>
      <c r="AU15" s="22">
        <f ca="1">+GETPIVOTDATA("XDB4",'dabac (2016)'!$A$3,"MA_HT","RDD","MA_QH","DNG")</f>
        <v>0</v>
      </c>
      <c r="AV15" s="22">
        <f ca="1">+GETPIVOTDATA("XDB4",'dabac (2016)'!$A$3,"MA_HT","RDD","MA_QH","TON")</f>
        <v>0</v>
      </c>
      <c r="AW15" s="22">
        <f ca="1">+GETPIVOTDATA("XDB4",'dabac (2016)'!$A$3,"MA_HT","RDD","MA_QH","NTD")</f>
        <v>0</v>
      </c>
      <c r="AX15" s="22">
        <f ca="1">+GETPIVOTDATA("XDB4",'dabac (2016)'!$A$3,"MA_HT","RDD","MA_QH","SKX")</f>
        <v>0</v>
      </c>
      <c r="AY15" s="22">
        <f ca="1">+GETPIVOTDATA("XDB4",'dabac (2016)'!$A$3,"MA_HT","RDD","MA_QH","DSH")</f>
        <v>0</v>
      </c>
      <c r="AZ15" s="22">
        <f ca="1">+GETPIVOTDATA("XDB4",'dabac (2016)'!$A$3,"MA_HT","RDD","MA_QH","DKV")</f>
        <v>0</v>
      </c>
      <c r="BA15" s="89">
        <f ca="1">+GETPIVOTDATA("XDB4",'dabac (2016)'!$A$3,"MA_HT","RDD","MA_QH","TIN")</f>
        <v>0</v>
      </c>
      <c r="BB15" s="50">
        <f ca="1">+GETPIVOTDATA("XDB4",'dabac (2016)'!$A$3,"MA_HT","RDD","MA_QH","SON")</f>
        <v>0</v>
      </c>
      <c r="BC15" s="50">
        <f ca="1">+GETPIVOTDATA("XDB4",'dabac (2016)'!$A$3,"MA_HT","RDD","MA_QH","MNC")</f>
        <v>0</v>
      </c>
      <c r="BD15" s="22">
        <f ca="1">+GETPIVOTDATA("XDB4",'dabac (2016)'!$A$3,"MA_HT","RDD","MA_QH","PNK")</f>
        <v>0</v>
      </c>
      <c r="BE15" s="71">
        <f ca="1">+GETPIVOTDATA("XDB4",'dabac (2016)'!$A$3,"MA_HT","RDD","MA_QH","CSD")</f>
        <v>0</v>
      </c>
      <c r="BF15" s="74">
        <f ca="1" t="shared" si="7"/>
        <v>0</v>
      </c>
      <c r="BG15" s="101">
        <f ca="1">N$59-$BF15</f>
        <v>0</v>
      </c>
      <c r="BH15" s="41" t="e">
        <f ca="1" t="shared" si="8"/>
        <v>#REF!</v>
      </c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</row>
    <row r="16" s="2" customFormat="1" ht="15.75" customHeight="1" spans="1:79">
      <c r="A16" s="39" t="s">
        <v>8353</v>
      </c>
      <c r="B16" s="39" t="s">
        <v>8354</v>
      </c>
      <c r="C16" s="40" t="s">
        <v>318</v>
      </c>
      <c r="D16" s="47" t="e">
        <f>+#REF!</f>
        <v>#REF!</v>
      </c>
      <c r="E16" s="42">
        <f ca="1">SUM(F16,J16:N16,P16:Q16)</f>
        <v>0</v>
      </c>
      <c r="F16" s="52">
        <f ca="1" t="shared" si="9"/>
        <v>0</v>
      </c>
      <c r="G16" s="22">
        <f ca="1">+GETPIVOTDATA("XDB4",'dabac (2016)'!$A$3,"MA_HT","NTS","MA_QH","LUC")</f>
        <v>0</v>
      </c>
      <c r="H16" s="22">
        <f ca="1">+GETPIVOTDATA("XDB4",'dabac (2016)'!$A$3,"MA_HT","NTS","MA_QH","LUK")</f>
        <v>0</v>
      </c>
      <c r="I16" s="22">
        <f ca="1">+GETPIVOTDATA("XDB4",'dabac (2016)'!$A$3,"MA_HT","NTS","MA_QH","LUN")</f>
        <v>0</v>
      </c>
      <c r="J16" s="22">
        <f ca="1">+GETPIVOTDATA("XDB4",'dabac (2016)'!$A$3,"MA_HT","NTS","MA_QH","HNK")</f>
        <v>0</v>
      </c>
      <c r="K16" s="22">
        <f ca="1">+GETPIVOTDATA("XDB4",'dabac (2016)'!$A$3,"MA_HT","NTS","MA_QH","CLN")</f>
        <v>0</v>
      </c>
      <c r="L16" s="22">
        <f ca="1">+GETPIVOTDATA("XDB4",'dabac (2016)'!$A$3,"MA_HT","NTS","MA_QH","RSX")</f>
        <v>0</v>
      </c>
      <c r="M16" s="22">
        <f ca="1">+GETPIVOTDATA("XDB4",'dabac (2016)'!$A$3,"MA_HT","NTS","MA_QH","RPH")</f>
        <v>0</v>
      </c>
      <c r="N16" s="22">
        <f ca="1">+GETPIVOTDATA("XDB4",'dabac (2016)'!$A$3,"MA_HT","NTS","MA_QH","RDD")</f>
        <v>0</v>
      </c>
      <c r="O16" s="43" t="e">
        <f ca="1">$D16-$BF16</f>
        <v>#REF!</v>
      </c>
      <c r="P16" s="22">
        <f ca="1">+GETPIVOTDATA("XDB4",'dabac (2016)'!$A$3,"MA_HT","NTS","MA_QH","LMU")</f>
        <v>0</v>
      </c>
      <c r="Q16" s="22">
        <f ca="1">+GETPIVOTDATA("XDB4",'dabac (2016)'!$A$3,"MA_HT","NTS","MA_QH","NKH")</f>
        <v>0</v>
      </c>
      <c r="R16" s="42">
        <f ca="1" t="shared" si="2"/>
        <v>0</v>
      </c>
      <c r="S16" s="22">
        <f ca="1">+GETPIVOTDATA("XDB4",'dabac (2016)'!$A$3,"MA_HT","NTS","MA_QH","CQP")</f>
        <v>0</v>
      </c>
      <c r="T16" s="22">
        <f ca="1">+GETPIVOTDATA("XDB4",'dabac (2016)'!$A$3,"MA_HT","NTS","MA_QH","CAN")</f>
        <v>0</v>
      </c>
      <c r="U16" s="22">
        <f ca="1">+GETPIVOTDATA("XDB4",'dabac (2016)'!$A$3,"MA_HT","NTS","MA_QH","SKK")</f>
        <v>0</v>
      </c>
      <c r="V16" s="22">
        <f ca="1">+GETPIVOTDATA("XDB4",'dabac (2016)'!$A$3,"MA_HT","NTS","MA_QH","SKT")</f>
        <v>0</v>
      </c>
      <c r="W16" s="22">
        <f ca="1">+GETPIVOTDATA("XDB4",'dabac (2016)'!$A$3,"MA_HT","NTS","MA_QH","SKN")</f>
        <v>0</v>
      </c>
      <c r="X16" s="22">
        <f ca="1">+GETPIVOTDATA("XDB4",'dabac (2016)'!$A$3,"MA_HT","NTS","MA_QH","TMD")</f>
        <v>0</v>
      </c>
      <c r="Y16" s="22">
        <f ca="1">+GETPIVOTDATA("XDB4",'dabac (2016)'!$A$3,"MA_HT","NTS","MA_QH","SKC")</f>
        <v>0</v>
      </c>
      <c r="Z16" s="22">
        <f ca="1">+GETPIVOTDATA("XDB4",'dabac (2016)'!$A$3,"MA_HT","NTS","MA_QH","SKS")</f>
        <v>0</v>
      </c>
      <c r="AA16" s="52">
        <f ca="1" t="shared" si="4"/>
        <v>0</v>
      </c>
      <c r="AB16" s="22">
        <f ca="1">+GETPIVOTDATA("XDB4",'dabac (2016)'!$A$3,"MA_HT","NTS","MA_QH","DGT")</f>
        <v>0</v>
      </c>
      <c r="AC16" s="22">
        <f ca="1">+GETPIVOTDATA("XDB4",'dabac (2016)'!$A$3,"MA_HT","NTS","MA_QH","DTL")</f>
        <v>0</v>
      </c>
      <c r="AD16" s="22">
        <f ca="1">+GETPIVOTDATA("XDB4",'dabac (2016)'!$A$3,"MA_HT","NTS","MA_QH","DNL")</f>
        <v>0</v>
      </c>
      <c r="AE16" s="22">
        <f ca="1">+GETPIVOTDATA("XDB4",'dabac (2016)'!$A$3,"MA_HT","NTS","MA_QH","DBV")</f>
        <v>0</v>
      </c>
      <c r="AF16" s="22">
        <f ca="1">+GETPIVOTDATA("XDB4",'dabac (2016)'!$A$3,"MA_HT","NTS","MA_QH","DVH")</f>
        <v>0</v>
      </c>
      <c r="AG16" s="22">
        <f ca="1">+GETPIVOTDATA("XDB4",'dabac (2016)'!$A$3,"MA_HT","NTS","MA_QH","DYT")</f>
        <v>0</v>
      </c>
      <c r="AH16" s="22">
        <f ca="1">+GETPIVOTDATA("XDB4",'dabac (2016)'!$A$3,"MA_HT","NTS","MA_QH","DGD")</f>
        <v>0</v>
      </c>
      <c r="AI16" s="22">
        <f ca="1">+GETPIVOTDATA("XDB4",'dabac (2016)'!$A$3,"MA_HT","NTS","MA_QH","DTT")</f>
        <v>0</v>
      </c>
      <c r="AJ16" s="22">
        <f ca="1">+GETPIVOTDATA("XDB4",'dabac (2016)'!$A$3,"MA_HT","NTS","MA_QH","NCK")</f>
        <v>0</v>
      </c>
      <c r="AK16" s="22">
        <f ca="1">+GETPIVOTDATA("XDB4",'dabac (2016)'!$A$3,"MA_HT","NTS","MA_QH","DXH")</f>
        <v>0</v>
      </c>
      <c r="AL16" s="22">
        <f ca="1">+GETPIVOTDATA("XDB4",'dabac (2016)'!$A$3,"MA_HT","NTS","MA_QH","DCH")</f>
        <v>0</v>
      </c>
      <c r="AM16" s="22">
        <f ca="1">+GETPIVOTDATA("XDB4",'dabac (2016)'!$A$3,"MA_HT","NTS","MA_QH","DKG")</f>
        <v>0</v>
      </c>
      <c r="AN16" s="22">
        <f ca="1">+GETPIVOTDATA("XDB4",'dabac (2016)'!$A$3,"MA_HT","NTS","MA_QH","DDT")</f>
        <v>0</v>
      </c>
      <c r="AO16" s="22">
        <f ca="1">+GETPIVOTDATA("XDB4",'dabac (2016)'!$A$3,"MA_HT","NTS","MA_QH","DDL")</f>
        <v>0</v>
      </c>
      <c r="AP16" s="22">
        <f ca="1">+GETPIVOTDATA("XDB4",'dabac (2016)'!$A$3,"MA_HT","NTS","MA_QH","DRA")</f>
        <v>0</v>
      </c>
      <c r="AQ16" s="22">
        <f ca="1">+GETPIVOTDATA("XDB4",'dabac (2016)'!$A$3,"MA_HT","NTS","MA_QH","ONT")</f>
        <v>0</v>
      </c>
      <c r="AR16" s="22">
        <f ca="1">+GETPIVOTDATA("XDB4",'dabac (2016)'!$A$3,"MA_HT","NTS","MA_QH","ODT")</f>
        <v>0</v>
      </c>
      <c r="AS16" s="22">
        <f ca="1">+GETPIVOTDATA("XDB4",'dabac (2016)'!$A$3,"MA_HT","NTS","MA_QH","TSC")</f>
        <v>0</v>
      </c>
      <c r="AT16" s="22">
        <f ca="1">+GETPIVOTDATA("XDB4",'dabac (2016)'!$A$3,"MA_HT","NTS","MA_QH","DTS")</f>
        <v>0</v>
      </c>
      <c r="AU16" s="22">
        <f ca="1">+GETPIVOTDATA("XDB4",'dabac (2016)'!$A$3,"MA_HT","NTS","MA_QH","DNG")</f>
        <v>0</v>
      </c>
      <c r="AV16" s="22">
        <f ca="1">+GETPIVOTDATA("XDB4",'dabac (2016)'!$A$3,"MA_HT","NTS","MA_QH","TON")</f>
        <v>0</v>
      </c>
      <c r="AW16" s="22">
        <f ca="1">+GETPIVOTDATA("XDB4",'dabac (2016)'!$A$3,"MA_HT","NTS","MA_QH","NTD")</f>
        <v>0</v>
      </c>
      <c r="AX16" s="22">
        <f ca="1">+GETPIVOTDATA("XDB4",'dabac (2016)'!$A$3,"MA_HT","NTS","MA_QH","SKX")</f>
        <v>0</v>
      </c>
      <c r="AY16" s="22">
        <f ca="1">+GETPIVOTDATA("XDB4",'dabac (2016)'!$A$3,"MA_HT","NTS","MA_QH","DSH")</f>
        <v>0</v>
      </c>
      <c r="AZ16" s="22">
        <f ca="1">+GETPIVOTDATA("XDB4",'dabac (2016)'!$A$3,"MA_HT","NTS","MA_QH","DKV")</f>
        <v>0</v>
      </c>
      <c r="BA16" s="89">
        <f ca="1">+GETPIVOTDATA("XDB4",'dabac (2016)'!$A$3,"MA_HT","NTS","MA_QH","TIN")</f>
        <v>0</v>
      </c>
      <c r="BB16" s="50">
        <f ca="1">+GETPIVOTDATA("XDB4",'dabac (2016)'!$A$3,"MA_HT","NTS","MA_QH","SON")</f>
        <v>0</v>
      </c>
      <c r="BC16" s="50">
        <f ca="1">+GETPIVOTDATA("XDB4",'dabac (2016)'!$A$3,"MA_HT","NTS","MA_QH","MNC")</f>
        <v>0</v>
      </c>
      <c r="BD16" s="22">
        <f ca="1">+GETPIVOTDATA("XDB4",'dabac (2016)'!$A$3,"MA_HT","NTS","MA_QH","PNK")</f>
        <v>0</v>
      </c>
      <c r="BE16" s="71">
        <f ca="1">+GETPIVOTDATA("XDB4",'dabac (2016)'!$A$3,"MA_HT","NTS","MA_QH","CSD")</f>
        <v>0</v>
      </c>
      <c r="BF16" s="74">
        <f ca="1" t="shared" si="7"/>
        <v>0</v>
      </c>
      <c r="BG16" s="101">
        <f ca="1">O$59-$BF16</f>
        <v>0</v>
      </c>
      <c r="BH16" s="41" t="e">
        <f ca="1" t="shared" si="8"/>
        <v>#REF!</v>
      </c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</row>
    <row r="17" s="2" customFormat="1" ht="15.75" customHeight="1" spans="1:79">
      <c r="A17" s="39" t="s">
        <v>8355</v>
      </c>
      <c r="B17" s="39" t="s">
        <v>8356</v>
      </c>
      <c r="C17" s="40" t="s">
        <v>8297</v>
      </c>
      <c r="D17" s="47" t="e">
        <f>+#REF!</f>
        <v>#REF!</v>
      </c>
      <c r="E17" s="42">
        <f ca="1">SUM(F17,J17:O17,Q17:Q17)</f>
        <v>0</v>
      </c>
      <c r="F17" s="52">
        <f ca="1" t="shared" si="9"/>
        <v>0</v>
      </c>
      <c r="G17" s="22">
        <f ca="1">+GETPIVOTDATA("XDB4",'dabac (2016)'!$A$3,"MA_HT","LMU","MA_QH","LUC")</f>
        <v>0</v>
      </c>
      <c r="H17" s="22">
        <f ca="1">+GETPIVOTDATA("XDB4",'dabac (2016)'!$A$3,"MA_HT","LMU","MA_QH","LUK")</f>
        <v>0</v>
      </c>
      <c r="I17" s="22">
        <f ca="1">+GETPIVOTDATA("XDB4",'dabac (2016)'!$A$3,"MA_HT","LMU","MA_QH","LUN")</f>
        <v>0</v>
      </c>
      <c r="J17" s="22">
        <f ca="1">+GETPIVOTDATA("XDB4",'dabac (2016)'!$A$3,"MA_HT","LMU","MA_QH","HNK")</f>
        <v>0</v>
      </c>
      <c r="K17" s="22">
        <f ca="1">+GETPIVOTDATA("XDB4",'dabac (2016)'!$A$3,"MA_HT","LMU","MA_QH","CLN")</f>
        <v>0</v>
      </c>
      <c r="L17" s="22">
        <f ca="1">+GETPIVOTDATA("XDB4",'dabac (2016)'!$A$3,"MA_HT","LMU","MA_QH","RSX")</f>
        <v>0</v>
      </c>
      <c r="M17" s="22">
        <f ca="1">+GETPIVOTDATA("XDB4",'dabac (2016)'!$A$3,"MA_HT","LMU","MA_QH","RPH")</f>
        <v>0</v>
      </c>
      <c r="N17" s="22">
        <f ca="1">+GETPIVOTDATA("XDB4",'dabac (2016)'!$A$3,"MA_HT","LMU","MA_QH","RDD")</f>
        <v>0</v>
      </c>
      <c r="O17" s="22">
        <f ca="1">+GETPIVOTDATA("XDB4",'dabac (2016)'!$A$3,"MA_HT","LMU","MA_QH","NTS")</f>
        <v>0</v>
      </c>
      <c r="P17" s="43" t="e">
        <f ca="1">$D17-$BF17</f>
        <v>#REF!</v>
      </c>
      <c r="Q17" s="22">
        <f ca="1">+GETPIVOTDATA("XDB4",'dabac (2016)'!$A$3,"MA_HT","LMU","MA_QH","NKH")</f>
        <v>0</v>
      </c>
      <c r="R17" s="42">
        <f ca="1" t="shared" si="2"/>
        <v>0</v>
      </c>
      <c r="S17" s="22">
        <f ca="1">+GETPIVOTDATA("XDB4",'dabac (2016)'!$A$3,"MA_HT","LMU","MA_QH","CQP")</f>
        <v>0</v>
      </c>
      <c r="T17" s="22">
        <f ca="1">+GETPIVOTDATA("XDB4",'dabac (2016)'!$A$3,"MA_HT","LMU","MA_QH","CAN")</f>
        <v>0</v>
      </c>
      <c r="U17" s="22">
        <f ca="1">+GETPIVOTDATA("XDB4",'dabac (2016)'!$A$3,"MA_HT","LMU","MA_QH","SKK")</f>
        <v>0</v>
      </c>
      <c r="V17" s="22">
        <f ca="1">+GETPIVOTDATA("XDB4",'dabac (2016)'!$A$3,"MA_HT","LMU","MA_QH","SKT")</f>
        <v>0</v>
      </c>
      <c r="W17" s="22">
        <f ca="1">+GETPIVOTDATA("XDB4",'dabac (2016)'!$A$3,"MA_HT","LMU","MA_QH","SKN")</f>
        <v>0</v>
      </c>
      <c r="X17" s="22">
        <f ca="1">+GETPIVOTDATA("XDB4",'dabac (2016)'!$A$3,"MA_HT","LMU","MA_QH","TMD")</f>
        <v>0</v>
      </c>
      <c r="Y17" s="22">
        <f ca="1">+GETPIVOTDATA("XDB4",'dabac (2016)'!$A$3,"MA_HT","LMU","MA_QH","SKC")</f>
        <v>0</v>
      </c>
      <c r="Z17" s="22">
        <f ca="1">+GETPIVOTDATA("XDB4",'dabac (2016)'!$A$3,"MA_HT","LMU","MA_QH","SKS")</f>
        <v>0</v>
      </c>
      <c r="AA17" s="52">
        <f ca="1" t="shared" si="4"/>
        <v>0</v>
      </c>
      <c r="AB17" s="22">
        <f ca="1">+GETPIVOTDATA("XDB4",'dabac (2016)'!$A$3,"MA_HT","LMU","MA_QH","DGT")</f>
        <v>0</v>
      </c>
      <c r="AC17" s="22">
        <f ca="1">+GETPIVOTDATA("XDB4",'dabac (2016)'!$A$3,"MA_HT","LMU","MA_QH","DTL")</f>
        <v>0</v>
      </c>
      <c r="AD17" s="22">
        <f ca="1">+GETPIVOTDATA("XDB4",'dabac (2016)'!$A$3,"MA_HT","LMU","MA_QH","DNL")</f>
        <v>0</v>
      </c>
      <c r="AE17" s="22">
        <f ca="1">+GETPIVOTDATA("XDB4",'dabac (2016)'!$A$3,"MA_HT","LMU","MA_QH","DBV")</f>
        <v>0</v>
      </c>
      <c r="AF17" s="22">
        <f ca="1">+GETPIVOTDATA("XDB4",'dabac (2016)'!$A$3,"MA_HT","LMU","MA_QH","DVH")</f>
        <v>0</v>
      </c>
      <c r="AG17" s="22">
        <f ca="1">+GETPIVOTDATA("XDB4",'dabac (2016)'!$A$3,"MA_HT","LMU","MA_QH","DYT")</f>
        <v>0</v>
      </c>
      <c r="AH17" s="22">
        <f ca="1">+GETPIVOTDATA("XDB4",'dabac (2016)'!$A$3,"MA_HT","LMU","MA_QH","DGD")</f>
        <v>0</v>
      </c>
      <c r="AI17" s="22">
        <f ca="1">+GETPIVOTDATA("XDB4",'dabac (2016)'!$A$3,"MA_HT","LMU","MA_QH","DTT")</f>
        <v>0</v>
      </c>
      <c r="AJ17" s="22">
        <f ca="1">+GETPIVOTDATA("XDB4",'dabac (2016)'!$A$3,"MA_HT","LMU","MA_QH","NCK")</f>
        <v>0</v>
      </c>
      <c r="AK17" s="22">
        <f ca="1">+GETPIVOTDATA("XDB4",'dabac (2016)'!$A$3,"MA_HT","LMU","MA_QH","DXH")</f>
        <v>0</v>
      </c>
      <c r="AL17" s="22">
        <f ca="1">+GETPIVOTDATA("XDB4",'dabac (2016)'!$A$3,"MA_HT","LMU","MA_QH","DCH")</f>
        <v>0</v>
      </c>
      <c r="AM17" s="22">
        <f ca="1">+GETPIVOTDATA("XDB4",'dabac (2016)'!$A$3,"MA_HT","LMU","MA_QH","DKG")</f>
        <v>0</v>
      </c>
      <c r="AN17" s="22">
        <f ca="1">+GETPIVOTDATA("XDB4",'dabac (2016)'!$A$3,"MA_HT","LMU","MA_QH","DDT")</f>
        <v>0</v>
      </c>
      <c r="AO17" s="22">
        <f ca="1">+GETPIVOTDATA("XDB4",'dabac (2016)'!$A$3,"MA_HT","LMU","MA_QH","DDL")</f>
        <v>0</v>
      </c>
      <c r="AP17" s="22">
        <f ca="1">+GETPIVOTDATA("XDB4",'dabac (2016)'!$A$3,"MA_HT","LMU","MA_QH","DRA")</f>
        <v>0</v>
      </c>
      <c r="AQ17" s="22">
        <f ca="1">+GETPIVOTDATA("XDB4",'dabac (2016)'!$A$3,"MA_HT","LMU","MA_QH","ONT")</f>
        <v>0</v>
      </c>
      <c r="AR17" s="22">
        <f ca="1">+GETPIVOTDATA("XDB4",'dabac (2016)'!$A$3,"MA_HT","LMU","MA_QH","ODT")</f>
        <v>0</v>
      </c>
      <c r="AS17" s="22">
        <f ca="1">+GETPIVOTDATA("XDB4",'dabac (2016)'!$A$3,"MA_HT","LMU","MA_QH","TSC")</f>
        <v>0</v>
      </c>
      <c r="AT17" s="22">
        <f ca="1">+GETPIVOTDATA("XDB4",'dabac (2016)'!$A$3,"MA_HT","LMU","MA_QH","DTS")</f>
        <v>0</v>
      </c>
      <c r="AU17" s="22">
        <f ca="1">+GETPIVOTDATA("XDB4",'dabac (2016)'!$A$3,"MA_HT","LMU","MA_QH","DNG")</f>
        <v>0</v>
      </c>
      <c r="AV17" s="22">
        <f ca="1">+GETPIVOTDATA("XDB4",'dabac (2016)'!$A$3,"MA_HT","LMU","MA_QH","TON")</f>
        <v>0</v>
      </c>
      <c r="AW17" s="22">
        <f ca="1">+GETPIVOTDATA("XDB4",'dabac (2016)'!$A$3,"MA_HT","LMU","MA_QH","NTD")</f>
        <v>0</v>
      </c>
      <c r="AX17" s="22">
        <f ca="1">+GETPIVOTDATA("XDB4",'dabac (2016)'!$A$3,"MA_HT","LMU","MA_QH","SKX")</f>
        <v>0</v>
      </c>
      <c r="AY17" s="22">
        <f ca="1">+GETPIVOTDATA("XDB4",'dabac (2016)'!$A$3,"MA_HT","LMU","MA_QH","DSH")</f>
        <v>0</v>
      </c>
      <c r="AZ17" s="22">
        <f ca="1">+GETPIVOTDATA("XDB4",'dabac (2016)'!$A$3,"MA_HT","LMU","MA_QH","DKV")</f>
        <v>0</v>
      </c>
      <c r="BA17" s="89">
        <f ca="1">+GETPIVOTDATA("XDB4",'dabac (2016)'!$A$3,"MA_HT","LMU","MA_QH","TIN")</f>
        <v>0</v>
      </c>
      <c r="BB17" s="50">
        <f ca="1">+GETPIVOTDATA("XDB4",'dabac (2016)'!$A$3,"MA_HT","LMU","MA_QH","SON")</f>
        <v>0</v>
      </c>
      <c r="BC17" s="50">
        <f ca="1">+GETPIVOTDATA("XDB4",'dabac (2016)'!$A$3,"MA_HT","LMU","MA_QH","MNC")</f>
        <v>0</v>
      </c>
      <c r="BD17" s="22">
        <f ca="1">+GETPIVOTDATA("XDB4",'dabac (2016)'!$A$3,"MA_HT","LMU","MA_QH","PNK")</f>
        <v>0</v>
      </c>
      <c r="BE17" s="71">
        <f ca="1">+GETPIVOTDATA("XDB4",'dabac (2016)'!$A$3,"MA_HT","LMU","MA_QH","CSD")</f>
        <v>0</v>
      </c>
      <c r="BF17" s="74">
        <f ca="1" t="shared" si="7"/>
        <v>0</v>
      </c>
      <c r="BG17" s="101">
        <f ca="1">P$59-$BF17</f>
        <v>0</v>
      </c>
      <c r="BH17" s="41" t="e">
        <f ca="1" t="shared" si="8"/>
        <v>#REF!</v>
      </c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</row>
    <row r="18" s="2" customFormat="1" ht="15.75" customHeight="1" spans="1:79">
      <c r="A18" s="39" t="s">
        <v>8357</v>
      </c>
      <c r="B18" s="39" t="s">
        <v>8358</v>
      </c>
      <c r="C18" s="40" t="s">
        <v>553</v>
      </c>
      <c r="D18" s="47" t="e">
        <f>+#REF!</f>
        <v>#REF!</v>
      </c>
      <c r="E18" s="42">
        <f ca="1">SUM(F18,J18:P18)</f>
        <v>0</v>
      </c>
      <c r="F18" s="52">
        <f ca="1" t="shared" si="9"/>
        <v>0</v>
      </c>
      <c r="G18" s="22">
        <f ca="1">+GETPIVOTDATA("XDB4",'dabac (2016)'!$A$3,"MA_HT","NKH","MA_QH","LUC")</f>
        <v>0</v>
      </c>
      <c r="H18" s="22">
        <f ca="1">+GETPIVOTDATA("XDB4",'dabac (2016)'!$A$3,"MA_HT","NKH","MA_QH","LUK")</f>
        <v>0</v>
      </c>
      <c r="I18" s="22">
        <f ca="1">+GETPIVOTDATA("XDB4",'dabac (2016)'!$A$3,"MA_HT","NKH","MA_QH","LUN")</f>
        <v>0</v>
      </c>
      <c r="J18" s="22">
        <f ca="1">+GETPIVOTDATA("XDB4",'dabac (2016)'!$A$3,"MA_HT","NKH","MA_QH","HNK")</f>
        <v>0</v>
      </c>
      <c r="K18" s="22">
        <f ca="1">+GETPIVOTDATA("XDB4",'dabac (2016)'!$A$3,"MA_HT","NKH","MA_QH","CLN")</f>
        <v>0</v>
      </c>
      <c r="L18" s="22">
        <f ca="1">+GETPIVOTDATA("XDB4",'dabac (2016)'!$A$3,"MA_HT","NKH","MA_QH","RSX")</f>
        <v>0</v>
      </c>
      <c r="M18" s="22">
        <f ca="1">+GETPIVOTDATA("XDB4",'dabac (2016)'!$A$3,"MA_HT","NKH","MA_QH","RPH")</f>
        <v>0</v>
      </c>
      <c r="N18" s="22">
        <f ca="1">+GETPIVOTDATA("XDB4",'dabac (2016)'!$A$3,"MA_HT","NKH","MA_QH","RDD")</f>
        <v>0</v>
      </c>
      <c r="O18" s="22">
        <f ca="1">+GETPIVOTDATA("XDB4",'dabac (2016)'!$A$3,"MA_HT","NKH","MA_QH","NTS")</f>
        <v>0</v>
      </c>
      <c r="P18" s="22">
        <f ca="1">+GETPIVOTDATA("XDB4",'dabac (2016)'!$A$3,"MA_HT","NKH","MA_QH","LMU")</f>
        <v>0</v>
      </c>
      <c r="Q18" s="43" t="e">
        <f ca="1">$D18-$BF18</f>
        <v>#REF!</v>
      </c>
      <c r="R18" s="42">
        <f ca="1" t="shared" si="2"/>
        <v>0</v>
      </c>
      <c r="S18" s="22">
        <f ca="1">+GETPIVOTDATA("XDB4",'dabac (2016)'!$A$3,"MA_HT","NKH","MA_QH","CQP")</f>
        <v>0</v>
      </c>
      <c r="T18" s="22">
        <f ca="1">+GETPIVOTDATA("XDB4",'dabac (2016)'!$A$3,"MA_HT","NKH","MA_QH","CAN")</f>
        <v>0</v>
      </c>
      <c r="U18" s="22">
        <f ca="1">+GETPIVOTDATA("XDB4",'dabac (2016)'!$A$3,"MA_HT","NKH","MA_QH","SKK")</f>
        <v>0</v>
      </c>
      <c r="V18" s="22">
        <f ca="1">+GETPIVOTDATA("XDB4",'dabac (2016)'!$A$3,"MA_HT","NKH","MA_QH","SKT")</f>
        <v>0</v>
      </c>
      <c r="W18" s="22">
        <f ca="1">+GETPIVOTDATA("XDB4",'dabac (2016)'!$A$3,"MA_HT","NKH","MA_QH","SKN")</f>
        <v>0</v>
      </c>
      <c r="X18" s="22">
        <f ca="1">+GETPIVOTDATA("XDB4",'dabac (2016)'!$A$3,"MA_HT","NKH","MA_QH","TMD")</f>
        <v>0</v>
      </c>
      <c r="Y18" s="22">
        <f ca="1">+GETPIVOTDATA("XDB4",'dabac (2016)'!$A$3,"MA_HT","NKH","MA_QH","SKC")</f>
        <v>0</v>
      </c>
      <c r="Z18" s="22">
        <f ca="1">+GETPIVOTDATA("XDB4",'dabac (2016)'!$A$3,"MA_HT","NKH","MA_QH","SKS")</f>
        <v>0</v>
      </c>
      <c r="AA18" s="52">
        <f ca="1" t="shared" si="4"/>
        <v>0</v>
      </c>
      <c r="AB18" s="22">
        <f ca="1">+GETPIVOTDATA("XDB4",'dabac (2016)'!$A$3,"MA_HT","NKH","MA_QH","DGT")</f>
        <v>0</v>
      </c>
      <c r="AC18" s="22">
        <f ca="1">+GETPIVOTDATA("XDB4",'dabac (2016)'!$A$3,"MA_HT","NKH","MA_QH","DTL")</f>
        <v>0</v>
      </c>
      <c r="AD18" s="22">
        <f ca="1">+GETPIVOTDATA("XDB4",'dabac (2016)'!$A$3,"MA_HT","NKH","MA_QH","DNL")</f>
        <v>0</v>
      </c>
      <c r="AE18" s="22">
        <f ca="1">+GETPIVOTDATA("XDB4",'dabac (2016)'!$A$3,"MA_HT","NKH","MA_QH","DBV")</f>
        <v>0</v>
      </c>
      <c r="AF18" s="22">
        <f ca="1">+GETPIVOTDATA("XDB4",'dabac (2016)'!$A$3,"MA_HT","NKH","MA_QH","DVH")</f>
        <v>0</v>
      </c>
      <c r="AG18" s="22">
        <f ca="1">+GETPIVOTDATA("XDB4",'dabac (2016)'!$A$3,"MA_HT","NKH","MA_QH","DYT")</f>
        <v>0</v>
      </c>
      <c r="AH18" s="22">
        <f ca="1">+GETPIVOTDATA("XDB4",'dabac (2016)'!$A$3,"MA_HT","NKH","MA_QH","DGD")</f>
        <v>0</v>
      </c>
      <c r="AI18" s="22">
        <f ca="1">+GETPIVOTDATA("XDB4",'dabac (2016)'!$A$3,"MA_HT","NKH","MA_QH","DTT")</f>
        <v>0</v>
      </c>
      <c r="AJ18" s="22">
        <f ca="1">+GETPIVOTDATA("XDB4",'dabac (2016)'!$A$3,"MA_HT","NKH","MA_QH","NCK")</f>
        <v>0</v>
      </c>
      <c r="AK18" s="22">
        <f ca="1">+GETPIVOTDATA("XDB4",'dabac (2016)'!$A$3,"MA_HT","NKH","MA_QH","DXH")</f>
        <v>0</v>
      </c>
      <c r="AL18" s="22">
        <f ca="1">+GETPIVOTDATA("XDB4",'dabac (2016)'!$A$3,"MA_HT","NKH","MA_QH","DCH")</f>
        <v>0</v>
      </c>
      <c r="AM18" s="22">
        <f ca="1">+GETPIVOTDATA("XDB4",'dabac (2016)'!$A$3,"MA_HT","NKH","MA_QH","DKG")</f>
        <v>0</v>
      </c>
      <c r="AN18" s="22">
        <f ca="1">+GETPIVOTDATA("XDB4",'dabac (2016)'!$A$3,"MA_HT","NKH","MA_QH","DDT")</f>
        <v>0</v>
      </c>
      <c r="AO18" s="22">
        <f ca="1">+GETPIVOTDATA("XDB4",'dabac (2016)'!$A$3,"MA_HT","NKH","MA_QH","DDL")</f>
        <v>0</v>
      </c>
      <c r="AP18" s="22">
        <f ca="1">+GETPIVOTDATA("XDB4",'dabac (2016)'!$A$3,"MA_HT","NKH","MA_QH","DRA")</f>
        <v>0</v>
      </c>
      <c r="AQ18" s="22">
        <f ca="1">+GETPIVOTDATA("XDB4",'dabac (2016)'!$A$3,"MA_HT","NKH","MA_QH","ONT")</f>
        <v>0</v>
      </c>
      <c r="AR18" s="22">
        <f ca="1">+GETPIVOTDATA("XDB4",'dabac (2016)'!$A$3,"MA_HT","NKH","MA_QH","ODT")</f>
        <v>0</v>
      </c>
      <c r="AS18" s="22">
        <f ca="1">+GETPIVOTDATA("XDB4",'dabac (2016)'!$A$3,"MA_HT","NKH","MA_QH","TSC")</f>
        <v>0</v>
      </c>
      <c r="AT18" s="22">
        <f ca="1">+GETPIVOTDATA("XDB4",'dabac (2016)'!$A$3,"MA_HT","NKH","MA_QH","DTS")</f>
        <v>0</v>
      </c>
      <c r="AU18" s="22">
        <f ca="1">+GETPIVOTDATA("XDB4",'dabac (2016)'!$A$3,"MA_HT","NKH","MA_QH","DNG")</f>
        <v>0</v>
      </c>
      <c r="AV18" s="22">
        <f ca="1">+GETPIVOTDATA("XDB4",'dabac (2016)'!$A$3,"MA_HT","NKH","MA_QH","TON")</f>
        <v>0</v>
      </c>
      <c r="AW18" s="22">
        <f ca="1">+GETPIVOTDATA("XDB4",'dabac (2016)'!$A$3,"MA_HT","NKH","MA_QH","NTD")</f>
        <v>0</v>
      </c>
      <c r="AX18" s="22">
        <f ca="1">+GETPIVOTDATA("XDB4",'dabac (2016)'!$A$3,"MA_HT","NKH","MA_QH","SKX")</f>
        <v>0</v>
      </c>
      <c r="AY18" s="22">
        <f ca="1">+GETPIVOTDATA("XDB4",'dabac (2016)'!$A$3,"MA_HT","NKH","MA_QH","DSH")</f>
        <v>0</v>
      </c>
      <c r="AZ18" s="22">
        <f ca="1">+GETPIVOTDATA("XDB4",'dabac (2016)'!$A$3,"MA_HT","NKH","MA_QH","DKV")</f>
        <v>0</v>
      </c>
      <c r="BA18" s="89">
        <f ca="1">+GETPIVOTDATA("XDB4",'dabac (2016)'!$A$3,"MA_HT","NKH","MA_QH","TIN")</f>
        <v>0</v>
      </c>
      <c r="BB18" s="50">
        <f ca="1">+GETPIVOTDATA("XDB4",'dabac (2016)'!$A$3,"MA_HT","NKH","MA_QH","SON")</f>
        <v>0</v>
      </c>
      <c r="BC18" s="50">
        <f ca="1">+GETPIVOTDATA("XDB4",'dabac (2016)'!$A$3,"MA_HT","NKH","MA_QH","MNC")</f>
        <v>0</v>
      </c>
      <c r="BD18" s="22">
        <f ca="1">+GETPIVOTDATA("XDB4",'dabac (2016)'!$A$3,"MA_HT","NKH","MA_QH","PNK")</f>
        <v>0</v>
      </c>
      <c r="BE18" s="71">
        <f ca="1">+GETPIVOTDATA("XDB4",'dabac (2016)'!$A$3,"MA_HT","NKH","MA_QH","CSD")</f>
        <v>0</v>
      </c>
      <c r="BF18" s="74">
        <f ca="1" t="shared" si="7"/>
        <v>0</v>
      </c>
      <c r="BG18" s="101">
        <f ca="1">Q$59-$BF18</f>
        <v>0</v>
      </c>
      <c r="BH18" s="41" t="e">
        <f ca="1" t="shared" si="8"/>
        <v>#REF!</v>
      </c>
      <c r="BI18" s="98"/>
      <c r="BJ18" s="98"/>
      <c r="BK18" s="98"/>
      <c r="BL18" s="98"/>
      <c r="BM18" s="107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</row>
    <row r="19" s="3" customFormat="1" ht="15.75" customHeight="1" spans="1:75">
      <c r="A19" s="35">
        <v>2</v>
      </c>
      <c r="B19" s="36" t="s">
        <v>8359</v>
      </c>
      <c r="C19" s="37" t="s">
        <v>8304</v>
      </c>
      <c r="D19" s="33" t="e">
        <f>+#REF!</f>
        <v>#REF!</v>
      </c>
      <c r="E19" s="33">
        <f ca="1">SUM(E20:E28,E41:E57)</f>
        <v>0</v>
      </c>
      <c r="F19" s="33">
        <f ca="1">SUM(F20:F28,F41:F57)</f>
        <v>0</v>
      </c>
      <c r="G19" s="33">
        <f ca="1">SUM(G20:G28,G41:G57)</f>
        <v>0</v>
      </c>
      <c r="H19" s="33">
        <f ca="1">SUM(H20:H28,H41:H57)</f>
        <v>0</v>
      </c>
      <c r="I19" s="33">
        <f ca="1">SUM(I20:I28,I41:I57)</f>
        <v>0</v>
      </c>
      <c r="J19" s="33">
        <f ca="1" t="shared" ref="J19:Q19" si="10">SUM(J20:J28,J41:J57)</f>
        <v>0</v>
      </c>
      <c r="K19" s="33">
        <f ca="1" t="shared" si="10"/>
        <v>0</v>
      </c>
      <c r="L19" s="33">
        <f ca="1" t="shared" si="10"/>
        <v>0</v>
      </c>
      <c r="M19" s="33">
        <f ca="1" t="shared" si="10"/>
        <v>0</v>
      </c>
      <c r="N19" s="33">
        <f ca="1" t="shared" si="10"/>
        <v>0</v>
      </c>
      <c r="O19" s="33">
        <f ca="1" t="shared" si="10"/>
        <v>0</v>
      </c>
      <c r="P19" s="33">
        <f ca="1" t="shared" si="10"/>
        <v>0</v>
      </c>
      <c r="Q19" s="33">
        <f ca="1" t="shared" si="10"/>
        <v>0</v>
      </c>
      <c r="R19" s="38" t="e">
        <f ca="1">$D19-$BF19</f>
        <v>#REF!</v>
      </c>
      <c r="S19" s="33">
        <f ca="1">SUM(S21:S28,S41:S57)</f>
        <v>0</v>
      </c>
      <c r="T19" s="33">
        <f ca="1">SUM(T20,T22:T28,T41:T57)</f>
        <v>0</v>
      </c>
      <c r="U19" s="33">
        <f ca="1">SUM(U20:U21,U23:U28,U41:U57)</f>
        <v>0</v>
      </c>
      <c r="V19" s="33">
        <f ca="1">SUM(V20:V22,V24:V28,V41:V57)</f>
        <v>0</v>
      </c>
      <c r="W19" s="33">
        <f ca="1">SUM(W20:W23,W25:W28,W41:W57)</f>
        <v>0</v>
      </c>
      <c r="X19" s="33">
        <f ca="1">SUM(X20:X24,X26:X28,X41:X57)</f>
        <v>0</v>
      </c>
      <c r="Y19" s="33">
        <f ca="1">SUM(Y20:Y25,Y27:Y28,Y41:Y57)</f>
        <v>0</v>
      </c>
      <c r="Z19" s="33">
        <f ca="1">SUM(Z20:Z26,Z28,Z41:Z57)</f>
        <v>0</v>
      </c>
      <c r="AA19" s="33">
        <f ca="1">SUM(AA20:AA27,AA41:AA57)</f>
        <v>0</v>
      </c>
      <c r="AB19" s="33">
        <f ca="1" t="shared" ref="AB19:AM19" si="11">SUM(AB20:AB28,AB41:AB57)</f>
        <v>0</v>
      </c>
      <c r="AC19" s="33">
        <f ca="1" t="shared" si="11"/>
        <v>0</v>
      </c>
      <c r="AD19" s="33">
        <f ca="1" t="shared" si="11"/>
        <v>0</v>
      </c>
      <c r="AE19" s="33">
        <f ca="1" t="shared" si="11"/>
        <v>0</v>
      </c>
      <c r="AF19" s="33">
        <f ca="1" t="shared" si="11"/>
        <v>0</v>
      </c>
      <c r="AG19" s="33">
        <f ca="1" t="shared" si="11"/>
        <v>0</v>
      </c>
      <c r="AH19" s="33">
        <f ca="1" t="shared" si="11"/>
        <v>0</v>
      </c>
      <c r="AI19" s="33">
        <f ca="1" t="shared" si="11"/>
        <v>0</v>
      </c>
      <c r="AJ19" s="33">
        <f ca="1" t="shared" si="11"/>
        <v>0</v>
      </c>
      <c r="AK19" s="33">
        <f ca="1" t="shared" si="11"/>
        <v>0</v>
      </c>
      <c r="AL19" s="33">
        <f ca="1" t="shared" si="11"/>
        <v>0</v>
      </c>
      <c r="AM19" s="33">
        <f ca="1" t="shared" si="11"/>
        <v>0</v>
      </c>
      <c r="AN19" s="33">
        <f ca="1">SUM(AN20:AN28,AN42:AN57)</f>
        <v>0</v>
      </c>
      <c r="AO19" s="33">
        <f ca="1">SUM(AO20:AO28,AO41,AO43:AO57)</f>
        <v>0</v>
      </c>
      <c r="AP19" s="33">
        <f ca="1">SUM(AP20:AP28,AP41:AP42,AP44:AP57)</f>
        <v>0</v>
      </c>
      <c r="AQ19" s="33">
        <f ca="1">SUM(AQ20:AQ28,AQ41:AQ43,AQ45:AQ57)</f>
        <v>0</v>
      </c>
      <c r="AR19" s="33">
        <f ca="1">SUM(AR20:AR28,AR41:AR44,AR46:AR57)</f>
        <v>0</v>
      </c>
      <c r="AS19" s="33">
        <f ca="1">SUM(AS20:AS28,AS41:AS45,AS47:AS57)</f>
        <v>0</v>
      </c>
      <c r="AT19" s="33">
        <f ca="1">SUM(AT20:AT28,AT41:AT46,AT48:AT57)</f>
        <v>0</v>
      </c>
      <c r="AU19" s="33">
        <f ca="1">SUM(AU20:AU28,AU41:AU47,AU49:AU57)</f>
        <v>0</v>
      </c>
      <c r="AV19" s="33">
        <f ca="1">SUM(AV20:AV28,AV41:AV48,AV50:AV57)</f>
        <v>0</v>
      </c>
      <c r="AW19" s="33">
        <f ca="1">SUM(AW20:AW28,AW41:AW49,AW51:AW57)</f>
        <v>0</v>
      </c>
      <c r="AX19" s="33">
        <f ca="1">SUM(AX20:AX28,AX41:AX50,AX52:AX57)</f>
        <v>0</v>
      </c>
      <c r="AY19" s="33">
        <f ca="1">SUM(AY20:AY28,AY41:AY51,AY53:AY57)</f>
        <v>0</v>
      </c>
      <c r="AZ19" s="33">
        <f ca="1">SUM(AZ20:AZ28,AZ41:AZ52,AZ54:AZ57)</f>
        <v>0</v>
      </c>
      <c r="BA19" s="33">
        <f ca="1">SUM(BA20:BA28,BA41:BA53,BA55:BA57)</f>
        <v>0</v>
      </c>
      <c r="BB19" s="33">
        <f ca="1">SUM(BB20:BB28,BB41:BB54,BB56:BB57)</f>
        <v>0</v>
      </c>
      <c r="BC19" s="33">
        <f ca="1">SUM(BC20:BC28,BC41:BC55,BC57)</f>
        <v>0</v>
      </c>
      <c r="BD19" s="33">
        <f ca="1">SUM(BD20:BD28,BD41:BD56,BD58)</f>
        <v>0</v>
      </c>
      <c r="BE19" s="33">
        <f ca="1">SUM(BE20:BE28,BE41:BE57)</f>
        <v>0</v>
      </c>
      <c r="BF19" s="74">
        <f ca="1">SUM(BE19,E19)</f>
        <v>0</v>
      </c>
      <c r="BG19" s="101">
        <f ca="1">R$59-$BF19</f>
        <v>0</v>
      </c>
      <c r="BH19" s="33" t="e">
        <f ca="1">SUM(BH20:BH28,BH41:BH57)</f>
        <v>#REF!</v>
      </c>
      <c r="BI19" s="102"/>
      <c r="BJ19" s="36" t="e">
        <f>SUM(BJ22:BJ54,BJ57:BJ57)</f>
        <v>#REF!</v>
      </c>
      <c r="BK19" s="106" t="e">
        <f ca="1">BH19-BJ19</f>
        <v>#REF!</v>
      </c>
      <c r="BL19" s="106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</row>
    <row r="20" s="2" customFormat="1" ht="15.75" customHeight="1" spans="1:79">
      <c r="A20" s="39" t="s">
        <v>69</v>
      </c>
      <c r="B20" s="39" t="s">
        <v>8360</v>
      </c>
      <c r="C20" s="40" t="s">
        <v>31</v>
      </c>
      <c r="D20" s="41" t="e">
        <f>+#REF!</f>
        <v>#REF!</v>
      </c>
      <c r="E20" s="42">
        <f ca="1">SUM(F20,J20:Q20)</f>
        <v>0</v>
      </c>
      <c r="F20" s="52">
        <f ca="1" t="shared" si="9"/>
        <v>0</v>
      </c>
      <c r="G20" s="22">
        <f ca="1">+GETPIVOTDATA("XDB4",'dabac (2016)'!$A$3,"MA_HT","CQP","MA_QH","LUC")</f>
        <v>0</v>
      </c>
      <c r="H20" s="22">
        <f ca="1">+GETPIVOTDATA("XDB4",'dabac (2016)'!$A$3,"MA_HT","CQP","MA_QH","LUK")</f>
        <v>0</v>
      </c>
      <c r="I20" s="22">
        <f ca="1">+GETPIVOTDATA("XDB4",'dabac (2016)'!$A$3,"MA_HT","CQP","MA_QH","LUN")</f>
        <v>0</v>
      </c>
      <c r="J20" s="22">
        <f ca="1">+GETPIVOTDATA("XDB4",'dabac (2016)'!$A$3,"MA_HT","CQP","MA_QH","HNK")</f>
        <v>0</v>
      </c>
      <c r="K20" s="22">
        <f ca="1">+GETPIVOTDATA("XDB4",'dabac (2016)'!$A$3,"MA_HT","CQP","MA_QH","CLN")</f>
        <v>0</v>
      </c>
      <c r="L20" s="22">
        <f ca="1">+GETPIVOTDATA("XDB4",'dabac (2016)'!$A$3,"MA_HT","CQP","MA_QH","RSX")</f>
        <v>0</v>
      </c>
      <c r="M20" s="22">
        <f ca="1">+GETPIVOTDATA("XDB4",'dabac (2016)'!$A$3,"MA_HT","CQP","MA_QH","RPH")</f>
        <v>0</v>
      </c>
      <c r="N20" s="22">
        <f ca="1">+GETPIVOTDATA("XDB4",'dabac (2016)'!$A$3,"MA_HT","CQP","MA_QH","RDD")</f>
        <v>0</v>
      </c>
      <c r="O20" s="22">
        <f ca="1">+GETPIVOTDATA("XDB4",'dabac (2016)'!$A$3,"MA_HT","CQP","MA_QH","NTS")</f>
        <v>0</v>
      </c>
      <c r="P20" s="22">
        <f ca="1">+GETPIVOTDATA("XDB4",'dabac (2016)'!$A$3,"MA_HT","CQP","MA_QH","LMU")</f>
        <v>0</v>
      </c>
      <c r="Q20" s="22">
        <f ca="1">+GETPIVOTDATA("XDB4",'dabac (2016)'!$A$3,"MA_HT","CQP","MA_QH","NKH")</f>
        <v>0</v>
      </c>
      <c r="R20" s="42">
        <f ca="1">SUM(T20:AA20,AN20:BD20)</f>
        <v>0</v>
      </c>
      <c r="S20" s="43" t="e">
        <f ca="1">$D20-$BF20</f>
        <v>#REF!</v>
      </c>
      <c r="T20" s="22">
        <f ca="1">+GETPIVOTDATA("XDB4",'dabac (2016)'!$A$3,"MA_HT","CQP","MA_QH","CAN")</f>
        <v>0</v>
      </c>
      <c r="U20" s="22">
        <f ca="1">+GETPIVOTDATA("XDB4",'dabac (2016)'!$A$3,"MA_HT","CQP","MA_QH","SKK")</f>
        <v>0</v>
      </c>
      <c r="V20" s="22">
        <f ca="1">+GETPIVOTDATA("XDB4",'dabac (2016)'!$A$3,"MA_HT","CQP","MA_QH","SKT")</f>
        <v>0</v>
      </c>
      <c r="W20" s="22">
        <f ca="1">+GETPIVOTDATA("XDB4",'dabac (2016)'!$A$3,"MA_HT","CQP","MA_QH","SKN")</f>
        <v>0</v>
      </c>
      <c r="X20" s="22">
        <f ca="1">+GETPIVOTDATA("XDB4",'dabac (2016)'!$A$3,"MA_HT","CQP","MA_QH","TMD")</f>
        <v>0</v>
      </c>
      <c r="Y20" s="22">
        <f ca="1">+GETPIVOTDATA("XDB4",'dabac (2016)'!$A$3,"MA_HT","CQP","MA_QH","SKC")</f>
        <v>0</v>
      </c>
      <c r="Z20" s="22">
        <f ca="1">+GETPIVOTDATA("XDB4",'dabac (2016)'!$A$3,"MA_HT","CQP","MA_QH","SKS")</f>
        <v>0</v>
      </c>
      <c r="AA20" s="52">
        <f ca="1" t="shared" ref="AA20:AA27" si="12">+SUM(AB20:AM20)</f>
        <v>0</v>
      </c>
      <c r="AB20" s="22">
        <f ca="1">+GETPIVOTDATA("XDB4",'dabac (2016)'!$A$3,"MA_HT","CQP","MA_QH","DGT")</f>
        <v>0</v>
      </c>
      <c r="AC20" s="22">
        <f ca="1">+GETPIVOTDATA("XDB4",'dabac (2016)'!$A$3,"MA_HT","CQP","MA_QH","DTL")</f>
        <v>0</v>
      </c>
      <c r="AD20" s="22">
        <f ca="1">+GETPIVOTDATA("XDB4",'dabac (2016)'!$A$3,"MA_HT","CQP","MA_QH","DNL")</f>
        <v>0</v>
      </c>
      <c r="AE20" s="22">
        <f ca="1">+GETPIVOTDATA("XDB4",'dabac (2016)'!$A$3,"MA_HT","CQP","MA_QH","DBV")</f>
        <v>0</v>
      </c>
      <c r="AF20" s="22">
        <f ca="1">+GETPIVOTDATA("XDB4",'dabac (2016)'!$A$3,"MA_HT","CQP","MA_QH","DVH")</f>
        <v>0</v>
      </c>
      <c r="AG20" s="22">
        <f ca="1">+GETPIVOTDATA("XDB4",'dabac (2016)'!$A$3,"MA_HT","CQP","MA_QH","DYT")</f>
        <v>0</v>
      </c>
      <c r="AH20" s="22">
        <f ca="1">+GETPIVOTDATA("XDB4",'dabac (2016)'!$A$3,"MA_HT","CQP","MA_QH","DGD")</f>
        <v>0</v>
      </c>
      <c r="AI20" s="22">
        <f ca="1">+GETPIVOTDATA("XDB4",'dabac (2016)'!$A$3,"MA_HT","CQP","MA_QH","DTT")</f>
        <v>0</v>
      </c>
      <c r="AJ20" s="22">
        <f ca="1">+GETPIVOTDATA("XDB4",'dabac (2016)'!$A$3,"MA_HT","CQP","MA_QH","NCK")</f>
        <v>0</v>
      </c>
      <c r="AK20" s="22">
        <f ca="1">+GETPIVOTDATA("XDB4",'dabac (2016)'!$A$3,"MA_HT","CQP","MA_QH","DXH")</f>
        <v>0</v>
      </c>
      <c r="AL20" s="22">
        <f ca="1">+GETPIVOTDATA("XDB4",'dabac (2016)'!$A$3,"MA_HT","CQP","MA_QH","DCH")</f>
        <v>0</v>
      </c>
      <c r="AM20" s="22">
        <f ca="1">+GETPIVOTDATA("XDB4",'dabac (2016)'!$A$3,"MA_HT","CQP","MA_QH","DKG")</f>
        <v>0</v>
      </c>
      <c r="AN20" s="22">
        <f ca="1">+GETPIVOTDATA("XDB4",'dabac (2016)'!$A$3,"MA_HT","CQP","MA_QH","DDT")</f>
        <v>0</v>
      </c>
      <c r="AO20" s="22">
        <f ca="1">+GETPIVOTDATA("XDB4",'dabac (2016)'!$A$3,"MA_HT","CQP","MA_QH","DDL")</f>
        <v>0</v>
      </c>
      <c r="AP20" s="22">
        <f ca="1">+GETPIVOTDATA("XDB4",'dabac (2016)'!$A$3,"MA_HT","CQP","MA_QH","DRA")</f>
        <v>0</v>
      </c>
      <c r="AQ20" s="22">
        <f ca="1">+GETPIVOTDATA("XDB4",'dabac (2016)'!$A$3,"MA_HT","CQP","MA_QH","ONT")</f>
        <v>0</v>
      </c>
      <c r="AR20" s="22">
        <f ca="1">+GETPIVOTDATA("XDB4",'dabac (2016)'!$A$3,"MA_HT","CQP","MA_QH","ODT")</f>
        <v>0</v>
      </c>
      <c r="AS20" s="22">
        <f ca="1">+GETPIVOTDATA("XDB4",'dabac (2016)'!$A$3,"MA_HT","CQP","MA_QH","TSC")</f>
        <v>0</v>
      </c>
      <c r="AT20" s="22">
        <f ca="1">+GETPIVOTDATA("XDB4",'dabac (2016)'!$A$3,"MA_HT","CQP","MA_QH","DTS")</f>
        <v>0</v>
      </c>
      <c r="AU20" s="22">
        <f ca="1">+GETPIVOTDATA("XDB4",'dabac (2016)'!$A$3,"MA_HT","CQP","MA_QH","DNG")</f>
        <v>0</v>
      </c>
      <c r="AV20" s="22">
        <f ca="1">+GETPIVOTDATA("XDB4",'dabac (2016)'!$A$3,"MA_HT","CQP","MA_QH","TON")</f>
        <v>0</v>
      </c>
      <c r="AW20" s="22">
        <f ca="1">+GETPIVOTDATA("XDB4",'dabac (2016)'!$A$3,"MA_HT","CQP","MA_QH","NTD")</f>
        <v>0</v>
      </c>
      <c r="AX20" s="22">
        <f ca="1">+GETPIVOTDATA("XDB4",'dabac (2016)'!$A$3,"MA_HT","CQP","MA_QH","SKX")</f>
        <v>0</v>
      </c>
      <c r="AY20" s="22">
        <f ca="1">+GETPIVOTDATA("XDB4",'dabac (2016)'!$A$3,"MA_HT","CQP","MA_QH","DSH")</f>
        <v>0</v>
      </c>
      <c r="AZ20" s="22">
        <f ca="1">+GETPIVOTDATA("XDB4",'dabac (2016)'!$A$3,"MA_HT","CQP","MA_QH","DKV")</f>
        <v>0</v>
      </c>
      <c r="BA20" s="89">
        <f ca="1">+GETPIVOTDATA("XDB4",'dabac (2016)'!$A$3,"MA_HT","CQP","MA_QH","TIN")</f>
        <v>0</v>
      </c>
      <c r="BB20" s="50">
        <f ca="1">+GETPIVOTDATA("XDB4",'dabac (2016)'!$A$3,"MA_HT","CQP","MA_QH","SON")</f>
        <v>0</v>
      </c>
      <c r="BC20" s="50">
        <f ca="1">+GETPIVOTDATA("XDB4",'dabac (2016)'!$A$3,"MA_HT","CQP","MA_QH","MNC")</f>
        <v>0</v>
      </c>
      <c r="BD20" s="22">
        <f ca="1">+GETPIVOTDATA("XDB4",'dabac (2016)'!$A$3,"MA_HT","CQP","MA_QH","PNK")</f>
        <v>0</v>
      </c>
      <c r="BE20" s="71">
        <f ca="1">+GETPIVOTDATA("XDB4",'dabac (2016)'!$A$3,"MA_HT","CQP","MA_QH","CSD")</f>
        <v>0</v>
      </c>
      <c r="BF20" s="74">
        <f ca="1" t="shared" ref="BF20:BF57" si="13">BE20+R20+E20</f>
        <v>0</v>
      </c>
      <c r="BG20" s="101">
        <f ca="1">S$59-$BF20</f>
        <v>0</v>
      </c>
      <c r="BH20" s="41" t="e">
        <f ca="1" t="shared" ref="BH20:BH58" si="14">BG20+D20</f>
        <v>#REF!</v>
      </c>
      <c r="BI20" s="98"/>
      <c r="BJ20" s="98" t="e">
        <f>#REF!</f>
        <v>#REF!</v>
      </c>
      <c r="BK20" s="107" t="e">
        <f ca="1">BH20-BJ20</f>
        <v>#REF!</v>
      </c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</row>
    <row r="21" s="2" customFormat="1" ht="15.75" customHeight="1" spans="1:79">
      <c r="A21" s="39" t="s">
        <v>232</v>
      </c>
      <c r="B21" s="39" t="s">
        <v>8361</v>
      </c>
      <c r="C21" s="40" t="s">
        <v>8283</v>
      </c>
      <c r="D21" s="41" t="e">
        <f>+#REF!</f>
        <v>#REF!</v>
      </c>
      <c r="E21" s="42">
        <f ca="1" t="shared" ref="E21:E58" si="15">SUM(F21,J21:Q21)</f>
        <v>0</v>
      </c>
      <c r="F21" s="52">
        <f ca="1" t="shared" si="9"/>
        <v>0</v>
      </c>
      <c r="G21" s="22">
        <f ca="1">+GETPIVOTDATA("XDB4",'dabac (2016)'!$A$3,"MA_HT","CAN","MA_QH","LUC")</f>
        <v>0</v>
      </c>
      <c r="H21" s="22">
        <f ca="1">+GETPIVOTDATA("XDB4",'dabac (2016)'!$A$3,"MA_HT","CAN","MA_QH","LUK")</f>
        <v>0</v>
      </c>
      <c r="I21" s="22">
        <f ca="1">+GETPIVOTDATA("XDB4",'dabac (2016)'!$A$3,"MA_HT","CAN","MA_QH","LUN")</f>
        <v>0</v>
      </c>
      <c r="J21" s="22">
        <f ca="1">+GETPIVOTDATA("XDB4",'dabac (2016)'!$A$3,"MA_HT","CAN","MA_QH","HNK")</f>
        <v>0</v>
      </c>
      <c r="K21" s="22">
        <f ca="1">+GETPIVOTDATA("XDB4",'dabac (2016)'!$A$3,"MA_HT","CAN","MA_QH","CLN")</f>
        <v>0</v>
      </c>
      <c r="L21" s="22">
        <f ca="1">+GETPIVOTDATA("XDB4",'dabac (2016)'!$A$3,"MA_HT","CAN","MA_QH","RSX")</f>
        <v>0</v>
      </c>
      <c r="M21" s="22">
        <f ca="1">+GETPIVOTDATA("XDB4",'dabac (2016)'!$A$3,"MA_HT","CAN","MA_QH","RPH")</f>
        <v>0</v>
      </c>
      <c r="N21" s="22">
        <f ca="1">+GETPIVOTDATA("XDB4",'dabac (2016)'!$A$3,"MA_HT","CAN","MA_QH","RDD")</f>
        <v>0</v>
      </c>
      <c r="O21" s="22">
        <f ca="1">+GETPIVOTDATA("XDB4",'dabac (2016)'!$A$3,"MA_HT","CAN","MA_QH","NTS")</f>
        <v>0</v>
      </c>
      <c r="P21" s="22">
        <f ca="1">+GETPIVOTDATA("XDB4",'dabac (2016)'!$A$3,"MA_HT","CAN","MA_QH","LMU")</f>
        <v>0</v>
      </c>
      <c r="Q21" s="22">
        <f ca="1">+GETPIVOTDATA("XDB4",'dabac (2016)'!$A$3,"MA_HT","CAN","MA_QH","NKH")</f>
        <v>0</v>
      </c>
      <c r="R21" s="42">
        <f ca="1">SUM(S21,U21:AA21,AN21:BD21)</f>
        <v>0</v>
      </c>
      <c r="S21" s="22">
        <f ca="1">+GETPIVOTDATA("XDB4",'dabac (2016)'!$A$3,"MA_HT","CAN","MA_QH","CQP")</f>
        <v>0</v>
      </c>
      <c r="T21" s="43" t="e">
        <f ca="1">$D21-$BF21</f>
        <v>#REF!</v>
      </c>
      <c r="U21" s="22">
        <f ca="1">+GETPIVOTDATA("XDB4",'dabac (2016)'!$A$3,"MA_HT","CAN","MA_QH","SKK")</f>
        <v>0</v>
      </c>
      <c r="V21" s="22">
        <f ca="1">+GETPIVOTDATA("XDB4",'dabac (2016)'!$A$3,"MA_HT","CAN","MA_QH","SKT")</f>
        <v>0</v>
      </c>
      <c r="W21" s="22">
        <f ca="1">+GETPIVOTDATA("XDB4",'dabac (2016)'!$A$3,"MA_HT","CAN","MA_QH","SKN")</f>
        <v>0</v>
      </c>
      <c r="X21" s="22">
        <f ca="1">+GETPIVOTDATA("XDB4",'dabac (2016)'!$A$3,"MA_HT","CAN","MA_QH","TMD")</f>
        <v>0</v>
      </c>
      <c r="Y21" s="22">
        <f ca="1">+GETPIVOTDATA("XDB4",'dabac (2016)'!$A$3,"MA_HT","CAN","MA_QH","SKC")</f>
        <v>0</v>
      </c>
      <c r="Z21" s="22">
        <f ca="1">+GETPIVOTDATA("XDB4",'dabac (2016)'!$A$3,"MA_HT","CAN","MA_QH","SKS")</f>
        <v>0</v>
      </c>
      <c r="AA21" s="52">
        <f ca="1" t="shared" si="12"/>
        <v>0</v>
      </c>
      <c r="AB21" s="22">
        <f ca="1">+GETPIVOTDATA("XDB4",'dabac (2016)'!$A$3,"MA_HT","CAN","MA_QH","DGT")</f>
        <v>0</v>
      </c>
      <c r="AC21" s="22">
        <f ca="1">+GETPIVOTDATA("XDB4",'dabac (2016)'!$A$3,"MA_HT","CAN","MA_QH","DTL")</f>
        <v>0</v>
      </c>
      <c r="AD21" s="22">
        <f ca="1">+GETPIVOTDATA("XDB4",'dabac (2016)'!$A$3,"MA_HT","CAN","MA_QH","DNL")</f>
        <v>0</v>
      </c>
      <c r="AE21" s="22">
        <f ca="1">+GETPIVOTDATA("XDB4",'dabac (2016)'!$A$3,"MA_HT","CAN","MA_QH","DBV")</f>
        <v>0</v>
      </c>
      <c r="AF21" s="22">
        <f ca="1">+GETPIVOTDATA("XDB4",'dabac (2016)'!$A$3,"MA_HT","CAN","MA_QH","DVH")</f>
        <v>0</v>
      </c>
      <c r="AG21" s="22">
        <f ca="1">+GETPIVOTDATA("XDB4",'dabac (2016)'!$A$3,"MA_HT","CAN","MA_QH","DYT")</f>
        <v>0</v>
      </c>
      <c r="AH21" s="22">
        <f ca="1">+GETPIVOTDATA("XDB4",'dabac (2016)'!$A$3,"MA_HT","CAN","MA_QH","DGD")</f>
        <v>0</v>
      </c>
      <c r="AI21" s="22">
        <f ca="1">+GETPIVOTDATA("XDB4",'dabac (2016)'!$A$3,"MA_HT","CAN","MA_QH","DTT")</f>
        <v>0</v>
      </c>
      <c r="AJ21" s="22">
        <f ca="1">+GETPIVOTDATA("XDB4",'dabac (2016)'!$A$3,"MA_HT","CAN","MA_QH","NCK")</f>
        <v>0</v>
      </c>
      <c r="AK21" s="22">
        <f ca="1">+GETPIVOTDATA("XDB4",'dabac (2016)'!$A$3,"MA_HT","CAN","MA_QH","DXH")</f>
        <v>0</v>
      </c>
      <c r="AL21" s="22">
        <f ca="1">+GETPIVOTDATA("XDB4",'dabac (2016)'!$A$3,"MA_HT","CAN","MA_QH","DCH")</f>
        <v>0</v>
      </c>
      <c r="AM21" s="22">
        <f ca="1">+GETPIVOTDATA("XDB4",'dabac (2016)'!$A$3,"MA_HT","CAN","MA_QH","DKG")</f>
        <v>0</v>
      </c>
      <c r="AN21" s="22">
        <f ca="1">+GETPIVOTDATA("XDB4",'dabac (2016)'!$A$3,"MA_HT","CAN","MA_QH","DDT")</f>
        <v>0</v>
      </c>
      <c r="AO21" s="22">
        <f ca="1">+GETPIVOTDATA("XDB4",'dabac (2016)'!$A$3,"MA_HT","CAN","MA_QH","DDL")</f>
        <v>0</v>
      </c>
      <c r="AP21" s="22">
        <f ca="1">+GETPIVOTDATA("XDB4",'dabac (2016)'!$A$3,"MA_HT","CAN","MA_QH","DRA")</f>
        <v>0</v>
      </c>
      <c r="AQ21" s="22">
        <f ca="1">+GETPIVOTDATA("XDB4",'dabac (2016)'!$A$3,"MA_HT","CAN","MA_QH","ONT")</f>
        <v>0</v>
      </c>
      <c r="AR21" s="22">
        <f ca="1">+GETPIVOTDATA("XDB4",'dabac (2016)'!$A$3,"MA_HT","CAN","MA_QH","ODT")</f>
        <v>0</v>
      </c>
      <c r="AS21" s="22">
        <f ca="1">+GETPIVOTDATA("XDB4",'dabac (2016)'!$A$3,"MA_HT","CAN","MA_QH","TSC")</f>
        <v>0</v>
      </c>
      <c r="AT21" s="22">
        <f ca="1">+GETPIVOTDATA("XDB4",'dabac (2016)'!$A$3,"MA_HT","CAN","MA_QH","DTS")</f>
        <v>0</v>
      </c>
      <c r="AU21" s="22">
        <f ca="1">+GETPIVOTDATA("XDB4",'dabac (2016)'!$A$3,"MA_HT","CAN","MA_QH","DNG")</f>
        <v>0</v>
      </c>
      <c r="AV21" s="22">
        <f ca="1">+GETPIVOTDATA("XDB4",'dabac (2016)'!$A$3,"MA_HT","CAN","MA_QH","TON")</f>
        <v>0</v>
      </c>
      <c r="AW21" s="22">
        <f ca="1">+GETPIVOTDATA("XDB4",'dabac (2016)'!$A$3,"MA_HT","CAN","MA_QH","NTD")</f>
        <v>0</v>
      </c>
      <c r="AX21" s="22">
        <f ca="1">+GETPIVOTDATA("XDB4",'dabac (2016)'!$A$3,"MA_HT","CAN","MA_QH","SKX")</f>
        <v>0</v>
      </c>
      <c r="AY21" s="22">
        <f ca="1">+GETPIVOTDATA("XDB4",'dabac (2016)'!$A$3,"MA_HT","CAN","MA_QH","DSH")</f>
        <v>0</v>
      </c>
      <c r="AZ21" s="22">
        <f ca="1">+GETPIVOTDATA("XDB4",'dabac (2016)'!$A$3,"MA_HT","CAN","MA_QH","DKV")</f>
        <v>0</v>
      </c>
      <c r="BA21" s="89">
        <f ca="1">+GETPIVOTDATA("XDB4",'dabac (2016)'!$A$3,"MA_HT","CAN","MA_QH","TIN")</f>
        <v>0</v>
      </c>
      <c r="BB21" s="50">
        <f ca="1">+GETPIVOTDATA("XDB4",'dabac (2016)'!$A$3,"MA_HT","CAN","MA_QH","SON")</f>
        <v>0</v>
      </c>
      <c r="BC21" s="50">
        <f ca="1">+GETPIVOTDATA("XDB4",'dabac (2016)'!$A$3,"MA_HT","CAN","MA_QH","MNC")</f>
        <v>0</v>
      </c>
      <c r="BD21" s="22">
        <f ca="1">+GETPIVOTDATA("XDB4",'dabac (2016)'!$A$3,"MA_HT","CAN","MA_QH","PNK")</f>
        <v>0</v>
      </c>
      <c r="BE21" s="71">
        <f ca="1">+GETPIVOTDATA("XDB4",'dabac (2016)'!$A$3,"MA_HT","CAN","MA_QH","CSD")</f>
        <v>0</v>
      </c>
      <c r="BF21" s="74">
        <f ca="1" t="shared" si="13"/>
        <v>0</v>
      </c>
      <c r="BG21" s="101">
        <f ca="1">T$59-$BF21</f>
        <v>0</v>
      </c>
      <c r="BH21" s="41" t="e">
        <f ca="1" t="shared" si="14"/>
        <v>#REF!</v>
      </c>
      <c r="BI21" s="98"/>
      <c r="BJ21" s="98" t="e">
        <f>#REF!</f>
        <v>#REF!</v>
      </c>
      <c r="BK21" s="107" t="e">
        <f ca="1">BH21-BJ21</f>
        <v>#REF!</v>
      </c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</row>
    <row r="22" s="2" customFormat="1" ht="15.75" customHeight="1" spans="1:79">
      <c r="A22" s="39" t="s">
        <v>8362</v>
      </c>
      <c r="B22" s="53" t="s">
        <v>8363</v>
      </c>
      <c r="C22" s="40" t="s">
        <v>47</v>
      </c>
      <c r="D22" s="41" t="e">
        <f>+#REF!</f>
        <v>#REF!</v>
      </c>
      <c r="E22" s="42">
        <f ca="1" t="shared" si="15"/>
        <v>0</v>
      </c>
      <c r="F22" s="52">
        <f ca="1" t="shared" si="9"/>
        <v>0</v>
      </c>
      <c r="G22" s="22">
        <f ca="1">+GETPIVOTDATA("XDB4",'dabac (2016)'!$A$3,"MA_HT","SKK","MA_QH","LUC")</f>
        <v>0</v>
      </c>
      <c r="H22" s="22">
        <f ca="1">+GETPIVOTDATA("XDB4",'dabac (2016)'!$A$3,"MA_HT","SKK","MA_QH","LUK")</f>
        <v>0</v>
      </c>
      <c r="I22" s="22">
        <f ca="1">+GETPIVOTDATA("XDB4",'dabac (2016)'!$A$3,"MA_HT","SKK","MA_QH","LUN")</f>
        <v>0</v>
      </c>
      <c r="J22" s="22">
        <f ca="1">+GETPIVOTDATA("XDB4",'dabac (2016)'!$A$3,"MA_HT","SKK","MA_QH","HNK")</f>
        <v>0</v>
      </c>
      <c r="K22" s="22">
        <f ca="1">+GETPIVOTDATA("XDB4",'dabac (2016)'!$A$3,"MA_HT","SKK","MA_QH","CLN")</f>
        <v>0</v>
      </c>
      <c r="L22" s="22">
        <f ca="1">+GETPIVOTDATA("XDB4",'dabac (2016)'!$A$3,"MA_HT","SKK","MA_QH","RSX")</f>
        <v>0</v>
      </c>
      <c r="M22" s="22">
        <f ca="1">+GETPIVOTDATA("XDB4",'dabac (2016)'!$A$3,"MA_HT","SKK","MA_QH","RPH")</f>
        <v>0</v>
      </c>
      <c r="N22" s="22">
        <f ca="1">+GETPIVOTDATA("XDB4",'dabac (2016)'!$A$3,"MA_HT","SKK","MA_QH","RDD")</f>
        <v>0</v>
      </c>
      <c r="O22" s="22">
        <f ca="1">+GETPIVOTDATA("XDB4",'dabac (2016)'!$A$3,"MA_HT","SKK","MA_QH","NTS")</f>
        <v>0</v>
      </c>
      <c r="P22" s="22">
        <f ca="1">+GETPIVOTDATA("XDB4",'dabac (2016)'!$A$3,"MA_HT","SKK","MA_QH","LMU")</f>
        <v>0</v>
      </c>
      <c r="Q22" s="22">
        <f ca="1">+GETPIVOTDATA("XDB4",'dabac (2016)'!$A$3,"MA_HT","SKK","MA_QH","NKH")</f>
        <v>0</v>
      </c>
      <c r="R22" s="42">
        <f ca="1">SUM(S22:T22,V22:AA22,AN22:BD22)</f>
        <v>0</v>
      </c>
      <c r="S22" s="22">
        <f ca="1">+GETPIVOTDATA("XDB4",'dabac (2016)'!$A$3,"MA_HT","SKK","MA_QH","CQP")</f>
        <v>0</v>
      </c>
      <c r="T22" s="22">
        <f ca="1">+GETPIVOTDATA("XDB4",'dabac (2016)'!$A$3,"MA_HT","SKK","MA_QH","CAN")</f>
        <v>0</v>
      </c>
      <c r="U22" s="43" t="e">
        <f ca="1">$D22-$BF22</f>
        <v>#REF!</v>
      </c>
      <c r="V22" s="22">
        <f ca="1">+GETPIVOTDATA("XDB4",'dabac (2016)'!$A$3,"MA_HT","SKK","MA_QH","SKT")</f>
        <v>0</v>
      </c>
      <c r="W22" s="22">
        <f ca="1">+GETPIVOTDATA("XDB4",'dabac (2016)'!$A$3,"MA_HT","SKK","MA_QH","SKN")</f>
        <v>0</v>
      </c>
      <c r="X22" s="22">
        <f ca="1">+GETPIVOTDATA("XDB4",'dabac (2016)'!$A$3,"MA_HT","SKK","MA_QH","TMD")</f>
        <v>0</v>
      </c>
      <c r="Y22" s="22">
        <f ca="1">+GETPIVOTDATA("XDB4",'dabac (2016)'!$A$3,"MA_HT","SKK","MA_QH","SKC")</f>
        <v>0</v>
      </c>
      <c r="Z22" s="22">
        <f ca="1">+GETPIVOTDATA("XDB4",'dabac (2016)'!$A$3,"MA_HT","SKK","MA_QH","SKS")</f>
        <v>0</v>
      </c>
      <c r="AA22" s="52">
        <f ca="1" t="shared" si="12"/>
        <v>0</v>
      </c>
      <c r="AB22" s="22">
        <f ca="1">+GETPIVOTDATA("XDB4",'dabac (2016)'!$A$3,"MA_HT","SKK","MA_QH","DGT")</f>
        <v>0</v>
      </c>
      <c r="AC22" s="22">
        <f ca="1">+GETPIVOTDATA("XDB4",'dabac (2016)'!$A$3,"MA_HT","SKK","MA_QH","DTL")</f>
        <v>0</v>
      </c>
      <c r="AD22" s="22">
        <f ca="1">+GETPIVOTDATA("XDB4",'dabac (2016)'!$A$3,"MA_HT","SKK","MA_QH","DNL")</f>
        <v>0</v>
      </c>
      <c r="AE22" s="22">
        <f ca="1">+GETPIVOTDATA("XDB4",'dabac (2016)'!$A$3,"MA_HT","SKK","MA_QH","DBV")</f>
        <v>0</v>
      </c>
      <c r="AF22" s="22">
        <f ca="1">+GETPIVOTDATA("XDB4",'dabac (2016)'!$A$3,"MA_HT","SKK","MA_QH","DVH")</f>
        <v>0</v>
      </c>
      <c r="AG22" s="22">
        <f ca="1">+GETPIVOTDATA("XDB4",'dabac (2016)'!$A$3,"MA_HT","SKK","MA_QH","DYT")</f>
        <v>0</v>
      </c>
      <c r="AH22" s="22">
        <f ca="1">+GETPIVOTDATA("XDB4",'dabac (2016)'!$A$3,"MA_HT","SKK","MA_QH","DGD")</f>
        <v>0</v>
      </c>
      <c r="AI22" s="22">
        <f ca="1">+GETPIVOTDATA("XDB4",'dabac (2016)'!$A$3,"MA_HT","SKK","MA_QH","DTT")</f>
        <v>0</v>
      </c>
      <c r="AJ22" s="22">
        <f ca="1">+GETPIVOTDATA("XDB4",'dabac (2016)'!$A$3,"MA_HT","SKK","MA_QH","NCK")</f>
        <v>0</v>
      </c>
      <c r="AK22" s="22">
        <f ca="1">+GETPIVOTDATA("XDB4",'dabac (2016)'!$A$3,"MA_HT","SKK","MA_QH","DXH")</f>
        <v>0</v>
      </c>
      <c r="AL22" s="22">
        <f ca="1">+GETPIVOTDATA("XDB4",'dabac (2016)'!$A$3,"MA_HT","SKK","MA_QH","DCH")</f>
        <v>0</v>
      </c>
      <c r="AM22" s="22">
        <f ca="1">+GETPIVOTDATA("XDB4",'dabac (2016)'!$A$3,"MA_HT","SKK","MA_QH","DKG")</f>
        <v>0</v>
      </c>
      <c r="AN22" s="22">
        <f ca="1">+GETPIVOTDATA("XDB4",'dabac (2016)'!$A$3,"MA_HT","SKK","MA_QH","DDT")</f>
        <v>0</v>
      </c>
      <c r="AO22" s="22">
        <f ca="1">+GETPIVOTDATA("XDB4",'dabac (2016)'!$A$3,"MA_HT","SKK","MA_QH","DDL")</f>
        <v>0</v>
      </c>
      <c r="AP22" s="22">
        <f ca="1">+GETPIVOTDATA("XDB4",'dabac (2016)'!$A$3,"MA_HT","SKK","MA_QH","DRA")</f>
        <v>0</v>
      </c>
      <c r="AQ22" s="22">
        <f ca="1">+GETPIVOTDATA("XDB4",'dabac (2016)'!$A$3,"MA_HT","SKK","MA_QH","ONT")</f>
        <v>0</v>
      </c>
      <c r="AR22" s="22">
        <f ca="1">+GETPIVOTDATA("XDB4",'dabac (2016)'!$A$3,"MA_HT","SKK","MA_QH","ODT")</f>
        <v>0</v>
      </c>
      <c r="AS22" s="22">
        <f ca="1">+GETPIVOTDATA("XDB4",'dabac (2016)'!$A$3,"MA_HT","SKK","MA_QH","TSC")</f>
        <v>0</v>
      </c>
      <c r="AT22" s="22">
        <f ca="1">+GETPIVOTDATA("XDB4",'dabac (2016)'!$A$3,"MA_HT","SKK","MA_QH","DTS")</f>
        <v>0</v>
      </c>
      <c r="AU22" s="22">
        <f ca="1">+GETPIVOTDATA("XDB4",'dabac (2016)'!$A$3,"MA_HT","SKK","MA_QH","DNG")</f>
        <v>0</v>
      </c>
      <c r="AV22" s="22">
        <f ca="1">+GETPIVOTDATA("XDB4",'dabac (2016)'!$A$3,"MA_HT","SKK","MA_QH","TON")</f>
        <v>0</v>
      </c>
      <c r="AW22" s="22">
        <f ca="1">+GETPIVOTDATA("XDB4",'dabac (2016)'!$A$3,"MA_HT","SKK","MA_QH","NTD")</f>
        <v>0</v>
      </c>
      <c r="AX22" s="22">
        <f ca="1">+GETPIVOTDATA("XDB4",'dabac (2016)'!$A$3,"MA_HT","SKK","MA_QH","SKX")</f>
        <v>0</v>
      </c>
      <c r="AY22" s="22">
        <f ca="1">+GETPIVOTDATA("XDB4",'dabac (2016)'!$A$3,"MA_HT","SKK","MA_QH","DSH")</f>
        <v>0</v>
      </c>
      <c r="AZ22" s="22">
        <f ca="1">+GETPIVOTDATA("XDB4",'dabac (2016)'!$A$3,"MA_HT","SKK","MA_QH","DKV")</f>
        <v>0</v>
      </c>
      <c r="BA22" s="89">
        <f ca="1">+GETPIVOTDATA("XDB4",'dabac (2016)'!$A$3,"MA_HT","SKK","MA_QH","TIN")</f>
        <v>0</v>
      </c>
      <c r="BB22" s="50">
        <f ca="1">+GETPIVOTDATA("XDB4",'dabac (2016)'!$A$3,"MA_HT","SKK","MA_QH","SON")</f>
        <v>0</v>
      </c>
      <c r="BC22" s="50">
        <f ca="1">+GETPIVOTDATA("XDB4",'dabac (2016)'!$A$3,"MA_HT","SKK","MA_QH","MNC")</f>
        <v>0</v>
      </c>
      <c r="BD22" s="22">
        <f ca="1">+GETPIVOTDATA("XDB4",'dabac (2016)'!$A$3,"MA_HT","SKK","MA_QH","PNK")</f>
        <v>0</v>
      </c>
      <c r="BE22" s="71">
        <f ca="1">+GETPIVOTDATA("XDB4",'dabac (2016)'!$A$3,"MA_HT","SKK","MA_QH","CSD")</f>
        <v>0</v>
      </c>
      <c r="BF22" s="74">
        <f ca="1" t="shared" si="13"/>
        <v>0</v>
      </c>
      <c r="BG22" s="101">
        <f ca="1">U$59-$BF22</f>
        <v>0</v>
      </c>
      <c r="BH22" s="41" t="e">
        <f ca="1" t="shared" si="14"/>
        <v>#REF!</v>
      </c>
      <c r="BI22" s="98"/>
      <c r="BJ22" s="107" t="e">
        <f>#REF!</f>
        <v>#REF!</v>
      </c>
      <c r="BK22" s="107" t="e">
        <f ca="1">BH22-BJ22</f>
        <v>#REF!</v>
      </c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</row>
    <row r="23" s="2" customFormat="1" ht="15.75" customHeight="1" spans="1:79">
      <c r="A23" s="39" t="s">
        <v>8364</v>
      </c>
      <c r="B23" s="53" t="s">
        <v>8365</v>
      </c>
      <c r="C23" s="40" t="s">
        <v>8308</v>
      </c>
      <c r="D23" s="41" t="e">
        <f>+#REF!</f>
        <v>#REF!</v>
      </c>
      <c r="E23" s="42">
        <f ca="1" t="shared" si="15"/>
        <v>0</v>
      </c>
      <c r="F23" s="52">
        <f ca="1" t="shared" si="9"/>
        <v>0</v>
      </c>
      <c r="G23" s="22">
        <f ca="1">+GETPIVOTDATA("XDB4",'dabac (2016)'!$A$3,"MA_HT","SKT","MA_QH","LUC")</f>
        <v>0</v>
      </c>
      <c r="H23" s="22">
        <f ca="1">+GETPIVOTDATA("XDB4",'dabac (2016)'!$A$3,"MA_HT","SKT","MA_QH","LUK")</f>
        <v>0</v>
      </c>
      <c r="I23" s="22">
        <f ca="1">+GETPIVOTDATA("XDB4",'dabac (2016)'!$A$3,"MA_HT","SKT","MA_QH","LUN")</f>
        <v>0</v>
      </c>
      <c r="J23" s="22">
        <f ca="1">+GETPIVOTDATA("XDB4",'dabac (2016)'!$A$3,"MA_HT","SKT","MA_QH","HNK")</f>
        <v>0</v>
      </c>
      <c r="K23" s="22">
        <f ca="1">+GETPIVOTDATA("XDB4",'dabac (2016)'!$A$3,"MA_HT","SKT","MA_QH","CLN")</f>
        <v>0</v>
      </c>
      <c r="L23" s="22">
        <f ca="1">+GETPIVOTDATA("XDB4",'dabac (2016)'!$A$3,"MA_HT","SKT","MA_QH","RSX")</f>
        <v>0</v>
      </c>
      <c r="M23" s="22">
        <f ca="1">+GETPIVOTDATA("XDB4",'dabac (2016)'!$A$3,"MA_HT","SKT","MA_QH","RPH")</f>
        <v>0</v>
      </c>
      <c r="N23" s="22">
        <f ca="1">+GETPIVOTDATA("XDB4",'dabac (2016)'!$A$3,"MA_HT","SKT","MA_QH","RDD")</f>
        <v>0</v>
      </c>
      <c r="O23" s="22">
        <f ca="1">+GETPIVOTDATA("XDB4",'dabac (2016)'!$A$3,"MA_HT","SKT","MA_QH","NTS")</f>
        <v>0</v>
      </c>
      <c r="P23" s="22">
        <f ca="1">+GETPIVOTDATA("XDB4",'dabac (2016)'!$A$3,"MA_HT","SKT","MA_QH","LMU")</f>
        <v>0</v>
      </c>
      <c r="Q23" s="22">
        <f ca="1">+GETPIVOTDATA("XDB4",'dabac (2016)'!$A$3,"MA_HT","SKT","MA_QH","NKH")</f>
        <v>0</v>
      </c>
      <c r="R23" s="42">
        <f ca="1">SUM(S23:U23,W23:AA23,AN23:BD23)</f>
        <v>0</v>
      </c>
      <c r="S23" s="22">
        <f ca="1">+GETPIVOTDATA("XDB4",'dabac (2016)'!$A$3,"MA_HT","SKT","MA_QH","CQP")</f>
        <v>0</v>
      </c>
      <c r="T23" s="22">
        <f ca="1">+GETPIVOTDATA("XDB4",'dabac (2016)'!$A$3,"MA_HT","SKT","MA_QH","CAN")</f>
        <v>0</v>
      </c>
      <c r="U23" s="22">
        <f ca="1">+GETPIVOTDATA("XDB4",'dabac (2016)'!$A$3,"MA_HT","SKT","MA_QH","SKK")</f>
        <v>0</v>
      </c>
      <c r="V23" s="43" t="e">
        <f ca="1">$D23-$BF23</f>
        <v>#REF!</v>
      </c>
      <c r="W23" s="22">
        <f ca="1">+GETPIVOTDATA("XDB4",'dabac (2016)'!$A$3,"MA_HT","SKT","MA_QH","SKN")</f>
        <v>0</v>
      </c>
      <c r="X23" s="22">
        <f ca="1">+GETPIVOTDATA("XDB4",'dabac (2016)'!$A$3,"MA_HT","SKT","MA_QH","TMD")</f>
        <v>0</v>
      </c>
      <c r="Y23" s="22">
        <f ca="1">+GETPIVOTDATA("XDB4",'dabac (2016)'!$A$3,"MA_HT","SKT","MA_QH","SKC")</f>
        <v>0</v>
      </c>
      <c r="Z23" s="22">
        <f ca="1">+GETPIVOTDATA("XDB4",'dabac (2016)'!$A$3,"MA_HT","SKT","MA_QH","SKS")</f>
        <v>0</v>
      </c>
      <c r="AA23" s="52">
        <f ca="1" t="shared" si="12"/>
        <v>0</v>
      </c>
      <c r="AB23" s="22">
        <f ca="1">+GETPIVOTDATA("XDB4",'dabac (2016)'!$A$3,"MA_HT","SKT","MA_QH","DGT")</f>
        <v>0</v>
      </c>
      <c r="AC23" s="22">
        <f ca="1">+GETPIVOTDATA("XDB4",'dabac (2016)'!$A$3,"MA_HT","SKT","MA_QH","DTL")</f>
        <v>0</v>
      </c>
      <c r="AD23" s="22">
        <f ca="1">+GETPIVOTDATA("XDB4",'dabac (2016)'!$A$3,"MA_HT","SKT","MA_QH","DNL")</f>
        <v>0</v>
      </c>
      <c r="AE23" s="22">
        <f ca="1">+GETPIVOTDATA("XDB4",'dabac (2016)'!$A$3,"MA_HT","SKT","MA_QH","DBV")</f>
        <v>0</v>
      </c>
      <c r="AF23" s="22">
        <f ca="1">+GETPIVOTDATA("XDB4",'dabac (2016)'!$A$3,"MA_HT","SKT","MA_QH","DVH")</f>
        <v>0</v>
      </c>
      <c r="AG23" s="22">
        <f ca="1">+GETPIVOTDATA("XDB4",'dabac (2016)'!$A$3,"MA_HT","SKT","MA_QH","DYT")</f>
        <v>0</v>
      </c>
      <c r="AH23" s="22">
        <f ca="1">+GETPIVOTDATA("XDB4",'dabac (2016)'!$A$3,"MA_HT","SKT","MA_QH","DGD")</f>
        <v>0</v>
      </c>
      <c r="AI23" s="22">
        <f ca="1">+GETPIVOTDATA("XDB4",'dabac (2016)'!$A$3,"MA_HT","SKT","MA_QH","DTT")</f>
        <v>0</v>
      </c>
      <c r="AJ23" s="22">
        <f ca="1">+GETPIVOTDATA("XDB4",'dabac (2016)'!$A$3,"MA_HT","SKT","MA_QH","NCK")</f>
        <v>0</v>
      </c>
      <c r="AK23" s="22">
        <f ca="1">+GETPIVOTDATA("XDB4",'dabac (2016)'!$A$3,"MA_HT","SKT","MA_QH","DXH")</f>
        <v>0</v>
      </c>
      <c r="AL23" s="22">
        <f ca="1">+GETPIVOTDATA("XDB4",'dabac (2016)'!$A$3,"MA_HT","SKT","MA_QH","DCH")</f>
        <v>0</v>
      </c>
      <c r="AM23" s="22">
        <f ca="1">+GETPIVOTDATA("XDB4",'dabac (2016)'!$A$3,"MA_HT","SKT","MA_QH","DKG")</f>
        <v>0</v>
      </c>
      <c r="AN23" s="22">
        <f ca="1">+GETPIVOTDATA("XDB4",'dabac (2016)'!$A$3,"MA_HT","SKT","MA_QH","DDT")</f>
        <v>0</v>
      </c>
      <c r="AO23" s="22">
        <f ca="1">+GETPIVOTDATA("XDB4",'dabac (2016)'!$A$3,"MA_HT","SKT","MA_QH","DDL")</f>
        <v>0</v>
      </c>
      <c r="AP23" s="22">
        <f ca="1">+GETPIVOTDATA("XDB4",'dabac (2016)'!$A$3,"MA_HT","SKT","MA_QH","DRA")</f>
        <v>0</v>
      </c>
      <c r="AQ23" s="22">
        <f ca="1">+GETPIVOTDATA("XDB4",'dabac (2016)'!$A$3,"MA_HT","SKT","MA_QH","ONT")</f>
        <v>0</v>
      </c>
      <c r="AR23" s="22">
        <f ca="1">+GETPIVOTDATA("XDB4",'dabac (2016)'!$A$3,"MA_HT","SKT","MA_QH","ODT")</f>
        <v>0</v>
      </c>
      <c r="AS23" s="22">
        <f ca="1">+GETPIVOTDATA("XDB4",'dabac (2016)'!$A$3,"MA_HT","SKT","MA_QH","TSC")</f>
        <v>0</v>
      </c>
      <c r="AT23" s="22">
        <f ca="1">+GETPIVOTDATA("XDB4",'dabac (2016)'!$A$3,"MA_HT","SKT","MA_QH","DTS")</f>
        <v>0</v>
      </c>
      <c r="AU23" s="22">
        <f ca="1">+GETPIVOTDATA("XDB4",'dabac (2016)'!$A$3,"MA_HT","SKT","MA_QH","DNG")</f>
        <v>0</v>
      </c>
      <c r="AV23" s="22">
        <f ca="1">+GETPIVOTDATA("XDB4",'dabac (2016)'!$A$3,"MA_HT","SKT","MA_QH","TON")</f>
        <v>0</v>
      </c>
      <c r="AW23" s="22">
        <f ca="1">+GETPIVOTDATA("XDB4",'dabac (2016)'!$A$3,"MA_HT","SKT","MA_QH","NTD")</f>
        <v>0</v>
      </c>
      <c r="AX23" s="22">
        <f ca="1">+GETPIVOTDATA("XDB4",'dabac (2016)'!$A$3,"MA_HT","SKT","MA_QH","SKX")</f>
        <v>0</v>
      </c>
      <c r="AY23" s="22">
        <f ca="1">+GETPIVOTDATA("XDB4",'dabac (2016)'!$A$3,"MA_HT","SKT","MA_QH","DSH")</f>
        <v>0</v>
      </c>
      <c r="AZ23" s="22">
        <f ca="1">+GETPIVOTDATA("XDB4",'dabac (2016)'!$A$3,"MA_HT","SKT","MA_QH","DKV")</f>
        <v>0</v>
      </c>
      <c r="BA23" s="89">
        <f ca="1">+GETPIVOTDATA("XDB4",'dabac (2016)'!$A$3,"MA_HT","SKT","MA_QH","TIN")</f>
        <v>0</v>
      </c>
      <c r="BB23" s="50">
        <f ca="1">+GETPIVOTDATA("XDB4",'dabac (2016)'!$A$3,"MA_HT","SKT","MA_QH","SON")</f>
        <v>0</v>
      </c>
      <c r="BC23" s="50">
        <f ca="1">+GETPIVOTDATA("XDB4",'dabac (2016)'!$A$3,"MA_HT","SKT","MA_QH","MNC")</f>
        <v>0</v>
      </c>
      <c r="BD23" s="22">
        <f ca="1">+GETPIVOTDATA("XDB4",'dabac (2016)'!$A$3,"MA_HT","SKT","MA_QH","PNK")</f>
        <v>0</v>
      </c>
      <c r="BE23" s="71">
        <f ca="1">+GETPIVOTDATA("XDB4",'dabac (2016)'!$A$3,"MA_HT","SKT","MA_QH","CSD")</f>
        <v>0</v>
      </c>
      <c r="BF23" s="74">
        <f ca="1" t="shared" si="13"/>
        <v>0</v>
      </c>
      <c r="BG23" s="101">
        <f ca="1">V$59-$BF23</f>
        <v>0</v>
      </c>
      <c r="BH23" s="41" t="e">
        <f ca="1" t="shared" si="14"/>
        <v>#REF!</v>
      </c>
      <c r="BI23" s="98"/>
      <c r="BJ23" s="107"/>
      <c r="BK23" s="107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</row>
    <row r="24" s="2" customFormat="1" ht="15.75" customHeight="1" spans="1:79">
      <c r="A24" s="39" t="s">
        <v>8366</v>
      </c>
      <c r="B24" s="53" t="s">
        <v>8367</v>
      </c>
      <c r="C24" s="40" t="s">
        <v>56</v>
      </c>
      <c r="D24" s="41" t="e">
        <f>+#REF!</f>
        <v>#REF!</v>
      </c>
      <c r="E24" s="42">
        <f ca="1" t="shared" si="15"/>
        <v>0</v>
      </c>
      <c r="F24" s="52">
        <f ca="1" t="shared" si="9"/>
        <v>0</v>
      </c>
      <c r="G24" s="22">
        <f ca="1">+GETPIVOTDATA("XDB4",'dabac (2016)'!$A$3,"MA_HT","SKN","MA_QH","LUC")</f>
        <v>0</v>
      </c>
      <c r="H24" s="22">
        <f ca="1">+GETPIVOTDATA("XDB4",'dabac (2016)'!$A$3,"MA_HT","SKN","MA_QH","LUK")</f>
        <v>0</v>
      </c>
      <c r="I24" s="22">
        <f ca="1">+GETPIVOTDATA("XDB4",'dabac (2016)'!$A$3,"MA_HT","SKN","MA_QH","LUN")</f>
        <v>0</v>
      </c>
      <c r="J24" s="22">
        <f ca="1">+GETPIVOTDATA("XDB4",'dabac (2016)'!$A$3,"MA_HT","SKN","MA_QH","HNK")</f>
        <v>0</v>
      </c>
      <c r="K24" s="22">
        <f ca="1">+GETPIVOTDATA("XDB4",'dabac (2016)'!$A$3,"MA_HT","SKN","MA_QH","CLN")</f>
        <v>0</v>
      </c>
      <c r="L24" s="22">
        <f ca="1">+GETPIVOTDATA("XDB4",'dabac (2016)'!$A$3,"MA_HT","SKN","MA_QH","RSX")</f>
        <v>0</v>
      </c>
      <c r="M24" s="22">
        <f ca="1">+GETPIVOTDATA("XDB4",'dabac (2016)'!$A$3,"MA_HT","SKN","MA_QH","RPH")</f>
        <v>0</v>
      </c>
      <c r="N24" s="22">
        <f ca="1">+GETPIVOTDATA("XDB4",'dabac (2016)'!$A$3,"MA_HT","SKN","MA_QH","RDD")</f>
        <v>0</v>
      </c>
      <c r="O24" s="22">
        <f ca="1">+GETPIVOTDATA("XDB4",'dabac (2016)'!$A$3,"MA_HT","SKN","MA_QH","NTS")</f>
        <v>0</v>
      </c>
      <c r="P24" s="22">
        <f ca="1">+GETPIVOTDATA("XDB4",'dabac (2016)'!$A$3,"MA_HT","SKN","MA_QH","LMU")</f>
        <v>0</v>
      </c>
      <c r="Q24" s="22">
        <f ca="1">+GETPIVOTDATA("XDB4",'dabac (2016)'!$A$3,"MA_HT","SKN","MA_QH","NKH")</f>
        <v>0</v>
      </c>
      <c r="R24" s="42">
        <f ca="1">SUM(S24:V24,X24:AA24,AN24:BD24)</f>
        <v>0</v>
      </c>
      <c r="S24" s="22">
        <f ca="1">+GETPIVOTDATA("XDB4",'dabac (2016)'!$A$3,"MA_HT","SKN","MA_QH","CQP")</f>
        <v>0</v>
      </c>
      <c r="T24" s="22">
        <f ca="1">+GETPIVOTDATA("XDB4",'dabac (2016)'!$A$3,"MA_HT","SKN","MA_QH","CAN")</f>
        <v>0</v>
      </c>
      <c r="U24" s="22">
        <f ca="1">+GETPIVOTDATA("XDB4",'dabac (2016)'!$A$3,"MA_HT","SKN","MA_QH","SKK")</f>
        <v>0</v>
      </c>
      <c r="V24" s="22">
        <f ca="1">+GETPIVOTDATA("XDB4",'dabac (2016)'!$A$3,"MA_HT","SKN","MA_QH","SKT")</f>
        <v>0</v>
      </c>
      <c r="W24" s="43" t="e">
        <f ca="1">$D24-$BF24</f>
        <v>#REF!</v>
      </c>
      <c r="X24" s="22">
        <f ca="1">+GETPIVOTDATA("XDB4",'dabac (2016)'!$A$3,"MA_HT","SKN","MA_QH","TMD")</f>
        <v>0</v>
      </c>
      <c r="Y24" s="22">
        <f ca="1">+GETPIVOTDATA("XDB4",'dabac (2016)'!$A$3,"MA_HT","SKN","MA_QH","SKC")</f>
        <v>0</v>
      </c>
      <c r="Z24" s="22">
        <f ca="1">+GETPIVOTDATA("XDB4",'dabac (2016)'!$A$3,"MA_HT","SKN","MA_QH","SKS")</f>
        <v>0</v>
      </c>
      <c r="AA24" s="52">
        <f ca="1" t="shared" si="12"/>
        <v>0</v>
      </c>
      <c r="AB24" s="22">
        <f ca="1">+GETPIVOTDATA("XDB4",'dabac (2016)'!$A$3,"MA_HT","SKN","MA_QH","DGT")</f>
        <v>0</v>
      </c>
      <c r="AC24" s="22">
        <f ca="1">+GETPIVOTDATA("XDB4",'dabac (2016)'!$A$3,"MA_HT","SKN","MA_QH","DTL")</f>
        <v>0</v>
      </c>
      <c r="AD24" s="22">
        <f ca="1">+GETPIVOTDATA("XDB4",'dabac (2016)'!$A$3,"MA_HT","SKN","MA_QH","DNL")</f>
        <v>0</v>
      </c>
      <c r="AE24" s="22">
        <f ca="1">+GETPIVOTDATA("XDB4",'dabac (2016)'!$A$3,"MA_HT","SKN","MA_QH","DBV")</f>
        <v>0</v>
      </c>
      <c r="AF24" s="22">
        <f ca="1">+GETPIVOTDATA("XDB4",'dabac (2016)'!$A$3,"MA_HT","SKN","MA_QH","DVH")</f>
        <v>0</v>
      </c>
      <c r="AG24" s="22">
        <f ca="1">+GETPIVOTDATA("XDB4",'dabac (2016)'!$A$3,"MA_HT","SKN","MA_QH","DYT")</f>
        <v>0</v>
      </c>
      <c r="AH24" s="22">
        <f ca="1">+GETPIVOTDATA("XDB4",'dabac (2016)'!$A$3,"MA_HT","SKN","MA_QH","DGD")</f>
        <v>0</v>
      </c>
      <c r="AI24" s="22">
        <f ca="1">+GETPIVOTDATA("XDB4",'dabac (2016)'!$A$3,"MA_HT","SKN","MA_QH","DTT")</f>
        <v>0</v>
      </c>
      <c r="AJ24" s="22">
        <f ca="1">+GETPIVOTDATA("XDB4",'dabac (2016)'!$A$3,"MA_HT","SKN","MA_QH","NCK")</f>
        <v>0</v>
      </c>
      <c r="AK24" s="22">
        <f ca="1">+GETPIVOTDATA("XDB4",'dabac (2016)'!$A$3,"MA_HT","SKN","MA_QH","DXH")</f>
        <v>0</v>
      </c>
      <c r="AL24" s="22">
        <f ca="1">+GETPIVOTDATA("XDB4",'dabac (2016)'!$A$3,"MA_HT","SKN","MA_QH","DCH")</f>
        <v>0</v>
      </c>
      <c r="AM24" s="22">
        <f ca="1">+GETPIVOTDATA("XDB4",'dabac (2016)'!$A$3,"MA_HT","SKN","MA_QH","DKG")</f>
        <v>0</v>
      </c>
      <c r="AN24" s="22">
        <f ca="1">+GETPIVOTDATA("XDB4",'dabac (2016)'!$A$3,"MA_HT","SKN","MA_QH","DDT")</f>
        <v>0</v>
      </c>
      <c r="AO24" s="22">
        <f ca="1">+GETPIVOTDATA("XDB4",'dabac (2016)'!$A$3,"MA_HT","SKN","MA_QH","DDL")</f>
        <v>0</v>
      </c>
      <c r="AP24" s="22">
        <f ca="1">+GETPIVOTDATA("XDB4",'dabac (2016)'!$A$3,"MA_HT","SKN","MA_QH","DRA")</f>
        <v>0</v>
      </c>
      <c r="AQ24" s="22">
        <f ca="1">+GETPIVOTDATA("XDB4",'dabac (2016)'!$A$3,"MA_HT","SKN","MA_QH","ONT")</f>
        <v>0</v>
      </c>
      <c r="AR24" s="22">
        <f ca="1">+GETPIVOTDATA("XDB4",'dabac (2016)'!$A$3,"MA_HT","SKN","MA_QH","ODT")</f>
        <v>0</v>
      </c>
      <c r="AS24" s="22">
        <f ca="1">+GETPIVOTDATA("XDB4",'dabac (2016)'!$A$3,"MA_HT","SKN","MA_QH","TSC")</f>
        <v>0</v>
      </c>
      <c r="AT24" s="22">
        <f ca="1">+GETPIVOTDATA("XDB4",'dabac (2016)'!$A$3,"MA_HT","SKN","MA_QH","DTS")</f>
        <v>0</v>
      </c>
      <c r="AU24" s="22">
        <f ca="1">+GETPIVOTDATA("XDB4",'dabac (2016)'!$A$3,"MA_HT","SKN","MA_QH","DNG")</f>
        <v>0</v>
      </c>
      <c r="AV24" s="22">
        <f ca="1">+GETPIVOTDATA("XDB4",'dabac (2016)'!$A$3,"MA_HT","SKN","MA_QH","TON")</f>
        <v>0</v>
      </c>
      <c r="AW24" s="22">
        <f ca="1">+GETPIVOTDATA("XDB4",'dabac (2016)'!$A$3,"MA_HT","SKN","MA_QH","NTD")</f>
        <v>0</v>
      </c>
      <c r="AX24" s="22">
        <f ca="1">+GETPIVOTDATA("XDB4",'dabac (2016)'!$A$3,"MA_HT","SKN","MA_QH","SKX")</f>
        <v>0</v>
      </c>
      <c r="AY24" s="22">
        <f ca="1">+GETPIVOTDATA("XDB4",'dabac (2016)'!$A$3,"MA_HT","SKN","MA_QH","DSH")</f>
        <v>0</v>
      </c>
      <c r="AZ24" s="22">
        <f ca="1">+GETPIVOTDATA("XDB4",'dabac (2016)'!$A$3,"MA_HT","SKN","MA_QH","DKV")</f>
        <v>0</v>
      </c>
      <c r="BA24" s="89">
        <f ca="1">+GETPIVOTDATA("XDB4",'dabac (2016)'!$A$3,"MA_HT","SKN","MA_QH","TIN")</f>
        <v>0</v>
      </c>
      <c r="BB24" s="50">
        <f ca="1">+GETPIVOTDATA("XDB4",'dabac (2016)'!$A$3,"MA_HT","SKN","MA_QH","SON")</f>
        <v>0</v>
      </c>
      <c r="BC24" s="50">
        <f ca="1">+GETPIVOTDATA("XDB4",'dabac (2016)'!$A$3,"MA_HT","SKN","MA_QH","MNC")</f>
        <v>0</v>
      </c>
      <c r="BD24" s="22">
        <f ca="1">+GETPIVOTDATA("XDB4",'dabac (2016)'!$A$3,"MA_HT","SKN","MA_QH","PNK")</f>
        <v>0</v>
      </c>
      <c r="BE24" s="71">
        <f ca="1">+GETPIVOTDATA("XDB4",'dabac (2016)'!$A$3,"MA_HT","SKN","MA_QH","CSD")</f>
        <v>0</v>
      </c>
      <c r="BF24" s="74">
        <f ca="1" t="shared" si="13"/>
        <v>0</v>
      </c>
      <c r="BG24" s="101">
        <f ca="1">W$59-$BF24</f>
        <v>0</v>
      </c>
      <c r="BH24" s="41" t="e">
        <f ca="1" t="shared" si="14"/>
        <v>#REF!</v>
      </c>
      <c r="BI24" s="98"/>
      <c r="BJ24" s="107"/>
      <c r="BK24" s="107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</row>
    <row r="25" s="2" customFormat="1" ht="15.75" customHeight="1" spans="1:79">
      <c r="A25" s="39" t="s">
        <v>8368</v>
      </c>
      <c r="B25" s="39" t="s">
        <v>8369</v>
      </c>
      <c r="C25" s="40" t="s">
        <v>265</v>
      </c>
      <c r="D25" s="41" t="e">
        <f>+#REF!</f>
        <v>#REF!</v>
      </c>
      <c r="E25" s="42">
        <f ca="1" t="shared" si="15"/>
        <v>0</v>
      </c>
      <c r="F25" s="52">
        <f ca="1" t="shared" si="9"/>
        <v>0</v>
      </c>
      <c r="G25" s="22">
        <f ca="1">+GETPIVOTDATA("XDB4",'dabac (2016)'!$A$3,"MA_HT","TMD","MA_QH","LUC")</f>
        <v>0</v>
      </c>
      <c r="H25" s="22">
        <f ca="1">+GETPIVOTDATA("XDB4",'dabac (2016)'!$A$3,"MA_HT","TMD","MA_QH","LUK")</f>
        <v>0</v>
      </c>
      <c r="I25" s="22">
        <f ca="1">+GETPIVOTDATA("XDB4",'dabac (2016)'!$A$3,"MA_HT","TMD","MA_QH","LUN")</f>
        <v>0</v>
      </c>
      <c r="J25" s="22">
        <f ca="1">+GETPIVOTDATA("XDB4",'dabac (2016)'!$A$3,"MA_HT","TMD","MA_QH","HNK")</f>
        <v>0</v>
      </c>
      <c r="K25" s="22">
        <f ca="1">+GETPIVOTDATA("XDB4",'dabac (2016)'!$A$3,"MA_HT","TMD","MA_QH","CLN")</f>
        <v>0</v>
      </c>
      <c r="L25" s="22">
        <f ca="1">+GETPIVOTDATA("XDB4",'dabac (2016)'!$A$3,"MA_HT","TMD","MA_QH","RSX")</f>
        <v>0</v>
      </c>
      <c r="M25" s="22">
        <f ca="1">+GETPIVOTDATA("XDB4",'dabac (2016)'!$A$3,"MA_HT","TMD","MA_QH","RPH")</f>
        <v>0</v>
      </c>
      <c r="N25" s="22">
        <f ca="1">+GETPIVOTDATA("XDB4",'dabac (2016)'!$A$3,"MA_HT","TMD","MA_QH","RDD")</f>
        <v>0</v>
      </c>
      <c r="O25" s="22">
        <f ca="1">+GETPIVOTDATA("XDB4",'dabac (2016)'!$A$3,"MA_HT","TMD","MA_QH","NTS")</f>
        <v>0</v>
      </c>
      <c r="P25" s="22">
        <f ca="1">+GETPIVOTDATA("XDB4",'dabac (2016)'!$A$3,"MA_HT","TMD","MA_QH","LMU")</f>
        <v>0</v>
      </c>
      <c r="Q25" s="22">
        <f ca="1">+GETPIVOTDATA("XDB4",'dabac (2016)'!$A$3,"MA_HT","TMD","MA_QH","NKH")</f>
        <v>0</v>
      </c>
      <c r="R25" s="42">
        <f ca="1">SUM(S25:W25,Y25:AA25,AN25:BD25)</f>
        <v>0</v>
      </c>
      <c r="S25" s="22">
        <f ca="1">+GETPIVOTDATA("XDB4",'dabac (2016)'!$A$3,"MA_HT","TMD","MA_QH","CQP")</f>
        <v>0</v>
      </c>
      <c r="T25" s="22">
        <f ca="1">+GETPIVOTDATA("XDB4",'dabac (2016)'!$A$3,"MA_HT","TMD","MA_QH","CAN")</f>
        <v>0</v>
      </c>
      <c r="U25" s="22">
        <f ca="1">+GETPIVOTDATA("XDB4",'dabac (2016)'!$A$3,"MA_HT","TMD","MA_QH","SKK")</f>
        <v>0</v>
      </c>
      <c r="V25" s="22">
        <f ca="1">+GETPIVOTDATA("XDB4",'dabac (2016)'!$A$3,"MA_HT","TMD","MA_QH","SKT")</f>
        <v>0</v>
      </c>
      <c r="W25" s="22">
        <f ca="1">+GETPIVOTDATA("XDB4",'dabac (2016)'!$A$3,"MA_HT","TMD","MA_QH","SKN")</f>
        <v>0</v>
      </c>
      <c r="X25" s="43" t="e">
        <f ca="1">$D25-$BF25</f>
        <v>#REF!</v>
      </c>
      <c r="Y25" s="22">
        <f ca="1">+GETPIVOTDATA("XDB4",'dabac (2016)'!$A$3,"MA_HT","TMD","MA_QH","SKC")</f>
        <v>0</v>
      </c>
      <c r="Z25" s="22">
        <f ca="1">+GETPIVOTDATA("XDB4",'dabac (2016)'!$A$3,"MA_HT","TMD","MA_QH","SKS")</f>
        <v>0</v>
      </c>
      <c r="AA25" s="52">
        <f ca="1" t="shared" si="12"/>
        <v>0</v>
      </c>
      <c r="AB25" s="22">
        <f ca="1">+GETPIVOTDATA("XDB4",'dabac (2016)'!$A$3,"MA_HT","TMD","MA_QH","DGT")</f>
        <v>0</v>
      </c>
      <c r="AC25" s="22">
        <f ca="1">+GETPIVOTDATA("XDB4",'dabac (2016)'!$A$3,"MA_HT","TMD","MA_QH","DTL")</f>
        <v>0</v>
      </c>
      <c r="AD25" s="22">
        <f ca="1">+GETPIVOTDATA("XDB4",'dabac (2016)'!$A$3,"MA_HT","TMD","MA_QH","DNL")</f>
        <v>0</v>
      </c>
      <c r="AE25" s="22">
        <f ca="1">+GETPIVOTDATA("XDB4",'dabac (2016)'!$A$3,"MA_HT","TMD","MA_QH","DBV")</f>
        <v>0</v>
      </c>
      <c r="AF25" s="22">
        <f ca="1">+GETPIVOTDATA("XDB4",'dabac (2016)'!$A$3,"MA_HT","TMD","MA_QH","DVH")</f>
        <v>0</v>
      </c>
      <c r="AG25" s="22">
        <f ca="1">+GETPIVOTDATA("XDB4",'dabac (2016)'!$A$3,"MA_HT","TMD","MA_QH","DYT")</f>
        <v>0</v>
      </c>
      <c r="AH25" s="22">
        <f ca="1">+GETPIVOTDATA("XDB4",'dabac (2016)'!$A$3,"MA_HT","TMD","MA_QH","DGD")</f>
        <v>0</v>
      </c>
      <c r="AI25" s="22">
        <f ca="1">+GETPIVOTDATA("XDB4",'dabac (2016)'!$A$3,"MA_HT","TMD","MA_QH","DTT")</f>
        <v>0</v>
      </c>
      <c r="AJ25" s="22">
        <f ca="1">+GETPIVOTDATA("XDB4",'dabac (2016)'!$A$3,"MA_HT","TMD","MA_QH","NCK")</f>
        <v>0</v>
      </c>
      <c r="AK25" s="22">
        <f ca="1">+GETPIVOTDATA("XDB4",'dabac (2016)'!$A$3,"MA_HT","TMD","MA_QH","DXH")</f>
        <v>0</v>
      </c>
      <c r="AL25" s="22">
        <f ca="1">+GETPIVOTDATA("XDB4",'dabac (2016)'!$A$3,"MA_HT","TMD","MA_QH","DCH")</f>
        <v>0</v>
      </c>
      <c r="AM25" s="22">
        <f ca="1">+GETPIVOTDATA("XDB4",'dabac (2016)'!$A$3,"MA_HT","TMD","MA_QH","DKG")</f>
        <v>0</v>
      </c>
      <c r="AN25" s="22">
        <f ca="1">+GETPIVOTDATA("XDB4",'dabac (2016)'!$A$3,"MA_HT","TMD","MA_QH","DDT")</f>
        <v>0</v>
      </c>
      <c r="AO25" s="22">
        <f ca="1">+GETPIVOTDATA("XDB4",'dabac (2016)'!$A$3,"MA_HT","TMD","MA_QH","DDL")</f>
        <v>0</v>
      </c>
      <c r="AP25" s="22">
        <f ca="1">+GETPIVOTDATA("XDB4",'dabac (2016)'!$A$3,"MA_HT","TMD","MA_QH","DRA")</f>
        <v>0</v>
      </c>
      <c r="AQ25" s="22">
        <f ca="1">+GETPIVOTDATA("XDB4",'dabac (2016)'!$A$3,"MA_HT","TMD","MA_QH","ONT")</f>
        <v>0</v>
      </c>
      <c r="AR25" s="22">
        <f ca="1">+GETPIVOTDATA("XDB4",'dabac (2016)'!$A$3,"MA_HT","TMD","MA_QH","ODT")</f>
        <v>0</v>
      </c>
      <c r="AS25" s="22">
        <f ca="1">+GETPIVOTDATA("XDB4",'dabac (2016)'!$A$3,"MA_HT","TMD","MA_QH","TSC")</f>
        <v>0</v>
      </c>
      <c r="AT25" s="22">
        <f ca="1">+GETPIVOTDATA("XDB4",'dabac (2016)'!$A$3,"MA_HT","TMD","MA_QH","DTS")</f>
        <v>0</v>
      </c>
      <c r="AU25" s="22">
        <f ca="1">+GETPIVOTDATA("XDB4",'dabac (2016)'!$A$3,"MA_HT","TMD","MA_QH","DNG")</f>
        <v>0</v>
      </c>
      <c r="AV25" s="22">
        <f ca="1">+GETPIVOTDATA("XDB4",'dabac (2016)'!$A$3,"MA_HT","TMD","MA_QH","TON")</f>
        <v>0</v>
      </c>
      <c r="AW25" s="22">
        <f ca="1">+GETPIVOTDATA("XDB4",'dabac (2016)'!$A$3,"MA_HT","TMD","MA_QH","NTD")</f>
        <v>0</v>
      </c>
      <c r="AX25" s="22">
        <f ca="1">+GETPIVOTDATA("XDB4",'dabac (2016)'!$A$3,"MA_HT","TMD","MA_QH","SKX")</f>
        <v>0</v>
      </c>
      <c r="AY25" s="22">
        <f ca="1">+GETPIVOTDATA("XDB4",'dabac (2016)'!$A$3,"MA_HT","TMD","MA_QH","DSH")</f>
        <v>0</v>
      </c>
      <c r="AZ25" s="22">
        <f ca="1">+GETPIVOTDATA("XDB4",'dabac (2016)'!$A$3,"MA_HT","TMD","MA_QH","DKV")</f>
        <v>0</v>
      </c>
      <c r="BA25" s="89">
        <f ca="1">+GETPIVOTDATA("XDB4",'dabac (2016)'!$A$3,"MA_HT","TMD","MA_QH","TIN")</f>
        <v>0</v>
      </c>
      <c r="BB25" s="50">
        <f ca="1">+GETPIVOTDATA("XDB4",'dabac (2016)'!$A$3,"MA_HT","TMD","MA_QH","SON")</f>
        <v>0</v>
      </c>
      <c r="BC25" s="50">
        <f ca="1">+GETPIVOTDATA("XDB4",'dabac (2016)'!$A$3,"MA_HT","TMD","MA_QH","MNC")</f>
        <v>0</v>
      </c>
      <c r="BD25" s="22">
        <f ca="1">+GETPIVOTDATA("XDB4",'dabac (2016)'!$A$3,"MA_HT","TMD","MA_QH","PNK")</f>
        <v>0</v>
      </c>
      <c r="BE25" s="71">
        <f ca="1">+GETPIVOTDATA("XDB4",'dabac (2016)'!$A$3,"MA_HT","TMD","MA_QH","CSD")</f>
        <v>0</v>
      </c>
      <c r="BF25" s="74">
        <f ca="1" t="shared" si="13"/>
        <v>0</v>
      </c>
      <c r="BG25" s="101">
        <f ca="1">X$59-$BF25</f>
        <v>0</v>
      </c>
      <c r="BH25" s="41" t="e">
        <f ca="1" t="shared" si="14"/>
        <v>#REF!</v>
      </c>
      <c r="BI25" s="98"/>
      <c r="BJ25" s="107" t="e">
        <f>#REF!</f>
        <v>#REF!</v>
      </c>
      <c r="BK25" s="107" t="e">
        <f ca="1">BH25-BJ25</f>
        <v>#REF!</v>
      </c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</row>
    <row r="26" s="2" customFormat="1" ht="15.75" customHeight="1" spans="1:79">
      <c r="A26" s="39" t="s">
        <v>8370</v>
      </c>
      <c r="B26" s="39" t="s">
        <v>8371</v>
      </c>
      <c r="C26" s="40" t="s">
        <v>204</v>
      </c>
      <c r="D26" s="41" t="e">
        <f>+#REF!</f>
        <v>#REF!</v>
      </c>
      <c r="E26" s="42">
        <f ca="1" t="shared" si="15"/>
        <v>0</v>
      </c>
      <c r="F26" s="52">
        <f ca="1" t="shared" si="9"/>
        <v>0</v>
      </c>
      <c r="G26" s="22">
        <f ca="1">+GETPIVOTDATA("XDB4",'dabac (2016)'!$A$3,"MA_HT","SKC","MA_QH","LUC")</f>
        <v>0</v>
      </c>
      <c r="H26" s="22">
        <f ca="1">+GETPIVOTDATA("XDB4",'dabac (2016)'!$A$3,"MA_HT","SKC","MA_QH","LUK")</f>
        <v>0</v>
      </c>
      <c r="I26" s="22">
        <f ca="1">+GETPIVOTDATA("XDB4",'dabac (2016)'!$A$3,"MA_HT","SKC","MA_QH","LUN")</f>
        <v>0</v>
      </c>
      <c r="J26" s="22">
        <f ca="1">+GETPIVOTDATA("XDB4",'dabac (2016)'!$A$3,"MA_HT","SKC","MA_QH","HNK")</f>
        <v>0</v>
      </c>
      <c r="K26" s="22">
        <f ca="1">+GETPIVOTDATA("XDB4",'dabac (2016)'!$A$3,"MA_HT","SKC","MA_QH","CLN")</f>
        <v>0</v>
      </c>
      <c r="L26" s="22">
        <f ca="1">+GETPIVOTDATA("XDB4",'dabac (2016)'!$A$3,"MA_HT","SKC","MA_QH","RSX")</f>
        <v>0</v>
      </c>
      <c r="M26" s="22">
        <f ca="1">+GETPIVOTDATA("XDB4",'dabac (2016)'!$A$3,"MA_HT","SKC","MA_QH","RPH")</f>
        <v>0</v>
      </c>
      <c r="N26" s="22">
        <f ca="1">+GETPIVOTDATA("XDB4",'dabac (2016)'!$A$3,"MA_HT","SKC","MA_QH","RDD")</f>
        <v>0</v>
      </c>
      <c r="O26" s="22">
        <f ca="1">+GETPIVOTDATA("XDB4",'dabac (2016)'!$A$3,"MA_HT","SKC","MA_QH","NTS")</f>
        <v>0</v>
      </c>
      <c r="P26" s="22">
        <f ca="1">+GETPIVOTDATA("XDB4",'dabac (2016)'!$A$3,"MA_HT","SKC","MA_QH","LMU")</f>
        <v>0</v>
      </c>
      <c r="Q26" s="22">
        <f ca="1">+GETPIVOTDATA("XDB4",'dabac (2016)'!$A$3,"MA_HT","SKC","MA_QH","NKH")</f>
        <v>0</v>
      </c>
      <c r="R26" s="42">
        <f ca="1">SUM(S26:X26,Z26,AN26:BD26)</f>
        <v>0</v>
      </c>
      <c r="S26" s="22">
        <f ca="1">+GETPIVOTDATA("XDB4",'dabac (2016)'!$A$3,"MA_HT","SKC","MA_QH","CQP")</f>
        <v>0</v>
      </c>
      <c r="T26" s="22">
        <f ca="1">+GETPIVOTDATA("XDB4",'dabac (2016)'!$A$3,"MA_HT","SKC","MA_QH","CAN")</f>
        <v>0</v>
      </c>
      <c r="U26" s="22">
        <f ca="1">+GETPIVOTDATA("XDB4",'dabac (2016)'!$A$3,"MA_HT","SKC","MA_QH","SKK")</f>
        <v>0</v>
      </c>
      <c r="V26" s="22">
        <f ca="1">+GETPIVOTDATA("XDB4",'dabac (2016)'!$A$3,"MA_HT","SKC","MA_QH","SKT")</f>
        <v>0</v>
      </c>
      <c r="W26" s="22">
        <f ca="1">+GETPIVOTDATA("XDB4",'dabac (2016)'!$A$3,"MA_HT","SKC","MA_QH","SKN")</f>
        <v>0</v>
      </c>
      <c r="X26" s="22">
        <f ca="1">+GETPIVOTDATA("XDB4",'dabac (2016)'!$A$3,"MA_HT","SKC","MA_QH","TMD")</f>
        <v>0</v>
      </c>
      <c r="Y26" s="43" t="e">
        <f ca="1">$D26-$BF26</f>
        <v>#REF!</v>
      </c>
      <c r="Z26" s="22">
        <f ca="1">+GETPIVOTDATA("XDB4",'dabac (2016)'!$A$3,"MA_HT","SKC","MA_QH","SKS")</f>
        <v>0</v>
      </c>
      <c r="AA26" s="52">
        <f ca="1" t="shared" si="12"/>
        <v>0</v>
      </c>
      <c r="AB26" s="22">
        <f ca="1">+GETPIVOTDATA("XDB4",'dabac (2016)'!$A$3,"MA_HT","SKC","MA_QH","DGT")</f>
        <v>0</v>
      </c>
      <c r="AC26" s="22">
        <f ca="1">+GETPIVOTDATA("XDB4",'dabac (2016)'!$A$3,"MA_HT","SKC","MA_QH","DTL")</f>
        <v>0</v>
      </c>
      <c r="AD26" s="22">
        <f ca="1">+GETPIVOTDATA("XDB4",'dabac (2016)'!$A$3,"MA_HT","SKC","MA_QH","DNL")</f>
        <v>0</v>
      </c>
      <c r="AE26" s="22">
        <f ca="1">+GETPIVOTDATA("XDB4",'dabac (2016)'!$A$3,"MA_HT","SKC","MA_QH","DBV")</f>
        <v>0</v>
      </c>
      <c r="AF26" s="22">
        <f ca="1">+GETPIVOTDATA("XDB4",'dabac (2016)'!$A$3,"MA_HT","SKC","MA_QH","DVH")</f>
        <v>0</v>
      </c>
      <c r="AG26" s="22">
        <f ca="1">+GETPIVOTDATA("XDB4",'dabac (2016)'!$A$3,"MA_HT","SKC","MA_QH","DYT")</f>
        <v>0</v>
      </c>
      <c r="AH26" s="22">
        <f ca="1">+GETPIVOTDATA("XDB4",'dabac (2016)'!$A$3,"MA_HT","SKC","MA_QH","DGD")</f>
        <v>0</v>
      </c>
      <c r="AI26" s="22">
        <f ca="1">+GETPIVOTDATA("XDB4",'dabac (2016)'!$A$3,"MA_HT","SKC","MA_QH","DTT")</f>
        <v>0</v>
      </c>
      <c r="AJ26" s="22">
        <f ca="1">+GETPIVOTDATA("XDB4",'dabac (2016)'!$A$3,"MA_HT","SKC","MA_QH","NCK")</f>
        <v>0</v>
      </c>
      <c r="AK26" s="22">
        <f ca="1">+GETPIVOTDATA("XDB4",'dabac (2016)'!$A$3,"MA_HT","SKC","MA_QH","DXH")</f>
        <v>0</v>
      </c>
      <c r="AL26" s="22">
        <f ca="1">+GETPIVOTDATA("XDB4",'dabac (2016)'!$A$3,"MA_HT","SKC","MA_QH","DCH")</f>
        <v>0</v>
      </c>
      <c r="AM26" s="22">
        <f ca="1">+GETPIVOTDATA("XDB4",'dabac (2016)'!$A$3,"MA_HT","SKC","MA_QH","DKG")</f>
        <v>0</v>
      </c>
      <c r="AN26" s="22">
        <f ca="1">+GETPIVOTDATA("XDB4",'dabac (2016)'!$A$3,"MA_HT","SKC","MA_QH","DDT")</f>
        <v>0</v>
      </c>
      <c r="AO26" s="22">
        <f ca="1">+GETPIVOTDATA("XDB4",'dabac (2016)'!$A$3,"MA_HT","SKC","MA_QH","DDL")</f>
        <v>0</v>
      </c>
      <c r="AP26" s="22">
        <f ca="1">+GETPIVOTDATA("XDB4",'dabac (2016)'!$A$3,"MA_HT","SKC","MA_QH","DRA")</f>
        <v>0</v>
      </c>
      <c r="AQ26" s="22">
        <f ca="1">+GETPIVOTDATA("XDB4",'dabac (2016)'!$A$3,"MA_HT","SKC","MA_QH","ONT")</f>
        <v>0</v>
      </c>
      <c r="AR26" s="22">
        <f ca="1">+GETPIVOTDATA("XDB4",'dabac (2016)'!$A$3,"MA_HT","SKC","MA_QH","ODT")</f>
        <v>0</v>
      </c>
      <c r="AS26" s="22">
        <f ca="1">+GETPIVOTDATA("XDB4",'dabac (2016)'!$A$3,"MA_HT","SKC","MA_QH","TSC")</f>
        <v>0</v>
      </c>
      <c r="AT26" s="22">
        <f ca="1">+GETPIVOTDATA("XDB4",'dabac (2016)'!$A$3,"MA_HT","SKC","MA_QH","DTS")</f>
        <v>0</v>
      </c>
      <c r="AU26" s="22">
        <f ca="1">+GETPIVOTDATA("XDB4",'dabac (2016)'!$A$3,"MA_HT","SKC","MA_QH","DNG")</f>
        <v>0</v>
      </c>
      <c r="AV26" s="22">
        <f ca="1">+GETPIVOTDATA("XDB4",'dabac (2016)'!$A$3,"MA_HT","SKC","MA_QH","TON")</f>
        <v>0</v>
      </c>
      <c r="AW26" s="22">
        <f ca="1">+GETPIVOTDATA("XDB4",'dabac (2016)'!$A$3,"MA_HT","SKC","MA_QH","NTD")</f>
        <v>0</v>
      </c>
      <c r="AX26" s="22">
        <f ca="1">+GETPIVOTDATA("XDB4",'dabac (2016)'!$A$3,"MA_HT","SKC","MA_QH","SKX")</f>
        <v>0</v>
      </c>
      <c r="AY26" s="22">
        <f ca="1">+GETPIVOTDATA("XDB4",'dabac (2016)'!$A$3,"MA_HT","SKC","MA_QH","DSH")</f>
        <v>0</v>
      </c>
      <c r="AZ26" s="22">
        <f ca="1">+GETPIVOTDATA("XDB4",'dabac (2016)'!$A$3,"MA_HT","SKC","MA_QH","DKV")</f>
        <v>0</v>
      </c>
      <c r="BA26" s="89">
        <f ca="1">+GETPIVOTDATA("XDB4",'dabac (2016)'!$A$3,"MA_HT","SKC","MA_QH","TIN")</f>
        <v>0</v>
      </c>
      <c r="BB26" s="50">
        <f ca="1">+GETPIVOTDATA("XDB4",'dabac (2016)'!$A$3,"MA_HT","SKC","MA_QH","SON")</f>
        <v>0</v>
      </c>
      <c r="BC26" s="50">
        <f ca="1">+GETPIVOTDATA("XDB4",'dabac (2016)'!$A$3,"MA_HT","SKC","MA_QH","MNC")</f>
        <v>0</v>
      </c>
      <c r="BD26" s="22">
        <f ca="1">+GETPIVOTDATA("XDB4",'dabac (2016)'!$A$3,"MA_HT","SKC","MA_QH","PNK")</f>
        <v>0</v>
      </c>
      <c r="BE26" s="71">
        <f ca="1">+GETPIVOTDATA("XDB4",'dabac (2016)'!$A$3,"MA_HT","SKC","MA_QH","CSD")</f>
        <v>0</v>
      </c>
      <c r="BF26" s="74">
        <f ca="1" t="shared" si="13"/>
        <v>0</v>
      </c>
      <c r="BG26" s="101">
        <f ca="1">Y$59-$BF26</f>
        <v>0</v>
      </c>
      <c r="BH26" s="41" t="e">
        <f ca="1" t="shared" si="14"/>
        <v>#REF!</v>
      </c>
      <c r="BI26" s="98"/>
      <c r="BJ26" s="107" t="e">
        <f>#REF!</f>
        <v>#REF!</v>
      </c>
      <c r="BK26" s="107" t="e">
        <f ca="1">BH26-BJ26</f>
        <v>#REF!</v>
      </c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</row>
    <row r="27" s="2" customFormat="1" ht="15.75" customHeight="1" spans="1:79">
      <c r="A27" s="39" t="s">
        <v>8372</v>
      </c>
      <c r="B27" s="53" t="s">
        <v>8373</v>
      </c>
      <c r="C27" s="40" t="s">
        <v>174</v>
      </c>
      <c r="D27" s="41" t="e">
        <f>+#REF!</f>
        <v>#REF!</v>
      </c>
      <c r="E27" s="42">
        <f ca="1" t="shared" si="15"/>
        <v>0</v>
      </c>
      <c r="F27" s="52">
        <f ca="1" t="shared" si="9"/>
        <v>0</v>
      </c>
      <c r="G27" s="22">
        <f ca="1">+GETPIVOTDATA("XDB4",'dabac (2016)'!$A$3,"MA_HT","SKS","MA_QH","LUC")</f>
        <v>0</v>
      </c>
      <c r="H27" s="22">
        <f ca="1">+GETPIVOTDATA("XDB4",'dabac (2016)'!$A$3,"MA_HT","SKS","MA_QH","LUK")</f>
        <v>0</v>
      </c>
      <c r="I27" s="22">
        <f ca="1">+GETPIVOTDATA("XDB4",'dabac (2016)'!$A$3,"MA_HT","SKS","MA_QH","LUN")</f>
        <v>0</v>
      </c>
      <c r="J27" s="22">
        <f ca="1">+GETPIVOTDATA("XDB4",'dabac (2016)'!$A$3,"MA_HT","SKS","MA_QH","HNK")</f>
        <v>0</v>
      </c>
      <c r="K27" s="22">
        <f ca="1">+GETPIVOTDATA("XDB4",'dabac (2016)'!$A$3,"MA_HT","SKS","MA_QH","CLN")</f>
        <v>0</v>
      </c>
      <c r="L27" s="22">
        <f ca="1">+GETPIVOTDATA("XDB4",'dabac (2016)'!$A$3,"MA_HT","SKS","MA_QH","RSX")</f>
        <v>0</v>
      </c>
      <c r="M27" s="22">
        <f ca="1">+GETPIVOTDATA("XDB4",'dabac (2016)'!$A$3,"MA_HT","SKS","MA_QH","RPH")</f>
        <v>0</v>
      </c>
      <c r="N27" s="22">
        <f ca="1">+GETPIVOTDATA("XDB4",'dabac (2016)'!$A$3,"MA_HT","SKS","MA_QH","RDD")</f>
        <v>0</v>
      </c>
      <c r="O27" s="22">
        <f ca="1">+GETPIVOTDATA("XDB4",'dabac (2016)'!$A$3,"MA_HT","SKS","MA_QH","NTS")</f>
        <v>0</v>
      </c>
      <c r="P27" s="22">
        <f ca="1">+GETPIVOTDATA("XDB4",'dabac (2016)'!$A$3,"MA_HT","SKS","MA_QH","LMU")</f>
        <v>0</v>
      </c>
      <c r="Q27" s="22">
        <f ca="1">+GETPIVOTDATA("XDB4",'dabac (2016)'!$A$3,"MA_HT","SKS","MA_QH","NKH")</f>
        <v>0</v>
      </c>
      <c r="R27" s="42">
        <f ca="1">SUM(S27:Y27,AA27,AN27:BD27)</f>
        <v>0</v>
      </c>
      <c r="S27" s="22">
        <f ca="1">+GETPIVOTDATA("XDB4",'dabac (2016)'!$A$3,"MA_HT","SKS","MA_QH","CQP")</f>
        <v>0</v>
      </c>
      <c r="T27" s="22">
        <f ca="1">+GETPIVOTDATA("XDB4",'dabac (2016)'!$A$3,"MA_HT","SKS","MA_QH","CAN")</f>
        <v>0</v>
      </c>
      <c r="U27" s="22">
        <f ca="1">+GETPIVOTDATA("XDB4",'dabac (2016)'!$A$3,"MA_HT","SKS","MA_QH","SKK")</f>
        <v>0</v>
      </c>
      <c r="V27" s="22">
        <f ca="1">+GETPIVOTDATA("XDB4",'dabac (2016)'!$A$3,"MA_HT","SKS","MA_QH","SKT")</f>
        <v>0</v>
      </c>
      <c r="W27" s="22">
        <f ca="1">+GETPIVOTDATA("XDB4",'dabac (2016)'!$A$3,"MA_HT","SKS","MA_QH","SKN")</f>
        <v>0</v>
      </c>
      <c r="X27" s="22">
        <f ca="1">+GETPIVOTDATA("XDB4",'dabac (2016)'!$A$3,"MA_HT","SKS","MA_QH","TMD")</f>
        <v>0</v>
      </c>
      <c r="Y27" s="22">
        <f ca="1">+GETPIVOTDATA("XDB4",'dabac (2016)'!$A$3,"MA_HT","SKS","MA_QH","SKC")</f>
        <v>0</v>
      </c>
      <c r="Z27" s="43" t="e">
        <f ca="1">$D27-$BF27</f>
        <v>#REF!</v>
      </c>
      <c r="AA27" s="52">
        <f ca="1" t="shared" si="12"/>
        <v>0</v>
      </c>
      <c r="AB27" s="22">
        <f ca="1">+GETPIVOTDATA("XDB4",'dabac (2016)'!$A$3,"MA_HT","SKS","MA_QH","DGT")</f>
        <v>0</v>
      </c>
      <c r="AC27" s="22">
        <f ca="1">+GETPIVOTDATA("XDB4",'dabac (2016)'!$A$3,"MA_HT","SKS","MA_QH","DTL")</f>
        <v>0</v>
      </c>
      <c r="AD27" s="22">
        <f ca="1">+GETPIVOTDATA("XDB4",'dabac (2016)'!$A$3,"MA_HT","SKS","MA_QH","DNL")</f>
        <v>0</v>
      </c>
      <c r="AE27" s="22">
        <f ca="1">+GETPIVOTDATA("XDB4",'dabac (2016)'!$A$3,"MA_HT","SKS","MA_QH","DBV")</f>
        <v>0</v>
      </c>
      <c r="AF27" s="22">
        <f ca="1">+GETPIVOTDATA("XDB4",'dabac (2016)'!$A$3,"MA_HT","SKS","MA_QH","DVH")</f>
        <v>0</v>
      </c>
      <c r="AG27" s="22">
        <f ca="1">+GETPIVOTDATA("XDB4",'dabac (2016)'!$A$3,"MA_HT","SKS","MA_QH","DYT")</f>
        <v>0</v>
      </c>
      <c r="AH27" s="22">
        <f ca="1">+GETPIVOTDATA("XDB4",'dabac (2016)'!$A$3,"MA_HT","SKS","MA_QH","DGD")</f>
        <v>0</v>
      </c>
      <c r="AI27" s="22">
        <f ca="1">+GETPIVOTDATA("XDB4",'dabac (2016)'!$A$3,"MA_HT","SKS","MA_QH","DTT")</f>
        <v>0</v>
      </c>
      <c r="AJ27" s="22">
        <f ca="1">+GETPIVOTDATA("XDB4",'dabac (2016)'!$A$3,"MA_HT","SKS","MA_QH","NCK")</f>
        <v>0</v>
      </c>
      <c r="AK27" s="22">
        <f ca="1">+GETPIVOTDATA("XDB4",'dabac (2016)'!$A$3,"MA_HT","SKS","MA_QH","DXH")</f>
        <v>0</v>
      </c>
      <c r="AL27" s="22">
        <f ca="1">+GETPIVOTDATA("XDB4",'dabac (2016)'!$A$3,"MA_HT","SKS","MA_QH","DCH")</f>
        <v>0</v>
      </c>
      <c r="AM27" s="22">
        <f ca="1">+GETPIVOTDATA("XDB4",'dabac (2016)'!$A$3,"MA_HT","SKS","MA_QH","DKG")</f>
        <v>0</v>
      </c>
      <c r="AN27" s="22">
        <f ca="1">+GETPIVOTDATA("XDB4",'dabac (2016)'!$A$3,"MA_HT","SKS","MA_QH","DDT")</f>
        <v>0</v>
      </c>
      <c r="AO27" s="22">
        <f ca="1">+GETPIVOTDATA("XDB4",'dabac (2016)'!$A$3,"MA_HT","SKS","MA_QH","DDL")</f>
        <v>0</v>
      </c>
      <c r="AP27" s="22">
        <f ca="1">+GETPIVOTDATA("XDB4",'dabac (2016)'!$A$3,"MA_HT","SKS","MA_QH","DRA")</f>
        <v>0</v>
      </c>
      <c r="AQ27" s="22">
        <f ca="1">+GETPIVOTDATA("XDB4",'dabac (2016)'!$A$3,"MA_HT","SKS","MA_QH","ONT")</f>
        <v>0</v>
      </c>
      <c r="AR27" s="22">
        <f ca="1">+GETPIVOTDATA("XDB4",'dabac (2016)'!$A$3,"MA_HT","SKS","MA_QH","ODT")</f>
        <v>0</v>
      </c>
      <c r="AS27" s="22">
        <f ca="1">+GETPIVOTDATA("XDB4",'dabac (2016)'!$A$3,"MA_HT","SKS","MA_QH","TSC")</f>
        <v>0</v>
      </c>
      <c r="AT27" s="22">
        <f ca="1">+GETPIVOTDATA("XDB4",'dabac (2016)'!$A$3,"MA_HT","SKS","MA_QH","DTS")</f>
        <v>0</v>
      </c>
      <c r="AU27" s="22">
        <f ca="1">+GETPIVOTDATA("XDB4",'dabac (2016)'!$A$3,"MA_HT","SKS","MA_QH","DNG")</f>
        <v>0</v>
      </c>
      <c r="AV27" s="22">
        <f ca="1">+GETPIVOTDATA("XDB4",'dabac (2016)'!$A$3,"MA_HT","SKS","MA_QH","TON")</f>
        <v>0</v>
      </c>
      <c r="AW27" s="22">
        <f ca="1">+GETPIVOTDATA("XDB4",'dabac (2016)'!$A$3,"MA_HT","SKS","MA_QH","NTD")</f>
        <v>0</v>
      </c>
      <c r="AX27" s="22">
        <f ca="1">+GETPIVOTDATA("XDB4",'dabac (2016)'!$A$3,"MA_HT","SKS","MA_QH","SKX")</f>
        <v>0</v>
      </c>
      <c r="AY27" s="22">
        <f ca="1">+GETPIVOTDATA("XDB4",'dabac (2016)'!$A$3,"MA_HT","SKS","MA_QH","DSH")</f>
        <v>0</v>
      </c>
      <c r="AZ27" s="22">
        <f ca="1">+GETPIVOTDATA("XDB4",'dabac (2016)'!$A$3,"MA_HT","SKS","MA_QH","DKV")</f>
        <v>0</v>
      </c>
      <c r="BA27" s="89">
        <f ca="1">+GETPIVOTDATA("XDB4",'dabac (2016)'!$A$3,"MA_HT","SKS","MA_QH","TIN")</f>
        <v>0</v>
      </c>
      <c r="BB27" s="50">
        <f ca="1">+GETPIVOTDATA("XDB4",'dabac (2016)'!$A$3,"MA_HT","SKS","MA_QH","SON")</f>
        <v>0</v>
      </c>
      <c r="BC27" s="50">
        <f ca="1">+GETPIVOTDATA("XDB4",'dabac (2016)'!$A$3,"MA_HT","SKS","MA_QH","MNC")</f>
        <v>0</v>
      </c>
      <c r="BD27" s="22">
        <f ca="1">+GETPIVOTDATA("XDB4",'dabac (2016)'!$A$3,"MA_HT","SKS","MA_QH","PNK")</f>
        <v>0</v>
      </c>
      <c r="BE27" s="71">
        <f ca="1">+GETPIVOTDATA("XDB4",'dabac (2016)'!$A$3,"MA_HT","SKS","MA_QH","CSD")</f>
        <v>0</v>
      </c>
      <c r="BF27" s="74">
        <f ca="1" t="shared" si="13"/>
        <v>0</v>
      </c>
      <c r="BG27" s="101">
        <f ca="1">Z$59-$BF27</f>
        <v>0</v>
      </c>
      <c r="BH27" s="41" t="e">
        <f ca="1" t="shared" si="14"/>
        <v>#REF!</v>
      </c>
      <c r="BI27" s="98"/>
      <c r="BJ27" s="107" t="e">
        <f>#REF!</f>
        <v>#REF!</v>
      </c>
      <c r="BK27" s="107" t="e">
        <f ca="1">BH27-BJ27</f>
        <v>#REF!</v>
      </c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</row>
    <row r="28" s="2" customFormat="1" ht="15.75" customHeight="1" spans="1:79">
      <c r="A28" s="39" t="s">
        <v>8374</v>
      </c>
      <c r="B28" s="53" t="s">
        <v>8375</v>
      </c>
      <c r="C28" s="40" t="s">
        <v>8288</v>
      </c>
      <c r="D28" s="41" t="e">
        <f>+#REF!</f>
        <v>#REF!</v>
      </c>
      <c r="E28" s="42">
        <f ca="1" t="shared" si="15"/>
        <v>0</v>
      </c>
      <c r="F28" s="52">
        <f ca="1" t="shared" si="9"/>
        <v>0</v>
      </c>
      <c r="G28" s="44">
        <f ca="1">SUM(G29:G39)</f>
        <v>0</v>
      </c>
      <c r="H28" s="44">
        <f ca="1" t="shared" ref="H28:Q28" si="16">SUM(H29:H39)</f>
        <v>0</v>
      </c>
      <c r="I28" s="44">
        <f ca="1" t="shared" si="16"/>
        <v>0</v>
      </c>
      <c r="J28" s="44">
        <f ca="1" t="shared" si="16"/>
        <v>0</v>
      </c>
      <c r="K28" s="44">
        <f ca="1" t="shared" si="16"/>
        <v>0</v>
      </c>
      <c r="L28" s="44">
        <f ca="1" t="shared" si="16"/>
        <v>0</v>
      </c>
      <c r="M28" s="44">
        <f ca="1" t="shared" si="16"/>
        <v>0</v>
      </c>
      <c r="N28" s="44">
        <f ca="1" t="shared" si="16"/>
        <v>0</v>
      </c>
      <c r="O28" s="44">
        <f ca="1" t="shared" si="16"/>
        <v>0</v>
      </c>
      <c r="P28" s="44">
        <f ca="1" t="shared" si="16"/>
        <v>0</v>
      </c>
      <c r="Q28" s="44">
        <f ca="1" t="shared" si="16"/>
        <v>0</v>
      </c>
      <c r="R28" s="44">
        <f ca="1">SUM(S28:Z28,AN28:BD28)</f>
        <v>0</v>
      </c>
      <c r="S28" s="44">
        <f ca="1">SUM(S29:S39)</f>
        <v>0</v>
      </c>
      <c r="T28" s="44">
        <f ca="1" t="shared" ref="T28:Z28" si="17">SUM(T29:T39)</f>
        <v>0</v>
      </c>
      <c r="U28" s="44">
        <f ca="1" t="shared" si="17"/>
        <v>0</v>
      </c>
      <c r="V28" s="44">
        <f ca="1" t="shared" si="17"/>
        <v>0</v>
      </c>
      <c r="W28" s="44">
        <f ca="1" t="shared" si="17"/>
        <v>0</v>
      </c>
      <c r="X28" s="44">
        <f ca="1" t="shared" si="17"/>
        <v>0</v>
      </c>
      <c r="Y28" s="44">
        <f ca="1" t="shared" si="17"/>
        <v>0</v>
      </c>
      <c r="Z28" s="44">
        <f ca="1" t="shared" si="17"/>
        <v>0</v>
      </c>
      <c r="AA28" s="43" t="e">
        <f ca="1">$D28-$BF28</f>
        <v>#REF!</v>
      </c>
      <c r="AB28" s="44">
        <f ca="1">SUM(AB30:AB39)</f>
        <v>0</v>
      </c>
      <c r="AC28" s="44">
        <f ca="1">SUM(AC29,AC31:AC39)</f>
        <v>0</v>
      </c>
      <c r="AD28" s="44">
        <f ca="1">SUM(AD29:AD30,AD32:AD39)</f>
        <v>0</v>
      </c>
      <c r="AE28" s="44">
        <f ca="1">SUM(AE29:AE31,AE33:AE39)</f>
        <v>0</v>
      </c>
      <c r="AF28" s="44">
        <f ca="1">SUM(AF29:AF32,AF34:AF39)</f>
        <v>0</v>
      </c>
      <c r="AG28" s="44">
        <f ca="1">SUM(AG29:AG33,AG35:AG39)</f>
        <v>0</v>
      </c>
      <c r="AH28" s="44">
        <f ca="1">SUM(AH29:AH34,AH36:AH39)</f>
        <v>0</v>
      </c>
      <c r="AI28" s="44">
        <f ca="1">SUM(AI29:AI35,AI37:AI39)</f>
        <v>0</v>
      </c>
      <c r="AJ28" s="44">
        <f ca="1">SUM(AJ29:AJ36,AJ38:AJ39)</f>
        <v>0</v>
      </c>
      <c r="AK28" s="44">
        <f ca="1">SUM(AK29:AK37,AK39)</f>
        <v>0</v>
      </c>
      <c r="AL28" s="44">
        <f ca="1">SUM(AL29:AL38)</f>
        <v>0</v>
      </c>
      <c r="AM28" s="44">
        <f ca="1">SUM(AM29:AM38)</f>
        <v>0</v>
      </c>
      <c r="AN28" s="44">
        <f ca="1" t="shared" ref="AN28:BE28" si="18">SUM(AN29:AN39)</f>
        <v>0</v>
      </c>
      <c r="AO28" s="44">
        <f ca="1" t="shared" si="18"/>
        <v>0</v>
      </c>
      <c r="AP28" s="44">
        <f ca="1" t="shared" si="18"/>
        <v>0</v>
      </c>
      <c r="AQ28" s="44">
        <f ca="1" t="shared" si="18"/>
        <v>0</v>
      </c>
      <c r="AR28" s="44">
        <f ca="1" t="shared" si="18"/>
        <v>0</v>
      </c>
      <c r="AS28" s="44">
        <f ca="1" t="shared" si="18"/>
        <v>0</v>
      </c>
      <c r="AT28" s="44">
        <f ca="1" t="shared" si="18"/>
        <v>0</v>
      </c>
      <c r="AU28" s="44">
        <f ca="1" t="shared" si="18"/>
        <v>0</v>
      </c>
      <c r="AV28" s="44">
        <f ca="1" t="shared" si="18"/>
        <v>0</v>
      </c>
      <c r="AW28" s="44">
        <f ca="1" t="shared" si="18"/>
        <v>0</v>
      </c>
      <c r="AX28" s="44">
        <f ca="1" t="shared" si="18"/>
        <v>0</v>
      </c>
      <c r="AY28" s="44">
        <f ca="1" t="shared" si="18"/>
        <v>0</v>
      </c>
      <c r="AZ28" s="44">
        <f ca="1" t="shared" si="18"/>
        <v>0</v>
      </c>
      <c r="BA28" s="44">
        <f ca="1" t="shared" si="18"/>
        <v>0</v>
      </c>
      <c r="BB28" s="44">
        <f ca="1" t="shared" si="18"/>
        <v>0</v>
      </c>
      <c r="BC28" s="44">
        <f ca="1" t="shared" si="18"/>
        <v>0</v>
      </c>
      <c r="BD28" s="44">
        <f ca="1" t="shared" si="18"/>
        <v>0</v>
      </c>
      <c r="BE28" s="44">
        <f ca="1" t="shared" si="18"/>
        <v>0</v>
      </c>
      <c r="BF28" s="74">
        <f ca="1" t="shared" si="13"/>
        <v>0</v>
      </c>
      <c r="BG28" s="101">
        <f ca="1">AA$59-$BF28</f>
        <v>0</v>
      </c>
      <c r="BH28" s="41" t="e">
        <f ca="1" t="shared" si="14"/>
        <v>#REF!</v>
      </c>
      <c r="BI28" s="98"/>
      <c r="BJ28" s="107"/>
      <c r="BK28" s="107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</row>
    <row r="29" s="4" customFormat="1" ht="16.5" customHeight="1" spans="1:79">
      <c r="A29" s="45" t="s">
        <v>8376</v>
      </c>
      <c r="B29" s="45" t="s">
        <v>8377</v>
      </c>
      <c r="C29" s="46" t="s">
        <v>94</v>
      </c>
      <c r="D29" s="47" t="e">
        <f>+#REF!</f>
        <v>#REF!</v>
      </c>
      <c r="E29" s="42">
        <f ca="1" t="shared" si="15"/>
        <v>0</v>
      </c>
      <c r="F29" s="52">
        <f ca="1" t="shared" si="9"/>
        <v>0</v>
      </c>
      <c r="G29" s="50">
        <f ca="1">+GETPIVOTDATA("XDB4",'dabac (2016)'!$A$3,"MA_HT","DGT","MA_QH","LUC")</f>
        <v>0</v>
      </c>
      <c r="H29" s="50">
        <f ca="1">+GETPIVOTDATA("XDB4",'dabac (2016)'!$A$3,"MA_HT","DGT","MA_QH","LUK")</f>
        <v>0</v>
      </c>
      <c r="I29" s="50">
        <f ca="1">+GETPIVOTDATA("XDB4",'dabac (2016)'!$A$3,"MA_HT","DGT","MA_QH","LUN")</f>
        <v>0</v>
      </c>
      <c r="J29" s="50">
        <f ca="1">+GETPIVOTDATA("XDB4",'dabac (2016)'!$A$3,"MA_HT","DGT","MA_QH","HNK")</f>
        <v>0</v>
      </c>
      <c r="K29" s="50">
        <f ca="1">+GETPIVOTDATA("XDB4",'dabac (2016)'!$A$3,"MA_HT","DGT","MA_QH","CLN")</f>
        <v>0</v>
      </c>
      <c r="L29" s="50">
        <f ca="1">+GETPIVOTDATA("XDB4",'dabac (2016)'!$A$3,"MA_HT","DGT","MA_QH","RSX")</f>
        <v>0</v>
      </c>
      <c r="M29" s="50">
        <f ca="1">+GETPIVOTDATA("XDB4",'dabac (2016)'!$A$3,"MA_HT","DGT","MA_QH","RPH")</f>
        <v>0</v>
      </c>
      <c r="N29" s="50">
        <f ca="1">+GETPIVOTDATA("XDB4",'dabac (2016)'!$A$3,"MA_HT","DGT","MA_QH","RDD")</f>
        <v>0</v>
      </c>
      <c r="O29" s="50">
        <f ca="1">+GETPIVOTDATA("XDB4",'dabac (2016)'!$A$3,"MA_HT","DGT","MA_QH","NTS")</f>
        <v>0</v>
      </c>
      <c r="P29" s="50">
        <f ca="1">+GETPIVOTDATA("XDB4",'dabac (2016)'!$A$3,"MA_HT","DGT","MA_QH","LMU")</f>
        <v>0</v>
      </c>
      <c r="Q29" s="50">
        <f ca="1">+GETPIVOTDATA("XDB4",'dabac (2016)'!$A$3,"MA_HT","DGT","MA_QH","NKH")</f>
        <v>0</v>
      </c>
      <c r="R29" s="48">
        <f ca="1">SUM(S29:AA29,AN29:BD29)</f>
        <v>0</v>
      </c>
      <c r="S29" s="50">
        <f ca="1">+GETPIVOTDATA("XDB4",'dabac (2016)'!$A$3,"MA_HT","DGT","MA_QH","CQP")</f>
        <v>0</v>
      </c>
      <c r="T29" s="50">
        <f ca="1">+GETPIVOTDATA("XDB4",'dabac (2016)'!$A$3,"MA_HT","DGT","MA_QH","CAN")</f>
        <v>0</v>
      </c>
      <c r="U29" s="50">
        <f ca="1">+GETPIVOTDATA("XDB4",'dabac (2016)'!$A$3,"MA_HT","DGT","MA_QH","SKK")</f>
        <v>0</v>
      </c>
      <c r="V29" s="50">
        <f ca="1">+GETPIVOTDATA("XDB4",'dabac (2016)'!$A$3,"MA_HT","DGT","MA_QH","SKT")</f>
        <v>0</v>
      </c>
      <c r="W29" s="50">
        <f ca="1">+GETPIVOTDATA("XDB4",'dabac (2016)'!$A$3,"MA_HT","DGT","MA_QH","SKN")</f>
        <v>0</v>
      </c>
      <c r="X29" s="50">
        <f ca="1">+GETPIVOTDATA("XDB4",'dabac (2016)'!$A$3,"MA_HT","DGT","MA_QH","TMD")</f>
        <v>0</v>
      </c>
      <c r="Y29" s="50">
        <f ca="1">+GETPIVOTDATA("XDB4",'dabac (2016)'!$A$3,"MA_HT","DGT","MA_QH","SKC")</f>
        <v>0</v>
      </c>
      <c r="Z29" s="50">
        <f ca="1">+GETPIVOTDATA("XDB4",'dabac (2016)'!$A$3,"MA_HT","DGT","MA_QH","SKS")</f>
        <v>0</v>
      </c>
      <c r="AA29" s="52">
        <f ca="1">+SUM(AC29:AM29)</f>
        <v>0</v>
      </c>
      <c r="AB29" s="49" t="e">
        <f ca="1">$D29-$BF29</f>
        <v>#REF!</v>
      </c>
      <c r="AC29" s="50">
        <f ca="1">+GETPIVOTDATA("XDB4",'dabac (2016)'!$A$3,"MA_HT","DGT","MA_QH","DTL")</f>
        <v>0</v>
      </c>
      <c r="AD29" s="50">
        <f ca="1">+GETPIVOTDATA("XDB4",'dabac (2016)'!$A$3,"MA_HT","DGT","MA_QH","DNL")</f>
        <v>0</v>
      </c>
      <c r="AE29" s="50">
        <f ca="1">+GETPIVOTDATA("XDB4",'dabac (2016)'!$A$3,"MA_HT","DGT","MA_QH","DBV")</f>
        <v>0</v>
      </c>
      <c r="AF29" s="50">
        <f ca="1">+GETPIVOTDATA("XDB4",'dabac (2016)'!$A$3,"MA_HT","DGT","MA_QH","DVH")</f>
        <v>0</v>
      </c>
      <c r="AG29" s="50">
        <f ca="1">+GETPIVOTDATA("XDB4",'dabac (2016)'!$A$3,"MA_HT","DGT","MA_QH","DYT")</f>
        <v>0</v>
      </c>
      <c r="AH29" s="50">
        <f ca="1">+GETPIVOTDATA("XDB4",'dabac (2016)'!$A$3,"MA_HT","DGT","MA_QH","DGD")</f>
        <v>0</v>
      </c>
      <c r="AI29" s="50">
        <f ca="1">+GETPIVOTDATA("XDB4",'dabac (2016)'!$A$3,"MA_HT","DGT","MA_QH","DTT")</f>
        <v>0</v>
      </c>
      <c r="AJ29" s="50">
        <f ca="1">+GETPIVOTDATA("XDB4",'dabac (2016)'!$A$3,"MA_HT","DGT","MA_QH","NCK")</f>
        <v>0</v>
      </c>
      <c r="AK29" s="50">
        <f ca="1">+GETPIVOTDATA("XDB4",'dabac (2016)'!$A$3,"MA_HT","DGT","MA_QH","DXH")</f>
        <v>0</v>
      </c>
      <c r="AL29" s="50">
        <f ca="1">+GETPIVOTDATA("XDB4",'dabac (2016)'!$A$3,"MA_HT","DGT","MA_QH","DCH")</f>
        <v>0</v>
      </c>
      <c r="AM29" s="50">
        <f ca="1">+GETPIVOTDATA("XDB4",'dabac (2016)'!$A$3,"MA_HT","DGT","MA_QH","DKG")</f>
        <v>0</v>
      </c>
      <c r="AN29" s="50">
        <f ca="1">+GETPIVOTDATA("XDB4",'dabac (2016)'!$A$3,"MA_HT","DGT","MA_QH","DDT")</f>
        <v>0</v>
      </c>
      <c r="AO29" s="50">
        <f ca="1">+GETPIVOTDATA("XDB4",'dabac (2016)'!$A$3,"MA_HT","DGT","MA_QH","DDL")</f>
        <v>0</v>
      </c>
      <c r="AP29" s="50">
        <f ca="1">+GETPIVOTDATA("XDB4",'dabac (2016)'!$A$3,"MA_HT","DGT","MA_QH","DRA")</f>
        <v>0</v>
      </c>
      <c r="AQ29" s="50">
        <f ca="1">+GETPIVOTDATA("XDB4",'dabac (2016)'!$A$3,"MA_HT","DGT","MA_QH","ONT")</f>
        <v>0</v>
      </c>
      <c r="AR29" s="50">
        <f ca="1">+GETPIVOTDATA("XDB4",'dabac (2016)'!$A$3,"MA_HT","DGT","MA_QH","ODT")</f>
        <v>0</v>
      </c>
      <c r="AS29" s="50">
        <f ca="1">+GETPIVOTDATA("XDB4",'dabac (2016)'!$A$3,"MA_HT","DGT","MA_QH","TSC")</f>
        <v>0</v>
      </c>
      <c r="AT29" s="50">
        <f ca="1">+GETPIVOTDATA("XDB4",'dabac (2016)'!$A$3,"MA_HT","DGT","MA_QH","DTS")</f>
        <v>0</v>
      </c>
      <c r="AU29" s="50">
        <f ca="1">+GETPIVOTDATA("XDB4",'dabac (2016)'!$A$3,"MA_HT","DGT","MA_QH","DNG")</f>
        <v>0</v>
      </c>
      <c r="AV29" s="50">
        <f ca="1">+GETPIVOTDATA("XDB4",'dabac (2016)'!$A$3,"MA_HT","DGT","MA_QH","TON")</f>
        <v>0</v>
      </c>
      <c r="AW29" s="50">
        <f ca="1">+GETPIVOTDATA("XDB4",'dabac (2016)'!$A$3,"MA_HT","DGT","MA_QH","NTD")</f>
        <v>0</v>
      </c>
      <c r="AX29" s="50">
        <f ca="1">+GETPIVOTDATA("XDB4",'dabac (2016)'!$A$3,"MA_HT","DGT","MA_QH","SKX")</f>
        <v>0</v>
      </c>
      <c r="AY29" s="50">
        <f ca="1">+GETPIVOTDATA("XDB4",'dabac (2016)'!$A$3,"MA_HT","DGT","MA_QH","DSH")</f>
        <v>0</v>
      </c>
      <c r="AZ29" s="50">
        <f ca="1">+GETPIVOTDATA("XDB4",'dabac (2016)'!$A$3,"MA_HT","DGT","MA_QH","DKV")</f>
        <v>0</v>
      </c>
      <c r="BA29" s="88">
        <f ca="1">+GETPIVOTDATA("XDB4",'dabac (2016)'!$A$3,"MA_HT","DGT","MA_QH","TIN")</f>
        <v>0</v>
      </c>
      <c r="BB29" s="50">
        <f ca="1">+GETPIVOTDATA("XDB4",'dabac (2016)'!$A$3,"MA_HT","DGT","MA_QH","SON")</f>
        <v>0</v>
      </c>
      <c r="BC29" s="50">
        <f ca="1">+GETPIVOTDATA("XDB4",'dabac (2016)'!$A$3,"MA_HT","DGT","MA_QH","MNC")</f>
        <v>0</v>
      </c>
      <c r="BD29" s="50">
        <f ca="1">+GETPIVOTDATA("XDB4",'dabac (2016)'!$A$3,"MA_HT","DGT","MA_QH","PNK")</f>
        <v>0</v>
      </c>
      <c r="BE29" s="80">
        <f ca="1">+GETPIVOTDATA("XDB4",'dabac (2016)'!$A$3,"MA_HT","DGT","MA_QH","CSD")</f>
        <v>0</v>
      </c>
      <c r="BF29" s="103">
        <f ca="1" t="shared" si="13"/>
        <v>0</v>
      </c>
      <c r="BG29" s="104">
        <f ca="1">AB$59-$BF29</f>
        <v>0</v>
      </c>
      <c r="BH29" s="47" t="e">
        <f ca="1" t="shared" si="14"/>
        <v>#REF!</v>
      </c>
      <c r="BI29" s="105"/>
      <c r="BJ29" s="105" t="e">
        <f>#REF!</f>
        <v>#REF!</v>
      </c>
      <c r="BK29" s="108" t="e">
        <f ca="1" t="shared" ref="BK29:BK40" si="19">BH29-BJ29</f>
        <v>#REF!</v>
      </c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</row>
    <row r="30" s="4" customFormat="1" ht="16.5" customHeight="1" spans="1:79">
      <c r="A30" s="45" t="s">
        <v>8378</v>
      </c>
      <c r="B30" s="45" t="s">
        <v>8379</v>
      </c>
      <c r="C30" s="46" t="s">
        <v>216</v>
      </c>
      <c r="D30" s="47" t="e">
        <f>+#REF!</f>
        <v>#REF!</v>
      </c>
      <c r="E30" s="42">
        <f ca="1" t="shared" si="15"/>
        <v>0</v>
      </c>
      <c r="F30" s="52">
        <f ca="1" t="shared" si="9"/>
        <v>0</v>
      </c>
      <c r="G30" s="50">
        <f ca="1">+GETPIVOTDATA("XDB4",'dabac (2016)'!$A$3,"MA_HT","DTL","MA_QH","LUC")</f>
        <v>0</v>
      </c>
      <c r="H30" s="50">
        <f ca="1">+GETPIVOTDATA("XDB4",'dabac (2016)'!$A$3,"MA_HT","DTL","MA_QH","LUK")</f>
        <v>0</v>
      </c>
      <c r="I30" s="50">
        <f ca="1">+GETPIVOTDATA("XDB4",'dabac (2016)'!$A$3,"MA_HT","DTL","MA_QH","LUN")</f>
        <v>0</v>
      </c>
      <c r="J30" s="50">
        <f ca="1">+GETPIVOTDATA("XDB4",'dabac (2016)'!$A$3,"MA_HT","DTL","MA_QH","HNK")</f>
        <v>0</v>
      </c>
      <c r="K30" s="50">
        <f ca="1">+GETPIVOTDATA("XDB4",'dabac (2016)'!$A$3,"MA_HT","DTL","MA_QH","CLN")</f>
        <v>0</v>
      </c>
      <c r="L30" s="50">
        <f ca="1">+GETPIVOTDATA("XDB4",'dabac (2016)'!$A$3,"MA_HT","DTL","MA_QH","RSX")</f>
        <v>0</v>
      </c>
      <c r="M30" s="50">
        <f ca="1">+GETPIVOTDATA("XDB4",'dabac (2016)'!$A$3,"MA_HT","DTL","MA_QH","RPH")</f>
        <v>0</v>
      </c>
      <c r="N30" s="50">
        <f ca="1">+GETPIVOTDATA("XDB4",'dabac (2016)'!$A$3,"MA_HT","DTL","MA_QH","RDD")</f>
        <v>0</v>
      </c>
      <c r="O30" s="50">
        <f ca="1">+GETPIVOTDATA("XDB4",'dabac (2016)'!$A$3,"MA_HT","DTL","MA_QH","NTS")</f>
        <v>0</v>
      </c>
      <c r="P30" s="50">
        <f ca="1">+GETPIVOTDATA("XDB4",'dabac (2016)'!$A$3,"MA_HT","DTL","MA_QH","LMU")</f>
        <v>0</v>
      </c>
      <c r="Q30" s="50">
        <f ca="1">+GETPIVOTDATA("XDB4",'dabac (2016)'!$A$3,"MA_HT","DTL","MA_QH","NKH")</f>
        <v>0</v>
      </c>
      <c r="R30" s="48">
        <f ca="1" t="shared" ref="R30:R40" si="20">SUM(S30:AA30,AN30:BD30)</f>
        <v>0</v>
      </c>
      <c r="S30" s="50">
        <f ca="1">+GETPIVOTDATA("XDB4",'dabac (2016)'!$A$3,"MA_HT","DTL","MA_QH","CQP")</f>
        <v>0</v>
      </c>
      <c r="T30" s="50">
        <f ca="1">+GETPIVOTDATA("XDB4",'dabac (2016)'!$A$3,"MA_HT","DTL","MA_QH","CAN")</f>
        <v>0</v>
      </c>
      <c r="U30" s="50">
        <f ca="1">+GETPIVOTDATA("XDB4",'dabac (2016)'!$A$3,"MA_HT","DTL","MA_QH","SKK")</f>
        <v>0</v>
      </c>
      <c r="V30" s="50">
        <f ca="1">+GETPIVOTDATA("XDB4",'dabac (2016)'!$A$3,"MA_HT","DTL","MA_QH","SKT")</f>
        <v>0</v>
      </c>
      <c r="W30" s="50">
        <f ca="1">+GETPIVOTDATA("XDB4",'dabac (2016)'!$A$3,"MA_HT","DTL","MA_QH","SKN")</f>
        <v>0</v>
      </c>
      <c r="X30" s="50">
        <f ca="1">+GETPIVOTDATA("XDB4",'dabac (2016)'!$A$3,"MA_HT","DTL","MA_QH","TMD")</f>
        <v>0</v>
      </c>
      <c r="Y30" s="50">
        <f ca="1">+GETPIVOTDATA("XDB4",'dabac (2016)'!$A$3,"MA_HT","DTL","MA_QH","SKC")</f>
        <v>0</v>
      </c>
      <c r="Z30" s="50">
        <f ca="1">+GETPIVOTDATA("XDB4",'dabac (2016)'!$A$3,"MA_HT","DTL","MA_QH","SKS")</f>
        <v>0</v>
      </c>
      <c r="AA30" s="52">
        <f ca="1">+SUM(AB30,AD30:AM30)</f>
        <v>0</v>
      </c>
      <c r="AB30" s="50">
        <f ca="1">+GETPIVOTDATA("XDB4",'dabac (2016)'!$A$3,"MA_HT","DTL","MA_QH","DGT")</f>
        <v>0</v>
      </c>
      <c r="AC30" s="49" t="e">
        <f ca="1">$D30-$BF30</f>
        <v>#REF!</v>
      </c>
      <c r="AD30" s="50">
        <f ca="1">+GETPIVOTDATA("XDB4",'dabac (2016)'!$A$3,"MA_HT","DTL","MA_QH","DNL")</f>
        <v>0</v>
      </c>
      <c r="AE30" s="50">
        <f ca="1">+GETPIVOTDATA("XDB4",'dabac (2016)'!$A$3,"MA_HT","DTL","MA_QH","DBV")</f>
        <v>0</v>
      </c>
      <c r="AF30" s="50">
        <f ca="1">+GETPIVOTDATA("XDB4",'dabac (2016)'!$A$3,"MA_HT","DTL","MA_QH","DVH")</f>
        <v>0</v>
      </c>
      <c r="AG30" s="50">
        <f ca="1">+GETPIVOTDATA("XDB4",'dabac (2016)'!$A$3,"MA_HT","DTL","MA_QH","DYT")</f>
        <v>0</v>
      </c>
      <c r="AH30" s="50">
        <f ca="1">+GETPIVOTDATA("XDB4",'dabac (2016)'!$A$3,"MA_HT","DTL","MA_QH","DGD")</f>
        <v>0</v>
      </c>
      <c r="AI30" s="50">
        <f ca="1">+GETPIVOTDATA("XDB4",'dabac (2016)'!$A$3,"MA_HT","DTL","MA_QH","DTT")</f>
        <v>0</v>
      </c>
      <c r="AJ30" s="50">
        <f ca="1">+GETPIVOTDATA("XDB4",'dabac (2016)'!$A$3,"MA_HT","DTL","MA_QH","NCK")</f>
        <v>0</v>
      </c>
      <c r="AK30" s="50">
        <f ca="1">+GETPIVOTDATA("XDB4",'dabac (2016)'!$A$3,"MA_HT","DTL","MA_QH","DXH")</f>
        <v>0</v>
      </c>
      <c r="AL30" s="50">
        <f ca="1">+GETPIVOTDATA("XDB4",'dabac (2016)'!$A$3,"MA_HT","DTL","MA_QH","DCH")</f>
        <v>0</v>
      </c>
      <c r="AM30" s="50">
        <f ca="1">+GETPIVOTDATA("XDB4",'dabac (2016)'!$A$3,"MA_HT","DTL","MA_QH","DKG")</f>
        <v>0</v>
      </c>
      <c r="AN30" s="50">
        <f ca="1">+GETPIVOTDATA("XDB4",'dabac (2016)'!$A$3,"MA_HT","DTL","MA_QH","DDT")</f>
        <v>0</v>
      </c>
      <c r="AO30" s="50">
        <f ca="1">+GETPIVOTDATA("XDB4",'dabac (2016)'!$A$3,"MA_HT","DTL","MA_QH","DDL")</f>
        <v>0</v>
      </c>
      <c r="AP30" s="50">
        <f ca="1">+GETPIVOTDATA("XDB4",'dabac (2016)'!$A$3,"MA_HT","DTL","MA_QH","DRA")</f>
        <v>0</v>
      </c>
      <c r="AQ30" s="50">
        <f ca="1">+GETPIVOTDATA("XDB4",'dabac (2016)'!$A$3,"MA_HT","DTL","MA_QH","ONT")</f>
        <v>0</v>
      </c>
      <c r="AR30" s="50">
        <f ca="1">+GETPIVOTDATA("XDB4",'dabac (2016)'!$A$3,"MA_HT","DTL","MA_QH","ODT")</f>
        <v>0</v>
      </c>
      <c r="AS30" s="50">
        <f ca="1">+GETPIVOTDATA("XDB4",'dabac (2016)'!$A$3,"MA_HT","DTL","MA_QH","TSC")</f>
        <v>0</v>
      </c>
      <c r="AT30" s="50">
        <f ca="1">+GETPIVOTDATA("XDB4",'dabac (2016)'!$A$3,"MA_HT","DTL","MA_QH","DTS")</f>
        <v>0</v>
      </c>
      <c r="AU30" s="50">
        <f ca="1">+GETPIVOTDATA("XDB4",'dabac (2016)'!$A$3,"MA_HT","DTL","MA_QH","DNG")</f>
        <v>0</v>
      </c>
      <c r="AV30" s="50">
        <f ca="1">+GETPIVOTDATA("XDB4",'dabac (2016)'!$A$3,"MA_HT","DTL","MA_QH","TON")</f>
        <v>0</v>
      </c>
      <c r="AW30" s="50">
        <f ca="1">+GETPIVOTDATA("XDB4",'dabac (2016)'!$A$3,"MA_HT","DTL","MA_QH","NTD")</f>
        <v>0</v>
      </c>
      <c r="AX30" s="50">
        <f ca="1">+GETPIVOTDATA("XDB4",'dabac (2016)'!$A$3,"MA_HT","DTL","MA_QH","SKX")</f>
        <v>0</v>
      </c>
      <c r="AY30" s="50">
        <f ca="1">+GETPIVOTDATA("XDB4",'dabac (2016)'!$A$3,"MA_HT","DTL","MA_QH","DSH")</f>
        <v>0</v>
      </c>
      <c r="AZ30" s="50">
        <f ca="1">+GETPIVOTDATA("XDB4",'dabac (2016)'!$A$3,"MA_HT","DTL","MA_QH","DKV")</f>
        <v>0</v>
      </c>
      <c r="BA30" s="88">
        <f ca="1">+GETPIVOTDATA("XDB4",'dabac (2016)'!$A$3,"MA_HT","DTL","MA_QH","TIN")</f>
        <v>0</v>
      </c>
      <c r="BB30" s="50">
        <f ca="1">+GETPIVOTDATA("XDB4",'dabac (2016)'!$A$3,"MA_HT","DTL","MA_QH","SON")</f>
        <v>0</v>
      </c>
      <c r="BC30" s="50">
        <f ca="1">+GETPIVOTDATA("XDB4",'dabac (2016)'!$A$3,"MA_HT","DTL","MA_QH","MNC")</f>
        <v>0</v>
      </c>
      <c r="BD30" s="50">
        <f ca="1">+GETPIVOTDATA("XDB4",'dabac (2016)'!$A$3,"MA_HT","DTL","MA_QH","PNK")</f>
        <v>0</v>
      </c>
      <c r="BE30" s="80">
        <f ca="1">+GETPIVOTDATA("XDB4",'dabac (2016)'!$A$3,"MA_HT","DTL","MA_QH","CSD")</f>
        <v>0</v>
      </c>
      <c r="BF30" s="103">
        <f ca="1" t="shared" si="13"/>
        <v>0</v>
      </c>
      <c r="BG30" s="104">
        <f ca="1">AC$59-$BF30</f>
        <v>0</v>
      </c>
      <c r="BH30" s="47" t="e">
        <f ca="1" t="shared" si="14"/>
        <v>#REF!</v>
      </c>
      <c r="BI30" s="105"/>
      <c r="BJ30" s="105" t="e">
        <f>#REF!</f>
        <v>#REF!</v>
      </c>
      <c r="BK30" s="108" t="e">
        <f ca="1" t="shared" si="19"/>
        <v>#REF!</v>
      </c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</row>
    <row r="31" s="4" customFormat="1" ht="16.5" customHeight="1" spans="1:79">
      <c r="A31" s="45" t="s">
        <v>8380</v>
      </c>
      <c r="B31" s="45" t="s">
        <v>8381</v>
      </c>
      <c r="C31" s="46" t="s">
        <v>71</v>
      </c>
      <c r="D31" s="47" t="e">
        <f>+#REF!</f>
        <v>#REF!</v>
      </c>
      <c r="E31" s="42">
        <f ca="1" t="shared" si="15"/>
        <v>0</v>
      </c>
      <c r="F31" s="52">
        <f ca="1" t="shared" si="9"/>
        <v>0</v>
      </c>
      <c r="G31" s="50">
        <f ca="1">+GETPIVOTDATA("XDB4",'dabac (2016)'!$A$3,"MA_HT","DNL","MA_QH","LUC")</f>
        <v>0</v>
      </c>
      <c r="H31" s="50">
        <f ca="1">+GETPIVOTDATA("XDB4",'dabac (2016)'!$A$3,"MA_HT","DNL","MA_QH","LUK")</f>
        <v>0</v>
      </c>
      <c r="I31" s="50">
        <f ca="1">+GETPIVOTDATA("XDB4",'dabac (2016)'!$A$3,"MA_HT","DNL","MA_QH","LUN")</f>
        <v>0</v>
      </c>
      <c r="J31" s="50">
        <f ca="1">+GETPIVOTDATA("XDB4",'dabac (2016)'!$A$3,"MA_HT","DNL","MA_QH","HNK")</f>
        <v>0</v>
      </c>
      <c r="K31" s="50">
        <f ca="1">+GETPIVOTDATA("XDB4",'dabac (2016)'!$A$3,"MA_HT","DNL","MA_QH","CLN")</f>
        <v>0</v>
      </c>
      <c r="L31" s="50">
        <f ca="1">+GETPIVOTDATA("XDB4",'dabac (2016)'!$A$3,"MA_HT","DNL","MA_QH","RSX")</f>
        <v>0</v>
      </c>
      <c r="M31" s="50">
        <f ca="1">+GETPIVOTDATA("XDB4",'dabac (2016)'!$A$3,"MA_HT","DNL","MA_QH","RPH")</f>
        <v>0</v>
      </c>
      <c r="N31" s="50">
        <f ca="1">+GETPIVOTDATA("XDB4",'dabac (2016)'!$A$3,"MA_HT","DNL","MA_QH","RDD")</f>
        <v>0</v>
      </c>
      <c r="O31" s="50">
        <f ca="1">+GETPIVOTDATA("XDB4",'dabac (2016)'!$A$3,"MA_HT","DNL","MA_QH","NTS")</f>
        <v>0</v>
      </c>
      <c r="P31" s="50">
        <f ca="1">+GETPIVOTDATA("XDB4",'dabac (2016)'!$A$3,"MA_HT","DNL","MA_QH","LMU")</f>
        <v>0</v>
      </c>
      <c r="Q31" s="50">
        <f ca="1">+GETPIVOTDATA("XDB4",'dabac (2016)'!$A$3,"MA_HT","DNL","MA_QH","NKH")</f>
        <v>0</v>
      </c>
      <c r="R31" s="48">
        <f ca="1" t="shared" si="20"/>
        <v>0</v>
      </c>
      <c r="S31" s="50">
        <f ca="1">+GETPIVOTDATA("XDB4",'dabac (2016)'!$A$3,"MA_HT","DNL","MA_QH","CQP")</f>
        <v>0</v>
      </c>
      <c r="T31" s="50">
        <f ca="1">+GETPIVOTDATA("XDB4",'dabac (2016)'!$A$3,"MA_HT","DNL","MA_QH","CAN")</f>
        <v>0</v>
      </c>
      <c r="U31" s="50">
        <f ca="1">+GETPIVOTDATA("XDB4",'dabac (2016)'!$A$3,"MA_HT","DNL","MA_QH","SKK")</f>
        <v>0</v>
      </c>
      <c r="V31" s="50">
        <f ca="1">+GETPIVOTDATA("XDB4",'dabac (2016)'!$A$3,"MA_HT","DNL","MA_QH","SKT")</f>
        <v>0</v>
      </c>
      <c r="W31" s="50">
        <f ca="1">+GETPIVOTDATA("XDB4",'dabac (2016)'!$A$3,"MA_HT","DNL","MA_QH","SKN")</f>
        <v>0</v>
      </c>
      <c r="X31" s="50">
        <f ca="1">+GETPIVOTDATA("XDB4",'dabac (2016)'!$A$3,"MA_HT","DNL","MA_QH","TMD")</f>
        <v>0</v>
      </c>
      <c r="Y31" s="50">
        <f ca="1">+GETPIVOTDATA("XDB4",'dabac (2016)'!$A$3,"MA_HT","DNL","MA_QH","SKC")</f>
        <v>0</v>
      </c>
      <c r="Z31" s="50">
        <f ca="1">+GETPIVOTDATA("XDB4",'dabac (2016)'!$A$3,"MA_HT","DNL","MA_QH","SKS")</f>
        <v>0</v>
      </c>
      <c r="AA31" s="52">
        <f ca="1">+SUM(AB31:AC31,AE31:AM31)</f>
        <v>0</v>
      </c>
      <c r="AB31" s="50">
        <f ca="1">+GETPIVOTDATA("XDB4",'dabac (2016)'!$A$3,"MA_HT","DNL","MA_QH","DGT")</f>
        <v>0</v>
      </c>
      <c r="AC31" s="50">
        <f ca="1">+GETPIVOTDATA("XDB4",'dabac (2016)'!$A$3,"MA_HT","DNL","MA_QH","DTL")</f>
        <v>0</v>
      </c>
      <c r="AD31" s="49" t="e">
        <f ca="1">$D31-$BF31</f>
        <v>#REF!</v>
      </c>
      <c r="AE31" s="50">
        <f ca="1">+GETPIVOTDATA("XDB4",'dabac (2016)'!$A$3,"MA_HT","DNL","MA_QH","DBV")</f>
        <v>0</v>
      </c>
      <c r="AF31" s="50">
        <f ca="1">+GETPIVOTDATA("XDB4",'dabac (2016)'!$A$3,"MA_HT","DNL","MA_QH","DVH")</f>
        <v>0</v>
      </c>
      <c r="AG31" s="50">
        <f ca="1">+GETPIVOTDATA("XDB4",'dabac (2016)'!$A$3,"MA_HT","DNL","MA_QH","DYT")</f>
        <v>0</v>
      </c>
      <c r="AH31" s="50">
        <f ca="1">+GETPIVOTDATA("XDB4",'dabac (2016)'!$A$3,"MA_HT","DNL","MA_QH","DGD")</f>
        <v>0</v>
      </c>
      <c r="AI31" s="50">
        <f ca="1">+GETPIVOTDATA("XDB4",'dabac (2016)'!$A$3,"MA_HT","DNL","MA_QH","DTT")</f>
        <v>0</v>
      </c>
      <c r="AJ31" s="50">
        <f ca="1">+GETPIVOTDATA("XDB4",'dabac (2016)'!$A$3,"MA_HT","DNL","MA_QH","NCK")</f>
        <v>0</v>
      </c>
      <c r="AK31" s="50">
        <f ca="1">+GETPIVOTDATA("XDB4",'dabac (2016)'!$A$3,"MA_HT","DNL","MA_QH","DXH")</f>
        <v>0</v>
      </c>
      <c r="AL31" s="50">
        <f ca="1">+GETPIVOTDATA("XDB4",'dabac (2016)'!$A$3,"MA_HT","DNL","MA_QH","DCH")</f>
        <v>0</v>
      </c>
      <c r="AM31" s="50">
        <f ca="1">+GETPIVOTDATA("XDB4",'dabac (2016)'!$A$3,"MA_HT","DNL","MA_QH","DKG")</f>
        <v>0</v>
      </c>
      <c r="AN31" s="50">
        <f ca="1">+GETPIVOTDATA("XDB4",'dabac (2016)'!$A$3,"MA_HT","DNL","MA_QH","DDT")</f>
        <v>0</v>
      </c>
      <c r="AO31" s="50">
        <f ca="1">+GETPIVOTDATA("XDB4",'dabac (2016)'!$A$3,"MA_HT","DNL","MA_QH","DDL")</f>
        <v>0</v>
      </c>
      <c r="AP31" s="50">
        <f ca="1">+GETPIVOTDATA("XDB4",'dabac (2016)'!$A$3,"MA_HT","DNL","MA_QH","DRA")</f>
        <v>0</v>
      </c>
      <c r="AQ31" s="50">
        <f ca="1">+GETPIVOTDATA("XDB4",'dabac (2016)'!$A$3,"MA_HT","DNL","MA_QH","ONT")</f>
        <v>0</v>
      </c>
      <c r="AR31" s="50">
        <f ca="1">+GETPIVOTDATA("XDB4",'dabac (2016)'!$A$3,"MA_HT","DNL","MA_QH","ODT")</f>
        <v>0</v>
      </c>
      <c r="AS31" s="50">
        <f ca="1">+GETPIVOTDATA("XDB4",'dabac (2016)'!$A$3,"MA_HT","DNL","MA_QH","TSC")</f>
        <v>0</v>
      </c>
      <c r="AT31" s="50">
        <f ca="1">+GETPIVOTDATA("XDB4",'dabac (2016)'!$A$3,"MA_HT","DNL","MA_QH","DTS")</f>
        <v>0</v>
      </c>
      <c r="AU31" s="50">
        <f ca="1">+GETPIVOTDATA("XDB4",'dabac (2016)'!$A$3,"MA_HT","DNL","MA_QH","DNG")</f>
        <v>0</v>
      </c>
      <c r="AV31" s="50">
        <f ca="1">+GETPIVOTDATA("XDB4",'dabac (2016)'!$A$3,"MA_HT","DNL","MA_QH","TON")</f>
        <v>0</v>
      </c>
      <c r="AW31" s="50">
        <f ca="1">+GETPIVOTDATA("XDB4",'dabac (2016)'!$A$3,"MA_HT","DNL","MA_QH","NTD")</f>
        <v>0</v>
      </c>
      <c r="AX31" s="50">
        <f ca="1">+GETPIVOTDATA("XDB4",'dabac (2016)'!$A$3,"MA_HT","DNL","MA_QH","SKX")</f>
        <v>0</v>
      </c>
      <c r="AY31" s="50">
        <f ca="1">+GETPIVOTDATA("XDB4",'dabac (2016)'!$A$3,"MA_HT","DNL","MA_QH","DSH")</f>
        <v>0</v>
      </c>
      <c r="AZ31" s="50">
        <f ca="1">+GETPIVOTDATA("XDB4",'dabac (2016)'!$A$3,"MA_HT","DNL","MA_QH","DKV")</f>
        <v>0</v>
      </c>
      <c r="BA31" s="88">
        <f ca="1">+GETPIVOTDATA("XDB4",'dabac (2016)'!$A$3,"MA_HT","DNL","MA_QH","TIN")</f>
        <v>0</v>
      </c>
      <c r="BB31" s="50">
        <f ca="1">+GETPIVOTDATA("XDB4",'dabac (2016)'!$A$3,"MA_HT","DNL","MA_QH","SON")</f>
        <v>0</v>
      </c>
      <c r="BC31" s="50">
        <f ca="1">+GETPIVOTDATA("XDB4",'dabac (2016)'!$A$3,"MA_HT","DNL","MA_QH","MNC")</f>
        <v>0</v>
      </c>
      <c r="BD31" s="50">
        <f ca="1">+GETPIVOTDATA("XDB4",'dabac (2016)'!$A$3,"MA_HT","DNL","MA_QH","PNK")</f>
        <v>0</v>
      </c>
      <c r="BE31" s="80">
        <f ca="1">+GETPIVOTDATA("XDB4",'dabac (2016)'!$A$3,"MA_HT","DNL","MA_QH","CSD")</f>
        <v>0</v>
      </c>
      <c r="BF31" s="103">
        <f ca="1" t="shared" si="13"/>
        <v>0</v>
      </c>
      <c r="BG31" s="104">
        <f ca="1">AD$59-$BF31</f>
        <v>0</v>
      </c>
      <c r="BH31" s="47" t="e">
        <f ca="1" t="shared" si="14"/>
        <v>#REF!</v>
      </c>
      <c r="BI31" s="105"/>
      <c r="BJ31" s="105" t="e">
        <f>#REF!</f>
        <v>#REF!</v>
      </c>
      <c r="BK31" s="108" t="e">
        <f ca="1" t="shared" si="19"/>
        <v>#REF!</v>
      </c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</row>
    <row r="32" s="4" customFormat="1" ht="16.5" customHeight="1" spans="1:79">
      <c r="A32" s="45" t="s">
        <v>8382</v>
      </c>
      <c r="B32" s="45" t="s">
        <v>8383</v>
      </c>
      <c r="C32" s="46" t="s">
        <v>8285</v>
      </c>
      <c r="D32" s="47" t="e">
        <f>+#REF!</f>
        <v>#REF!</v>
      </c>
      <c r="E32" s="42">
        <f ca="1" t="shared" si="15"/>
        <v>0</v>
      </c>
      <c r="F32" s="52">
        <f ca="1" t="shared" si="9"/>
        <v>0</v>
      </c>
      <c r="G32" s="50">
        <f ca="1">+GETPIVOTDATA("XDB4",'dabac (2016)'!$A$3,"MA_HT","DBV","MA_QH","LUC")</f>
        <v>0</v>
      </c>
      <c r="H32" s="50">
        <f ca="1">+GETPIVOTDATA("XDB4",'dabac (2016)'!$A$3,"MA_HT","DBV","MA_QH","LUK")</f>
        <v>0</v>
      </c>
      <c r="I32" s="50">
        <f ca="1">+GETPIVOTDATA("XDB4",'dabac (2016)'!$A$3,"MA_HT","DBV","MA_QH","LUN")</f>
        <v>0</v>
      </c>
      <c r="J32" s="50">
        <f ca="1">+GETPIVOTDATA("XDB4",'dabac (2016)'!$A$3,"MA_HT","DBV","MA_QH","HNK")</f>
        <v>0</v>
      </c>
      <c r="K32" s="50">
        <f ca="1">+GETPIVOTDATA("XDB4",'dabac (2016)'!$A$3,"MA_HT","DBV","MA_QH","CLN")</f>
        <v>0</v>
      </c>
      <c r="L32" s="50">
        <f ca="1">+GETPIVOTDATA("XDB4",'dabac (2016)'!$A$3,"MA_HT","DBV","MA_QH","RSX")</f>
        <v>0</v>
      </c>
      <c r="M32" s="50">
        <f ca="1">+GETPIVOTDATA("XDB4",'dabac (2016)'!$A$3,"MA_HT","DBV","MA_QH","RPH")</f>
        <v>0</v>
      </c>
      <c r="N32" s="50">
        <f ca="1">+GETPIVOTDATA("XDB4",'dabac (2016)'!$A$3,"MA_HT","DBV","MA_QH","RDD")</f>
        <v>0</v>
      </c>
      <c r="O32" s="50">
        <f ca="1">+GETPIVOTDATA("XDB4",'dabac (2016)'!$A$3,"MA_HT","DBV","MA_QH","NTS")</f>
        <v>0</v>
      </c>
      <c r="P32" s="50">
        <f ca="1">+GETPIVOTDATA("XDB4",'dabac (2016)'!$A$3,"MA_HT","DBV","MA_QH","LMU")</f>
        <v>0</v>
      </c>
      <c r="Q32" s="50">
        <f ca="1">+GETPIVOTDATA("XDB4",'dabac (2016)'!$A$3,"MA_HT","DBV","MA_QH","NKH")</f>
        <v>0</v>
      </c>
      <c r="R32" s="48">
        <f ca="1" t="shared" si="20"/>
        <v>0</v>
      </c>
      <c r="S32" s="50">
        <f ca="1">+GETPIVOTDATA("XDB4",'dabac (2016)'!$A$3,"MA_HT","DBV","MA_QH","CQP")</f>
        <v>0</v>
      </c>
      <c r="T32" s="50">
        <f ca="1">+GETPIVOTDATA("XDB4",'dabac (2016)'!$A$3,"MA_HT","DBV","MA_QH","CAN")</f>
        <v>0</v>
      </c>
      <c r="U32" s="50">
        <f ca="1">+GETPIVOTDATA("XDB4",'dabac (2016)'!$A$3,"MA_HT","DBV","MA_QH","SKK")</f>
        <v>0</v>
      </c>
      <c r="V32" s="50">
        <f ca="1">+GETPIVOTDATA("XDB4",'dabac (2016)'!$A$3,"MA_HT","DBV","MA_QH","SKT")</f>
        <v>0</v>
      </c>
      <c r="W32" s="50">
        <f ca="1">+GETPIVOTDATA("XDB4",'dabac (2016)'!$A$3,"MA_HT","DBV","MA_QH","SKN")</f>
        <v>0</v>
      </c>
      <c r="X32" s="50">
        <f ca="1">+GETPIVOTDATA("XDB4",'dabac (2016)'!$A$3,"MA_HT","DBV","MA_QH","TMD")</f>
        <v>0</v>
      </c>
      <c r="Y32" s="50">
        <f ca="1">+GETPIVOTDATA("XDB4",'dabac (2016)'!$A$3,"MA_HT","DBV","MA_QH","SKC")</f>
        <v>0</v>
      </c>
      <c r="Z32" s="50">
        <f ca="1">+GETPIVOTDATA("XDB4",'dabac (2016)'!$A$3,"MA_HT","DBV","MA_QH","SKS")</f>
        <v>0</v>
      </c>
      <c r="AA32" s="52">
        <f ca="1">+SUM(AB32:AD32,AF32:AM32)</f>
        <v>0</v>
      </c>
      <c r="AB32" s="50">
        <f ca="1">+GETPIVOTDATA("XDB4",'dabac (2016)'!$A$3,"MA_HT","DBV","MA_QH","DGT")</f>
        <v>0</v>
      </c>
      <c r="AC32" s="50">
        <f ca="1">+GETPIVOTDATA("XDB4",'dabac (2016)'!$A$3,"MA_HT","DBV","MA_QH","DTL")</f>
        <v>0</v>
      </c>
      <c r="AD32" s="50">
        <f ca="1">+GETPIVOTDATA("XDB4",'dabac (2016)'!$A$3,"MA_HT","DBV","MA_QH","DNL")</f>
        <v>0</v>
      </c>
      <c r="AE32" s="49" t="e">
        <f ca="1">$D32-$BF32</f>
        <v>#REF!</v>
      </c>
      <c r="AF32" s="50">
        <f ca="1">+GETPIVOTDATA("XDB4",'dabac (2016)'!$A$3,"MA_HT","DBV","MA_QH","DVH")</f>
        <v>0</v>
      </c>
      <c r="AG32" s="50">
        <f ca="1">+GETPIVOTDATA("XDB4",'dabac (2016)'!$A$3,"MA_HT","DBV","MA_QH","DYT")</f>
        <v>0</v>
      </c>
      <c r="AH32" s="50">
        <f ca="1">+GETPIVOTDATA("XDB4",'dabac (2016)'!$A$3,"MA_HT","DBV","MA_QH","DGD")</f>
        <v>0</v>
      </c>
      <c r="AI32" s="50">
        <f ca="1">+GETPIVOTDATA("XDB4",'dabac (2016)'!$A$3,"MA_HT","DBV","MA_QH","DTT")</f>
        <v>0</v>
      </c>
      <c r="AJ32" s="50">
        <f ca="1">+GETPIVOTDATA("XDB4",'dabac (2016)'!$A$3,"MA_HT","DBV","MA_QH","NCK")</f>
        <v>0</v>
      </c>
      <c r="AK32" s="50">
        <f ca="1">+GETPIVOTDATA("XDB4",'dabac (2016)'!$A$3,"MA_HT","DBV","MA_QH","DXH")</f>
        <v>0</v>
      </c>
      <c r="AL32" s="50">
        <f ca="1">+GETPIVOTDATA("XDB4",'dabac (2016)'!$A$3,"MA_HT","DBV","MA_QH","DCH")</f>
        <v>0</v>
      </c>
      <c r="AM32" s="50">
        <f ca="1">+GETPIVOTDATA("XDB4",'dabac (2016)'!$A$3,"MA_HT","DBV","MA_QH","DKG")</f>
        <v>0</v>
      </c>
      <c r="AN32" s="50">
        <f ca="1">+GETPIVOTDATA("XDB4",'dabac (2016)'!$A$3,"MA_HT","DBV","MA_QH","DDT")</f>
        <v>0</v>
      </c>
      <c r="AO32" s="50">
        <f ca="1">+GETPIVOTDATA("XDB4",'dabac (2016)'!$A$3,"MA_HT","DBV","MA_QH","DDL")</f>
        <v>0</v>
      </c>
      <c r="AP32" s="50">
        <f ca="1">+GETPIVOTDATA("XDB4",'dabac (2016)'!$A$3,"MA_HT","DBV","MA_QH","DRA")</f>
        <v>0</v>
      </c>
      <c r="AQ32" s="50">
        <f ca="1">+GETPIVOTDATA("XDB4",'dabac (2016)'!$A$3,"MA_HT","DBV","MA_QH","ONT")</f>
        <v>0</v>
      </c>
      <c r="AR32" s="50">
        <f ca="1">+GETPIVOTDATA("XDB4",'dabac (2016)'!$A$3,"MA_HT","DBV","MA_QH","ODT")</f>
        <v>0</v>
      </c>
      <c r="AS32" s="50">
        <f ca="1">+GETPIVOTDATA("XDB4",'dabac (2016)'!$A$3,"MA_HT","DBV","MA_QH","TSC")</f>
        <v>0</v>
      </c>
      <c r="AT32" s="50">
        <f ca="1">+GETPIVOTDATA("XDB4",'dabac (2016)'!$A$3,"MA_HT","DBV","MA_QH","DTS")</f>
        <v>0</v>
      </c>
      <c r="AU32" s="50">
        <f ca="1">+GETPIVOTDATA("XDB4",'dabac (2016)'!$A$3,"MA_HT","DBV","MA_QH","DNG")</f>
        <v>0</v>
      </c>
      <c r="AV32" s="50">
        <f ca="1">+GETPIVOTDATA("XDB4",'dabac (2016)'!$A$3,"MA_HT","DBV","MA_QH","TON")</f>
        <v>0</v>
      </c>
      <c r="AW32" s="50">
        <f ca="1">+GETPIVOTDATA("XDB4",'dabac (2016)'!$A$3,"MA_HT","DBV","MA_QH","NTD")</f>
        <v>0</v>
      </c>
      <c r="AX32" s="50">
        <f ca="1">+GETPIVOTDATA("XDB4",'dabac (2016)'!$A$3,"MA_HT","DBV","MA_QH","SKX")</f>
        <v>0</v>
      </c>
      <c r="AY32" s="50">
        <f ca="1">+GETPIVOTDATA("XDB4",'dabac (2016)'!$A$3,"MA_HT","DBV","MA_QH","DSH")</f>
        <v>0</v>
      </c>
      <c r="AZ32" s="50">
        <f ca="1">+GETPIVOTDATA("XDB4",'dabac (2016)'!$A$3,"MA_HT","DBV","MA_QH","DKV")</f>
        <v>0</v>
      </c>
      <c r="BA32" s="88">
        <f ca="1">+GETPIVOTDATA("XDB4",'dabac (2016)'!$A$3,"MA_HT","DBV","MA_QH","TIN")</f>
        <v>0</v>
      </c>
      <c r="BB32" s="50">
        <f ca="1">+GETPIVOTDATA("XDB4",'dabac (2016)'!$A$3,"MA_HT","DBV","MA_QH","SON")</f>
        <v>0</v>
      </c>
      <c r="BC32" s="50">
        <f ca="1">+GETPIVOTDATA("XDB4",'dabac (2016)'!$A$3,"MA_HT","DBV","MA_QH","MNC")</f>
        <v>0</v>
      </c>
      <c r="BD32" s="50">
        <f ca="1">+GETPIVOTDATA("XDB4",'dabac (2016)'!$A$3,"MA_HT","DBV","MA_QH","PNK")</f>
        <v>0</v>
      </c>
      <c r="BE32" s="80">
        <f ca="1">+GETPIVOTDATA("XDB4",'dabac (2016)'!$A$3,"MA_HT","DBV","MA_QH","CSD")</f>
        <v>0</v>
      </c>
      <c r="BF32" s="103">
        <f ca="1" t="shared" si="13"/>
        <v>0</v>
      </c>
      <c r="BG32" s="104">
        <f ca="1">AE$59-$BF32</f>
        <v>0</v>
      </c>
      <c r="BH32" s="47" t="e">
        <f ca="1" t="shared" si="14"/>
        <v>#REF!</v>
      </c>
      <c r="BI32" s="105"/>
      <c r="BJ32" s="105" t="e">
        <f>#REF!</f>
        <v>#REF!</v>
      </c>
      <c r="BK32" s="108" t="e">
        <f ca="1" t="shared" si="19"/>
        <v>#REF!</v>
      </c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</row>
    <row r="33" s="4" customFormat="1" ht="16.5" customHeight="1" spans="1:79">
      <c r="A33" s="45" t="s">
        <v>8384</v>
      </c>
      <c r="B33" s="45" t="s">
        <v>8385</v>
      </c>
      <c r="C33" s="46" t="s">
        <v>212</v>
      </c>
      <c r="D33" s="47" t="e">
        <f>+#REF!</f>
        <v>#REF!</v>
      </c>
      <c r="E33" s="42">
        <f ca="1" t="shared" si="15"/>
        <v>0</v>
      </c>
      <c r="F33" s="52">
        <f ca="1" t="shared" si="9"/>
        <v>0</v>
      </c>
      <c r="G33" s="50">
        <f ca="1">+GETPIVOTDATA("XDB4",'dabac (2016)'!$A$3,"MA_HT","DVH","MA_QH","LUC")</f>
        <v>0</v>
      </c>
      <c r="H33" s="50">
        <f ca="1">+GETPIVOTDATA("XDB4",'dabac (2016)'!$A$3,"MA_HT","DVH","MA_QH","LUK")</f>
        <v>0</v>
      </c>
      <c r="I33" s="50">
        <f ca="1">+GETPIVOTDATA("XDB4",'dabac (2016)'!$A$3,"MA_HT","DVH","MA_QH","LUN")</f>
        <v>0</v>
      </c>
      <c r="J33" s="50">
        <f ca="1">+GETPIVOTDATA("XDB4",'dabac (2016)'!$A$3,"MA_HT","DVH","MA_QH","HNK")</f>
        <v>0</v>
      </c>
      <c r="K33" s="50">
        <f ca="1">+GETPIVOTDATA("XDB4",'dabac (2016)'!$A$3,"MA_HT","DVH","MA_QH","CLN")</f>
        <v>0</v>
      </c>
      <c r="L33" s="50">
        <f ca="1">+GETPIVOTDATA("XDB4",'dabac (2016)'!$A$3,"MA_HT","DVH","MA_QH","RSX")</f>
        <v>0</v>
      </c>
      <c r="M33" s="50">
        <f ca="1">+GETPIVOTDATA("XDB4",'dabac (2016)'!$A$3,"MA_HT","DVH","MA_QH","RPH")</f>
        <v>0</v>
      </c>
      <c r="N33" s="50">
        <f ca="1">+GETPIVOTDATA("XDB4",'dabac (2016)'!$A$3,"MA_HT","DVH","MA_QH","RDD")</f>
        <v>0</v>
      </c>
      <c r="O33" s="50">
        <f ca="1">+GETPIVOTDATA("XDB4",'dabac (2016)'!$A$3,"MA_HT","DVH","MA_QH","NTS")</f>
        <v>0</v>
      </c>
      <c r="P33" s="50">
        <f ca="1">+GETPIVOTDATA("XDB4",'dabac (2016)'!$A$3,"MA_HT","DVH","MA_QH","LMU")</f>
        <v>0</v>
      </c>
      <c r="Q33" s="50">
        <f ca="1">+GETPIVOTDATA("XDB4",'dabac (2016)'!$A$3,"MA_HT","DVH","MA_QH","NKH")</f>
        <v>0</v>
      </c>
      <c r="R33" s="48">
        <f ca="1" t="shared" si="20"/>
        <v>0</v>
      </c>
      <c r="S33" s="50">
        <f ca="1">+GETPIVOTDATA("XDB4",'dabac (2016)'!$A$3,"MA_HT","DVH","MA_QH","CQP")</f>
        <v>0</v>
      </c>
      <c r="T33" s="50">
        <f ca="1">+GETPIVOTDATA("XDB4",'dabac (2016)'!$A$3,"MA_HT","DVH","MA_QH","CAN")</f>
        <v>0</v>
      </c>
      <c r="U33" s="50">
        <f ca="1">+GETPIVOTDATA("XDB4",'dabac (2016)'!$A$3,"MA_HT","DVH","MA_QH","SKK")</f>
        <v>0</v>
      </c>
      <c r="V33" s="50">
        <f ca="1">+GETPIVOTDATA("XDB4",'dabac (2016)'!$A$3,"MA_HT","DVH","MA_QH","SKT")</f>
        <v>0</v>
      </c>
      <c r="W33" s="50">
        <f ca="1">+GETPIVOTDATA("XDB4",'dabac (2016)'!$A$3,"MA_HT","DVH","MA_QH","SKN")</f>
        <v>0</v>
      </c>
      <c r="X33" s="50">
        <f ca="1">+GETPIVOTDATA("XDB4",'dabac (2016)'!$A$3,"MA_HT","DVH","MA_QH","TMD")</f>
        <v>0</v>
      </c>
      <c r="Y33" s="50">
        <f ca="1">+GETPIVOTDATA("XDB4",'dabac (2016)'!$A$3,"MA_HT","DVH","MA_QH","SKC")</f>
        <v>0</v>
      </c>
      <c r="Z33" s="50">
        <f ca="1">+GETPIVOTDATA("XDB4",'dabac (2016)'!$A$3,"MA_HT","DVH","MA_QH","SKS")</f>
        <v>0</v>
      </c>
      <c r="AA33" s="52">
        <f ca="1">+SUM(AB33:AE33,AG33:AM33)</f>
        <v>0</v>
      </c>
      <c r="AB33" s="50">
        <f ca="1">+GETPIVOTDATA("XDB4",'dabac (2016)'!$A$3,"MA_HT","DVH","MA_QH","DGT")</f>
        <v>0</v>
      </c>
      <c r="AC33" s="50">
        <f ca="1">+GETPIVOTDATA("XDB4",'dabac (2016)'!$A$3,"MA_HT","DVH","MA_QH","DTL")</f>
        <v>0</v>
      </c>
      <c r="AD33" s="50">
        <f ca="1">+GETPIVOTDATA("XDB4",'dabac (2016)'!$A$3,"MA_HT","DVH","MA_QH","DNL")</f>
        <v>0</v>
      </c>
      <c r="AE33" s="50">
        <f ca="1">+GETPIVOTDATA("XDB4",'dabac (2016)'!$A$3,"MA_HT","DVH","MA_QH","DBV")</f>
        <v>0</v>
      </c>
      <c r="AF33" s="49" t="e">
        <f ca="1">$D33-$BF33</f>
        <v>#REF!</v>
      </c>
      <c r="AG33" s="50">
        <f ca="1">+GETPIVOTDATA("XDB4",'dabac (2016)'!$A$3,"MA_HT","DVH","MA_QH","DYT")</f>
        <v>0</v>
      </c>
      <c r="AH33" s="50">
        <f ca="1">+GETPIVOTDATA("XDB4",'dabac (2016)'!$A$3,"MA_HT","DVH","MA_QH","DGD")</f>
        <v>0</v>
      </c>
      <c r="AI33" s="50">
        <f ca="1">+GETPIVOTDATA("XDB4",'dabac (2016)'!$A$3,"MA_HT","DVH","MA_QH","DTT")</f>
        <v>0</v>
      </c>
      <c r="AJ33" s="50">
        <f ca="1">+GETPIVOTDATA("XDB4",'dabac (2016)'!$A$3,"MA_HT","DVH","MA_QH","NCK")</f>
        <v>0</v>
      </c>
      <c r="AK33" s="50">
        <f ca="1">+GETPIVOTDATA("XDB4",'dabac (2016)'!$A$3,"MA_HT","DVH","MA_QH","DXH")</f>
        <v>0</v>
      </c>
      <c r="AL33" s="50">
        <f ca="1">+GETPIVOTDATA("XDB4",'dabac (2016)'!$A$3,"MA_HT","DVH","MA_QH","DCH")</f>
        <v>0</v>
      </c>
      <c r="AM33" s="50">
        <f ca="1">+GETPIVOTDATA("XDB4",'dabac (2016)'!$A$3,"MA_HT","DVH","MA_QH","DKG")</f>
        <v>0</v>
      </c>
      <c r="AN33" s="50">
        <f ca="1">+GETPIVOTDATA("XDB4",'dabac (2016)'!$A$3,"MA_HT","DVH","MA_QH","DDT")</f>
        <v>0</v>
      </c>
      <c r="AO33" s="50">
        <f ca="1">+GETPIVOTDATA("XDB4",'dabac (2016)'!$A$3,"MA_HT","DVH","MA_QH","DDL")</f>
        <v>0</v>
      </c>
      <c r="AP33" s="50">
        <f ca="1">+GETPIVOTDATA("XDB4",'dabac (2016)'!$A$3,"MA_HT","DVH","MA_QH","DRA")</f>
        <v>0</v>
      </c>
      <c r="AQ33" s="50">
        <f ca="1">+GETPIVOTDATA("XDB4",'dabac (2016)'!$A$3,"MA_HT","DVH","MA_QH","ONT")</f>
        <v>0</v>
      </c>
      <c r="AR33" s="50">
        <f ca="1">+GETPIVOTDATA("XDB4",'dabac (2016)'!$A$3,"MA_HT","DVH","MA_QH","ODT")</f>
        <v>0</v>
      </c>
      <c r="AS33" s="50">
        <f ca="1">+GETPIVOTDATA("XDB4",'dabac (2016)'!$A$3,"MA_HT","DVH","MA_QH","TSC")</f>
        <v>0</v>
      </c>
      <c r="AT33" s="50">
        <f ca="1">+GETPIVOTDATA("XDB4",'dabac (2016)'!$A$3,"MA_HT","DVH","MA_QH","DTS")</f>
        <v>0</v>
      </c>
      <c r="AU33" s="50">
        <f ca="1">+GETPIVOTDATA("XDB4",'dabac (2016)'!$A$3,"MA_HT","DVH","MA_QH","DNG")</f>
        <v>0</v>
      </c>
      <c r="AV33" s="50">
        <f ca="1">+GETPIVOTDATA("XDB4",'dabac (2016)'!$A$3,"MA_HT","DVH","MA_QH","TON")</f>
        <v>0</v>
      </c>
      <c r="AW33" s="50">
        <f ca="1">+GETPIVOTDATA("XDB4",'dabac (2016)'!$A$3,"MA_HT","DVH","MA_QH","NTD")</f>
        <v>0</v>
      </c>
      <c r="AX33" s="50">
        <f ca="1">+GETPIVOTDATA("XDB4",'dabac (2016)'!$A$3,"MA_HT","DVH","MA_QH","SKX")</f>
        <v>0</v>
      </c>
      <c r="AY33" s="50">
        <f ca="1">+GETPIVOTDATA("XDB4",'dabac (2016)'!$A$3,"MA_HT","DVH","MA_QH","DSH")</f>
        <v>0</v>
      </c>
      <c r="AZ33" s="50">
        <f ca="1">+GETPIVOTDATA("XDB4",'dabac (2016)'!$A$3,"MA_HT","DVH","MA_QH","DKV")</f>
        <v>0</v>
      </c>
      <c r="BA33" s="88">
        <f ca="1">+GETPIVOTDATA("XDB4",'dabac (2016)'!$A$3,"MA_HT","DVH","MA_QH","TIN")</f>
        <v>0</v>
      </c>
      <c r="BB33" s="50">
        <f ca="1">+GETPIVOTDATA("XDB4",'dabac (2016)'!$A$3,"MA_HT","DVH","MA_QH","SON")</f>
        <v>0</v>
      </c>
      <c r="BC33" s="50">
        <f ca="1">+GETPIVOTDATA("XDB4",'dabac (2016)'!$A$3,"MA_HT","DVH","MA_QH","MNC")</f>
        <v>0</v>
      </c>
      <c r="BD33" s="50">
        <f ca="1">+GETPIVOTDATA("XDB4",'dabac (2016)'!$A$3,"MA_HT","DVH","MA_QH","PNK")</f>
        <v>0</v>
      </c>
      <c r="BE33" s="80">
        <f ca="1">+GETPIVOTDATA("XDB4",'dabac (2016)'!$A$3,"MA_HT","DVH","MA_QH","CSD")</f>
        <v>0</v>
      </c>
      <c r="BF33" s="103">
        <f ca="1" t="shared" si="13"/>
        <v>0</v>
      </c>
      <c r="BG33" s="104">
        <f ca="1">AF$59-$BF33</f>
        <v>0</v>
      </c>
      <c r="BH33" s="47" t="e">
        <f ca="1" t="shared" si="14"/>
        <v>#REF!</v>
      </c>
      <c r="BI33" s="105"/>
      <c r="BJ33" s="105" t="e">
        <f>#REF!</f>
        <v>#REF!</v>
      </c>
      <c r="BK33" s="108" t="e">
        <f ca="1" t="shared" si="19"/>
        <v>#REF!</v>
      </c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</row>
    <row r="34" s="4" customFormat="1" ht="16.5" customHeight="1" spans="1:79">
      <c r="A34" s="45" t="s">
        <v>8386</v>
      </c>
      <c r="B34" s="45" t="s">
        <v>8387</v>
      </c>
      <c r="C34" s="46" t="s">
        <v>8296</v>
      </c>
      <c r="D34" s="47" t="e">
        <f>+#REF!</f>
        <v>#REF!</v>
      </c>
      <c r="E34" s="42">
        <f ca="1" t="shared" si="15"/>
        <v>0</v>
      </c>
      <c r="F34" s="52">
        <f ca="1" t="shared" si="9"/>
        <v>0</v>
      </c>
      <c r="G34" s="50">
        <f ca="1">+GETPIVOTDATA("XDB4",'dabac (2016)'!$A$3,"MA_HT","DYT","MA_QH","LUC")</f>
        <v>0</v>
      </c>
      <c r="H34" s="50">
        <f ca="1">+GETPIVOTDATA("XDB4",'dabac (2016)'!$A$3,"MA_HT","DYT","MA_QH","LUK")</f>
        <v>0</v>
      </c>
      <c r="I34" s="50">
        <f ca="1">+GETPIVOTDATA("XDB4",'dabac (2016)'!$A$3,"MA_HT","DYT","MA_QH","LUN")</f>
        <v>0</v>
      </c>
      <c r="J34" s="50">
        <f ca="1">+GETPIVOTDATA("XDB4",'dabac (2016)'!$A$3,"MA_HT","DYT","MA_QH","HNK")</f>
        <v>0</v>
      </c>
      <c r="K34" s="50">
        <f ca="1">+GETPIVOTDATA("XDB4",'dabac (2016)'!$A$3,"MA_HT","DYT","MA_QH","CLN")</f>
        <v>0</v>
      </c>
      <c r="L34" s="50">
        <f ca="1">+GETPIVOTDATA("XDB4",'dabac (2016)'!$A$3,"MA_HT","DYT","MA_QH","RSX")</f>
        <v>0</v>
      </c>
      <c r="M34" s="50">
        <f ca="1">+GETPIVOTDATA("XDB4",'dabac (2016)'!$A$3,"MA_HT","DYT","MA_QH","RPH")</f>
        <v>0</v>
      </c>
      <c r="N34" s="50">
        <f ca="1">+GETPIVOTDATA("XDB4",'dabac (2016)'!$A$3,"MA_HT","DYT","MA_QH","RDD")</f>
        <v>0</v>
      </c>
      <c r="O34" s="50">
        <f ca="1">+GETPIVOTDATA("XDB4",'dabac (2016)'!$A$3,"MA_HT","DYT","MA_QH","NTS")</f>
        <v>0</v>
      </c>
      <c r="P34" s="50">
        <f ca="1">+GETPIVOTDATA("XDB4",'dabac (2016)'!$A$3,"MA_HT","DYT","MA_QH","LMU")</f>
        <v>0</v>
      </c>
      <c r="Q34" s="50">
        <f ca="1">+GETPIVOTDATA("XDB4",'dabac (2016)'!$A$3,"MA_HT","DYT","MA_QH","NKH")</f>
        <v>0</v>
      </c>
      <c r="R34" s="48">
        <f ca="1" t="shared" si="20"/>
        <v>0</v>
      </c>
      <c r="S34" s="50">
        <f ca="1">+GETPIVOTDATA("XDB4",'dabac (2016)'!$A$3,"MA_HT","DYT","MA_QH","CQP")</f>
        <v>0</v>
      </c>
      <c r="T34" s="50">
        <f ca="1">+GETPIVOTDATA("XDB4",'dabac (2016)'!$A$3,"MA_HT","DYT","MA_QH","CAN")</f>
        <v>0</v>
      </c>
      <c r="U34" s="50">
        <f ca="1">+GETPIVOTDATA("XDB4",'dabac (2016)'!$A$3,"MA_HT","DYT","MA_QH","SKK")</f>
        <v>0</v>
      </c>
      <c r="V34" s="50">
        <f ca="1">+GETPIVOTDATA("XDB4",'dabac (2016)'!$A$3,"MA_HT","DYT","MA_QH","SKT")</f>
        <v>0</v>
      </c>
      <c r="W34" s="50">
        <f ca="1">+GETPIVOTDATA("XDB4",'dabac (2016)'!$A$3,"MA_HT","DYT","MA_QH","SKN")</f>
        <v>0</v>
      </c>
      <c r="X34" s="50">
        <f ca="1">+GETPIVOTDATA("XDB4",'dabac (2016)'!$A$3,"MA_HT","DYT","MA_QH","TMD")</f>
        <v>0</v>
      </c>
      <c r="Y34" s="50">
        <f ca="1">+GETPIVOTDATA("XDB4",'dabac (2016)'!$A$3,"MA_HT","DYT","MA_QH","SKC")</f>
        <v>0</v>
      </c>
      <c r="Z34" s="50">
        <f ca="1">+GETPIVOTDATA("XDB4",'dabac (2016)'!$A$3,"MA_HT","DYT","MA_QH","SKS")</f>
        <v>0</v>
      </c>
      <c r="AA34" s="52">
        <f ca="1">+SUM(AB34:AF34,AH34:AM34)</f>
        <v>0</v>
      </c>
      <c r="AB34" s="50">
        <f ca="1">+GETPIVOTDATA("XDB4",'dabac (2016)'!$A$3,"MA_HT","DYT","MA_QH","DGT")</f>
        <v>0</v>
      </c>
      <c r="AC34" s="50">
        <f ca="1">+GETPIVOTDATA("XDB4",'dabac (2016)'!$A$3,"MA_HT","DYT","MA_QH","DTL")</f>
        <v>0</v>
      </c>
      <c r="AD34" s="50">
        <f ca="1">+GETPIVOTDATA("XDB4",'dabac (2016)'!$A$3,"MA_HT","DYT","MA_QH","DNL")</f>
        <v>0</v>
      </c>
      <c r="AE34" s="50">
        <f ca="1">+GETPIVOTDATA("XDB4",'dabac (2016)'!$A$3,"MA_HT","DYT","MA_QH","DBV")</f>
        <v>0</v>
      </c>
      <c r="AF34" s="50">
        <f ca="1">+GETPIVOTDATA("XDB4",'dabac (2016)'!$A$3,"MA_HT","DYT","MA_QH","DVH")</f>
        <v>0</v>
      </c>
      <c r="AG34" s="49" t="e">
        <f ca="1">$D34-$BF34</f>
        <v>#REF!</v>
      </c>
      <c r="AH34" s="50">
        <f ca="1">+GETPIVOTDATA("XDB4",'dabac (2016)'!$A$3,"MA_HT","DYT","MA_QH","DGD")</f>
        <v>0</v>
      </c>
      <c r="AI34" s="50">
        <f ca="1">+GETPIVOTDATA("XDB4",'dabac (2016)'!$A$3,"MA_HT","DYT","MA_QH","DTT")</f>
        <v>0</v>
      </c>
      <c r="AJ34" s="50">
        <f ca="1">+GETPIVOTDATA("XDB4",'dabac (2016)'!$A$3,"MA_HT","DYT","MA_QH","NCK")</f>
        <v>0</v>
      </c>
      <c r="AK34" s="50">
        <f ca="1">+GETPIVOTDATA("XDB4",'dabac (2016)'!$A$3,"MA_HT","DYT","MA_QH","DXH")</f>
        <v>0</v>
      </c>
      <c r="AL34" s="50">
        <f ca="1">+GETPIVOTDATA("XDB4",'dabac (2016)'!$A$3,"MA_HT","DYT","MA_QH","DCH")</f>
        <v>0</v>
      </c>
      <c r="AM34" s="50">
        <f ca="1">+GETPIVOTDATA("XDB4",'dabac (2016)'!$A$3,"MA_HT","DYT","MA_QH","DKG")</f>
        <v>0</v>
      </c>
      <c r="AN34" s="50">
        <f ca="1">+GETPIVOTDATA("XDB4",'dabac (2016)'!$A$3,"MA_HT","DYT","MA_QH","DDT")</f>
        <v>0</v>
      </c>
      <c r="AO34" s="50">
        <f ca="1">+GETPIVOTDATA("XDB4",'dabac (2016)'!$A$3,"MA_HT","DYT","MA_QH","DDL")</f>
        <v>0</v>
      </c>
      <c r="AP34" s="50">
        <f ca="1">+GETPIVOTDATA("XDB4",'dabac (2016)'!$A$3,"MA_HT","DYT","MA_QH","DRA")</f>
        <v>0</v>
      </c>
      <c r="AQ34" s="50">
        <f ca="1">+GETPIVOTDATA("XDB4",'dabac (2016)'!$A$3,"MA_HT","DYT","MA_QH","ONT")</f>
        <v>0</v>
      </c>
      <c r="AR34" s="50">
        <f ca="1">+GETPIVOTDATA("XDB4",'dabac (2016)'!$A$3,"MA_HT","DYT","MA_QH","ODT")</f>
        <v>0</v>
      </c>
      <c r="AS34" s="50">
        <f ca="1">+GETPIVOTDATA("XDB4",'dabac (2016)'!$A$3,"MA_HT","DYT","MA_QH","TSC")</f>
        <v>0</v>
      </c>
      <c r="AT34" s="50">
        <f ca="1">+GETPIVOTDATA("XDB4",'dabac (2016)'!$A$3,"MA_HT","DYT","MA_QH","DTS")</f>
        <v>0</v>
      </c>
      <c r="AU34" s="50">
        <f ca="1">+GETPIVOTDATA("XDB4",'dabac (2016)'!$A$3,"MA_HT","DYT","MA_QH","DNG")</f>
        <v>0</v>
      </c>
      <c r="AV34" s="50">
        <f ca="1">+GETPIVOTDATA("XDB4",'dabac (2016)'!$A$3,"MA_HT","DYT","MA_QH","TON")</f>
        <v>0</v>
      </c>
      <c r="AW34" s="50">
        <f ca="1">+GETPIVOTDATA("XDB4",'dabac (2016)'!$A$3,"MA_HT","DYT","MA_QH","NTD")</f>
        <v>0</v>
      </c>
      <c r="AX34" s="50">
        <f ca="1">+GETPIVOTDATA("XDB4",'dabac (2016)'!$A$3,"MA_HT","DYT","MA_QH","SKX")</f>
        <v>0</v>
      </c>
      <c r="AY34" s="50">
        <f ca="1">+GETPIVOTDATA("XDB4",'dabac (2016)'!$A$3,"MA_HT","DYT","MA_QH","DSH")</f>
        <v>0</v>
      </c>
      <c r="AZ34" s="50">
        <f ca="1">+GETPIVOTDATA("XDB4",'dabac (2016)'!$A$3,"MA_HT","DYT","MA_QH","DKV")</f>
        <v>0</v>
      </c>
      <c r="BA34" s="88">
        <f ca="1">+GETPIVOTDATA("XDB4",'dabac (2016)'!$A$3,"MA_HT","DYT","MA_QH","TIN")</f>
        <v>0</v>
      </c>
      <c r="BB34" s="50">
        <f ca="1">+GETPIVOTDATA("XDB4",'dabac (2016)'!$A$3,"MA_HT","DYT","MA_QH","SON")</f>
        <v>0</v>
      </c>
      <c r="BC34" s="50">
        <f ca="1">+GETPIVOTDATA("XDB4",'dabac (2016)'!$A$3,"MA_HT","DYT","MA_QH","MNC")</f>
        <v>0</v>
      </c>
      <c r="BD34" s="50">
        <f ca="1">+GETPIVOTDATA("XDB4",'dabac (2016)'!$A$3,"MA_HT","DYT","MA_QH","PNK")</f>
        <v>0</v>
      </c>
      <c r="BE34" s="80">
        <f ca="1">+GETPIVOTDATA("XDB4",'dabac (2016)'!$A$3,"MA_HT","DYT","MA_QH","CSD")</f>
        <v>0</v>
      </c>
      <c r="BF34" s="103">
        <f ca="1" t="shared" si="13"/>
        <v>0</v>
      </c>
      <c r="BG34" s="104">
        <f ca="1">AG$59-$BF34</f>
        <v>0</v>
      </c>
      <c r="BH34" s="47" t="e">
        <f ca="1" t="shared" si="14"/>
        <v>#REF!</v>
      </c>
      <c r="BI34" s="105"/>
      <c r="BJ34" s="105" t="e">
        <f>#REF!</f>
        <v>#REF!</v>
      </c>
      <c r="BK34" s="108" t="e">
        <f ca="1" t="shared" si="19"/>
        <v>#REF!</v>
      </c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</row>
    <row r="35" s="4" customFormat="1" ht="16.5" customHeight="1" spans="1:79">
      <c r="A35" s="45" t="s">
        <v>8388</v>
      </c>
      <c r="B35" s="45" t="s">
        <v>8389</v>
      </c>
      <c r="C35" s="46" t="s">
        <v>165</v>
      </c>
      <c r="D35" s="47" t="e">
        <f>+#REF!</f>
        <v>#REF!</v>
      </c>
      <c r="E35" s="42">
        <f ca="1" t="shared" si="15"/>
        <v>0</v>
      </c>
      <c r="F35" s="52">
        <f ca="1" t="shared" si="9"/>
        <v>0</v>
      </c>
      <c r="G35" s="50">
        <f ca="1">+GETPIVOTDATA("XDB4",'dabac (2016)'!$A$3,"MA_HT","DGD","MA_QH","LUC")</f>
        <v>0</v>
      </c>
      <c r="H35" s="50">
        <f ca="1">+GETPIVOTDATA("XDB4",'dabac (2016)'!$A$3,"MA_HT","DGD","MA_QH","LUK")</f>
        <v>0</v>
      </c>
      <c r="I35" s="50">
        <f ca="1">+GETPIVOTDATA("XDB4",'dabac (2016)'!$A$3,"MA_HT","DGD","MA_QH","LUN")</f>
        <v>0</v>
      </c>
      <c r="J35" s="50">
        <f ca="1">+GETPIVOTDATA("XDB4",'dabac (2016)'!$A$3,"MA_HT","DGD","MA_QH","HNK")</f>
        <v>0</v>
      </c>
      <c r="K35" s="50">
        <f ca="1">+GETPIVOTDATA("XDB4",'dabac (2016)'!$A$3,"MA_HT","DGD","MA_QH","CLN")</f>
        <v>0</v>
      </c>
      <c r="L35" s="50">
        <f ca="1">+GETPIVOTDATA("XDB4",'dabac (2016)'!$A$3,"MA_HT","DGD","MA_QH","RSX")</f>
        <v>0</v>
      </c>
      <c r="M35" s="50">
        <f ca="1">+GETPIVOTDATA("XDB4",'dabac (2016)'!$A$3,"MA_HT","DGD","MA_QH","RPH")</f>
        <v>0</v>
      </c>
      <c r="N35" s="50">
        <f ca="1">+GETPIVOTDATA("XDB4",'dabac (2016)'!$A$3,"MA_HT","DGD","MA_QH","RDD")</f>
        <v>0</v>
      </c>
      <c r="O35" s="50">
        <f ca="1">+GETPIVOTDATA("XDB4",'dabac (2016)'!$A$3,"MA_HT","DGD","MA_QH","NTS")</f>
        <v>0</v>
      </c>
      <c r="P35" s="50">
        <f ca="1">+GETPIVOTDATA("XDB4",'dabac (2016)'!$A$3,"MA_HT","DGD","MA_QH","LMU")</f>
        <v>0</v>
      </c>
      <c r="Q35" s="50">
        <f ca="1">+GETPIVOTDATA("XDB4",'dabac (2016)'!$A$3,"MA_HT","DGD","MA_QH","NKH")</f>
        <v>0</v>
      </c>
      <c r="R35" s="48">
        <f ca="1" t="shared" si="20"/>
        <v>0</v>
      </c>
      <c r="S35" s="50">
        <f ca="1">+GETPIVOTDATA("XDB4",'dabac (2016)'!$A$3,"MA_HT","DGD","MA_QH","CQP")</f>
        <v>0</v>
      </c>
      <c r="T35" s="50">
        <f ca="1">+GETPIVOTDATA("XDB4",'dabac (2016)'!$A$3,"MA_HT","DGD","MA_QH","CAN")</f>
        <v>0</v>
      </c>
      <c r="U35" s="50">
        <f ca="1">+GETPIVOTDATA("XDB4",'dabac (2016)'!$A$3,"MA_HT","DGD","MA_QH","SKK")</f>
        <v>0</v>
      </c>
      <c r="V35" s="50">
        <f ca="1">+GETPIVOTDATA("XDB4",'dabac (2016)'!$A$3,"MA_HT","DGD","MA_QH","SKT")</f>
        <v>0</v>
      </c>
      <c r="W35" s="50">
        <f ca="1">+GETPIVOTDATA("XDB4",'dabac (2016)'!$A$3,"MA_HT","DGD","MA_QH","SKN")</f>
        <v>0</v>
      </c>
      <c r="X35" s="50">
        <f ca="1">+GETPIVOTDATA("XDB4",'dabac (2016)'!$A$3,"MA_HT","DGD","MA_QH","TMD")</f>
        <v>0</v>
      </c>
      <c r="Y35" s="50">
        <f ca="1">+GETPIVOTDATA("XDB4",'dabac (2016)'!$A$3,"MA_HT","DGD","MA_QH","SKC")</f>
        <v>0</v>
      </c>
      <c r="Z35" s="50">
        <f ca="1">+GETPIVOTDATA("XDB4",'dabac (2016)'!$A$3,"MA_HT","DGD","MA_QH","SKS")</f>
        <v>0</v>
      </c>
      <c r="AA35" s="52">
        <f ca="1">+SUM(AB35:AG35,AI35:AM35)</f>
        <v>0</v>
      </c>
      <c r="AB35" s="50">
        <f ca="1">+GETPIVOTDATA("XDB4",'dabac (2016)'!$A$3,"MA_HT","DGD","MA_QH","DGT")</f>
        <v>0</v>
      </c>
      <c r="AC35" s="50">
        <f ca="1">+GETPIVOTDATA("XDB4",'dabac (2016)'!$A$3,"MA_HT","DGD","MA_QH","DTL")</f>
        <v>0</v>
      </c>
      <c r="AD35" s="50">
        <f ca="1">+GETPIVOTDATA("XDB4",'dabac (2016)'!$A$3,"MA_HT","DGD","MA_QH","DNL")</f>
        <v>0</v>
      </c>
      <c r="AE35" s="50">
        <f ca="1">+GETPIVOTDATA("XDB4",'dabac (2016)'!$A$3,"MA_HT","DGD","MA_QH","DBV")</f>
        <v>0</v>
      </c>
      <c r="AF35" s="50">
        <f ca="1">+GETPIVOTDATA("XDB4",'dabac (2016)'!$A$3,"MA_HT","DGD","MA_QH","DVH")</f>
        <v>0</v>
      </c>
      <c r="AG35" s="50">
        <f ca="1">+GETPIVOTDATA("XDB4",'dabac (2016)'!$A$3,"MA_HT","DGD","MA_QH","DYT")</f>
        <v>0</v>
      </c>
      <c r="AH35" s="49" t="e">
        <f ca="1">$D35-$BF35</f>
        <v>#REF!</v>
      </c>
      <c r="AI35" s="50">
        <f ca="1">+GETPIVOTDATA("XDB4",'dabac (2016)'!$A$3,"MA_HT","DGD","MA_QH","DTT")</f>
        <v>0</v>
      </c>
      <c r="AJ35" s="50">
        <f ca="1">+GETPIVOTDATA("XDB4",'dabac (2016)'!$A$3,"MA_HT","DGD","MA_QH","NCK")</f>
        <v>0</v>
      </c>
      <c r="AK35" s="50">
        <f ca="1">+GETPIVOTDATA("XDB4",'dabac (2016)'!$A$3,"MA_HT","DGD","MA_QH","DXH")</f>
        <v>0</v>
      </c>
      <c r="AL35" s="50">
        <f ca="1">+GETPIVOTDATA("XDB4",'dabac (2016)'!$A$3,"MA_HT","DGD","MA_QH","DCH")</f>
        <v>0</v>
      </c>
      <c r="AM35" s="50">
        <f ca="1">+GETPIVOTDATA("XDB4",'dabac (2016)'!$A$3,"MA_HT","DGD","MA_QH","DKG")</f>
        <v>0</v>
      </c>
      <c r="AN35" s="50">
        <f ca="1">+GETPIVOTDATA("XDB4",'dabac (2016)'!$A$3,"MA_HT","DGD","MA_QH","DDT")</f>
        <v>0</v>
      </c>
      <c r="AO35" s="50">
        <f ca="1">+GETPIVOTDATA("XDB4",'dabac (2016)'!$A$3,"MA_HT","DGD","MA_QH","DDL")</f>
        <v>0</v>
      </c>
      <c r="AP35" s="50">
        <f ca="1">+GETPIVOTDATA("XDB4",'dabac (2016)'!$A$3,"MA_HT","DGD","MA_QH","DRA")</f>
        <v>0</v>
      </c>
      <c r="AQ35" s="50">
        <f ca="1">+GETPIVOTDATA("XDB4",'dabac (2016)'!$A$3,"MA_HT","DGD","MA_QH","ONT")</f>
        <v>0</v>
      </c>
      <c r="AR35" s="50">
        <f ca="1">+GETPIVOTDATA("XDB4",'dabac (2016)'!$A$3,"MA_HT","DGD","MA_QH","ODT")</f>
        <v>0</v>
      </c>
      <c r="AS35" s="50">
        <f ca="1">+GETPIVOTDATA("XDB4",'dabac (2016)'!$A$3,"MA_HT","DGD","MA_QH","TSC")</f>
        <v>0</v>
      </c>
      <c r="AT35" s="50">
        <f ca="1">+GETPIVOTDATA("XDB4",'dabac (2016)'!$A$3,"MA_HT","DGD","MA_QH","DTS")</f>
        <v>0</v>
      </c>
      <c r="AU35" s="50">
        <f ca="1">+GETPIVOTDATA("XDB4",'dabac (2016)'!$A$3,"MA_HT","DGD","MA_QH","DNG")</f>
        <v>0</v>
      </c>
      <c r="AV35" s="50">
        <f ca="1">+GETPIVOTDATA("XDB4",'dabac (2016)'!$A$3,"MA_HT","DGD","MA_QH","TON")</f>
        <v>0</v>
      </c>
      <c r="AW35" s="50">
        <f ca="1">+GETPIVOTDATA("XDB4",'dabac (2016)'!$A$3,"MA_HT","DGD","MA_QH","NTD")</f>
        <v>0</v>
      </c>
      <c r="AX35" s="50">
        <f ca="1">+GETPIVOTDATA("XDB4",'dabac (2016)'!$A$3,"MA_HT","DGD","MA_QH","SKX")</f>
        <v>0</v>
      </c>
      <c r="AY35" s="50">
        <f ca="1">+GETPIVOTDATA("XDB4",'dabac (2016)'!$A$3,"MA_HT","DGD","MA_QH","DSH")</f>
        <v>0</v>
      </c>
      <c r="AZ35" s="50">
        <f ca="1">+GETPIVOTDATA("XDB4",'dabac (2016)'!$A$3,"MA_HT","DGD","MA_QH","DKV")</f>
        <v>0</v>
      </c>
      <c r="BA35" s="88">
        <f ca="1">+GETPIVOTDATA("XDB4",'dabac (2016)'!$A$3,"MA_HT","DGD","MA_QH","TIN")</f>
        <v>0</v>
      </c>
      <c r="BB35" s="50">
        <f ca="1">+GETPIVOTDATA("XDB4",'dabac (2016)'!$A$3,"MA_HT","DGD","MA_QH","SON")</f>
        <v>0</v>
      </c>
      <c r="BC35" s="50">
        <f ca="1">+GETPIVOTDATA("XDB4",'dabac (2016)'!$A$3,"MA_HT","DGD","MA_QH","MNC")</f>
        <v>0</v>
      </c>
      <c r="BD35" s="50">
        <f ca="1">+GETPIVOTDATA("XDB4",'dabac (2016)'!$A$3,"MA_HT","DGD","MA_QH","PNK")</f>
        <v>0</v>
      </c>
      <c r="BE35" s="80">
        <f ca="1">+GETPIVOTDATA("XDB4",'dabac (2016)'!$A$3,"MA_HT","DGD","MA_QH","CSD")</f>
        <v>0</v>
      </c>
      <c r="BF35" s="103">
        <f ca="1" t="shared" si="13"/>
        <v>0</v>
      </c>
      <c r="BG35" s="104">
        <f ca="1">AH$59-$BF35</f>
        <v>0</v>
      </c>
      <c r="BH35" s="47" t="e">
        <f ca="1" t="shared" si="14"/>
        <v>#REF!</v>
      </c>
      <c r="BI35" s="105"/>
      <c r="BJ35" s="105" t="e">
        <f>#REF!</f>
        <v>#REF!</v>
      </c>
      <c r="BK35" s="108" t="e">
        <f ca="1" t="shared" si="19"/>
        <v>#REF!</v>
      </c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</row>
    <row r="36" s="4" customFormat="1" ht="16.5" customHeight="1" spans="1:79">
      <c r="A36" s="45" t="s">
        <v>8390</v>
      </c>
      <c r="B36" s="45" t="s">
        <v>8391</v>
      </c>
      <c r="C36" s="46" t="s">
        <v>8294</v>
      </c>
      <c r="D36" s="47" t="e">
        <f>+#REF!</f>
        <v>#REF!</v>
      </c>
      <c r="E36" s="42">
        <f ca="1" t="shared" si="15"/>
        <v>0</v>
      </c>
      <c r="F36" s="52">
        <f ca="1" t="shared" si="9"/>
        <v>0</v>
      </c>
      <c r="G36" s="50">
        <f ca="1">+GETPIVOTDATA("XDB4",'dabac (2016)'!$A$3,"MA_HT","DTT","MA_QH","LUC")</f>
        <v>0</v>
      </c>
      <c r="H36" s="50">
        <f ca="1">+GETPIVOTDATA("XDB4",'dabac (2016)'!$A$3,"MA_HT","DTT","MA_QH","LUK")</f>
        <v>0</v>
      </c>
      <c r="I36" s="50">
        <f ca="1">+GETPIVOTDATA("XDB4",'dabac (2016)'!$A$3,"MA_HT","DTT","MA_QH","LUN")</f>
        <v>0</v>
      </c>
      <c r="J36" s="50">
        <f ca="1">+GETPIVOTDATA("XDB4",'dabac (2016)'!$A$3,"MA_HT","DTT","MA_QH","HNK")</f>
        <v>0</v>
      </c>
      <c r="K36" s="50">
        <f ca="1">+GETPIVOTDATA("XDB4",'dabac (2016)'!$A$3,"MA_HT","DTT","MA_QH","CLN")</f>
        <v>0</v>
      </c>
      <c r="L36" s="50">
        <f ca="1">+GETPIVOTDATA("XDB4",'dabac (2016)'!$A$3,"MA_HT","DTT","MA_QH","RSX")</f>
        <v>0</v>
      </c>
      <c r="M36" s="50">
        <f ca="1">+GETPIVOTDATA("XDB4",'dabac (2016)'!$A$3,"MA_HT","DTT","MA_QH","RPH")</f>
        <v>0</v>
      </c>
      <c r="N36" s="50">
        <f ca="1">+GETPIVOTDATA("XDB4",'dabac (2016)'!$A$3,"MA_HT","DTT","MA_QH","RDD")</f>
        <v>0</v>
      </c>
      <c r="O36" s="50">
        <f ca="1">+GETPIVOTDATA("XDB4",'dabac (2016)'!$A$3,"MA_HT","DTT","MA_QH","NTS")</f>
        <v>0</v>
      </c>
      <c r="P36" s="50">
        <f ca="1">+GETPIVOTDATA("XDB4",'dabac (2016)'!$A$3,"MA_HT","DTT","MA_QH","LMU")</f>
        <v>0</v>
      </c>
      <c r="Q36" s="50">
        <f ca="1">+GETPIVOTDATA("XDB4",'dabac (2016)'!$A$3,"MA_HT","DTT","MA_QH","NKH")</f>
        <v>0</v>
      </c>
      <c r="R36" s="48">
        <f ca="1" t="shared" si="20"/>
        <v>0</v>
      </c>
      <c r="S36" s="50">
        <f ca="1">+GETPIVOTDATA("XDB4",'dabac (2016)'!$A$3,"MA_HT","DTT","MA_QH","CQP")</f>
        <v>0</v>
      </c>
      <c r="T36" s="50">
        <f ca="1">+GETPIVOTDATA("XDB4",'dabac (2016)'!$A$3,"MA_HT","DTT","MA_QH","CAN")</f>
        <v>0</v>
      </c>
      <c r="U36" s="50">
        <f ca="1">+GETPIVOTDATA("XDB4",'dabac (2016)'!$A$3,"MA_HT","DTT","MA_QH","SKK")</f>
        <v>0</v>
      </c>
      <c r="V36" s="50">
        <f ca="1">+GETPIVOTDATA("XDB4",'dabac (2016)'!$A$3,"MA_HT","DTT","MA_QH","SKT")</f>
        <v>0</v>
      </c>
      <c r="W36" s="50">
        <f ca="1">+GETPIVOTDATA("XDB4",'dabac (2016)'!$A$3,"MA_HT","DTT","MA_QH","SKN")</f>
        <v>0</v>
      </c>
      <c r="X36" s="50">
        <f ca="1">+GETPIVOTDATA("XDB4",'dabac (2016)'!$A$3,"MA_HT","DTT","MA_QH","TMD")</f>
        <v>0</v>
      </c>
      <c r="Y36" s="50">
        <f ca="1">+GETPIVOTDATA("XDB4",'dabac (2016)'!$A$3,"MA_HT","DTT","MA_QH","SKC")</f>
        <v>0</v>
      </c>
      <c r="Z36" s="50">
        <f ca="1">+GETPIVOTDATA("XDB4",'dabac (2016)'!$A$3,"MA_HT","DTT","MA_QH","SKS")</f>
        <v>0</v>
      </c>
      <c r="AA36" s="52">
        <f ca="1">+SUM(AB36:AH36,AJ36:AM36)</f>
        <v>0</v>
      </c>
      <c r="AB36" s="50">
        <f ca="1">+GETPIVOTDATA("XDB4",'dabac (2016)'!$A$3,"MA_HT","DTT","MA_QH","DGT")</f>
        <v>0</v>
      </c>
      <c r="AC36" s="50">
        <f ca="1">+GETPIVOTDATA("XDB4",'dabac (2016)'!$A$3,"MA_HT","DTT","MA_QH","DTL")</f>
        <v>0</v>
      </c>
      <c r="AD36" s="50">
        <f ca="1">+GETPIVOTDATA("XDB4",'dabac (2016)'!$A$3,"MA_HT","DTT","MA_QH","DNL")</f>
        <v>0</v>
      </c>
      <c r="AE36" s="50">
        <f ca="1">+GETPIVOTDATA("XDB4",'dabac (2016)'!$A$3,"MA_HT","DTT","MA_QH","DBV")</f>
        <v>0</v>
      </c>
      <c r="AF36" s="50">
        <f ca="1">+GETPIVOTDATA("XDB4",'dabac (2016)'!$A$3,"MA_HT","DTT","MA_QH","DVH")</f>
        <v>0</v>
      </c>
      <c r="AG36" s="50">
        <f ca="1">+GETPIVOTDATA("XDB4",'dabac (2016)'!$A$3,"MA_HT","DTT","MA_QH","DYT")</f>
        <v>0</v>
      </c>
      <c r="AH36" s="50">
        <f ca="1">+GETPIVOTDATA("XDB4",'dabac (2016)'!$A$3,"MA_HT","DTT","MA_QH","DGD")</f>
        <v>0</v>
      </c>
      <c r="AI36" s="49" t="e">
        <f ca="1">$D36-$BF36</f>
        <v>#REF!</v>
      </c>
      <c r="AJ36" s="50">
        <f ca="1">+GETPIVOTDATA("XDB4",'dabac (2016)'!$A$3,"MA_HT","DTT","MA_QH","NCK")</f>
        <v>0</v>
      </c>
      <c r="AK36" s="50">
        <f ca="1">+GETPIVOTDATA("XDB4",'dabac (2016)'!$A$3,"MA_HT","DTT","MA_QH","DXH")</f>
        <v>0</v>
      </c>
      <c r="AL36" s="50">
        <f ca="1">+GETPIVOTDATA("XDB4",'dabac (2016)'!$A$3,"MA_HT","DTT","MA_QH","DCH")</f>
        <v>0</v>
      </c>
      <c r="AM36" s="50">
        <f ca="1">+GETPIVOTDATA("XDB4",'dabac (2016)'!$A$3,"MA_HT","DTT","MA_QH","DKG")</f>
        <v>0</v>
      </c>
      <c r="AN36" s="50">
        <f ca="1">+GETPIVOTDATA("XDB4",'dabac (2016)'!$A$3,"MA_HT","DTT","MA_QH","DDT")</f>
        <v>0</v>
      </c>
      <c r="AO36" s="50">
        <f ca="1">+GETPIVOTDATA("XDB4",'dabac (2016)'!$A$3,"MA_HT","DTT","MA_QH","DDL")</f>
        <v>0</v>
      </c>
      <c r="AP36" s="50">
        <f ca="1">+GETPIVOTDATA("XDB4",'dabac (2016)'!$A$3,"MA_HT","DTT","MA_QH","DRA")</f>
        <v>0</v>
      </c>
      <c r="AQ36" s="50">
        <f ca="1">+GETPIVOTDATA("XDB4",'dabac (2016)'!$A$3,"MA_HT","DTT","MA_QH","ONT")</f>
        <v>0</v>
      </c>
      <c r="AR36" s="50">
        <f ca="1">+GETPIVOTDATA("XDB4",'dabac (2016)'!$A$3,"MA_HT","DTT","MA_QH","ODT")</f>
        <v>0</v>
      </c>
      <c r="AS36" s="50">
        <f ca="1">+GETPIVOTDATA("XDB4",'dabac (2016)'!$A$3,"MA_HT","DTT","MA_QH","TSC")</f>
        <v>0</v>
      </c>
      <c r="AT36" s="50">
        <f ca="1">+GETPIVOTDATA("XDB4",'dabac (2016)'!$A$3,"MA_HT","DTT","MA_QH","DTS")</f>
        <v>0</v>
      </c>
      <c r="AU36" s="50">
        <f ca="1">+GETPIVOTDATA("XDB4",'dabac (2016)'!$A$3,"MA_HT","DTT","MA_QH","DNG")</f>
        <v>0</v>
      </c>
      <c r="AV36" s="50">
        <f ca="1">+GETPIVOTDATA("XDB4",'dabac (2016)'!$A$3,"MA_HT","DTT","MA_QH","TON")</f>
        <v>0</v>
      </c>
      <c r="AW36" s="50">
        <f ca="1">+GETPIVOTDATA("XDB4",'dabac (2016)'!$A$3,"MA_HT","DTT","MA_QH","NTD")</f>
        <v>0</v>
      </c>
      <c r="AX36" s="50">
        <f ca="1">+GETPIVOTDATA("XDB4",'dabac (2016)'!$A$3,"MA_HT","DTT","MA_QH","SKX")</f>
        <v>0</v>
      </c>
      <c r="AY36" s="50">
        <f ca="1">+GETPIVOTDATA("XDB4",'dabac (2016)'!$A$3,"MA_HT","DTT","MA_QH","DSH")</f>
        <v>0</v>
      </c>
      <c r="AZ36" s="50">
        <f ca="1">+GETPIVOTDATA("XDB4",'dabac (2016)'!$A$3,"MA_HT","DTT","MA_QH","DKV")</f>
        <v>0</v>
      </c>
      <c r="BA36" s="88">
        <f ca="1">+GETPIVOTDATA("XDB4",'dabac (2016)'!$A$3,"MA_HT","DTT","MA_QH","TIN")</f>
        <v>0</v>
      </c>
      <c r="BB36" s="50">
        <f ca="1">+GETPIVOTDATA("XDB4",'dabac (2016)'!$A$3,"MA_HT","DTT","MA_QH","SON")</f>
        <v>0</v>
      </c>
      <c r="BC36" s="50">
        <f ca="1">+GETPIVOTDATA("XDB4",'dabac (2016)'!$A$3,"MA_HT","DTT","MA_QH","MNC")</f>
        <v>0</v>
      </c>
      <c r="BD36" s="50">
        <f ca="1">+GETPIVOTDATA("XDB4",'dabac (2016)'!$A$3,"MA_HT","DTT","MA_QH","PNK")</f>
        <v>0</v>
      </c>
      <c r="BE36" s="80">
        <f ca="1">+GETPIVOTDATA("XDB4",'dabac (2016)'!$A$3,"MA_HT","DTT","MA_QH","CSD")</f>
        <v>0</v>
      </c>
      <c r="BF36" s="103">
        <f ca="1" t="shared" si="13"/>
        <v>0</v>
      </c>
      <c r="BG36" s="104">
        <f ca="1">AI$59-$BF36</f>
        <v>0</v>
      </c>
      <c r="BH36" s="47" t="e">
        <f ca="1" t="shared" si="14"/>
        <v>#REF!</v>
      </c>
      <c r="BI36" s="105"/>
      <c r="BJ36" s="105" t="e">
        <f>#REF!</f>
        <v>#REF!</v>
      </c>
      <c r="BK36" s="108" t="e">
        <f ca="1" t="shared" si="19"/>
        <v>#REF!</v>
      </c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</row>
    <row r="37" s="4" customFormat="1" ht="16.5" customHeight="1" spans="1:79">
      <c r="A37" s="45" t="s">
        <v>8392</v>
      </c>
      <c r="B37" s="45" t="s">
        <v>8393</v>
      </c>
      <c r="C37" s="46" t="s">
        <v>8302</v>
      </c>
      <c r="D37" s="47" t="e">
        <f>+#REF!</f>
        <v>#REF!</v>
      </c>
      <c r="E37" s="42">
        <f ca="1" t="shared" si="15"/>
        <v>0</v>
      </c>
      <c r="F37" s="52">
        <f ca="1" t="shared" si="9"/>
        <v>0</v>
      </c>
      <c r="G37" s="50">
        <f ca="1">+GETPIVOTDATA("XDB4",'dabac (2016)'!$A$3,"MA_HT","NCK","MA_QH","LUC")</f>
        <v>0</v>
      </c>
      <c r="H37" s="50">
        <f ca="1">+GETPIVOTDATA("XDB4",'dabac (2016)'!$A$3,"MA_HT","NCK","MA_QH","LUK")</f>
        <v>0</v>
      </c>
      <c r="I37" s="50">
        <f ca="1">+GETPIVOTDATA("XDB4",'dabac (2016)'!$A$3,"MA_HT","NCK","MA_QH","LUN")</f>
        <v>0</v>
      </c>
      <c r="J37" s="50">
        <f ca="1">+GETPIVOTDATA("XDB4",'dabac (2016)'!$A$3,"MA_HT","NCK","MA_QH","HNK")</f>
        <v>0</v>
      </c>
      <c r="K37" s="50">
        <f ca="1">+GETPIVOTDATA("XDB4",'dabac (2016)'!$A$3,"MA_HT","NCK","MA_QH","CLN")</f>
        <v>0</v>
      </c>
      <c r="L37" s="50">
        <f ca="1">+GETPIVOTDATA("XDB4",'dabac (2016)'!$A$3,"MA_HT","NCK","MA_QH","RSX")</f>
        <v>0</v>
      </c>
      <c r="M37" s="50">
        <f ca="1">+GETPIVOTDATA("XDB4",'dabac (2016)'!$A$3,"MA_HT","NCK","MA_QH","RPH")</f>
        <v>0</v>
      </c>
      <c r="N37" s="50">
        <f ca="1">+GETPIVOTDATA("XDB4",'dabac (2016)'!$A$3,"MA_HT","NCK","MA_QH","RDD")</f>
        <v>0</v>
      </c>
      <c r="O37" s="50">
        <f ca="1">+GETPIVOTDATA("XDB4",'dabac (2016)'!$A$3,"MA_HT","NCK","MA_QH","NTS")</f>
        <v>0</v>
      </c>
      <c r="P37" s="50">
        <f ca="1">+GETPIVOTDATA("XDB4",'dabac (2016)'!$A$3,"MA_HT","NCK","MA_QH","LMU")</f>
        <v>0</v>
      </c>
      <c r="Q37" s="50">
        <f ca="1">+GETPIVOTDATA("XDB4",'dabac (2016)'!$A$3,"MA_HT","NCK","MA_QH","NKH")</f>
        <v>0</v>
      </c>
      <c r="R37" s="48">
        <f ca="1" t="shared" si="20"/>
        <v>0</v>
      </c>
      <c r="S37" s="50">
        <f ca="1">+GETPIVOTDATA("XDB4",'dabac (2016)'!$A$3,"MA_HT","NCK","MA_QH","CQP")</f>
        <v>0</v>
      </c>
      <c r="T37" s="50">
        <f ca="1">+GETPIVOTDATA("XDB4",'dabac (2016)'!$A$3,"MA_HT","NCK","MA_QH","CAN")</f>
        <v>0</v>
      </c>
      <c r="U37" s="50">
        <f ca="1">+GETPIVOTDATA("XDB4",'dabac (2016)'!$A$3,"MA_HT","NCK","MA_QH","SKK")</f>
        <v>0</v>
      </c>
      <c r="V37" s="50">
        <f ca="1">+GETPIVOTDATA("XDB4",'dabac (2016)'!$A$3,"MA_HT","NCK","MA_QH","SKT")</f>
        <v>0</v>
      </c>
      <c r="W37" s="50">
        <f ca="1">+GETPIVOTDATA("XDB4",'dabac (2016)'!$A$3,"MA_HT","NCK","MA_QH","SKN")</f>
        <v>0</v>
      </c>
      <c r="X37" s="50">
        <f ca="1">+GETPIVOTDATA("XDB4",'dabac (2016)'!$A$3,"MA_HT","NCK","MA_QH","TMD")</f>
        <v>0</v>
      </c>
      <c r="Y37" s="50">
        <f ca="1">+GETPIVOTDATA("XDB4",'dabac (2016)'!$A$3,"MA_HT","NCK","MA_QH","SKC")</f>
        <v>0</v>
      </c>
      <c r="Z37" s="50">
        <f ca="1">+GETPIVOTDATA("XDB4",'dabac (2016)'!$A$3,"MA_HT","NCK","MA_QH","SKS")</f>
        <v>0</v>
      </c>
      <c r="AA37" s="52">
        <f ca="1">+SUM(AB37:AI37,AK37:AM37)</f>
        <v>0</v>
      </c>
      <c r="AB37" s="50">
        <f ca="1">+GETPIVOTDATA("XDB4",'dabac (2016)'!$A$3,"MA_HT","NCK","MA_QH","DGT")</f>
        <v>0</v>
      </c>
      <c r="AC37" s="50">
        <f ca="1">+GETPIVOTDATA("XDB4",'dabac (2016)'!$A$3,"MA_HT","NCK","MA_QH","DTL")</f>
        <v>0</v>
      </c>
      <c r="AD37" s="50">
        <f ca="1">+GETPIVOTDATA("XDB4",'dabac (2016)'!$A$3,"MA_HT","NCK","MA_QH","DNL")</f>
        <v>0</v>
      </c>
      <c r="AE37" s="50">
        <f ca="1">+GETPIVOTDATA("XDB4",'dabac (2016)'!$A$3,"MA_HT","NCK","MA_QH","DBV")</f>
        <v>0</v>
      </c>
      <c r="AF37" s="50">
        <f ca="1">+GETPIVOTDATA("XDB4",'dabac (2016)'!$A$3,"MA_HT","NCK","MA_QH","DVH")</f>
        <v>0</v>
      </c>
      <c r="AG37" s="50">
        <f ca="1">+GETPIVOTDATA("XDB4",'dabac (2016)'!$A$3,"MA_HT","NCK","MA_QH","DYT")</f>
        <v>0</v>
      </c>
      <c r="AH37" s="50">
        <f ca="1">+GETPIVOTDATA("XDB4",'dabac (2016)'!$A$3,"MA_HT","NCK","MA_QH","DGD")</f>
        <v>0</v>
      </c>
      <c r="AI37" s="50">
        <f ca="1">+GETPIVOTDATA("XDB4",'dabac (2016)'!$A$3,"MA_HT","NCK","MA_QH","DTT")</f>
        <v>0</v>
      </c>
      <c r="AJ37" s="49" t="e">
        <f ca="1">$D37-$BF37</f>
        <v>#REF!</v>
      </c>
      <c r="AK37" s="50">
        <f ca="1">+GETPIVOTDATA("XDB4",'dabac (2016)'!$A$3,"MA_HT","NCK","MA_QH","DXH")</f>
        <v>0</v>
      </c>
      <c r="AL37" s="50">
        <f ca="1">+GETPIVOTDATA("XDB4",'dabac (2016)'!$A$3,"MA_HT","NCK","MA_QH","DCH")</f>
        <v>0</v>
      </c>
      <c r="AM37" s="50">
        <f ca="1">+GETPIVOTDATA("XDB4",'dabac (2016)'!$A$3,"MA_HT","NCK","MA_QH","DKG")</f>
        <v>0</v>
      </c>
      <c r="AN37" s="50">
        <f ca="1">+GETPIVOTDATA("XDB4",'dabac (2016)'!$A$3,"MA_HT","NCK","MA_QH","DDT")</f>
        <v>0</v>
      </c>
      <c r="AO37" s="50">
        <f ca="1">+GETPIVOTDATA("XDB4",'dabac (2016)'!$A$3,"MA_HT","NCK","MA_QH","DDL")</f>
        <v>0</v>
      </c>
      <c r="AP37" s="50">
        <f ca="1">+GETPIVOTDATA("XDB4",'dabac (2016)'!$A$3,"MA_HT","NCK","MA_QH","DRA")</f>
        <v>0</v>
      </c>
      <c r="AQ37" s="50">
        <f ca="1">+GETPIVOTDATA("XDB4",'dabac (2016)'!$A$3,"MA_HT","NCK","MA_QH","ONT")</f>
        <v>0</v>
      </c>
      <c r="AR37" s="50">
        <f ca="1">+GETPIVOTDATA("XDB4",'dabac (2016)'!$A$3,"MA_HT","NCK","MA_QH","ODT")</f>
        <v>0</v>
      </c>
      <c r="AS37" s="50">
        <f ca="1">+GETPIVOTDATA("XDB4",'dabac (2016)'!$A$3,"MA_HT","NCK","MA_QH","TSC")</f>
        <v>0</v>
      </c>
      <c r="AT37" s="50">
        <f ca="1">+GETPIVOTDATA("XDB4",'dabac (2016)'!$A$3,"MA_HT","NCK","MA_QH","DTS")</f>
        <v>0</v>
      </c>
      <c r="AU37" s="50">
        <f ca="1">+GETPIVOTDATA("XDB4",'dabac (2016)'!$A$3,"MA_HT","NCK","MA_QH","DNG")</f>
        <v>0</v>
      </c>
      <c r="AV37" s="50">
        <f ca="1">+GETPIVOTDATA("XDB4",'dabac (2016)'!$A$3,"MA_HT","NCK","MA_QH","TON")</f>
        <v>0</v>
      </c>
      <c r="AW37" s="50">
        <f ca="1">+GETPIVOTDATA("XDB4",'dabac (2016)'!$A$3,"MA_HT","NCK","MA_QH","NTD")</f>
        <v>0</v>
      </c>
      <c r="AX37" s="50">
        <f ca="1">+GETPIVOTDATA("XDB4",'dabac (2016)'!$A$3,"MA_HT","NCK","MA_QH","SKX")</f>
        <v>0</v>
      </c>
      <c r="AY37" s="50">
        <f ca="1">+GETPIVOTDATA("XDB4",'dabac (2016)'!$A$3,"MA_HT","NCK","MA_QH","DSH")</f>
        <v>0</v>
      </c>
      <c r="AZ37" s="50">
        <f ca="1">+GETPIVOTDATA("XDB4",'dabac (2016)'!$A$3,"MA_HT","NCK","MA_QH","DKV")</f>
        <v>0</v>
      </c>
      <c r="BA37" s="88">
        <f ca="1">+GETPIVOTDATA("XDB4",'dabac (2016)'!$A$3,"MA_HT","NCK","MA_QH","TIN")</f>
        <v>0</v>
      </c>
      <c r="BB37" s="50">
        <f ca="1">+GETPIVOTDATA("XDB4",'dabac (2016)'!$A$3,"MA_HT","NCK","MA_QH","SON")</f>
        <v>0</v>
      </c>
      <c r="BC37" s="50">
        <f ca="1">+GETPIVOTDATA("XDB4",'dabac (2016)'!$A$3,"MA_HT","NCK","MA_QH","MNC")</f>
        <v>0</v>
      </c>
      <c r="BD37" s="50">
        <f ca="1">+GETPIVOTDATA("XDB4",'dabac (2016)'!$A$3,"MA_HT","NCK","MA_QH","PNK")</f>
        <v>0</v>
      </c>
      <c r="BE37" s="80">
        <f ca="1">+GETPIVOTDATA("XDB4",'dabac (2016)'!$A$3,"MA_HT","NCK","MA_QH","CSD")</f>
        <v>0</v>
      </c>
      <c r="BF37" s="103">
        <f ca="1" t="shared" si="13"/>
        <v>0</v>
      </c>
      <c r="BG37" s="104">
        <f ca="1">AJ$59-$BF37</f>
        <v>0</v>
      </c>
      <c r="BH37" s="47" t="e">
        <f ca="1" t="shared" si="14"/>
        <v>#REF!</v>
      </c>
      <c r="BI37" s="105"/>
      <c r="BJ37" s="105" t="e">
        <f>#REF!</f>
        <v>#REF!</v>
      </c>
      <c r="BK37" s="108" t="e">
        <f ca="1" t="shared" si="19"/>
        <v>#REF!</v>
      </c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</row>
    <row r="38" s="4" customFormat="1" ht="16.5" customHeight="1" spans="1:79">
      <c r="A38" s="45" t="s">
        <v>8394</v>
      </c>
      <c r="B38" s="45" t="s">
        <v>8395</v>
      </c>
      <c r="C38" s="46" t="s">
        <v>8295</v>
      </c>
      <c r="D38" s="47" t="e">
        <f>+#REF!</f>
        <v>#REF!</v>
      </c>
      <c r="E38" s="42">
        <f ca="1" t="shared" si="15"/>
        <v>0</v>
      </c>
      <c r="F38" s="52">
        <f ca="1" t="shared" si="9"/>
        <v>0</v>
      </c>
      <c r="G38" s="50">
        <f ca="1">+GETPIVOTDATA("XDB4",'dabac (2016)'!$A$3,"MA_HT","DXH","MA_QH","LUC")</f>
        <v>0</v>
      </c>
      <c r="H38" s="50">
        <f ca="1">+GETPIVOTDATA("XDB4",'dabac (2016)'!$A$3,"MA_HT","DXH","MA_QH","LUK")</f>
        <v>0</v>
      </c>
      <c r="I38" s="50">
        <f ca="1">+GETPIVOTDATA("XDB4",'dabac (2016)'!$A$3,"MA_HT","DXH","MA_QH","LUN")</f>
        <v>0</v>
      </c>
      <c r="J38" s="50">
        <f ca="1">+GETPIVOTDATA("XDB4",'dabac (2016)'!$A$3,"MA_HT","DXH","MA_QH","HNK")</f>
        <v>0</v>
      </c>
      <c r="K38" s="50">
        <f ca="1">+GETPIVOTDATA("XDB4",'dabac (2016)'!$A$3,"MA_HT","DXH","MA_QH","CLN")</f>
        <v>0</v>
      </c>
      <c r="L38" s="50">
        <f ca="1">+GETPIVOTDATA("XDB4",'dabac (2016)'!$A$3,"MA_HT","DXH","MA_QH","RSX")</f>
        <v>0</v>
      </c>
      <c r="M38" s="50">
        <f ca="1">+GETPIVOTDATA("XDB4",'dabac (2016)'!$A$3,"MA_HT","DXH","MA_QH","RPH")</f>
        <v>0</v>
      </c>
      <c r="N38" s="50">
        <f ca="1">+GETPIVOTDATA("XDB4",'dabac (2016)'!$A$3,"MA_HT","DXH","MA_QH","RDD")</f>
        <v>0</v>
      </c>
      <c r="O38" s="50">
        <f ca="1">+GETPIVOTDATA("XDB4",'dabac (2016)'!$A$3,"MA_HT","DXH","MA_QH","NTS")</f>
        <v>0</v>
      </c>
      <c r="P38" s="50">
        <f ca="1">+GETPIVOTDATA("XDB4",'dabac (2016)'!$A$3,"MA_HT","DXH","MA_QH","LMU")</f>
        <v>0</v>
      </c>
      <c r="Q38" s="50">
        <f ca="1">+GETPIVOTDATA("XDB4",'dabac (2016)'!$A$3,"MA_HT","DXH","MA_QH","NKH")</f>
        <v>0</v>
      </c>
      <c r="R38" s="48">
        <f ca="1" t="shared" si="20"/>
        <v>0</v>
      </c>
      <c r="S38" s="50">
        <f ca="1">+GETPIVOTDATA("XDB4",'dabac (2016)'!$A$3,"MA_HT","DXH","MA_QH","CQP")</f>
        <v>0</v>
      </c>
      <c r="T38" s="50">
        <f ca="1">+GETPIVOTDATA("XDB4",'dabac (2016)'!$A$3,"MA_HT","DXH","MA_QH","CAN")</f>
        <v>0</v>
      </c>
      <c r="U38" s="50">
        <f ca="1">+GETPIVOTDATA("XDB4",'dabac (2016)'!$A$3,"MA_HT","DXH","MA_QH","SKK")</f>
        <v>0</v>
      </c>
      <c r="V38" s="50">
        <f ca="1">+GETPIVOTDATA("XDB4",'dabac (2016)'!$A$3,"MA_HT","DXH","MA_QH","SKT")</f>
        <v>0</v>
      </c>
      <c r="W38" s="50">
        <f ca="1">+GETPIVOTDATA("XDB4",'dabac (2016)'!$A$3,"MA_HT","DXH","MA_QH","SKN")</f>
        <v>0</v>
      </c>
      <c r="X38" s="50">
        <f ca="1">+GETPIVOTDATA("XDB4",'dabac (2016)'!$A$3,"MA_HT","DXH","MA_QH","TMD")</f>
        <v>0</v>
      </c>
      <c r="Y38" s="50">
        <f ca="1">+GETPIVOTDATA("XDB4",'dabac (2016)'!$A$3,"MA_HT","DXH","MA_QH","SKC")</f>
        <v>0</v>
      </c>
      <c r="Z38" s="50">
        <f ca="1">+GETPIVOTDATA("XDB4",'dabac (2016)'!$A$3,"MA_HT","DXH","MA_QH","SKS")</f>
        <v>0</v>
      </c>
      <c r="AA38" s="52">
        <f ca="1">+SUM(AB38:AJ38,AL38:AM38)</f>
        <v>0</v>
      </c>
      <c r="AB38" s="50">
        <f ca="1">+GETPIVOTDATA("XDB4",'dabac (2016)'!$A$3,"MA_HT","DXH","MA_QH","DGT")</f>
        <v>0</v>
      </c>
      <c r="AC38" s="50">
        <f ca="1">+GETPIVOTDATA("XDB4",'dabac (2016)'!$A$3,"MA_HT","DXH","MA_QH","DTL")</f>
        <v>0</v>
      </c>
      <c r="AD38" s="50">
        <f ca="1">+GETPIVOTDATA("XDB4",'dabac (2016)'!$A$3,"MA_HT","DXH","MA_QH","DNL")</f>
        <v>0</v>
      </c>
      <c r="AE38" s="50">
        <f ca="1">+GETPIVOTDATA("XDB4",'dabac (2016)'!$A$3,"MA_HT","DXH","MA_QH","DBV")</f>
        <v>0</v>
      </c>
      <c r="AF38" s="50">
        <f ca="1">+GETPIVOTDATA("XDB4",'dabac (2016)'!$A$3,"MA_HT","DXH","MA_QH","DVH")</f>
        <v>0</v>
      </c>
      <c r="AG38" s="50">
        <f ca="1">+GETPIVOTDATA("XDB4",'dabac (2016)'!$A$3,"MA_HT","DXH","MA_QH","DYT")</f>
        <v>0</v>
      </c>
      <c r="AH38" s="50">
        <f ca="1">+GETPIVOTDATA("XDB4",'dabac (2016)'!$A$3,"MA_HT","DXH","MA_QH","DGD")</f>
        <v>0</v>
      </c>
      <c r="AI38" s="50">
        <f ca="1">+GETPIVOTDATA("XDB4",'dabac (2016)'!$A$3,"MA_HT","DXH","MA_QH","DTT")</f>
        <v>0</v>
      </c>
      <c r="AJ38" s="50">
        <f ca="1">+GETPIVOTDATA("XDB4",'dabac (2016)'!$A$3,"MA_HT","DXH","MA_QH","NCK")</f>
        <v>0</v>
      </c>
      <c r="AK38" s="49" t="e">
        <f ca="1">$D38-$BF38</f>
        <v>#REF!</v>
      </c>
      <c r="AL38" s="50">
        <f ca="1">+GETPIVOTDATA("XDB4",'dabac (2016)'!$A$3,"MA_HT","DXH","MA_QH","DCH")</f>
        <v>0</v>
      </c>
      <c r="AM38" s="50">
        <f ca="1">+GETPIVOTDATA("XDB4",'dabac (2016)'!$A$3,"MA_HT","DXH","MA_QH","DKG")</f>
        <v>0</v>
      </c>
      <c r="AN38" s="50">
        <f ca="1">+GETPIVOTDATA("XDB4",'dabac (2016)'!$A$3,"MA_HT","DXH","MA_QH","DDT")</f>
        <v>0</v>
      </c>
      <c r="AO38" s="50">
        <f ca="1">+GETPIVOTDATA("XDB4",'dabac (2016)'!$A$3,"MA_HT","DXH","MA_QH","DDL")</f>
        <v>0</v>
      </c>
      <c r="AP38" s="50">
        <f ca="1">+GETPIVOTDATA("XDB4",'dabac (2016)'!$A$3,"MA_HT","DXH","MA_QH","DRA")</f>
        <v>0</v>
      </c>
      <c r="AQ38" s="50">
        <f ca="1">+GETPIVOTDATA("XDB4",'dabac (2016)'!$A$3,"MA_HT","DXH","MA_QH","ONT")</f>
        <v>0</v>
      </c>
      <c r="AR38" s="50">
        <f ca="1">+GETPIVOTDATA("XDB4",'dabac (2016)'!$A$3,"MA_HT","DXH","MA_QH","ODT")</f>
        <v>0</v>
      </c>
      <c r="AS38" s="50">
        <f ca="1">+GETPIVOTDATA("XDB4",'dabac (2016)'!$A$3,"MA_HT","DXH","MA_QH","TSC")</f>
        <v>0</v>
      </c>
      <c r="AT38" s="50">
        <f ca="1">+GETPIVOTDATA("XDB4",'dabac (2016)'!$A$3,"MA_HT","DXH","MA_QH","DTS")</f>
        <v>0</v>
      </c>
      <c r="AU38" s="50">
        <f ca="1">+GETPIVOTDATA("XDB4",'dabac (2016)'!$A$3,"MA_HT","DXH","MA_QH","DNG")</f>
        <v>0</v>
      </c>
      <c r="AV38" s="50">
        <f ca="1">+GETPIVOTDATA("XDB4",'dabac (2016)'!$A$3,"MA_HT","DXH","MA_QH","TON")</f>
        <v>0</v>
      </c>
      <c r="AW38" s="50">
        <f ca="1">+GETPIVOTDATA("XDB4",'dabac (2016)'!$A$3,"MA_HT","DXH","MA_QH","NTD")</f>
        <v>0</v>
      </c>
      <c r="AX38" s="50">
        <f ca="1">+GETPIVOTDATA("XDB4",'dabac (2016)'!$A$3,"MA_HT","DXH","MA_QH","SKX")</f>
        <v>0</v>
      </c>
      <c r="AY38" s="50">
        <f ca="1">+GETPIVOTDATA("XDB4",'dabac (2016)'!$A$3,"MA_HT","DXH","MA_QH","DSH")</f>
        <v>0</v>
      </c>
      <c r="AZ38" s="50">
        <f ca="1">+GETPIVOTDATA("XDB4",'dabac (2016)'!$A$3,"MA_HT","DXH","MA_QH","DKV")</f>
        <v>0</v>
      </c>
      <c r="BA38" s="88">
        <f ca="1">+GETPIVOTDATA("XDB4",'dabac (2016)'!$A$3,"MA_HT","DXH","MA_QH","TIN")</f>
        <v>0</v>
      </c>
      <c r="BB38" s="50">
        <f ca="1">+GETPIVOTDATA("XDB4",'dabac (2016)'!$A$3,"MA_HT","DXH","MA_QH","SON")</f>
        <v>0</v>
      </c>
      <c r="BC38" s="50">
        <f ca="1">+GETPIVOTDATA("XDB4",'dabac (2016)'!$A$3,"MA_HT","DXH","MA_QH","MNC")</f>
        <v>0</v>
      </c>
      <c r="BD38" s="50">
        <f ca="1">+GETPIVOTDATA("XDB4",'dabac (2016)'!$A$3,"MA_HT","DXH","MA_QH","PNK")</f>
        <v>0</v>
      </c>
      <c r="BE38" s="80">
        <f ca="1">+GETPIVOTDATA("XDB4",'dabac (2016)'!$A$3,"MA_HT","DXH","MA_QH","CSD")</f>
        <v>0</v>
      </c>
      <c r="BF38" s="103">
        <f ca="1" t="shared" si="13"/>
        <v>0</v>
      </c>
      <c r="BG38" s="104">
        <f ca="1">AK$59-$BF38</f>
        <v>0</v>
      </c>
      <c r="BH38" s="47" t="e">
        <f ca="1" t="shared" si="14"/>
        <v>#REF!</v>
      </c>
      <c r="BI38" s="105"/>
      <c r="BJ38" s="105" t="e">
        <f>#REF!</f>
        <v>#REF!</v>
      </c>
      <c r="BK38" s="108" t="e">
        <f ca="1" t="shared" si="19"/>
        <v>#REF!</v>
      </c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</row>
    <row r="39" s="5" customFormat="1" ht="16.5" customHeight="1" spans="1:79">
      <c r="A39" s="45" t="s">
        <v>8396</v>
      </c>
      <c r="B39" s="45" t="s">
        <v>8397</v>
      </c>
      <c r="C39" s="46" t="s">
        <v>178</v>
      </c>
      <c r="D39" s="47" t="e">
        <f>+#REF!</f>
        <v>#REF!</v>
      </c>
      <c r="E39" s="42">
        <f ca="1" t="shared" si="15"/>
        <v>0</v>
      </c>
      <c r="F39" s="52">
        <f ca="1" t="shared" si="9"/>
        <v>0</v>
      </c>
      <c r="G39" s="50">
        <f ca="1">+GETPIVOTDATA("XDB4",'dabac (2016)'!$A$3,"MA_HT","DCH","MA_QH","LUC")</f>
        <v>0</v>
      </c>
      <c r="H39" s="50">
        <f ca="1">+GETPIVOTDATA("XDB4",'dabac (2016)'!$A$3,"MA_HT","DCH","MA_QH","LUK")</f>
        <v>0</v>
      </c>
      <c r="I39" s="50">
        <f ca="1">+GETPIVOTDATA("XDB4",'dabac (2016)'!$A$3,"MA_HT","DCH","MA_QH","LUN")</f>
        <v>0</v>
      </c>
      <c r="J39" s="50">
        <f ca="1">+GETPIVOTDATA("XDB4",'dabac (2016)'!$A$3,"MA_HT","DCH","MA_QH","HNK")</f>
        <v>0</v>
      </c>
      <c r="K39" s="50">
        <f ca="1">+GETPIVOTDATA("XDB4",'dabac (2016)'!$A$3,"MA_HT","DCH","MA_QH","CLN")</f>
        <v>0</v>
      </c>
      <c r="L39" s="50">
        <f ca="1">+GETPIVOTDATA("XDB4",'dabac (2016)'!$A$3,"MA_HT","DCH","MA_QH","RSX")</f>
        <v>0</v>
      </c>
      <c r="M39" s="50">
        <f ca="1">+GETPIVOTDATA("XDB4",'dabac (2016)'!$A$3,"MA_HT","DCH","MA_QH","RPH")</f>
        <v>0</v>
      </c>
      <c r="N39" s="50">
        <f ca="1">+GETPIVOTDATA("XDB4",'dabac (2016)'!$A$3,"MA_HT","DCH","MA_QH","RDD")</f>
        <v>0</v>
      </c>
      <c r="O39" s="50">
        <f ca="1">+GETPIVOTDATA("XDB4",'dabac (2016)'!$A$3,"MA_HT","DCH","MA_QH","NTS")</f>
        <v>0</v>
      </c>
      <c r="P39" s="50">
        <f ca="1">+GETPIVOTDATA("XDB4",'dabac (2016)'!$A$3,"MA_HT","DCH","MA_QH","LMU")</f>
        <v>0</v>
      </c>
      <c r="Q39" s="50">
        <f ca="1">+GETPIVOTDATA("XDB4",'dabac (2016)'!$A$3,"MA_HT","DCH","MA_QH","NKH")</f>
        <v>0</v>
      </c>
      <c r="R39" s="48">
        <f ca="1" t="shared" si="20"/>
        <v>0</v>
      </c>
      <c r="S39" s="50">
        <f ca="1">+GETPIVOTDATA("XDB4",'dabac (2016)'!$A$3,"MA_HT","DCH","MA_QH","CQP")</f>
        <v>0</v>
      </c>
      <c r="T39" s="50">
        <f ca="1">+GETPIVOTDATA("XDB4",'dabac (2016)'!$A$3,"MA_HT","DCH","MA_QH","CAN")</f>
        <v>0</v>
      </c>
      <c r="U39" s="50">
        <f ca="1">+GETPIVOTDATA("XDB4",'dabac (2016)'!$A$3,"MA_HT","DCH","MA_QH","SKK")</f>
        <v>0</v>
      </c>
      <c r="V39" s="50">
        <f ca="1">+GETPIVOTDATA("XDB4",'dabac (2016)'!$A$3,"MA_HT","DCH","MA_QH","SKT")</f>
        <v>0</v>
      </c>
      <c r="W39" s="50">
        <f ca="1">+GETPIVOTDATA("XDB4",'dabac (2016)'!$A$3,"MA_HT","DCH","MA_QH","SKN")</f>
        <v>0</v>
      </c>
      <c r="X39" s="50">
        <f ca="1">+GETPIVOTDATA("XDB4",'dabac (2016)'!$A$3,"MA_HT","DCH","MA_QH","TMD")</f>
        <v>0</v>
      </c>
      <c r="Y39" s="50">
        <f ca="1">+GETPIVOTDATA("XDB4",'dabac (2016)'!$A$3,"MA_HT","DCH","MA_QH","SKC")</f>
        <v>0</v>
      </c>
      <c r="Z39" s="50">
        <f ca="1">+GETPIVOTDATA("XDB4",'dabac (2016)'!$A$3,"MA_HT","DCH","MA_QH","SKS")</f>
        <v>0</v>
      </c>
      <c r="AA39" s="52">
        <f ca="1">+SUM(AB39:AK39,AM39)</f>
        <v>0</v>
      </c>
      <c r="AB39" s="50">
        <f ca="1">+GETPIVOTDATA("XDB4",'dabac (2016)'!$A$3,"MA_HT","DCH","MA_QH","DGT")</f>
        <v>0</v>
      </c>
      <c r="AC39" s="50">
        <f ca="1">+GETPIVOTDATA("XDB4",'dabac (2016)'!$A$3,"MA_HT","DCH","MA_QH","DTL")</f>
        <v>0</v>
      </c>
      <c r="AD39" s="50">
        <f ca="1">+GETPIVOTDATA("XDB4",'dabac (2016)'!$A$3,"MA_HT","DCH","MA_QH","DNL")</f>
        <v>0</v>
      </c>
      <c r="AE39" s="50">
        <f ca="1">+GETPIVOTDATA("XDB4",'dabac (2016)'!$A$3,"MA_HT","DCH","MA_QH","DBV")</f>
        <v>0</v>
      </c>
      <c r="AF39" s="50">
        <f ca="1">+GETPIVOTDATA("XDB4",'dabac (2016)'!$A$3,"MA_HT","DCH","MA_QH","DVH")</f>
        <v>0</v>
      </c>
      <c r="AG39" s="50">
        <f ca="1">+GETPIVOTDATA("XDB4",'dabac (2016)'!$A$3,"MA_HT","DCH","MA_QH","DYT")</f>
        <v>0</v>
      </c>
      <c r="AH39" s="50">
        <f ca="1">+GETPIVOTDATA("XDB4",'dabac (2016)'!$A$3,"MA_HT","DCH","MA_QH","DGD")</f>
        <v>0</v>
      </c>
      <c r="AI39" s="50">
        <f ca="1">+GETPIVOTDATA("XDB4",'dabac (2016)'!$A$3,"MA_HT","DCH","MA_QH","DTT")</f>
        <v>0</v>
      </c>
      <c r="AJ39" s="50">
        <f ca="1">+GETPIVOTDATA("XDB4",'dabac (2016)'!$A$3,"MA_HT","DCH","MA_QH","NCK")</f>
        <v>0</v>
      </c>
      <c r="AK39" s="50">
        <f ca="1">+GETPIVOTDATA("XDB4",'dabac (2016)'!$A$3,"MA_HT","DCH","MA_QH","DXH")</f>
        <v>0</v>
      </c>
      <c r="AL39" s="49" t="e">
        <f ca="1">$D39-$BF39</f>
        <v>#REF!</v>
      </c>
      <c r="AM39" s="50">
        <f ca="1">+GETPIVOTDATA("XDB4",'dabac (2016)'!$A$3,"MA_HT","DXH","MA_QH","DKG")</f>
        <v>0</v>
      </c>
      <c r="AN39" s="50">
        <f ca="1">+GETPIVOTDATA("XDB4",'dabac (2016)'!$A$3,"MA_HT","DCH","MA_QH","DDT")</f>
        <v>0</v>
      </c>
      <c r="AO39" s="50">
        <f ca="1">+GETPIVOTDATA("XDB4",'dabac (2016)'!$A$3,"MA_HT","DCH","MA_QH","DDL")</f>
        <v>0</v>
      </c>
      <c r="AP39" s="50">
        <f ca="1">+GETPIVOTDATA("XDB4",'dabac (2016)'!$A$3,"MA_HT","DCH","MA_QH","DRA")</f>
        <v>0</v>
      </c>
      <c r="AQ39" s="50">
        <f ca="1">+GETPIVOTDATA("XDB4",'dabac (2016)'!$A$3,"MA_HT","DCH","MA_QH","ONT")</f>
        <v>0</v>
      </c>
      <c r="AR39" s="50">
        <f ca="1">+GETPIVOTDATA("XDB4",'dabac (2016)'!$A$3,"MA_HT","DCH","MA_QH","ODT")</f>
        <v>0</v>
      </c>
      <c r="AS39" s="50">
        <f ca="1">+GETPIVOTDATA("XDB4",'dabac (2016)'!$A$3,"MA_HT","DCH","MA_QH","TSC")</f>
        <v>0</v>
      </c>
      <c r="AT39" s="50">
        <f ca="1">+GETPIVOTDATA("XDB4",'dabac (2016)'!$A$3,"MA_HT","DCH","MA_QH","DTS")</f>
        <v>0</v>
      </c>
      <c r="AU39" s="50">
        <f ca="1">+GETPIVOTDATA("XDB4",'dabac (2016)'!$A$3,"MA_HT","DCH","MA_QH","DNG")</f>
        <v>0</v>
      </c>
      <c r="AV39" s="50">
        <f ca="1">+GETPIVOTDATA("XDB4",'dabac (2016)'!$A$3,"MA_HT","DCH","MA_QH","TON")</f>
        <v>0</v>
      </c>
      <c r="AW39" s="50">
        <f ca="1">+GETPIVOTDATA("XDB4",'dabac (2016)'!$A$3,"MA_HT","DCH","MA_QH","NTD")</f>
        <v>0</v>
      </c>
      <c r="AX39" s="50">
        <f ca="1">+GETPIVOTDATA("XDB4",'dabac (2016)'!$A$3,"MA_HT","DCH","MA_QH","SKX")</f>
        <v>0</v>
      </c>
      <c r="AY39" s="50">
        <f ca="1">+GETPIVOTDATA("XDB4",'dabac (2016)'!$A$3,"MA_HT","DCH","MA_QH","DSH")</f>
        <v>0</v>
      </c>
      <c r="AZ39" s="50">
        <f ca="1">+GETPIVOTDATA("XDB4",'dabac (2016)'!$A$3,"MA_HT","DCH","MA_QH","DKV")</f>
        <v>0</v>
      </c>
      <c r="BA39" s="88">
        <f ca="1">+GETPIVOTDATA("XDB4",'dabac (2016)'!$A$3,"MA_HT","DCH","MA_QH","TIN")</f>
        <v>0</v>
      </c>
      <c r="BB39" s="50">
        <f ca="1">+GETPIVOTDATA("XDB4",'dabac (2016)'!$A$3,"MA_HT","DCH","MA_QH","SON")</f>
        <v>0</v>
      </c>
      <c r="BC39" s="50">
        <f ca="1">+GETPIVOTDATA("XDB4",'dabac (2016)'!$A$3,"MA_HT","DCH","MA_QH","MNC")</f>
        <v>0</v>
      </c>
      <c r="BD39" s="50">
        <f ca="1">+GETPIVOTDATA("XDB4",'dabac (2016)'!$A$3,"MA_HT","DCH","MA_QH","PNK")</f>
        <v>0</v>
      </c>
      <c r="BE39" s="80">
        <f ca="1">+GETPIVOTDATA("XDB4",'dabac (2016)'!$A$3,"MA_HT","DCH","MA_QH","CSD")</f>
        <v>0</v>
      </c>
      <c r="BF39" s="103">
        <f ca="1" t="shared" si="13"/>
        <v>0</v>
      </c>
      <c r="BG39" s="104">
        <f ca="1">AL$59-$BF39</f>
        <v>0</v>
      </c>
      <c r="BH39" s="47" t="e">
        <f ca="1" t="shared" si="14"/>
        <v>#REF!</v>
      </c>
      <c r="BI39" s="109"/>
      <c r="BJ39" s="109" t="e">
        <f>#REF!</f>
        <v>#REF!</v>
      </c>
      <c r="BK39" s="110" t="e">
        <f ca="1" t="shared" si="19"/>
        <v>#REF!</v>
      </c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</row>
    <row r="40" s="5" customFormat="1" ht="16.5" customHeight="1" spans="1:79">
      <c r="A40" s="45" t="s">
        <v>8398</v>
      </c>
      <c r="B40" s="45" t="s">
        <v>8399</v>
      </c>
      <c r="C40" s="46" t="s">
        <v>8312</v>
      </c>
      <c r="D40" s="47" t="e">
        <f>+#REF!</f>
        <v>#REF!</v>
      </c>
      <c r="E40" s="42">
        <f ca="1" t="shared" si="15"/>
        <v>0</v>
      </c>
      <c r="F40" s="52">
        <f ca="1" t="shared" si="9"/>
        <v>0</v>
      </c>
      <c r="G40" s="50">
        <f ca="1">+GETPIVOTDATA("XDB4",'dabac (2016)'!$A$3,"MA_HT","DKG","MA_QH","LUC")</f>
        <v>0</v>
      </c>
      <c r="H40" s="50">
        <f ca="1">+GETPIVOTDATA("XDB4",'dabac (2016)'!$A$3,"MA_HT","DKG","MA_QH","LUK")</f>
        <v>0</v>
      </c>
      <c r="I40" s="50">
        <f ca="1">+GETPIVOTDATA("XDB4",'dabac (2016)'!$A$3,"MA_HT","DKG","MA_QH","LUN")</f>
        <v>0</v>
      </c>
      <c r="J40" s="50">
        <f ca="1">+GETPIVOTDATA("XDB4",'dabac (2016)'!$A$3,"MA_HT","DKG","MA_QH","HNK")</f>
        <v>0</v>
      </c>
      <c r="K40" s="50">
        <f ca="1">+GETPIVOTDATA("XDB4",'dabac (2016)'!$A$3,"MA_HT","DKG","MA_QH","CLN")</f>
        <v>0</v>
      </c>
      <c r="L40" s="50">
        <f ca="1">+GETPIVOTDATA("XDB4",'dabac (2016)'!$A$3,"MA_HT","DKG","MA_QH","RSX")</f>
        <v>0</v>
      </c>
      <c r="M40" s="50">
        <f ca="1">+GETPIVOTDATA("XDB4",'dabac (2016)'!$A$3,"MA_HT","DKG","MA_QH","RPH")</f>
        <v>0</v>
      </c>
      <c r="N40" s="50">
        <f ca="1">+GETPIVOTDATA("XDB4",'dabac (2016)'!$A$3,"MA_HT","DKG","MA_QH","RDD")</f>
        <v>0</v>
      </c>
      <c r="O40" s="50">
        <f ca="1">+GETPIVOTDATA("XDB4",'dabac (2016)'!$A$3,"MA_HT","DKG","MA_QH","NTS")</f>
        <v>0</v>
      </c>
      <c r="P40" s="50">
        <f ca="1">+GETPIVOTDATA("XDB4",'dabac (2016)'!$A$3,"MA_HT","DKG","MA_QH","LMU")</f>
        <v>0</v>
      </c>
      <c r="Q40" s="50">
        <f ca="1">+GETPIVOTDATA("XDB4",'dabac (2016)'!$A$3,"MA_HT","DKG","MA_QH","NKH")</f>
        <v>0</v>
      </c>
      <c r="R40" s="48">
        <f ca="1" t="shared" si="20"/>
        <v>0</v>
      </c>
      <c r="S40" s="50">
        <f ca="1">+GETPIVOTDATA("XDB4",'dabac (2016)'!$A$3,"MA_HT","DKG","MA_QH","CQP")</f>
        <v>0</v>
      </c>
      <c r="T40" s="50">
        <f ca="1">+GETPIVOTDATA("XDB4",'dabac (2016)'!$A$3,"MA_HT","DKG","MA_QH","CAN")</f>
        <v>0</v>
      </c>
      <c r="U40" s="50">
        <f ca="1">+GETPIVOTDATA("XDB4",'dabac (2016)'!$A$3,"MA_HT","DKG","MA_QH","SKK")</f>
        <v>0</v>
      </c>
      <c r="V40" s="50">
        <f ca="1">+GETPIVOTDATA("XDB4",'dabac (2016)'!$A$3,"MA_HT","DKG","MA_QH","SKT")</f>
        <v>0</v>
      </c>
      <c r="W40" s="50">
        <f ca="1">+GETPIVOTDATA("XDB4",'dabac (2016)'!$A$3,"MA_HT","DKG","MA_QH","SKN")</f>
        <v>0</v>
      </c>
      <c r="X40" s="50">
        <f ca="1">+GETPIVOTDATA("XDB4",'dabac (2016)'!$A$3,"MA_HT","DKG","MA_QH","TMD")</f>
        <v>0</v>
      </c>
      <c r="Y40" s="50">
        <f ca="1">+GETPIVOTDATA("XDB4",'dabac (2016)'!$A$3,"MA_HT","DKG","MA_QH","SKC")</f>
        <v>0</v>
      </c>
      <c r="Z40" s="50">
        <f ca="1">+GETPIVOTDATA("XDB4",'dabac (2016)'!$A$3,"MA_HT","DKG","MA_QH","SKS")</f>
        <v>0</v>
      </c>
      <c r="AA40" s="52">
        <f ca="1">+SUM(AB40:AL40)</f>
        <v>0</v>
      </c>
      <c r="AB40" s="50">
        <f ca="1">+GETPIVOTDATA("XDB4",'dabac (2016)'!$A$3,"MA_HT","DKG","MA_QH","DGT")</f>
        <v>0</v>
      </c>
      <c r="AC40" s="50">
        <f ca="1">+GETPIVOTDATA("XDB4",'dabac (2016)'!$A$3,"MA_HT","DKG","MA_QH","DTL")</f>
        <v>0</v>
      </c>
      <c r="AD40" s="50">
        <f ca="1">+GETPIVOTDATA("XDB4",'dabac (2016)'!$A$3,"MA_HT","DKG","MA_QH","DNL")</f>
        <v>0</v>
      </c>
      <c r="AE40" s="50">
        <f ca="1">+GETPIVOTDATA("XDB4",'dabac (2016)'!$A$3,"MA_HT","DKG","MA_QH","DBV")</f>
        <v>0</v>
      </c>
      <c r="AF40" s="50">
        <f ca="1">+GETPIVOTDATA("XDB4",'dabac (2016)'!$A$3,"MA_HT","DKG","MA_QH","DVH")</f>
        <v>0</v>
      </c>
      <c r="AG40" s="50">
        <f ca="1">+GETPIVOTDATA("XDB4",'dabac (2016)'!$A$3,"MA_HT","DKG","MA_QH","DYT")</f>
        <v>0</v>
      </c>
      <c r="AH40" s="50">
        <f ca="1">+GETPIVOTDATA("XDB4",'dabac (2016)'!$A$3,"MA_HT","DKG","MA_QH","DGD")</f>
        <v>0</v>
      </c>
      <c r="AI40" s="50">
        <f ca="1">+GETPIVOTDATA("XDB4",'dabac (2016)'!$A$3,"MA_HT","DKG","MA_QH","DTT")</f>
        <v>0</v>
      </c>
      <c r="AJ40" s="50">
        <f ca="1">+GETPIVOTDATA("XDB4",'dabac (2016)'!$A$3,"MA_HT","DKG","MA_QH","NCK")</f>
        <v>0</v>
      </c>
      <c r="AK40" s="50">
        <f ca="1">+GETPIVOTDATA("XDB4",'dabac (2016)'!$A$3,"MA_HT","DKG","MA_QH","DXH")</f>
        <v>0</v>
      </c>
      <c r="AL40" s="60">
        <f ca="1">+GETPIVOTDATA("XDB4",'dabac (2016)'!$A$3,"MA_HT","DDT","MA_QH","DKG")</f>
        <v>0</v>
      </c>
      <c r="AM40" s="49" t="e">
        <f ca="1">$D40-$BF40</f>
        <v>#REF!</v>
      </c>
      <c r="AN40" s="50">
        <f ca="1">+GETPIVOTDATA("XDB4",'dabac (2016)'!$A$3,"MA_HT","DKG","MA_QH","DDT")</f>
        <v>0</v>
      </c>
      <c r="AO40" s="50">
        <f ca="1">+GETPIVOTDATA("XDB4",'dabac (2016)'!$A$3,"MA_HT","DKG","MA_QH","DDL")</f>
        <v>0</v>
      </c>
      <c r="AP40" s="50">
        <f ca="1">+GETPIVOTDATA("XDB4",'dabac (2016)'!$A$3,"MA_HT","DKG","MA_QH","DRA")</f>
        <v>0</v>
      </c>
      <c r="AQ40" s="50">
        <f ca="1">+GETPIVOTDATA("XDB4",'dabac (2016)'!$A$3,"MA_HT","DKG","MA_QH","ONT")</f>
        <v>0</v>
      </c>
      <c r="AR40" s="50">
        <f ca="1">+GETPIVOTDATA("XDB4",'dabac (2016)'!$A$3,"MA_HT","DKG","MA_QH","ODT")</f>
        <v>0</v>
      </c>
      <c r="AS40" s="50">
        <f ca="1">+GETPIVOTDATA("XDB4",'dabac (2016)'!$A$3,"MA_HT","DKG","MA_QH","TSC")</f>
        <v>0</v>
      </c>
      <c r="AT40" s="50">
        <f ca="1">+GETPIVOTDATA("XDB4",'dabac (2016)'!$A$3,"MA_HT","DKG","MA_QH","DTS")</f>
        <v>0</v>
      </c>
      <c r="AU40" s="50">
        <f ca="1">+GETPIVOTDATA("XDB4",'dabac (2016)'!$A$3,"MA_HT","DKG","MA_QH","DNG")</f>
        <v>0</v>
      </c>
      <c r="AV40" s="50">
        <f ca="1">+GETPIVOTDATA("XDB4",'dabac (2016)'!$A$3,"MA_HT","DKG","MA_QH","TON")</f>
        <v>0</v>
      </c>
      <c r="AW40" s="50">
        <f ca="1">+GETPIVOTDATA("XDB4",'dabac (2016)'!$A$3,"MA_HT","DKG","MA_QH","NTD")</f>
        <v>0</v>
      </c>
      <c r="AX40" s="50">
        <f ca="1">+GETPIVOTDATA("XDB4",'dabac (2016)'!$A$3,"MA_HT","DKG","MA_QH","SKX")</f>
        <v>0</v>
      </c>
      <c r="AY40" s="50">
        <f ca="1">+GETPIVOTDATA("XDB4",'dabac (2016)'!$A$3,"MA_HT","DKG","MA_QH","DSH")</f>
        <v>0</v>
      </c>
      <c r="AZ40" s="50">
        <f ca="1">+GETPIVOTDATA("XDB4",'dabac (2016)'!$A$3,"MA_HT","DKG","MA_QH","DKV")</f>
        <v>0</v>
      </c>
      <c r="BA40" s="88">
        <f ca="1">+GETPIVOTDATA("XDB4",'dabac (2016)'!$A$3,"MA_HT","DKG","MA_QH","TIN")</f>
        <v>0</v>
      </c>
      <c r="BB40" s="50">
        <f ca="1">+GETPIVOTDATA("XDB4",'dabac (2016)'!$A$3,"MA_HT","DKG","MA_QH","SON")</f>
        <v>0</v>
      </c>
      <c r="BC40" s="50">
        <f ca="1">+GETPIVOTDATA("XDB4",'dabac (2016)'!$A$3,"MA_HT","DKG","MA_QH","MNC")</f>
        <v>0</v>
      </c>
      <c r="BD40" s="50">
        <f ca="1">+GETPIVOTDATA("XDB4",'dabac (2016)'!$A$3,"MA_HT","DKG","MA_QH","PNK")</f>
        <v>0</v>
      </c>
      <c r="BE40" s="80">
        <f ca="1">+GETPIVOTDATA("XDB4",'dabac (2016)'!$A$3,"MA_HT","DKG","MA_QH","CSD")</f>
        <v>0</v>
      </c>
      <c r="BF40" s="103">
        <f ca="1" t="shared" si="13"/>
        <v>0</v>
      </c>
      <c r="BG40" s="104">
        <f ca="1">AM$59-$BF40</f>
        <v>0</v>
      </c>
      <c r="BH40" s="47" t="e">
        <f ca="1" t="shared" si="14"/>
        <v>#REF!</v>
      </c>
      <c r="BI40" s="109"/>
      <c r="BJ40" s="109" t="e">
        <f>#REF!</f>
        <v>#REF!</v>
      </c>
      <c r="BK40" s="110" t="e">
        <f ca="1" t="shared" si="19"/>
        <v>#REF!</v>
      </c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</row>
    <row r="41" s="6" customFormat="1" ht="15.75" customHeight="1" spans="1:79">
      <c r="A41" s="54" t="s">
        <v>8400</v>
      </c>
      <c r="B41" s="55" t="s">
        <v>8401</v>
      </c>
      <c r="C41" s="56" t="s">
        <v>8287</v>
      </c>
      <c r="D41" s="57" t="e">
        <f>+#REF!</f>
        <v>#REF!</v>
      </c>
      <c r="E41" s="58">
        <f ca="1" t="shared" si="15"/>
        <v>0</v>
      </c>
      <c r="F41" s="59">
        <f ca="1" t="shared" si="9"/>
        <v>0</v>
      </c>
      <c r="G41" s="60">
        <f ca="1">+GETPIVOTDATA("XDB4",'dabac (2016)'!$A$3,"MA_HT","DDT","MA_QH","LUC")</f>
        <v>0</v>
      </c>
      <c r="H41" s="60">
        <f ca="1">+GETPIVOTDATA("XDB4",'dabac (2016)'!$A$3,"MA_HT","DDT","MA_QH","LUK")</f>
        <v>0</v>
      </c>
      <c r="I41" s="60">
        <f ca="1">+GETPIVOTDATA("XDB4",'dabac (2016)'!$A$3,"MA_HT","DDT","MA_QH","LUN")</f>
        <v>0</v>
      </c>
      <c r="J41" s="60">
        <f ca="1">+GETPIVOTDATA("XDB4",'dabac (2016)'!$A$3,"MA_HT","DDT","MA_QH","HNK")</f>
        <v>0</v>
      </c>
      <c r="K41" s="60">
        <f ca="1">+GETPIVOTDATA("XDB4",'dabac (2016)'!$A$3,"MA_HT","DDT","MA_QH","CLN")</f>
        <v>0</v>
      </c>
      <c r="L41" s="60">
        <f ca="1">+GETPIVOTDATA("XDB4",'dabac (2016)'!$A$3,"MA_HT","DDT","MA_QH","RSX")</f>
        <v>0</v>
      </c>
      <c r="M41" s="60">
        <f ca="1">+GETPIVOTDATA("XDB4",'dabac (2016)'!$A$3,"MA_HT","DDT","MA_QH","RPH")</f>
        <v>0</v>
      </c>
      <c r="N41" s="60">
        <f ca="1">+GETPIVOTDATA("XDB4",'dabac (2016)'!$A$3,"MA_HT","DDT","MA_QH","RDD")</f>
        <v>0</v>
      </c>
      <c r="O41" s="60">
        <f ca="1">+GETPIVOTDATA("XDB4",'dabac (2016)'!$A$3,"MA_HT","DDT","MA_QH","NTS")</f>
        <v>0</v>
      </c>
      <c r="P41" s="60">
        <f ca="1">+GETPIVOTDATA("XDB4",'dabac (2016)'!$A$3,"MA_HT","DDT","MA_QH","LMU")</f>
        <v>0</v>
      </c>
      <c r="Q41" s="60">
        <f ca="1">+GETPIVOTDATA("XDB4",'dabac (2016)'!$A$3,"MA_HT","DDT","MA_QH","NKH")</f>
        <v>0</v>
      </c>
      <c r="R41" s="78">
        <f ca="1">SUM(S41:AA41,AO41:BD41)</f>
        <v>0</v>
      </c>
      <c r="S41" s="60">
        <f ca="1">+GETPIVOTDATA("XDB4",'dabac (2016)'!$A$3,"MA_HT","DDT","MA_QH","CQP")</f>
        <v>0</v>
      </c>
      <c r="T41" s="60">
        <f ca="1">+GETPIVOTDATA("XDB4",'dabac (2016)'!$A$3,"MA_HT","DDT","MA_QH","CAN")</f>
        <v>0</v>
      </c>
      <c r="U41" s="60">
        <f ca="1">+GETPIVOTDATA("XDB4",'dabac (2016)'!$A$3,"MA_HT","DDT","MA_QH","SKK")</f>
        <v>0</v>
      </c>
      <c r="V41" s="60">
        <f ca="1">+GETPIVOTDATA("XDB4",'dabac (2016)'!$A$3,"MA_HT","DDT","MA_QH","SKT")</f>
        <v>0</v>
      </c>
      <c r="W41" s="60">
        <f ca="1">+GETPIVOTDATA("XDB4",'dabac (2016)'!$A$3,"MA_HT","DDT","MA_QH","SKN")</f>
        <v>0</v>
      </c>
      <c r="X41" s="60">
        <f ca="1">+GETPIVOTDATA("XDB4",'dabac (2016)'!$A$3,"MA_HT","DDT","MA_QH","TMD")</f>
        <v>0</v>
      </c>
      <c r="Y41" s="60">
        <f ca="1">+GETPIVOTDATA("XDB4",'dabac (2016)'!$A$3,"MA_HT","DDT","MA_QH","SKC")</f>
        <v>0</v>
      </c>
      <c r="Z41" s="60">
        <f ca="1">+GETPIVOTDATA("XDB4",'dabac (2016)'!$A$3,"MA_HT","DDT","MA_QH","SKS")</f>
        <v>0</v>
      </c>
      <c r="AA41" s="59">
        <f ca="1" t="shared" ref="AA41:AA58" si="21">+SUM(AB41:AM41)</f>
        <v>0</v>
      </c>
      <c r="AB41" s="60">
        <f ca="1">+GETPIVOTDATA("XDB4",'dabac (2016)'!$A$3,"MA_HT","DDT","MA_QH","DGT")</f>
        <v>0</v>
      </c>
      <c r="AC41" s="60">
        <f ca="1">+GETPIVOTDATA("XDB4",'dabac (2016)'!$A$3,"MA_HT","DDT","MA_QH","DTL")</f>
        <v>0</v>
      </c>
      <c r="AD41" s="60">
        <f ca="1">+GETPIVOTDATA("XDB4",'dabac (2016)'!$A$3,"MA_HT","DDT","MA_QH","DNL")</f>
        <v>0</v>
      </c>
      <c r="AE41" s="60">
        <f ca="1">+GETPIVOTDATA("XDB4",'dabac (2016)'!$A$3,"MA_HT","DDT","MA_QH","DBV")</f>
        <v>0</v>
      </c>
      <c r="AF41" s="60">
        <f ca="1">+GETPIVOTDATA("XDB4",'dabac (2016)'!$A$3,"MA_HT","DDT","MA_QH","DVH")</f>
        <v>0</v>
      </c>
      <c r="AG41" s="60">
        <f ca="1">+GETPIVOTDATA("XDB4",'dabac (2016)'!$A$3,"MA_HT","DDT","MA_QH","DYT")</f>
        <v>0</v>
      </c>
      <c r="AH41" s="60">
        <f ca="1">+GETPIVOTDATA("XDB4",'dabac (2016)'!$A$3,"MA_HT","DDT","MA_QH","DGD")</f>
        <v>0</v>
      </c>
      <c r="AI41" s="60">
        <f ca="1">+GETPIVOTDATA("XDB4",'dabac (2016)'!$A$3,"MA_HT","DDT","MA_QH","DTT")</f>
        <v>0</v>
      </c>
      <c r="AJ41" s="60">
        <f ca="1">+GETPIVOTDATA("XDB4",'dabac (2016)'!$A$3,"MA_HT","DDT","MA_QH","NCK")</f>
        <v>0</v>
      </c>
      <c r="AK41" s="60">
        <f ca="1">+GETPIVOTDATA("XDB4",'dabac (2016)'!$A$3,"MA_HT","DDT","MA_QH","DXH")</f>
        <v>0</v>
      </c>
      <c r="AL41" s="60">
        <f ca="1">+GETPIVOTDATA("XDB4",'dabac (2016)'!$A$3,"MA_HT","DDT","MA_QH","DCH")</f>
        <v>0</v>
      </c>
      <c r="AM41" s="60">
        <f ca="1">+GETPIVOTDATA("XDB4",'dabac (2016)'!$A$3,"MA_HT","DDT","MA_QH","DKG")</f>
        <v>0</v>
      </c>
      <c r="AN41" s="81" t="e">
        <f ca="1">$D41-$BF41</f>
        <v>#REF!</v>
      </c>
      <c r="AO41" s="60">
        <f ca="1">+GETPIVOTDATA("XDB4",'dabac (2016)'!$A$3,"MA_HT","DDT","MA_QH","DDL")</f>
        <v>0</v>
      </c>
      <c r="AP41" s="60">
        <f ca="1">+GETPIVOTDATA("XDB4",'dabac (2016)'!$A$3,"MA_HT","DDT","MA_QH","DRA")</f>
        <v>0</v>
      </c>
      <c r="AQ41" s="60">
        <f ca="1">+GETPIVOTDATA("XDB4",'dabac (2016)'!$A$3,"MA_HT","DDT","MA_QH","ONT")</f>
        <v>0</v>
      </c>
      <c r="AR41" s="60">
        <f ca="1">+GETPIVOTDATA("XDB4",'dabac (2016)'!$A$3,"MA_HT","DDT","MA_QH","ODT")</f>
        <v>0</v>
      </c>
      <c r="AS41" s="60">
        <f ca="1">+GETPIVOTDATA("XDB4",'dabac (2016)'!$A$3,"MA_HT","DDT","MA_QH","TSC")</f>
        <v>0</v>
      </c>
      <c r="AT41" s="60">
        <f ca="1">+GETPIVOTDATA("XDB4",'dabac (2016)'!$A$3,"MA_HT","DDT","MA_QH","DTS")</f>
        <v>0</v>
      </c>
      <c r="AU41" s="60">
        <f ca="1">+GETPIVOTDATA("XDB4",'dabac (2016)'!$A$3,"MA_HT","DDT","MA_QH","DNG")</f>
        <v>0</v>
      </c>
      <c r="AV41" s="60">
        <f ca="1">+GETPIVOTDATA("XDB4",'dabac (2016)'!$A$3,"MA_HT","DDT","MA_QH","TON")</f>
        <v>0</v>
      </c>
      <c r="AW41" s="60">
        <f ca="1">+GETPIVOTDATA("XDB4",'dabac (2016)'!$A$3,"MA_HT","DDT","MA_QH","NTD")</f>
        <v>0</v>
      </c>
      <c r="AX41" s="60">
        <f ca="1">+GETPIVOTDATA("XDB4",'dabac (2016)'!$A$3,"MA_HT","DDT","MA_QH","SKX")</f>
        <v>0</v>
      </c>
      <c r="AY41" s="60">
        <f ca="1">+GETPIVOTDATA("XDB4",'dabac (2016)'!$A$3,"MA_HT","DDT","MA_QH","DSH")</f>
        <v>0</v>
      </c>
      <c r="AZ41" s="60">
        <f ca="1">+GETPIVOTDATA("XDB4",'dabac (2016)'!$A$3,"MA_HT","DDT","MA_QH","DKV")</f>
        <v>0</v>
      </c>
      <c r="BA41" s="90">
        <f ca="1">+GETPIVOTDATA("XDB4",'dabac (2016)'!$A$3,"MA_HT","DDT","MA_QH","TIN")</f>
        <v>0</v>
      </c>
      <c r="BB41" s="91">
        <f ca="1">+GETPIVOTDATA("XDB4",'dabac (2016)'!$A$3,"MA_HT","DDT","MA_QH","SON")</f>
        <v>0</v>
      </c>
      <c r="BC41" s="91">
        <f ca="1">+GETPIVOTDATA("XDB4",'dabac (2016)'!$A$3,"MA_HT","DDT","MA_QH","MNC")</f>
        <v>0</v>
      </c>
      <c r="BD41" s="60">
        <f ca="1">+GETPIVOTDATA("XDB4",'dabac (2016)'!$A$3,"MA_HT","DDT","MA_QH","PNK")</f>
        <v>0</v>
      </c>
      <c r="BE41" s="111">
        <f ca="1">+GETPIVOTDATA("XDB4",'dabac (2016)'!$A$3,"MA_HT","DDT","MA_QH","CSD")</f>
        <v>0</v>
      </c>
      <c r="BF41" s="112">
        <f ca="1" t="shared" si="13"/>
        <v>0</v>
      </c>
      <c r="BG41" s="113">
        <f ca="1">AN$59-$BF41</f>
        <v>0</v>
      </c>
      <c r="BH41" s="57" t="e">
        <f ca="1" t="shared" si="14"/>
        <v>#REF!</v>
      </c>
      <c r="BI41" s="114"/>
      <c r="BJ41" s="115"/>
      <c r="BK41" s="115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</row>
    <row r="42" s="2" customFormat="1" ht="15.75" customHeight="1" spans="1:79">
      <c r="A42" s="39" t="s">
        <v>8402</v>
      </c>
      <c r="B42" s="53" t="s">
        <v>8403</v>
      </c>
      <c r="C42" s="40" t="s">
        <v>8286</v>
      </c>
      <c r="D42" s="41" t="e">
        <f>+#REF!</f>
        <v>#REF!</v>
      </c>
      <c r="E42" s="42">
        <f ca="1" t="shared" si="15"/>
        <v>0</v>
      </c>
      <c r="F42" s="52">
        <f ca="1" t="shared" si="9"/>
        <v>0</v>
      </c>
      <c r="G42" s="22">
        <f ca="1">+GETPIVOTDATA("XDB4",'dabac (2016)'!$A$3,"MA_HT","DDL","MA_QH","LUC")</f>
        <v>0</v>
      </c>
      <c r="H42" s="22">
        <f ca="1">+GETPIVOTDATA("XDB4",'dabac (2016)'!$A$3,"MA_HT","DDL","MA_QH","LUK")</f>
        <v>0</v>
      </c>
      <c r="I42" s="22">
        <f ca="1">+GETPIVOTDATA("XDB4",'dabac (2016)'!$A$3,"MA_HT","DDL","MA_QH","LUN")</f>
        <v>0</v>
      </c>
      <c r="J42" s="22">
        <f ca="1">+GETPIVOTDATA("XDB4",'dabac (2016)'!$A$3,"MA_HT","DDL","MA_QH","HNK")</f>
        <v>0</v>
      </c>
      <c r="K42" s="22">
        <f ca="1">+GETPIVOTDATA("XDB4",'dabac (2016)'!$A$3,"MA_HT","DDL","MA_QH","CLN")</f>
        <v>0</v>
      </c>
      <c r="L42" s="22">
        <f ca="1">+GETPIVOTDATA("XDB4",'dabac (2016)'!$A$3,"MA_HT","DDL","MA_QH","RSX")</f>
        <v>0</v>
      </c>
      <c r="M42" s="22">
        <f ca="1">+GETPIVOTDATA("XDB4",'dabac (2016)'!$A$3,"MA_HT","DDL","MA_QH","RPH")</f>
        <v>0</v>
      </c>
      <c r="N42" s="22">
        <f ca="1">+GETPIVOTDATA("XDB4",'dabac (2016)'!$A$3,"MA_HT","DDL","MA_QH","RDD")</f>
        <v>0</v>
      </c>
      <c r="O42" s="22">
        <f ca="1">+GETPIVOTDATA("XDB4",'dabac (2016)'!$A$3,"MA_HT","DDL","MA_QH","NTS")</f>
        <v>0</v>
      </c>
      <c r="P42" s="22">
        <f ca="1">+GETPIVOTDATA("XDB4",'dabac (2016)'!$A$3,"MA_HT","DDL","MA_QH","LMU")</f>
        <v>0</v>
      </c>
      <c r="Q42" s="22">
        <f ca="1">+GETPIVOTDATA("XDB4",'dabac (2016)'!$A$3,"MA_HT","DDL","MA_QH","NKH")</f>
        <v>0</v>
      </c>
      <c r="R42" s="79">
        <f ca="1">SUM(S42:AA42,AN42,AP42:BD42)</f>
        <v>0</v>
      </c>
      <c r="S42" s="22">
        <f ca="1">+GETPIVOTDATA("XDB4",'dabac (2016)'!$A$3,"MA_HT","DDL","MA_QH","CQP")</f>
        <v>0</v>
      </c>
      <c r="T42" s="22">
        <f ca="1">+GETPIVOTDATA("XDB4",'dabac (2016)'!$A$3,"MA_HT","DDL","MA_QH","CAN")</f>
        <v>0</v>
      </c>
      <c r="U42" s="22">
        <f ca="1">+GETPIVOTDATA("XDB4",'dabac (2016)'!$A$3,"MA_HT","DDL","MA_QH","SKK")</f>
        <v>0</v>
      </c>
      <c r="V42" s="22">
        <f ca="1">+GETPIVOTDATA("XDB4",'dabac (2016)'!$A$3,"MA_HT","DDL","MA_QH","SKT")</f>
        <v>0</v>
      </c>
      <c r="W42" s="22">
        <f ca="1">+GETPIVOTDATA("XDB4",'dabac (2016)'!$A$3,"MA_HT","DDL","MA_QH","SKN")</f>
        <v>0</v>
      </c>
      <c r="X42" s="22">
        <f ca="1">+GETPIVOTDATA("XDB4",'dabac (2016)'!$A$3,"MA_HT","DDL","MA_QH","TMD")</f>
        <v>0</v>
      </c>
      <c r="Y42" s="22">
        <f ca="1">+GETPIVOTDATA("XDB4",'dabac (2016)'!$A$3,"MA_HT","DDL","MA_QH","SKC")</f>
        <v>0</v>
      </c>
      <c r="Z42" s="22">
        <f ca="1">+GETPIVOTDATA("XDB4",'dabac (2016)'!$A$3,"MA_HT","DDL","MA_QH","SKS")</f>
        <v>0</v>
      </c>
      <c r="AA42" s="52">
        <f ca="1" t="shared" si="21"/>
        <v>0</v>
      </c>
      <c r="AB42" s="22">
        <f ca="1">+GETPIVOTDATA("XDB4",'dabac (2016)'!$A$3,"MA_HT","DDL","MA_QH","DGT")</f>
        <v>0</v>
      </c>
      <c r="AC42" s="22">
        <f ca="1">+GETPIVOTDATA("XDB4",'dabac (2016)'!$A$3,"MA_HT","DDL","MA_QH","DTL")</f>
        <v>0</v>
      </c>
      <c r="AD42" s="22">
        <f ca="1">+GETPIVOTDATA("XDB4",'dabac (2016)'!$A$3,"MA_HT","DDL","MA_QH","DNL")</f>
        <v>0</v>
      </c>
      <c r="AE42" s="22">
        <f ca="1">+GETPIVOTDATA("XDB4",'dabac (2016)'!$A$3,"MA_HT","DDL","MA_QH","DBV")</f>
        <v>0</v>
      </c>
      <c r="AF42" s="22">
        <f ca="1">+GETPIVOTDATA("XDB4",'dabac (2016)'!$A$3,"MA_HT","DDL","MA_QH","DVH")</f>
        <v>0</v>
      </c>
      <c r="AG42" s="22">
        <f ca="1">+GETPIVOTDATA("XDB4",'dabac (2016)'!$A$3,"MA_HT","DDL","MA_QH","DYT")</f>
        <v>0</v>
      </c>
      <c r="AH42" s="22">
        <f ca="1">+GETPIVOTDATA("XDB4",'dabac (2016)'!$A$3,"MA_HT","DDL","MA_QH","DGD")</f>
        <v>0</v>
      </c>
      <c r="AI42" s="22">
        <f ca="1">+GETPIVOTDATA("XDB4",'dabac (2016)'!$A$3,"MA_HT","DDL","MA_QH","DTT")</f>
        <v>0</v>
      </c>
      <c r="AJ42" s="22">
        <f ca="1">+GETPIVOTDATA("XDB4",'dabac (2016)'!$A$3,"MA_HT","DDL","MA_QH","NCK")</f>
        <v>0</v>
      </c>
      <c r="AK42" s="22">
        <f ca="1">+GETPIVOTDATA("XDB4",'dabac (2016)'!$A$3,"MA_HT","DDL","MA_QH","DXH")</f>
        <v>0</v>
      </c>
      <c r="AL42" s="22">
        <f ca="1">+GETPIVOTDATA("XDB4",'dabac (2016)'!$A$3,"MA_HT","DDL","MA_QH","DCH")</f>
        <v>0</v>
      </c>
      <c r="AM42" s="22">
        <f ca="1">+GETPIVOTDATA("XDB4",'dabac (2016)'!$A$3,"MA_HT","DDL","MA_QH","DKG")</f>
        <v>0</v>
      </c>
      <c r="AN42" s="22">
        <f ca="1">+GETPIVOTDATA("XDB4",'dabac (2016)'!$A$3,"MA_HT","DDL","MA_QH","DDT")</f>
        <v>0</v>
      </c>
      <c r="AO42" s="43" t="e">
        <f ca="1">$D42-$BF42</f>
        <v>#REF!</v>
      </c>
      <c r="AP42" s="22">
        <f ca="1">+GETPIVOTDATA("XDB4",'dabac (2016)'!$A$3,"MA_HT","DDL","MA_QH","DRA")</f>
        <v>0</v>
      </c>
      <c r="AQ42" s="22">
        <f ca="1">+GETPIVOTDATA("XDB4",'dabac (2016)'!$A$3,"MA_HT","DDL","MA_QH","ONT")</f>
        <v>0</v>
      </c>
      <c r="AR42" s="22">
        <f ca="1">+GETPIVOTDATA("XDB4",'dabac (2016)'!$A$3,"MA_HT","DDL","MA_QH","ODT")</f>
        <v>0</v>
      </c>
      <c r="AS42" s="22">
        <f ca="1">+GETPIVOTDATA("XDB4",'dabac (2016)'!$A$3,"MA_HT","DDL","MA_QH","TSC")</f>
        <v>0</v>
      </c>
      <c r="AT42" s="22">
        <f ca="1">+GETPIVOTDATA("XDB4",'dabac (2016)'!$A$3,"MA_HT","DDL","MA_QH","DTS")</f>
        <v>0</v>
      </c>
      <c r="AU42" s="22">
        <f ca="1">+GETPIVOTDATA("XDB4",'dabac (2016)'!$A$3,"MA_HT","DDL","MA_QH","DNG")</f>
        <v>0</v>
      </c>
      <c r="AV42" s="22">
        <f ca="1">+GETPIVOTDATA("XDB4",'dabac (2016)'!$A$3,"MA_HT","DDL","MA_QH","TON")</f>
        <v>0</v>
      </c>
      <c r="AW42" s="22">
        <f ca="1">+GETPIVOTDATA("XDB4",'dabac (2016)'!$A$3,"MA_HT","DDL","MA_QH","NTD")</f>
        <v>0</v>
      </c>
      <c r="AX42" s="22">
        <f ca="1">+GETPIVOTDATA("XDB4",'dabac (2016)'!$A$3,"MA_HT","DDL","MA_QH","SKX")</f>
        <v>0</v>
      </c>
      <c r="AY42" s="22">
        <f ca="1">+GETPIVOTDATA("XDB4",'dabac (2016)'!$A$3,"MA_HT","DDL","MA_QH","DSH")</f>
        <v>0</v>
      </c>
      <c r="AZ42" s="22">
        <f ca="1">+GETPIVOTDATA("XDB4",'dabac (2016)'!$A$3,"MA_HT","DDL","MA_QH","DKV")</f>
        <v>0</v>
      </c>
      <c r="BA42" s="89">
        <f ca="1">+GETPIVOTDATA("XDB4",'dabac (2016)'!$A$3,"MA_HT","DDL","MA_QH","TIN")</f>
        <v>0</v>
      </c>
      <c r="BB42" s="50">
        <f ca="1">+GETPIVOTDATA("XDB4",'dabac (2016)'!$A$3,"MA_HT","DDL","MA_QH","SON")</f>
        <v>0</v>
      </c>
      <c r="BC42" s="50">
        <f ca="1">+GETPIVOTDATA("XDB4",'dabac (2016)'!$A$3,"MA_HT","DDL","MA_QH","MNC")</f>
        <v>0</v>
      </c>
      <c r="BD42" s="22">
        <f ca="1">+GETPIVOTDATA("XDB4",'dabac (2016)'!$A$3,"MA_HT","DDL","MA_QH","PNK")</f>
        <v>0</v>
      </c>
      <c r="BE42" s="71">
        <f ca="1">+GETPIVOTDATA("XDB4",'dabac (2016)'!$A$3,"MA_HT","DDL","MA_QH","CSD")</f>
        <v>0</v>
      </c>
      <c r="BF42" s="74">
        <f ca="1" t="shared" si="13"/>
        <v>0</v>
      </c>
      <c r="BG42" s="101">
        <f ca="1">AO$59-$BF42</f>
        <v>0</v>
      </c>
      <c r="BH42" s="41" t="e">
        <f ca="1" t="shared" si="14"/>
        <v>#REF!</v>
      </c>
      <c r="BI42" s="98"/>
      <c r="BJ42" s="107"/>
      <c r="BK42" s="10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</row>
    <row r="43" s="2" customFormat="1" ht="15.75" customHeight="1" spans="1:79">
      <c r="A43" s="39" t="s">
        <v>8404</v>
      </c>
      <c r="B43" s="53" t="s">
        <v>8405</v>
      </c>
      <c r="C43" s="40" t="s">
        <v>8291</v>
      </c>
      <c r="D43" s="41" t="e">
        <f>+#REF!</f>
        <v>#REF!</v>
      </c>
      <c r="E43" s="42">
        <f ca="1" t="shared" si="15"/>
        <v>0</v>
      </c>
      <c r="F43" s="52">
        <f ca="1" t="shared" si="9"/>
        <v>0</v>
      </c>
      <c r="G43" s="22">
        <f ca="1">+GETPIVOTDATA("XDB4",'dabac (2016)'!$A$3,"MA_HT","DRA","MA_QH","LUC")</f>
        <v>0</v>
      </c>
      <c r="H43" s="22">
        <f ca="1">+GETPIVOTDATA("XDB4",'dabac (2016)'!$A$3,"MA_HT","DRA","MA_QH","LUK")</f>
        <v>0</v>
      </c>
      <c r="I43" s="22">
        <f ca="1">+GETPIVOTDATA("XDB4",'dabac (2016)'!$A$3,"MA_HT","DRA","MA_QH","LUN")</f>
        <v>0</v>
      </c>
      <c r="J43" s="22">
        <f ca="1">+GETPIVOTDATA("XDB4",'dabac (2016)'!$A$3,"MA_HT","DRA","MA_QH","HNK")</f>
        <v>0</v>
      </c>
      <c r="K43" s="22">
        <f ca="1">+GETPIVOTDATA("XDB4",'dabac (2016)'!$A$3,"MA_HT","DRA","MA_QH","CLN")</f>
        <v>0</v>
      </c>
      <c r="L43" s="22">
        <f ca="1">+GETPIVOTDATA("XDB4",'dabac (2016)'!$A$3,"MA_HT","DRA","MA_QH","RSX")</f>
        <v>0</v>
      </c>
      <c r="M43" s="22">
        <f ca="1">+GETPIVOTDATA("XDB4",'dabac (2016)'!$A$3,"MA_HT","DRA","MA_QH","RPH")</f>
        <v>0</v>
      </c>
      <c r="N43" s="22">
        <f ca="1">+GETPIVOTDATA("XDB4",'dabac (2016)'!$A$3,"MA_HT","DRA","MA_QH","RDD")</f>
        <v>0</v>
      </c>
      <c r="O43" s="22">
        <f ca="1">+GETPIVOTDATA("XDB4",'dabac (2016)'!$A$3,"MA_HT","DRA","MA_QH","NTS")</f>
        <v>0</v>
      </c>
      <c r="P43" s="22">
        <f ca="1">+GETPIVOTDATA("XDB4",'dabac (2016)'!$A$3,"MA_HT","DRA","MA_QH","LMU")</f>
        <v>0</v>
      </c>
      <c r="Q43" s="22">
        <f ca="1">+GETPIVOTDATA("XDB4",'dabac (2016)'!$A$3,"MA_HT","DRA","MA_QH","NKH")</f>
        <v>0</v>
      </c>
      <c r="R43" s="79">
        <f ca="1">SUM(S43:AA43,AN43:AO43,AQ43:BD43)</f>
        <v>0</v>
      </c>
      <c r="S43" s="22">
        <f ca="1">+GETPIVOTDATA("XDB4",'dabac (2016)'!$A$3,"MA_HT","DRA","MA_QH","CQP")</f>
        <v>0</v>
      </c>
      <c r="T43" s="22">
        <f ca="1">+GETPIVOTDATA("XDB4",'dabac (2016)'!$A$3,"MA_HT","DRA","MA_QH","CAN")</f>
        <v>0</v>
      </c>
      <c r="U43" s="22">
        <f ca="1">+GETPIVOTDATA("XDB4",'dabac (2016)'!$A$3,"MA_HT","DRA","MA_QH","SKK")</f>
        <v>0</v>
      </c>
      <c r="V43" s="22">
        <f ca="1">+GETPIVOTDATA("XDB4",'dabac (2016)'!$A$3,"MA_HT","DRA","MA_QH","SKT")</f>
        <v>0</v>
      </c>
      <c r="W43" s="22">
        <f ca="1">+GETPIVOTDATA("XDB4",'dabac (2016)'!$A$3,"MA_HT","DRA","MA_QH","SKN")</f>
        <v>0</v>
      </c>
      <c r="X43" s="22">
        <f ca="1">+GETPIVOTDATA("XDB4",'dabac (2016)'!$A$3,"MA_HT","DRA","MA_QH","TMD")</f>
        <v>0</v>
      </c>
      <c r="Y43" s="22">
        <f ca="1">+GETPIVOTDATA("XDB4",'dabac (2016)'!$A$3,"MA_HT","DRA","MA_QH","SKC")</f>
        <v>0</v>
      </c>
      <c r="Z43" s="22">
        <f ca="1">+GETPIVOTDATA("XDB4",'dabac (2016)'!$A$3,"MA_HT","DRA","MA_QH","SKS")</f>
        <v>0</v>
      </c>
      <c r="AA43" s="52">
        <f ca="1" t="shared" si="21"/>
        <v>0</v>
      </c>
      <c r="AB43" s="22">
        <f ca="1">+GETPIVOTDATA("XDB4",'dabac (2016)'!$A$3,"MA_HT","DRA","MA_QH","DGT")</f>
        <v>0</v>
      </c>
      <c r="AC43" s="22">
        <f ca="1">+GETPIVOTDATA("XDB4",'dabac (2016)'!$A$3,"MA_HT","DRA","MA_QH","DTL")</f>
        <v>0</v>
      </c>
      <c r="AD43" s="22">
        <f ca="1">+GETPIVOTDATA("XDB4",'dabac (2016)'!$A$3,"MA_HT","DRA","MA_QH","DNL")</f>
        <v>0</v>
      </c>
      <c r="AE43" s="22">
        <f ca="1">+GETPIVOTDATA("XDB4",'dabac (2016)'!$A$3,"MA_HT","DRA","MA_QH","DBV")</f>
        <v>0</v>
      </c>
      <c r="AF43" s="22">
        <f ca="1">+GETPIVOTDATA("XDB4",'dabac (2016)'!$A$3,"MA_HT","DRA","MA_QH","DVH")</f>
        <v>0</v>
      </c>
      <c r="AG43" s="22">
        <f ca="1">+GETPIVOTDATA("XDB4",'dabac (2016)'!$A$3,"MA_HT","DRA","MA_QH","DYT")</f>
        <v>0</v>
      </c>
      <c r="AH43" s="22">
        <f ca="1">+GETPIVOTDATA("XDB4",'dabac (2016)'!$A$3,"MA_HT","DRA","MA_QH","DGD")</f>
        <v>0</v>
      </c>
      <c r="AI43" s="22">
        <f ca="1">+GETPIVOTDATA("XDB4",'dabac (2016)'!$A$3,"MA_HT","DRA","MA_QH","DTT")</f>
        <v>0</v>
      </c>
      <c r="AJ43" s="22">
        <f ca="1">+GETPIVOTDATA("XDB4",'dabac (2016)'!$A$3,"MA_HT","DRA","MA_QH","NCK")</f>
        <v>0</v>
      </c>
      <c r="AK43" s="22">
        <f ca="1">+GETPIVOTDATA("XDB4",'dabac (2016)'!$A$3,"MA_HT","DRA","MA_QH","DXH")</f>
        <v>0</v>
      </c>
      <c r="AL43" s="22">
        <f ca="1">+GETPIVOTDATA("XDB4",'dabac (2016)'!$A$3,"MA_HT","DRA","MA_QH","DCH")</f>
        <v>0</v>
      </c>
      <c r="AM43" s="22">
        <f ca="1">+GETPIVOTDATA("XDB4",'dabac (2016)'!$A$3,"MA_HT","DRA","MA_QH","DKG")</f>
        <v>0</v>
      </c>
      <c r="AN43" s="22">
        <f ca="1">+GETPIVOTDATA("XDB4",'dabac (2016)'!$A$3,"MA_HT","DRA","MA_QH","DDT")</f>
        <v>0</v>
      </c>
      <c r="AO43" s="22">
        <f ca="1">+GETPIVOTDATA("XDB4",'dabac (2016)'!$A$3,"MA_HT","DRA","MA_QH","DDL")</f>
        <v>0</v>
      </c>
      <c r="AP43" s="43" t="e">
        <f ca="1">$D43-$BF43</f>
        <v>#REF!</v>
      </c>
      <c r="AQ43" s="22">
        <f ca="1">+GETPIVOTDATA("XDB4",'dabac (2016)'!$A$3,"MA_HT","DRA","MA_QH","ONT")</f>
        <v>0</v>
      </c>
      <c r="AR43" s="22">
        <f ca="1">+GETPIVOTDATA("XDB4",'dabac (2016)'!$A$3,"MA_HT","DRA","MA_QH","ODT")</f>
        <v>0</v>
      </c>
      <c r="AS43" s="22">
        <f ca="1">+GETPIVOTDATA("XDB4",'dabac (2016)'!$A$3,"MA_HT","DRA","MA_QH","TSC")</f>
        <v>0</v>
      </c>
      <c r="AT43" s="22">
        <f ca="1">+GETPIVOTDATA("XDB4",'dabac (2016)'!$A$3,"MA_HT","DRA","MA_QH","DTS")</f>
        <v>0</v>
      </c>
      <c r="AU43" s="22">
        <f ca="1">+GETPIVOTDATA("XDB4",'dabac (2016)'!$A$3,"MA_HT","DRA","MA_QH","DNG")</f>
        <v>0</v>
      </c>
      <c r="AV43" s="22">
        <f ca="1">+GETPIVOTDATA("XDB4",'dabac (2016)'!$A$3,"MA_HT","DRA","MA_QH","TON")</f>
        <v>0</v>
      </c>
      <c r="AW43" s="22">
        <f ca="1">+GETPIVOTDATA("XDB4",'dabac (2016)'!$A$3,"MA_HT","DRA","MA_QH","NTD")</f>
        <v>0</v>
      </c>
      <c r="AX43" s="22">
        <f ca="1">+GETPIVOTDATA("XDB4",'dabac (2016)'!$A$3,"MA_HT","DRA","MA_QH","SKX")</f>
        <v>0</v>
      </c>
      <c r="AY43" s="22">
        <f ca="1">+GETPIVOTDATA("XDB4",'dabac (2016)'!$A$3,"MA_HT","DRA","MA_QH","DSH")</f>
        <v>0</v>
      </c>
      <c r="AZ43" s="22">
        <f ca="1">+GETPIVOTDATA("XDB4",'dabac (2016)'!$A$3,"MA_HT","DRA","MA_QH","DKV")</f>
        <v>0</v>
      </c>
      <c r="BA43" s="89">
        <f ca="1">+GETPIVOTDATA("XDB4",'dabac (2016)'!$A$3,"MA_HT","DRA","MA_QH","TIN")</f>
        <v>0</v>
      </c>
      <c r="BB43" s="50">
        <f ca="1">+GETPIVOTDATA("XDB4",'dabac (2016)'!$A$3,"MA_HT","DRA","MA_QH","SON")</f>
        <v>0</v>
      </c>
      <c r="BC43" s="50">
        <f ca="1">+GETPIVOTDATA("XDB4",'dabac (2016)'!$A$3,"MA_HT","DRA","MA_QH","MNC")</f>
        <v>0</v>
      </c>
      <c r="BD43" s="22">
        <f ca="1">+GETPIVOTDATA("XDB4",'dabac (2016)'!$A$3,"MA_HT","DRA","MA_QH","PNK")</f>
        <v>0</v>
      </c>
      <c r="BE43" s="71">
        <f ca="1">+GETPIVOTDATA("XDB4",'dabac (2016)'!$A$3,"MA_HT","DRA","MA_QH","CSD")</f>
        <v>0</v>
      </c>
      <c r="BF43" s="74">
        <f ca="1" t="shared" si="13"/>
        <v>0</v>
      </c>
      <c r="BG43" s="101">
        <f ca="1">AP$59-$BF43</f>
        <v>0</v>
      </c>
      <c r="BH43" s="41" t="e">
        <f ca="1" t="shared" si="14"/>
        <v>#REF!</v>
      </c>
      <c r="BI43" s="98"/>
      <c r="BJ43" s="107" t="e">
        <f>#REF!</f>
        <v>#REF!</v>
      </c>
      <c r="BK43" s="107" t="e">
        <f ca="1">BH43-BJ43</f>
        <v>#REF!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</row>
    <row r="44" s="2" customFormat="1" ht="15.75" customHeight="1" spans="1:79">
      <c r="A44" s="39" t="s">
        <v>8406</v>
      </c>
      <c r="B44" s="53" t="s">
        <v>8407</v>
      </c>
      <c r="C44" s="40" t="s">
        <v>188</v>
      </c>
      <c r="D44" s="41" t="e">
        <f>+#REF!</f>
        <v>#REF!</v>
      </c>
      <c r="E44" s="42">
        <f ca="1" t="shared" si="15"/>
        <v>0</v>
      </c>
      <c r="F44" s="52">
        <f ca="1" t="shared" si="9"/>
        <v>0</v>
      </c>
      <c r="G44" s="22">
        <f ca="1">+GETPIVOTDATA("XDB4",'dabac (2016)'!$A$3,"MA_HT","ONT","MA_QH","LUC")</f>
        <v>0</v>
      </c>
      <c r="H44" s="22">
        <f ca="1">+GETPIVOTDATA("XDB4",'dabac (2016)'!$A$3,"MA_HT","ONT","MA_QH","LUK")</f>
        <v>0</v>
      </c>
      <c r="I44" s="22">
        <f ca="1">+GETPIVOTDATA("XDB4",'dabac (2016)'!$A$3,"MA_HT","ONT","MA_QH","LUN")</f>
        <v>0</v>
      </c>
      <c r="J44" s="22">
        <f ca="1">+GETPIVOTDATA("XDB4",'dabac (2016)'!$A$3,"MA_HT","ONT","MA_QH","HNK")</f>
        <v>0</v>
      </c>
      <c r="K44" s="22">
        <f ca="1">+GETPIVOTDATA("XDB4",'dabac (2016)'!$A$3,"MA_HT","ONT","MA_QH","CLN")</f>
        <v>0</v>
      </c>
      <c r="L44" s="22">
        <f ca="1">+GETPIVOTDATA("XDB4",'dabac (2016)'!$A$3,"MA_HT","ONT","MA_QH","RSX")</f>
        <v>0</v>
      </c>
      <c r="M44" s="22">
        <f ca="1">+GETPIVOTDATA("XDB4",'dabac (2016)'!$A$3,"MA_HT","ONT","MA_QH","RPH")</f>
        <v>0</v>
      </c>
      <c r="N44" s="22">
        <f ca="1">+GETPIVOTDATA("XDB4",'dabac (2016)'!$A$3,"MA_HT","ONT","MA_QH","RDD")</f>
        <v>0</v>
      </c>
      <c r="O44" s="22">
        <f ca="1">+GETPIVOTDATA("XDB4",'dabac (2016)'!$A$3,"MA_HT","ONT","MA_QH","NTS")</f>
        <v>0</v>
      </c>
      <c r="P44" s="22">
        <f ca="1">+GETPIVOTDATA("XDB4",'dabac (2016)'!$A$3,"MA_HT","ONT","MA_QH","LMU")</f>
        <v>0</v>
      </c>
      <c r="Q44" s="22">
        <f ca="1">+GETPIVOTDATA("XDB4",'dabac (2016)'!$A$3,"MA_HT","ONT","MA_QH","NKH")</f>
        <v>0</v>
      </c>
      <c r="R44" s="79">
        <f ca="1">SUM(S44:AA44,AN44:AP44,AR44:BD44)</f>
        <v>0</v>
      </c>
      <c r="S44" s="22">
        <f ca="1">+GETPIVOTDATA("XDB4",'dabac (2016)'!$A$3,"MA_HT","ONT","MA_QH","CQP")</f>
        <v>0</v>
      </c>
      <c r="T44" s="22">
        <f ca="1">+GETPIVOTDATA("XDB4",'dabac (2016)'!$A$3,"MA_HT","ONT","MA_QH","CAN")</f>
        <v>0</v>
      </c>
      <c r="U44" s="22">
        <f ca="1">+GETPIVOTDATA("XDB4",'dabac (2016)'!$A$3,"MA_HT","ONT","MA_QH","SKK")</f>
        <v>0</v>
      </c>
      <c r="V44" s="22">
        <f ca="1">+GETPIVOTDATA("XDB4",'dabac (2016)'!$A$3,"MA_HT","ONT","MA_QH","SKT")</f>
        <v>0</v>
      </c>
      <c r="W44" s="22">
        <f ca="1">+GETPIVOTDATA("XDB4",'dabac (2016)'!$A$3,"MA_HT","ONT","MA_QH","SKN")</f>
        <v>0</v>
      </c>
      <c r="X44" s="22">
        <f ca="1">+GETPIVOTDATA("XDB4",'dabac (2016)'!$A$3,"MA_HT","ONT","MA_QH","TMD")</f>
        <v>0</v>
      </c>
      <c r="Y44" s="22">
        <f ca="1">+GETPIVOTDATA("XDB4",'dabac (2016)'!$A$3,"MA_HT","ONT","MA_QH","SKC")</f>
        <v>0</v>
      </c>
      <c r="Z44" s="22">
        <f ca="1">+GETPIVOTDATA("XDB4",'dabac (2016)'!$A$3,"MA_HT","ONT","MA_QH","SKS")</f>
        <v>0</v>
      </c>
      <c r="AA44" s="52">
        <f ca="1" t="shared" si="21"/>
        <v>0</v>
      </c>
      <c r="AB44" s="22">
        <f ca="1">+GETPIVOTDATA("XDB4",'dabac (2016)'!$A$3,"MA_HT","ONT","MA_QH","DGT")</f>
        <v>0</v>
      </c>
      <c r="AC44" s="22">
        <f ca="1">+GETPIVOTDATA("XDB4",'dabac (2016)'!$A$3,"MA_HT","ONT","MA_QH","DTL")</f>
        <v>0</v>
      </c>
      <c r="AD44" s="22">
        <f ca="1">+GETPIVOTDATA("XDB4",'dabac (2016)'!$A$3,"MA_HT","ONT","MA_QH","DNL")</f>
        <v>0</v>
      </c>
      <c r="AE44" s="22">
        <f ca="1">+GETPIVOTDATA("XDB4",'dabac (2016)'!$A$3,"MA_HT","ONT","MA_QH","DBV")</f>
        <v>0</v>
      </c>
      <c r="AF44" s="22">
        <f ca="1">+GETPIVOTDATA("XDB4",'dabac (2016)'!$A$3,"MA_HT","ONT","MA_QH","DVH")</f>
        <v>0</v>
      </c>
      <c r="AG44" s="22">
        <f ca="1">+GETPIVOTDATA("XDB4",'dabac (2016)'!$A$3,"MA_HT","ONT","MA_QH","DYT")</f>
        <v>0</v>
      </c>
      <c r="AH44" s="22">
        <f ca="1">+GETPIVOTDATA("XDB4",'dabac (2016)'!$A$3,"MA_HT","ONT","MA_QH","DGD")</f>
        <v>0</v>
      </c>
      <c r="AI44" s="22">
        <f ca="1">+GETPIVOTDATA("XDB4",'dabac (2016)'!$A$3,"MA_HT","ONT","MA_QH","DTT")</f>
        <v>0</v>
      </c>
      <c r="AJ44" s="22">
        <f ca="1">+GETPIVOTDATA("XDB4",'dabac (2016)'!$A$3,"MA_HT","ONT","MA_QH","NCK")</f>
        <v>0</v>
      </c>
      <c r="AK44" s="22">
        <f ca="1">+GETPIVOTDATA("XDB4",'dabac (2016)'!$A$3,"MA_HT","ONT","MA_QH","DXH")</f>
        <v>0</v>
      </c>
      <c r="AL44" s="22">
        <f ca="1">+GETPIVOTDATA("XDB4",'dabac (2016)'!$A$3,"MA_HT","ONT","MA_QH","DCH")</f>
        <v>0</v>
      </c>
      <c r="AM44" s="22">
        <f ca="1">+GETPIVOTDATA("XDB4",'dabac (2016)'!$A$3,"MA_HT","ONT","MA_QH","DKG")</f>
        <v>0</v>
      </c>
      <c r="AN44" s="22">
        <f ca="1">+GETPIVOTDATA("XDB4",'dabac (2016)'!$A$3,"MA_HT","ONT","MA_QH","DDT")</f>
        <v>0</v>
      </c>
      <c r="AO44" s="22">
        <f ca="1">+GETPIVOTDATA("XDB4",'dabac (2016)'!$A$3,"MA_HT","ONT","MA_QH","DDL")</f>
        <v>0</v>
      </c>
      <c r="AP44" s="22">
        <f ca="1">+GETPIVOTDATA("XDB4",'dabac (2016)'!$A$3,"MA_HT","ONT","MA_QH","DRA")</f>
        <v>0</v>
      </c>
      <c r="AQ44" s="43" t="e">
        <f ca="1">$D44-$BF44</f>
        <v>#REF!</v>
      </c>
      <c r="AR44" s="22">
        <f ca="1">+GETPIVOTDATA("XDB4",'dabac (2016)'!$A$3,"MA_HT","ONT","MA_QH","ODT")</f>
        <v>0</v>
      </c>
      <c r="AS44" s="22">
        <f ca="1">+GETPIVOTDATA("XDB4",'dabac (2016)'!$A$3,"MA_HT","ONT","MA_QH","TSC")</f>
        <v>0</v>
      </c>
      <c r="AT44" s="22">
        <f ca="1">+GETPIVOTDATA("XDB4",'dabac (2016)'!$A$3,"MA_HT","ONT","MA_QH","DTS")</f>
        <v>0</v>
      </c>
      <c r="AU44" s="22">
        <f ca="1">+GETPIVOTDATA("XDB4",'dabac (2016)'!$A$3,"MA_HT","ONT","MA_QH","DNG")</f>
        <v>0</v>
      </c>
      <c r="AV44" s="22">
        <f ca="1">+GETPIVOTDATA("XDB4",'dabac (2016)'!$A$3,"MA_HT","ONT","MA_QH","TON")</f>
        <v>0</v>
      </c>
      <c r="AW44" s="22">
        <f ca="1">+GETPIVOTDATA("XDB4",'dabac (2016)'!$A$3,"MA_HT","ONT","MA_QH","NTD")</f>
        <v>0</v>
      </c>
      <c r="AX44" s="22">
        <f ca="1">+GETPIVOTDATA("XDB4",'dabac (2016)'!$A$3,"MA_HT","ONT","MA_QH","SKX")</f>
        <v>0</v>
      </c>
      <c r="AY44" s="22">
        <f ca="1">+GETPIVOTDATA("XDB4",'dabac (2016)'!$A$3,"MA_HT","ONT","MA_QH","DSH")</f>
        <v>0</v>
      </c>
      <c r="AZ44" s="22">
        <f ca="1">+GETPIVOTDATA("XDB4",'dabac (2016)'!$A$3,"MA_HT","ONT","MA_QH","DKV")</f>
        <v>0</v>
      </c>
      <c r="BA44" s="89">
        <f ca="1">+GETPIVOTDATA("XDB4",'dabac (2016)'!$A$3,"MA_HT","ONT","MA_QH","TIN")</f>
        <v>0</v>
      </c>
      <c r="BB44" s="50">
        <f ca="1">+GETPIVOTDATA("XDB4",'dabac (2016)'!$A$3,"MA_HT","ONT","MA_QH","SON")</f>
        <v>0</v>
      </c>
      <c r="BC44" s="50">
        <f ca="1">+GETPIVOTDATA("XDB4",'dabac (2016)'!$A$3,"MA_HT","ONT","MA_QH","MNC")</f>
        <v>0</v>
      </c>
      <c r="BD44" s="22">
        <f ca="1">+GETPIVOTDATA("XDB4",'dabac (2016)'!$A$3,"MA_HT","ONT","MA_QH","PNK")</f>
        <v>0</v>
      </c>
      <c r="BE44" s="71">
        <f ca="1">+GETPIVOTDATA("XDB4",'dabac (2016)'!$A$3,"MA_HT","ONT","MA_QH","CSD")</f>
        <v>0</v>
      </c>
      <c r="BF44" s="74">
        <f ca="1" t="shared" si="13"/>
        <v>0</v>
      </c>
      <c r="BG44" s="101">
        <f ca="1">AQ$59-$BF44</f>
        <v>0</v>
      </c>
      <c r="BH44" s="41" t="e">
        <f ca="1" t="shared" si="14"/>
        <v>#REF!</v>
      </c>
      <c r="BI44" s="98"/>
      <c r="BJ44" s="107" t="e">
        <f>#REF!</f>
        <v>#REF!</v>
      </c>
      <c r="BK44" s="107" t="e">
        <f ca="1">BH44-BJ44</f>
        <v>#REF!</v>
      </c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</row>
    <row r="45" s="2" customFormat="1" ht="15.75" customHeight="1" spans="1:79">
      <c r="A45" s="61" t="s">
        <v>8408</v>
      </c>
      <c r="B45" s="62" t="s">
        <v>8409</v>
      </c>
      <c r="C45" s="63" t="s">
        <v>201</v>
      </c>
      <c r="D45" s="64" t="e">
        <f>+#REF!</f>
        <v>#REF!</v>
      </c>
      <c r="E45" s="65">
        <f ca="1" t="shared" si="15"/>
        <v>0</v>
      </c>
      <c r="F45" s="66">
        <f ca="1" t="shared" si="9"/>
        <v>0</v>
      </c>
      <c r="G45" s="67">
        <f ca="1">+GETPIVOTDATA("XDB4",'dabac (2016)'!$A$3,"MA_HT","ODT","MA_QH","LUC")</f>
        <v>0</v>
      </c>
      <c r="H45" s="67">
        <f ca="1">+GETPIVOTDATA("XDB4",'dabac (2016)'!$A$3,"MA_HT","ODT","MA_QH","LUK")</f>
        <v>0</v>
      </c>
      <c r="I45" s="67">
        <f ca="1">+GETPIVOTDATA("XDB4",'dabac (2016)'!$A$3,"MA_HT","ODT","MA_QH","LUN")</f>
        <v>0</v>
      </c>
      <c r="J45" s="67">
        <f ca="1">+GETPIVOTDATA("XDB4",'dabac (2016)'!$A$3,"MA_HT","ODT","MA_QH","HNK")</f>
        <v>0</v>
      </c>
      <c r="K45" s="67">
        <f ca="1">+GETPIVOTDATA("XDB4",'dabac (2016)'!$A$3,"MA_HT","ODT","MA_QH","CLN")</f>
        <v>0</v>
      </c>
      <c r="L45" s="67">
        <f ca="1">+GETPIVOTDATA("XDB4",'dabac (2016)'!$A$3,"MA_HT","ODT","MA_QH","RSX")</f>
        <v>0</v>
      </c>
      <c r="M45" s="67">
        <f ca="1">+GETPIVOTDATA("XDB4",'dabac (2016)'!$A$3,"MA_HT","ODT","MA_QH","RPH")</f>
        <v>0</v>
      </c>
      <c r="N45" s="67">
        <f ca="1">+GETPIVOTDATA("XDB4",'dabac (2016)'!$A$3,"MA_HT","ODT","MA_QH","RDD")</f>
        <v>0</v>
      </c>
      <c r="O45" s="67">
        <f ca="1">+GETPIVOTDATA("XDB4",'dabac (2016)'!$A$3,"MA_HT","ODT","MA_QH","NTS")</f>
        <v>0</v>
      </c>
      <c r="P45" s="67">
        <f ca="1">+GETPIVOTDATA("XDB4",'dabac (2016)'!$A$3,"MA_HT","ODT","MA_QH","LMU")</f>
        <v>0</v>
      </c>
      <c r="Q45" s="67">
        <f ca="1">+GETPIVOTDATA("XDB4",'dabac (2016)'!$A$3,"MA_HT","ODT","MA_QH","NKH")</f>
        <v>0</v>
      </c>
      <c r="R45" s="79">
        <f ca="1">SUM(S45:AA45,AN45:AQ45,AS45:BD45)</f>
        <v>0</v>
      </c>
      <c r="S45" s="67">
        <f ca="1">+GETPIVOTDATA("XDB4",'dabac (2016)'!$A$3,"MA_HT","ODT","MA_QH","CQP")</f>
        <v>0</v>
      </c>
      <c r="T45" s="67">
        <f ca="1">+GETPIVOTDATA("XDB4",'dabac (2016)'!$A$3,"MA_HT","ODT","MA_QH","CAN")</f>
        <v>0</v>
      </c>
      <c r="U45" s="67">
        <f ca="1">+GETPIVOTDATA("XDB4",'dabac (2016)'!$A$3,"MA_HT","ODT","MA_QH","SKK")</f>
        <v>0</v>
      </c>
      <c r="V45" s="67">
        <f ca="1">+GETPIVOTDATA("XDB4",'dabac (2016)'!$A$3,"MA_HT","ODT","MA_QH","SKT")</f>
        <v>0</v>
      </c>
      <c r="W45" s="67">
        <f ca="1">+GETPIVOTDATA("XDB4",'dabac (2016)'!$A$3,"MA_HT","ODT","MA_QH","SKN")</f>
        <v>0</v>
      </c>
      <c r="X45" s="67">
        <f ca="1">+GETPIVOTDATA("XDB4",'dabac (2016)'!$A$3,"MA_HT","ODT","MA_QH","TMD")</f>
        <v>0</v>
      </c>
      <c r="Y45" s="67">
        <f ca="1">+GETPIVOTDATA("XDB4",'dabac (2016)'!$A$3,"MA_HT","ODT","MA_QH","SKC")</f>
        <v>0</v>
      </c>
      <c r="Z45" s="67">
        <f ca="1">+GETPIVOTDATA("XDB4",'dabac (2016)'!$A$3,"MA_HT","ODT","MA_QH","SKS")</f>
        <v>0</v>
      </c>
      <c r="AA45" s="66">
        <f ca="1" t="shared" si="21"/>
        <v>0</v>
      </c>
      <c r="AB45" s="67">
        <f ca="1">+GETPIVOTDATA("XDB4",'dabac (2016)'!$A$3,"MA_HT","ODT","MA_QH","DGT")</f>
        <v>0</v>
      </c>
      <c r="AC45" s="67">
        <f ca="1">+GETPIVOTDATA("XDB4",'dabac (2016)'!$A$3,"MA_HT","ODT","MA_QH","DTL")</f>
        <v>0</v>
      </c>
      <c r="AD45" s="67">
        <f ca="1">+GETPIVOTDATA("XDB4",'dabac (2016)'!$A$3,"MA_HT","ODT","MA_QH","DNL")</f>
        <v>0</v>
      </c>
      <c r="AE45" s="67">
        <f ca="1">+GETPIVOTDATA("XDB4",'dabac (2016)'!$A$3,"MA_HT","ODT","MA_QH","DBV")</f>
        <v>0</v>
      </c>
      <c r="AF45" s="67">
        <f ca="1">+GETPIVOTDATA("XDB4",'dabac (2016)'!$A$3,"MA_HT","ODT","MA_QH","DVH")</f>
        <v>0</v>
      </c>
      <c r="AG45" s="67">
        <f ca="1">+GETPIVOTDATA("XDB4",'dabac (2016)'!$A$3,"MA_HT","ODT","MA_QH","DYT")</f>
        <v>0</v>
      </c>
      <c r="AH45" s="67">
        <f ca="1">+GETPIVOTDATA("XDB4",'dabac (2016)'!$A$3,"MA_HT","ODT","MA_QH","DGD")</f>
        <v>0</v>
      </c>
      <c r="AI45" s="67">
        <f ca="1">+GETPIVOTDATA("XDB4",'dabac (2016)'!$A$3,"MA_HT","ODT","MA_QH","DTT")</f>
        <v>0</v>
      </c>
      <c r="AJ45" s="67">
        <f ca="1">+GETPIVOTDATA("XDB4",'dabac (2016)'!$A$3,"MA_HT","ODT","MA_QH","NCK")</f>
        <v>0</v>
      </c>
      <c r="AK45" s="67">
        <f ca="1">+GETPIVOTDATA("XDB4",'dabac (2016)'!$A$3,"MA_HT","ODT","MA_QH","DXH")</f>
        <v>0</v>
      </c>
      <c r="AL45" s="67">
        <f ca="1">+GETPIVOTDATA("XDB4",'dabac (2016)'!$A$3,"MA_HT","ODT","MA_QH","DCH")</f>
        <v>0</v>
      </c>
      <c r="AM45" s="67">
        <f ca="1">+GETPIVOTDATA("XDB4",'dabac (2016)'!$A$3,"MA_HT","ODT","MA_QH","DKG")</f>
        <v>0</v>
      </c>
      <c r="AN45" s="67">
        <f ca="1">+GETPIVOTDATA("XDB4",'dabac (2016)'!$A$3,"MA_HT","ODT","MA_QH","DDT")</f>
        <v>0</v>
      </c>
      <c r="AO45" s="67">
        <f ca="1">+GETPIVOTDATA("XDB4",'dabac (2016)'!$A$3,"MA_HT","ODT","MA_QH","DDL")</f>
        <v>0</v>
      </c>
      <c r="AP45" s="67">
        <f ca="1">+GETPIVOTDATA("XDB4",'dabac (2016)'!$A$3,"MA_HT","ODT","MA_QH","DRA")</f>
        <v>0</v>
      </c>
      <c r="AQ45" s="67">
        <f ca="1">+GETPIVOTDATA("XDB4",'dabac (2016)'!$A$3,"MA_HT","ODT","MA_QH","ONT")</f>
        <v>0</v>
      </c>
      <c r="AR45" s="82" t="e">
        <f ca="1">$D45-$BF45</f>
        <v>#REF!</v>
      </c>
      <c r="AS45" s="67">
        <f ca="1">+GETPIVOTDATA("XDB4",'dabac (2016)'!$A$3,"MA_HT","ODT","MA_QH","TSC")</f>
        <v>0</v>
      </c>
      <c r="AT45" s="67">
        <f ca="1">+GETPIVOTDATA("XDB4",'dabac (2016)'!$A$3,"MA_HT","ODT","MA_QH","DTS")</f>
        <v>0</v>
      </c>
      <c r="AU45" s="67">
        <f ca="1">+GETPIVOTDATA("XDB4",'dabac (2016)'!$A$3,"MA_HT","ODT","MA_QH","DNG")</f>
        <v>0</v>
      </c>
      <c r="AV45" s="67">
        <f ca="1">+GETPIVOTDATA("XDB4",'dabac (2016)'!$A$3,"MA_HT","ODT","MA_QH","TON")</f>
        <v>0</v>
      </c>
      <c r="AW45" s="67">
        <f ca="1">+GETPIVOTDATA("XDB4",'dabac (2016)'!$A$3,"MA_HT","ODT","MA_QH","NTD")</f>
        <v>0</v>
      </c>
      <c r="AX45" s="67">
        <f ca="1">+GETPIVOTDATA("XDB4",'dabac (2016)'!$A$3,"MA_HT","ODT","MA_QH","SKX")</f>
        <v>0</v>
      </c>
      <c r="AY45" s="67">
        <f ca="1">+GETPIVOTDATA("XDB4",'dabac (2016)'!$A$3,"MA_HT","ODT","MA_QH","DSH")</f>
        <v>0</v>
      </c>
      <c r="AZ45" s="67">
        <f ca="1">+GETPIVOTDATA("XDB4",'dabac (2016)'!$A$3,"MA_HT","ODT","MA_QH","DKV")</f>
        <v>0</v>
      </c>
      <c r="BA45" s="92">
        <f ca="1">+GETPIVOTDATA("XDB4",'dabac (2016)'!$A$3,"MA_HT","ODT","MA_QH","TIN")</f>
        <v>0</v>
      </c>
      <c r="BB45" s="93">
        <f ca="1">+GETPIVOTDATA("XDB4",'dabac (2016)'!$A$3,"MA_HT","ODT","MA_QH","SON")</f>
        <v>0</v>
      </c>
      <c r="BC45" s="93">
        <f ca="1">+GETPIVOTDATA("XDB4",'dabac (2016)'!$A$3,"MA_HT","ODT","MA_QH","MNC")</f>
        <v>0</v>
      </c>
      <c r="BD45" s="67">
        <f ca="1">+GETPIVOTDATA("XDB4",'dabac (2016)'!$A$3,"MA_HT","ODT","MA_QH","PNK")</f>
        <v>0</v>
      </c>
      <c r="BE45" s="116">
        <f ca="1">+GETPIVOTDATA("XDB4",'dabac (2016)'!$A$3,"MA_HT","ODT","MA_QH","CSD")</f>
        <v>0</v>
      </c>
      <c r="BF45" s="117">
        <f ca="1" t="shared" si="13"/>
        <v>0</v>
      </c>
      <c r="BG45" s="118">
        <f ca="1">AR$59-$BF45</f>
        <v>0</v>
      </c>
      <c r="BH45" s="64" t="e">
        <f ca="1" t="shared" si="14"/>
        <v>#REF!</v>
      </c>
      <c r="BI45" s="98"/>
      <c r="BJ45" s="107" t="e">
        <f>#REF!</f>
        <v>#REF!</v>
      </c>
      <c r="BK45" s="107" t="e">
        <f ca="1">BH45-BJ45</f>
        <v>#REF!</v>
      </c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</row>
    <row r="46" s="6" customFormat="1" ht="15.75" customHeight="1" spans="1:79">
      <c r="A46" s="39" t="s">
        <v>8410</v>
      </c>
      <c r="B46" s="53" t="s">
        <v>8411</v>
      </c>
      <c r="C46" s="40" t="s">
        <v>336</v>
      </c>
      <c r="D46" s="41" t="e">
        <f>+#REF!</f>
        <v>#REF!</v>
      </c>
      <c r="E46" s="42">
        <f ca="1" t="shared" si="15"/>
        <v>0</v>
      </c>
      <c r="F46" s="52">
        <f ca="1" t="shared" si="9"/>
        <v>0</v>
      </c>
      <c r="G46" s="22">
        <f ca="1">+GETPIVOTDATA("XDB4",'dabac (2016)'!$A$3,"MA_HT","TSC","MA_QH","LUC")</f>
        <v>0</v>
      </c>
      <c r="H46" s="22">
        <f ca="1">+GETPIVOTDATA("XDB4",'dabac (2016)'!$A$3,"MA_HT","TSC","MA_QH","LUK")</f>
        <v>0</v>
      </c>
      <c r="I46" s="22">
        <f ca="1">+GETPIVOTDATA("XDB4",'dabac (2016)'!$A$3,"MA_HT","TSC","MA_QH","LUN")</f>
        <v>0</v>
      </c>
      <c r="J46" s="22">
        <f ca="1">+GETPIVOTDATA("XDB4",'dabac (2016)'!$A$3,"MA_HT","TSC","MA_QH","HNK")</f>
        <v>0</v>
      </c>
      <c r="K46" s="22">
        <f ca="1">+GETPIVOTDATA("XDB4",'dabac (2016)'!$A$3,"MA_HT","TSC","MA_QH","CLN")</f>
        <v>0</v>
      </c>
      <c r="L46" s="22">
        <f ca="1">+GETPIVOTDATA("XDB4",'dabac (2016)'!$A$3,"MA_HT","TSC","MA_QH","RSX")</f>
        <v>0</v>
      </c>
      <c r="M46" s="22">
        <f ca="1">+GETPIVOTDATA("XDB4",'dabac (2016)'!$A$3,"MA_HT","TSC","MA_QH","RPH")</f>
        <v>0</v>
      </c>
      <c r="N46" s="22">
        <f ca="1">+GETPIVOTDATA("XDB4",'dabac (2016)'!$A$3,"MA_HT","TSC","MA_QH","RDD")</f>
        <v>0</v>
      </c>
      <c r="O46" s="22">
        <f ca="1">+GETPIVOTDATA("XDB4",'dabac (2016)'!$A$3,"MA_HT","TSC","MA_QH","NTS")</f>
        <v>0</v>
      </c>
      <c r="P46" s="22">
        <f ca="1">+GETPIVOTDATA("XDB4",'dabac (2016)'!$A$3,"MA_HT","TSC","MA_QH","LMU")</f>
        <v>0</v>
      </c>
      <c r="Q46" s="22">
        <f ca="1">+GETPIVOTDATA("XDB4",'dabac (2016)'!$A$3,"MA_HT","TSC","MA_QH","NKH")</f>
        <v>0</v>
      </c>
      <c r="R46" s="48">
        <f ca="1">SUM(S46:AA46,AN46:AR46,AT46:BD46)</f>
        <v>0</v>
      </c>
      <c r="S46" s="22">
        <f ca="1">+GETPIVOTDATA("XDB4",'dabac (2016)'!$A$3,"MA_HT","TSC","MA_QH","CQP")</f>
        <v>0</v>
      </c>
      <c r="T46" s="22">
        <f ca="1">+GETPIVOTDATA("XDB4",'dabac (2016)'!$A$3,"MA_HT","TSC","MA_QH","CAN")</f>
        <v>0</v>
      </c>
      <c r="U46" s="22">
        <f ca="1">+GETPIVOTDATA("XDB4",'dabac (2016)'!$A$3,"MA_HT","TSC","MA_QH","SKK")</f>
        <v>0</v>
      </c>
      <c r="V46" s="22">
        <f ca="1">+GETPIVOTDATA("XDB4",'dabac (2016)'!$A$3,"MA_HT","TSC","MA_QH","SKT")</f>
        <v>0</v>
      </c>
      <c r="W46" s="22">
        <f ca="1">+GETPIVOTDATA("XDB4",'dabac (2016)'!$A$3,"MA_HT","TSC","MA_QH","SKN")</f>
        <v>0</v>
      </c>
      <c r="X46" s="22">
        <f ca="1">+GETPIVOTDATA("XDB4",'dabac (2016)'!$A$3,"MA_HT","TSC","MA_QH","TMD")</f>
        <v>0</v>
      </c>
      <c r="Y46" s="22">
        <f ca="1">+GETPIVOTDATA("XDB4",'dabac (2016)'!$A$3,"MA_HT","TSC","MA_QH","SKC")</f>
        <v>0</v>
      </c>
      <c r="Z46" s="22">
        <f ca="1">+GETPIVOTDATA("XDB4",'dabac (2016)'!$A$3,"MA_HT","TSC","MA_QH","SKS")</f>
        <v>0</v>
      </c>
      <c r="AA46" s="52">
        <f ca="1" t="shared" si="21"/>
        <v>0</v>
      </c>
      <c r="AB46" s="22">
        <f ca="1">+GETPIVOTDATA("XDB4",'dabac (2016)'!$A$3,"MA_HT","TSC","MA_QH","DGT")</f>
        <v>0</v>
      </c>
      <c r="AC46" s="22">
        <f ca="1">+GETPIVOTDATA("XDB4",'dabac (2016)'!$A$3,"MA_HT","TSC","MA_QH","DTL")</f>
        <v>0</v>
      </c>
      <c r="AD46" s="22">
        <f ca="1">+GETPIVOTDATA("XDB4",'dabac (2016)'!$A$3,"MA_HT","TSC","MA_QH","DNL")</f>
        <v>0</v>
      </c>
      <c r="AE46" s="22">
        <f ca="1">+GETPIVOTDATA("XDB4",'dabac (2016)'!$A$3,"MA_HT","TSC","MA_QH","DBV")</f>
        <v>0</v>
      </c>
      <c r="AF46" s="22">
        <f ca="1">+GETPIVOTDATA("XDB4",'dabac (2016)'!$A$3,"MA_HT","TSC","MA_QH","DVH")</f>
        <v>0</v>
      </c>
      <c r="AG46" s="22">
        <f ca="1">+GETPIVOTDATA("XDB4",'dabac (2016)'!$A$3,"MA_HT","TSC","MA_QH","DYT")</f>
        <v>0</v>
      </c>
      <c r="AH46" s="22">
        <f ca="1">+GETPIVOTDATA("XDB4",'dabac (2016)'!$A$3,"MA_HT","TSC","MA_QH","DGD")</f>
        <v>0</v>
      </c>
      <c r="AI46" s="22">
        <f ca="1">+GETPIVOTDATA("XDB4",'dabac (2016)'!$A$3,"MA_HT","TSC","MA_QH","DTT")</f>
        <v>0</v>
      </c>
      <c r="AJ46" s="22">
        <f ca="1">+GETPIVOTDATA("XDB4",'dabac (2016)'!$A$3,"MA_HT","TSC","MA_QH","NCK")</f>
        <v>0</v>
      </c>
      <c r="AK46" s="22">
        <f ca="1">+GETPIVOTDATA("XDB4",'dabac (2016)'!$A$3,"MA_HT","TSC","MA_QH","DXH")</f>
        <v>0</v>
      </c>
      <c r="AL46" s="22">
        <f ca="1">+GETPIVOTDATA("XDB4",'dabac (2016)'!$A$3,"MA_HT","TSC","MA_QH","DCH")</f>
        <v>0</v>
      </c>
      <c r="AM46" s="22">
        <f ca="1">+GETPIVOTDATA("XDB4",'dabac (2016)'!$A$3,"MA_HT","TSC","MA_QH","DKG")</f>
        <v>0</v>
      </c>
      <c r="AN46" s="22">
        <f ca="1">+GETPIVOTDATA("XDB4",'dabac (2016)'!$A$3,"MA_HT","TSC","MA_QH","DDT")</f>
        <v>0</v>
      </c>
      <c r="AO46" s="22">
        <f ca="1">+GETPIVOTDATA("XDB4",'dabac (2016)'!$A$3,"MA_HT","TSC","MA_QH","DDL")</f>
        <v>0</v>
      </c>
      <c r="AP46" s="22">
        <f ca="1">+GETPIVOTDATA("XDB4",'dabac (2016)'!$A$3,"MA_HT","TSC","MA_QH","DRA")</f>
        <v>0</v>
      </c>
      <c r="AQ46" s="22">
        <f ca="1">+GETPIVOTDATA("XDB4",'dabac (2016)'!$A$3,"MA_HT","TSC","MA_QH","ONT")</f>
        <v>0</v>
      </c>
      <c r="AR46" s="22">
        <f ca="1">+GETPIVOTDATA("XDB4",'dabac (2016)'!$A$3,"MA_HT","TSC","MA_QH","ODT")</f>
        <v>0</v>
      </c>
      <c r="AS46" s="43" t="e">
        <f ca="1">$D46-$BF46</f>
        <v>#REF!</v>
      </c>
      <c r="AT46" s="22">
        <f ca="1">+GETPIVOTDATA("XDB4",'dabac (2016)'!$A$3,"MA_HT","TSC","MA_QH","DTS")</f>
        <v>0</v>
      </c>
      <c r="AU46" s="22">
        <f ca="1">+GETPIVOTDATA("XDB4",'dabac (2016)'!$A$3,"MA_HT","TSC","MA_QH","DNG")</f>
        <v>0</v>
      </c>
      <c r="AV46" s="22">
        <f ca="1">+GETPIVOTDATA("XDB4",'dabac (2016)'!$A$3,"MA_HT","TSC","MA_QH","TON")</f>
        <v>0</v>
      </c>
      <c r="AW46" s="22">
        <f ca="1">+GETPIVOTDATA("XDB4",'dabac (2016)'!$A$3,"MA_HT","TSC","MA_QH","NTD")</f>
        <v>0</v>
      </c>
      <c r="AX46" s="22">
        <f ca="1">+GETPIVOTDATA("XDB4",'dabac (2016)'!$A$3,"MA_HT","TSC","MA_QH","SKX")</f>
        <v>0</v>
      </c>
      <c r="AY46" s="22">
        <f ca="1">+GETPIVOTDATA("XDB4",'dabac (2016)'!$A$3,"MA_HT","TSC","MA_QH","DSH")</f>
        <v>0</v>
      </c>
      <c r="AZ46" s="22">
        <f ca="1">+GETPIVOTDATA("XDB4",'dabac (2016)'!$A$3,"MA_HT","TSC","MA_QH","DKV")</f>
        <v>0</v>
      </c>
      <c r="BA46" s="89">
        <f ca="1">+GETPIVOTDATA("XDB4",'dabac (2016)'!$A$3,"MA_HT","TSC","MA_QH","TIN")</f>
        <v>0</v>
      </c>
      <c r="BB46" s="50">
        <f ca="1">+GETPIVOTDATA("XDB4",'dabac (2016)'!$A$3,"MA_HT","TSC","MA_QH","SON")</f>
        <v>0</v>
      </c>
      <c r="BC46" s="50">
        <f ca="1">+GETPIVOTDATA("XDB4",'dabac (2016)'!$A$3,"MA_HT","TSC","MA_QH","MNC")</f>
        <v>0</v>
      </c>
      <c r="BD46" s="22">
        <f ca="1">+GETPIVOTDATA("XDB4",'dabac (2016)'!$A$3,"MA_HT","TSC","MA_QH","PNK")</f>
        <v>0</v>
      </c>
      <c r="BE46" s="71">
        <f ca="1">+GETPIVOTDATA("XDB4",'dabac (2016)'!$A$3,"MA_HT","TSC","MA_QH","CSD")</f>
        <v>0</v>
      </c>
      <c r="BF46" s="74">
        <f ca="1" t="shared" si="13"/>
        <v>0</v>
      </c>
      <c r="BG46" s="101">
        <f ca="1">AS$59-$BF46</f>
        <v>0</v>
      </c>
      <c r="BH46" s="41" t="e">
        <f ca="1" t="shared" si="14"/>
        <v>#REF!</v>
      </c>
      <c r="BI46" s="114"/>
      <c r="BJ46" s="114" t="e">
        <f>#REF!</f>
        <v>#REF!</v>
      </c>
      <c r="BK46" s="115" t="e">
        <f ca="1">BH46-BJ46</f>
        <v>#REF!</v>
      </c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</row>
    <row r="47" s="2" customFormat="1" ht="15.75" customHeight="1" spans="1:79">
      <c r="A47" s="54" t="s">
        <v>8412</v>
      </c>
      <c r="B47" s="55" t="s">
        <v>8413</v>
      </c>
      <c r="C47" s="56" t="s">
        <v>8293</v>
      </c>
      <c r="D47" s="57" t="e">
        <f>+#REF!</f>
        <v>#REF!</v>
      </c>
      <c r="E47" s="58">
        <f ca="1" t="shared" si="15"/>
        <v>0</v>
      </c>
      <c r="F47" s="59">
        <f ca="1" t="shared" si="9"/>
        <v>0</v>
      </c>
      <c r="G47" s="60">
        <f ca="1">+GETPIVOTDATA("XDB4",'dabac (2016)'!$A$3,"MA_HT","DTS","MA_QH","LUC")</f>
        <v>0</v>
      </c>
      <c r="H47" s="60">
        <f ca="1">+GETPIVOTDATA("XDB4",'dabac (2016)'!$A$3,"MA_HT","DTS","MA_QH","LUK")</f>
        <v>0</v>
      </c>
      <c r="I47" s="60">
        <f ca="1">+GETPIVOTDATA("XDB4",'dabac (2016)'!$A$3,"MA_HT","DTS","MA_QH","LUN")</f>
        <v>0</v>
      </c>
      <c r="J47" s="60">
        <f ca="1">+GETPIVOTDATA("XDB4",'dabac (2016)'!$A$3,"MA_HT","DTS","MA_QH","HNK")</f>
        <v>0</v>
      </c>
      <c r="K47" s="60">
        <f ca="1">+GETPIVOTDATA("XDB4",'dabac (2016)'!$A$3,"MA_HT","DTS","MA_QH","CLN")</f>
        <v>0</v>
      </c>
      <c r="L47" s="60">
        <f ca="1">+GETPIVOTDATA("XDB4",'dabac (2016)'!$A$3,"MA_HT","DTS","MA_QH","RSX")</f>
        <v>0</v>
      </c>
      <c r="M47" s="60">
        <f ca="1">+GETPIVOTDATA("XDB4",'dabac (2016)'!$A$3,"MA_HT","DTS","MA_QH","RPH")</f>
        <v>0</v>
      </c>
      <c r="N47" s="60">
        <f ca="1">+GETPIVOTDATA("XDB4",'dabac (2016)'!$A$3,"MA_HT","DTS","MA_QH","RDD")</f>
        <v>0</v>
      </c>
      <c r="O47" s="60">
        <f ca="1">+GETPIVOTDATA("XDB4",'dabac (2016)'!$A$3,"MA_HT","DTS","MA_QH","NTS")</f>
        <v>0</v>
      </c>
      <c r="P47" s="60">
        <f ca="1">+GETPIVOTDATA("XDB4",'dabac (2016)'!$A$3,"MA_HT","DTS","MA_QH","LMU")</f>
        <v>0</v>
      </c>
      <c r="Q47" s="60">
        <f ca="1">+GETPIVOTDATA("XDB4",'dabac (2016)'!$A$3,"MA_HT","DTS","MA_QH","NKH")</f>
        <v>0</v>
      </c>
      <c r="R47" s="78">
        <f ca="1">SUM(S47:AA47,AN47:AS47,AU47:BD47)</f>
        <v>0</v>
      </c>
      <c r="S47" s="60">
        <f ca="1">+GETPIVOTDATA("XDB4",'dabac (2016)'!$A$3,"MA_HT","DTS","MA_QH","CQP")</f>
        <v>0</v>
      </c>
      <c r="T47" s="60">
        <f ca="1">+GETPIVOTDATA("XDB4",'dabac (2016)'!$A$3,"MA_HT","DTS","MA_QH","CAN")</f>
        <v>0</v>
      </c>
      <c r="U47" s="60">
        <f ca="1">+GETPIVOTDATA("XDB4",'dabac (2016)'!$A$3,"MA_HT","DTS","MA_QH","SKK")</f>
        <v>0</v>
      </c>
      <c r="V47" s="60">
        <f ca="1">+GETPIVOTDATA("XDB4",'dabac (2016)'!$A$3,"MA_HT","DTS","MA_QH","SKT")</f>
        <v>0</v>
      </c>
      <c r="W47" s="60">
        <f ca="1">+GETPIVOTDATA("XDB4",'dabac (2016)'!$A$3,"MA_HT","DTS","MA_QH","SKN")</f>
        <v>0</v>
      </c>
      <c r="X47" s="60">
        <f ca="1">+GETPIVOTDATA("XDB4",'dabac (2016)'!$A$3,"MA_HT","DTS","MA_QH","TMD")</f>
        <v>0</v>
      </c>
      <c r="Y47" s="60">
        <f ca="1">+GETPIVOTDATA("XDB4",'dabac (2016)'!$A$3,"MA_HT","DTS","MA_QH","SKC")</f>
        <v>0</v>
      </c>
      <c r="Z47" s="60">
        <f ca="1">+GETPIVOTDATA("XDB4",'dabac (2016)'!$A$3,"MA_HT","DTS","MA_QH","SKS")</f>
        <v>0</v>
      </c>
      <c r="AA47" s="59">
        <f ca="1" t="shared" si="21"/>
        <v>0</v>
      </c>
      <c r="AB47" s="60">
        <f ca="1">+GETPIVOTDATA("XDB4",'dabac (2016)'!$A$3,"MA_HT","DTS","MA_QH","DGT")</f>
        <v>0</v>
      </c>
      <c r="AC47" s="60">
        <f ca="1">+GETPIVOTDATA("XDB4",'dabac (2016)'!$A$3,"MA_HT","DTS","MA_QH","DTL")</f>
        <v>0</v>
      </c>
      <c r="AD47" s="60">
        <f ca="1">+GETPIVOTDATA("XDB4",'dabac (2016)'!$A$3,"MA_HT","DTS","MA_QH","DNL")</f>
        <v>0</v>
      </c>
      <c r="AE47" s="60">
        <f ca="1">+GETPIVOTDATA("XDB4",'dabac (2016)'!$A$3,"MA_HT","DTS","MA_QH","DBV")</f>
        <v>0</v>
      </c>
      <c r="AF47" s="60">
        <f ca="1">+GETPIVOTDATA("XDB4",'dabac (2016)'!$A$3,"MA_HT","DTS","MA_QH","DVH")</f>
        <v>0</v>
      </c>
      <c r="AG47" s="60">
        <f ca="1">+GETPIVOTDATA("XDB4",'dabac (2016)'!$A$3,"MA_HT","DTS","MA_QH","DYT")</f>
        <v>0</v>
      </c>
      <c r="AH47" s="60">
        <f ca="1">+GETPIVOTDATA("XDB4",'dabac (2016)'!$A$3,"MA_HT","DTS","MA_QH","DGD")</f>
        <v>0</v>
      </c>
      <c r="AI47" s="60">
        <f ca="1">+GETPIVOTDATA("XDB4",'dabac (2016)'!$A$3,"MA_HT","DTS","MA_QH","DTT")</f>
        <v>0</v>
      </c>
      <c r="AJ47" s="60">
        <f ca="1">+GETPIVOTDATA("XDB4",'dabac (2016)'!$A$3,"MA_HT","DTS","MA_QH","NCK")</f>
        <v>0</v>
      </c>
      <c r="AK47" s="60">
        <f ca="1">+GETPIVOTDATA("XDB4",'dabac (2016)'!$A$3,"MA_HT","DTS","MA_QH","DXH")</f>
        <v>0</v>
      </c>
      <c r="AL47" s="60">
        <f ca="1">+GETPIVOTDATA("XDB4",'dabac (2016)'!$A$3,"MA_HT","DTS","MA_QH","DCH")</f>
        <v>0</v>
      </c>
      <c r="AM47" s="60">
        <f ca="1">+GETPIVOTDATA("XDB4",'dabac (2016)'!$A$3,"MA_HT","DTS","MA_QH","DKG")</f>
        <v>0</v>
      </c>
      <c r="AN47" s="60">
        <f ca="1">+GETPIVOTDATA("XDB4",'dabac (2016)'!$A$3,"MA_HT","DTS","MA_QH","DDT")</f>
        <v>0</v>
      </c>
      <c r="AO47" s="60">
        <f ca="1">+GETPIVOTDATA("XDB4",'dabac (2016)'!$A$3,"MA_HT","DTS","MA_QH","DDL")</f>
        <v>0</v>
      </c>
      <c r="AP47" s="60">
        <f ca="1">+GETPIVOTDATA("XDB4",'dabac (2016)'!$A$3,"MA_HT","DTS","MA_QH","DRA")</f>
        <v>0</v>
      </c>
      <c r="AQ47" s="60">
        <f ca="1">+GETPIVOTDATA("XDB4",'dabac (2016)'!$A$3,"MA_HT","DTS","MA_QH","ONT")</f>
        <v>0</v>
      </c>
      <c r="AR47" s="60">
        <f ca="1">+GETPIVOTDATA("XDB4",'dabac (2016)'!$A$3,"MA_HT","DTS","MA_QH","ODT")</f>
        <v>0</v>
      </c>
      <c r="AS47" s="60">
        <f ca="1">+GETPIVOTDATA("XDB4",'dabac (2016)'!$A$3,"MA_HT","DTS","MA_QH","TSC")</f>
        <v>0</v>
      </c>
      <c r="AT47" s="81" t="e">
        <f ca="1">$D47-$BF47</f>
        <v>#REF!</v>
      </c>
      <c r="AU47" s="60">
        <f ca="1">+GETPIVOTDATA("XDB4",'dabac (2016)'!$A$3,"MA_HT","DTS","MA_QH","DNG")</f>
        <v>0</v>
      </c>
      <c r="AV47" s="60">
        <f ca="1">+GETPIVOTDATA("XDB4",'dabac (2016)'!$A$3,"MA_HT","DTS","MA_QH","TON")</f>
        <v>0</v>
      </c>
      <c r="AW47" s="60">
        <f ca="1">+GETPIVOTDATA("XDB4",'dabac (2016)'!$A$3,"MA_HT","DTS","MA_QH","NTD")</f>
        <v>0</v>
      </c>
      <c r="AX47" s="60">
        <f ca="1">+GETPIVOTDATA("XDB4",'dabac (2016)'!$A$3,"MA_HT","DTS","MA_QH","SKX")</f>
        <v>0</v>
      </c>
      <c r="AY47" s="60">
        <f ca="1">+GETPIVOTDATA("XDB4",'dabac (2016)'!$A$3,"MA_HT","DTS","MA_QH","DSH")</f>
        <v>0</v>
      </c>
      <c r="AZ47" s="60">
        <f ca="1">+GETPIVOTDATA("XDB4",'dabac (2016)'!$A$3,"MA_HT","DTS","MA_QH","DKV")</f>
        <v>0</v>
      </c>
      <c r="BA47" s="90">
        <f ca="1">+GETPIVOTDATA("XDB4",'dabac (2016)'!$A$3,"MA_HT","DTS","MA_QH","TIN")</f>
        <v>0</v>
      </c>
      <c r="BB47" s="91">
        <f ca="1">+GETPIVOTDATA("XDB4",'dabac (2016)'!$A$3,"MA_HT","DTS","MA_QH","SON")</f>
        <v>0</v>
      </c>
      <c r="BC47" s="91">
        <f ca="1">+GETPIVOTDATA("XDB4",'dabac (2016)'!$A$3,"MA_HT","DTS","MA_QH","MNC")</f>
        <v>0</v>
      </c>
      <c r="BD47" s="60">
        <f ca="1">+GETPIVOTDATA("XDB4",'dabac (2016)'!$A$3,"MA_HT","DTS","MA_QH","PNK")</f>
        <v>0</v>
      </c>
      <c r="BE47" s="111">
        <f ca="1">+GETPIVOTDATA("XDB4",'dabac (2016)'!$A$3,"MA_HT","DTS","MA_QH","CSD")</f>
        <v>0</v>
      </c>
      <c r="BF47" s="112">
        <f ca="1" t="shared" si="13"/>
        <v>0</v>
      </c>
      <c r="BG47" s="113">
        <f ca="1">AT$59-$BF47</f>
        <v>0</v>
      </c>
      <c r="BH47" s="57" t="e">
        <f ca="1" t="shared" si="14"/>
        <v>#REF!</v>
      </c>
      <c r="BI47" s="98"/>
      <c r="BJ47" s="98"/>
      <c r="BK47" s="107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</row>
    <row r="48" s="2" customFormat="1" ht="15.75" customHeight="1" spans="1:79">
      <c r="A48" s="39" t="s">
        <v>8414</v>
      </c>
      <c r="B48" s="53" t="s">
        <v>8415</v>
      </c>
      <c r="C48" s="40" t="s">
        <v>8290</v>
      </c>
      <c r="D48" s="41" t="e">
        <f>+#REF!</f>
        <v>#REF!</v>
      </c>
      <c r="E48" s="42">
        <f ca="1" t="shared" si="15"/>
        <v>0</v>
      </c>
      <c r="F48" s="52">
        <f ca="1" t="shared" si="9"/>
        <v>0</v>
      </c>
      <c r="G48" s="22">
        <f ca="1">+GETPIVOTDATA("XDB4",'dabac (2016)'!$A$3,"MA_HT","DNG","MA_QH","LUC")</f>
        <v>0</v>
      </c>
      <c r="H48" s="22">
        <f ca="1">+GETPIVOTDATA("XDB4",'dabac (2016)'!$A$3,"MA_HT","DNG","MA_QH","LUK")</f>
        <v>0</v>
      </c>
      <c r="I48" s="22">
        <f ca="1">+GETPIVOTDATA("XDB4",'dabac (2016)'!$A$3,"MA_HT","DNG","MA_QH","LUN")</f>
        <v>0</v>
      </c>
      <c r="J48" s="22">
        <f ca="1">+GETPIVOTDATA("XDB4",'dabac (2016)'!$A$3,"MA_HT","DNG","MA_QH","HNK")</f>
        <v>0</v>
      </c>
      <c r="K48" s="22">
        <f ca="1">+GETPIVOTDATA("XDB4",'dabac (2016)'!$A$3,"MA_HT","DNG","MA_QH","CLN")</f>
        <v>0</v>
      </c>
      <c r="L48" s="22">
        <f ca="1">+GETPIVOTDATA("XDB4",'dabac (2016)'!$A$3,"MA_HT","DNG","MA_QH","RSX")</f>
        <v>0</v>
      </c>
      <c r="M48" s="22">
        <f ca="1">+GETPIVOTDATA("XDB4",'dabac (2016)'!$A$3,"MA_HT","DNG","MA_QH","RPH")</f>
        <v>0</v>
      </c>
      <c r="N48" s="22">
        <f ca="1">+GETPIVOTDATA("XDB4",'dabac (2016)'!$A$3,"MA_HT","DNG","MA_QH","RDD")</f>
        <v>0</v>
      </c>
      <c r="O48" s="22">
        <f ca="1">+GETPIVOTDATA("XDB4",'dabac (2016)'!$A$3,"MA_HT","DNG","MA_QH","NTS")</f>
        <v>0</v>
      </c>
      <c r="P48" s="22">
        <f ca="1">+GETPIVOTDATA("XDB4",'dabac (2016)'!$A$3,"MA_HT","DNG","MA_QH","LMU")</f>
        <v>0</v>
      </c>
      <c r="Q48" s="22">
        <f ca="1">+GETPIVOTDATA("XDB4",'dabac (2016)'!$A$3,"MA_HT","DNG","MA_QH","NKH")</f>
        <v>0</v>
      </c>
      <c r="R48" s="79">
        <f ca="1">SUM(S48:AA48,AN48:AT48,AV48:BD48)</f>
        <v>0</v>
      </c>
      <c r="S48" s="22">
        <f ca="1">+GETPIVOTDATA("XDB4",'dabac (2016)'!$A$3,"MA_HT","DNG","MA_QH","CQP")</f>
        <v>0</v>
      </c>
      <c r="T48" s="22">
        <f ca="1">+GETPIVOTDATA("XDB4",'dabac (2016)'!$A$3,"MA_HT","DNG","MA_QH","CAN")</f>
        <v>0</v>
      </c>
      <c r="U48" s="22">
        <f ca="1">+GETPIVOTDATA("XDB4",'dabac (2016)'!$A$3,"MA_HT","DNG","MA_QH","SKK")</f>
        <v>0</v>
      </c>
      <c r="V48" s="22">
        <f ca="1">+GETPIVOTDATA("XDB4",'dabac (2016)'!$A$3,"MA_HT","DNG","MA_QH","SKT")</f>
        <v>0</v>
      </c>
      <c r="W48" s="22">
        <f ca="1">+GETPIVOTDATA("XDB4",'dabac (2016)'!$A$3,"MA_HT","DNG","MA_QH","SKN")</f>
        <v>0</v>
      </c>
      <c r="X48" s="22">
        <f ca="1">+GETPIVOTDATA("XDB4",'dabac (2016)'!$A$3,"MA_HT","DNG","MA_QH","TMD")</f>
        <v>0</v>
      </c>
      <c r="Y48" s="22">
        <f ca="1">+GETPIVOTDATA("XDB4",'dabac (2016)'!$A$3,"MA_HT","DNG","MA_QH","SKC")</f>
        <v>0</v>
      </c>
      <c r="Z48" s="22">
        <f ca="1">+GETPIVOTDATA("XDB4",'dabac (2016)'!$A$3,"MA_HT","DNG","MA_QH","SKS")</f>
        <v>0</v>
      </c>
      <c r="AA48" s="52">
        <f ca="1" t="shared" si="21"/>
        <v>0</v>
      </c>
      <c r="AB48" s="22">
        <f ca="1">+GETPIVOTDATA("XDB4",'dabac (2016)'!$A$3,"MA_HT","DNG","MA_QH","DGT")</f>
        <v>0</v>
      </c>
      <c r="AC48" s="22">
        <f ca="1">+GETPIVOTDATA("XDB4",'dabac (2016)'!$A$3,"MA_HT","DNG","MA_QH","DTL")</f>
        <v>0</v>
      </c>
      <c r="AD48" s="22">
        <f ca="1">+GETPIVOTDATA("XDB4",'dabac (2016)'!$A$3,"MA_HT","DNG","MA_QH","DNL")</f>
        <v>0</v>
      </c>
      <c r="AE48" s="22">
        <f ca="1">+GETPIVOTDATA("XDB4",'dabac (2016)'!$A$3,"MA_HT","DNG","MA_QH","DBV")</f>
        <v>0</v>
      </c>
      <c r="AF48" s="22">
        <f ca="1">+GETPIVOTDATA("XDB4",'dabac (2016)'!$A$3,"MA_HT","DNG","MA_QH","DVH")</f>
        <v>0</v>
      </c>
      <c r="AG48" s="22">
        <f ca="1">+GETPIVOTDATA("XDB4",'dabac (2016)'!$A$3,"MA_HT","DNG","MA_QH","DYT")</f>
        <v>0</v>
      </c>
      <c r="AH48" s="22">
        <f ca="1">+GETPIVOTDATA("XDB4",'dabac (2016)'!$A$3,"MA_HT","DNG","MA_QH","DGD")</f>
        <v>0</v>
      </c>
      <c r="AI48" s="22">
        <f ca="1">+GETPIVOTDATA("XDB4",'dabac (2016)'!$A$3,"MA_HT","DNG","MA_QH","DTT")</f>
        <v>0</v>
      </c>
      <c r="AJ48" s="22">
        <f ca="1">+GETPIVOTDATA("XDB4",'dabac (2016)'!$A$3,"MA_HT","DNG","MA_QH","NCK")</f>
        <v>0</v>
      </c>
      <c r="AK48" s="22">
        <f ca="1">+GETPIVOTDATA("XDB4",'dabac (2016)'!$A$3,"MA_HT","DNG","MA_QH","DXH")</f>
        <v>0</v>
      </c>
      <c r="AL48" s="22">
        <f ca="1">+GETPIVOTDATA("XDB4",'dabac (2016)'!$A$3,"MA_HT","DNG","MA_QH","DCH")</f>
        <v>0</v>
      </c>
      <c r="AM48" s="22">
        <f ca="1">+GETPIVOTDATA("XDB4",'dabac (2016)'!$A$3,"MA_HT","DNG","MA_QH","DKG")</f>
        <v>0</v>
      </c>
      <c r="AN48" s="22">
        <f ca="1">+GETPIVOTDATA("XDB4",'dabac (2016)'!$A$3,"MA_HT","DNG","MA_QH","DDT")</f>
        <v>0</v>
      </c>
      <c r="AO48" s="22">
        <f ca="1">+GETPIVOTDATA("XDB4",'dabac (2016)'!$A$3,"MA_HT","DNG","MA_QH","DDL")</f>
        <v>0</v>
      </c>
      <c r="AP48" s="22">
        <f ca="1">+GETPIVOTDATA("XDB4",'dabac (2016)'!$A$3,"MA_HT","DNG","MA_QH","DRA")</f>
        <v>0</v>
      </c>
      <c r="AQ48" s="22">
        <f ca="1">+GETPIVOTDATA("XDB4",'dabac (2016)'!$A$3,"MA_HT","DNG","MA_QH","ONT")</f>
        <v>0</v>
      </c>
      <c r="AR48" s="22">
        <f ca="1">+GETPIVOTDATA("XDB4",'dabac (2016)'!$A$3,"MA_HT","DNG","MA_QH","ODT")</f>
        <v>0</v>
      </c>
      <c r="AS48" s="22">
        <f ca="1">+GETPIVOTDATA("XDB4",'dabac (2016)'!$A$3,"MA_HT","DNG","MA_QH","TSC")</f>
        <v>0</v>
      </c>
      <c r="AT48" s="22">
        <f ca="1">+GETPIVOTDATA("XDB4",'dabac (2016)'!$A$3,"MA_HT","DNG","MA_QH","DTS")</f>
        <v>0</v>
      </c>
      <c r="AU48" s="43" t="e">
        <f ca="1">$D48-$BF48</f>
        <v>#REF!</v>
      </c>
      <c r="AV48" s="22">
        <f ca="1">+GETPIVOTDATA("XDB4",'dabac (2016)'!$A$3,"MA_HT","DNG","MA_QH","TON")</f>
        <v>0</v>
      </c>
      <c r="AW48" s="22">
        <f ca="1">+GETPIVOTDATA("XDB4",'dabac (2016)'!$A$3,"MA_HT","DNG","MA_QH","NTD")</f>
        <v>0</v>
      </c>
      <c r="AX48" s="22">
        <f ca="1">+GETPIVOTDATA("XDB4",'dabac (2016)'!$A$3,"MA_HT","DNG","MA_QH","SKX")</f>
        <v>0</v>
      </c>
      <c r="AY48" s="22">
        <f ca="1">+GETPIVOTDATA("XDB4",'dabac (2016)'!$A$3,"MA_HT","DNG","MA_QH","DSH")</f>
        <v>0</v>
      </c>
      <c r="AZ48" s="22">
        <f ca="1">+GETPIVOTDATA("XDB4",'dabac (2016)'!$A$3,"MA_HT","DNG","MA_QH","DKV")</f>
        <v>0</v>
      </c>
      <c r="BA48" s="89">
        <f ca="1">+GETPIVOTDATA("XDB4",'dabac (2016)'!$A$3,"MA_HT","DNG","MA_QH","TIN")</f>
        <v>0</v>
      </c>
      <c r="BB48" s="50">
        <f ca="1">+GETPIVOTDATA("XDB4",'dabac (2016)'!$A$3,"MA_HT","DNG","MA_QH","SON")</f>
        <v>0</v>
      </c>
      <c r="BC48" s="50">
        <f ca="1">+GETPIVOTDATA("XDB4",'dabac (2016)'!$A$3,"MA_HT","DNG","MA_QH","MNC")</f>
        <v>0</v>
      </c>
      <c r="BD48" s="22">
        <f ca="1">+GETPIVOTDATA("XDB4",'dabac (2016)'!$A$3,"MA_HT","DNG","MA_QH","PNK")</f>
        <v>0</v>
      </c>
      <c r="BE48" s="71">
        <f ca="1">+GETPIVOTDATA("XDB4",'dabac (2016)'!$A$3,"MA_HT","DNG","MA_QH","CSD")</f>
        <v>0</v>
      </c>
      <c r="BF48" s="74">
        <f ca="1" t="shared" si="13"/>
        <v>0</v>
      </c>
      <c r="BG48" s="101">
        <f ca="1">AU$59-$BF48</f>
        <v>0</v>
      </c>
      <c r="BH48" s="41" t="e">
        <f ca="1" t="shared" si="14"/>
        <v>#REF!</v>
      </c>
      <c r="BI48" s="98"/>
      <c r="BJ48" s="98" t="e">
        <f>#REF!</f>
        <v>#REF!</v>
      </c>
      <c r="BK48" s="107" t="e">
        <f ca="1">BH48-BJ48</f>
        <v>#REF!</v>
      </c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</row>
    <row r="49" s="2" customFormat="1" ht="15.75" customHeight="1" spans="1:79">
      <c r="A49" s="39" t="s">
        <v>8416</v>
      </c>
      <c r="B49" s="53" t="s">
        <v>8417</v>
      </c>
      <c r="C49" s="40" t="s">
        <v>324</v>
      </c>
      <c r="D49" s="41" t="e">
        <f>+#REF!</f>
        <v>#REF!</v>
      </c>
      <c r="E49" s="42">
        <f ca="1" t="shared" si="15"/>
        <v>0</v>
      </c>
      <c r="F49" s="52">
        <f ca="1" t="shared" si="9"/>
        <v>0</v>
      </c>
      <c r="G49" s="22">
        <f ca="1">+GETPIVOTDATA("XDB4",'dabac (2016)'!$A$3,"MA_HT","TON","MA_QH","LUC")</f>
        <v>0</v>
      </c>
      <c r="H49" s="22">
        <f ca="1">+GETPIVOTDATA("XDB4",'dabac (2016)'!$A$3,"MA_HT","TON","MA_QH","LUK")</f>
        <v>0</v>
      </c>
      <c r="I49" s="22">
        <f ca="1">+GETPIVOTDATA("XDB4",'dabac (2016)'!$A$3,"MA_HT","TON","MA_QH","LUN")</f>
        <v>0</v>
      </c>
      <c r="J49" s="22">
        <f ca="1">+GETPIVOTDATA("XDB4",'dabac (2016)'!$A$3,"MA_HT","TON","MA_QH","HNK")</f>
        <v>0</v>
      </c>
      <c r="K49" s="22">
        <f ca="1">+GETPIVOTDATA("XDB4",'dabac (2016)'!$A$3,"MA_HT","TON","MA_QH","CLN")</f>
        <v>0</v>
      </c>
      <c r="L49" s="22">
        <f ca="1">+GETPIVOTDATA("XDB4",'dabac (2016)'!$A$3,"MA_HT","TON","MA_QH","RSX")</f>
        <v>0</v>
      </c>
      <c r="M49" s="22">
        <f ca="1">+GETPIVOTDATA("XDB4",'dabac (2016)'!$A$3,"MA_HT","TON","MA_QH","RPH")</f>
        <v>0</v>
      </c>
      <c r="N49" s="22">
        <f ca="1">+GETPIVOTDATA("XDB4",'dabac (2016)'!$A$3,"MA_HT","TON","MA_QH","RDD")</f>
        <v>0</v>
      </c>
      <c r="O49" s="22">
        <f ca="1">+GETPIVOTDATA("XDB4",'dabac (2016)'!$A$3,"MA_HT","TON","MA_QH","NTS")</f>
        <v>0</v>
      </c>
      <c r="P49" s="22">
        <f ca="1">+GETPIVOTDATA("XDB4",'dabac (2016)'!$A$3,"MA_HT","TON","MA_QH","LMU")</f>
        <v>0</v>
      </c>
      <c r="Q49" s="22">
        <f ca="1">+GETPIVOTDATA("XDB4",'dabac (2016)'!$A$3,"MA_HT","TON","MA_QH","NKH")</f>
        <v>0</v>
      </c>
      <c r="R49" s="79">
        <f ca="1">SUM(S49:AA49,AN49:AU49,AW49:BD49)</f>
        <v>0</v>
      </c>
      <c r="S49" s="22">
        <f ca="1">+GETPIVOTDATA("XDB4",'dabac (2016)'!$A$3,"MA_HT","TON","MA_QH","CQP")</f>
        <v>0</v>
      </c>
      <c r="T49" s="22">
        <f ca="1">+GETPIVOTDATA("XDB4",'dabac (2016)'!$A$3,"MA_HT","TON","MA_QH","CAN")</f>
        <v>0</v>
      </c>
      <c r="U49" s="22">
        <f ca="1">+GETPIVOTDATA("XDB4",'dabac (2016)'!$A$3,"MA_HT","TON","MA_QH","SKK")</f>
        <v>0</v>
      </c>
      <c r="V49" s="22">
        <f ca="1">+GETPIVOTDATA("XDB4",'dabac (2016)'!$A$3,"MA_HT","TON","MA_QH","SKT")</f>
        <v>0</v>
      </c>
      <c r="W49" s="22">
        <f ca="1">+GETPIVOTDATA("XDB4",'dabac (2016)'!$A$3,"MA_HT","TON","MA_QH","SKN")</f>
        <v>0</v>
      </c>
      <c r="X49" s="22">
        <f ca="1">+GETPIVOTDATA("XDB4",'dabac (2016)'!$A$3,"MA_HT","TON","MA_QH","TMD")</f>
        <v>0</v>
      </c>
      <c r="Y49" s="22">
        <f ca="1">+GETPIVOTDATA("XDB4",'dabac (2016)'!$A$3,"MA_HT","TON","MA_QH","SKC")</f>
        <v>0</v>
      </c>
      <c r="Z49" s="22">
        <f ca="1">+GETPIVOTDATA("XDB4",'dabac (2016)'!$A$3,"MA_HT","TON","MA_QH","SKS")</f>
        <v>0</v>
      </c>
      <c r="AA49" s="52">
        <f ca="1" t="shared" si="21"/>
        <v>0</v>
      </c>
      <c r="AB49" s="22">
        <f ca="1">+GETPIVOTDATA("XDB4",'dabac (2016)'!$A$3,"MA_HT","TON","MA_QH","DGT")</f>
        <v>0</v>
      </c>
      <c r="AC49" s="22">
        <f ca="1">+GETPIVOTDATA("XDB4",'dabac (2016)'!$A$3,"MA_HT","TON","MA_QH","DTL")</f>
        <v>0</v>
      </c>
      <c r="AD49" s="22">
        <f ca="1">+GETPIVOTDATA("XDB4",'dabac (2016)'!$A$3,"MA_HT","TON","MA_QH","DNL")</f>
        <v>0</v>
      </c>
      <c r="AE49" s="22">
        <f ca="1">+GETPIVOTDATA("XDB4",'dabac (2016)'!$A$3,"MA_HT","TON","MA_QH","DBV")</f>
        <v>0</v>
      </c>
      <c r="AF49" s="22">
        <f ca="1">+GETPIVOTDATA("XDB4",'dabac (2016)'!$A$3,"MA_HT","TON","MA_QH","DVH")</f>
        <v>0</v>
      </c>
      <c r="AG49" s="22">
        <f ca="1">+GETPIVOTDATA("XDB4",'dabac (2016)'!$A$3,"MA_HT","TON","MA_QH","DYT")</f>
        <v>0</v>
      </c>
      <c r="AH49" s="22">
        <f ca="1">+GETPIVOTDATA("XDB4",'dabac (2016)'!$A$3,"MA_HT","TON","MA_QH","DGD")</f>
        <v>0</v>
      </c>
      <c r="AI49" s="22">
        <f ca="1">+GETPIVOTDATA("XDB4",'dabac (2016)'!$A$3,"MA_HT","TON","MA_QH","DTT")</f>
        <v>0</v>
      </c>
      <c r="AJ49" s="22">
        <f ca="1">+GETPIVOTDATA("XDB4",'dabac (2016)'!$A$3,"MA_HT","TON","MA_QH","NCK")</f>
        <v>0</v>
      </c>
      <c r="AK49" s="22">
        <f ca="1">+GETPIVOTDATA("XDB4",'dabac (2016)'!$A$3,"MA_HT","TON","MA_QH","DXH")</f>
        <v>0</v>
      </c>
      <c r="AL49" s="22">
        <f ca="1">+GETPIVOTDATA("XDB4",'dabac (2016)'!$A$3,"MA_HT","TON","MA_QH","DCH")</f>
        <v>0</v>
      </c>
      <c r="AM49" s="22">
        <f ca="1">+GETPIVOTDATA("XDB4",'dabac (2016)'!$A$3,"MA_HT","TON","MA_QH","DKG")</f>
        <v>0</v>
      </c>
      <c r="AN49" s="22">
        <f ca="1">+GETPIVOTDATA("XDB4",'dabac (2016)'!$A$3,"MA_HT","TON","MA_QH","DDT")</f>
        <v>0</v>
      </c>
      <c r="AO49" s="22">
        <f ca="1">+GETPIVOTDATA("XDB4",'dabac (2016)'!$A$3,"MA_HT","TON","MA_QH","DDL")</f>
        <v>0</v>
      </c>
      <c r="AP49" s="22">
        <f ca="1">+GETPIVOTDATA("XDB4",'dabac (2016)'!$A$3,"MA_HT","TON","MA_QH","DRA")</f>
        <v>0</v>
      </c>
      <c r="AQ49" s="22">
        <f ca="1">+GETPIVOTDATA("XDB4",'dabac (2016)'!$A$3,"MA_HT","TON","MA_QH","ONT")</f>
        <v>0</v>
      </c>
      <c r="AR49" s="22">
        <f ca="1">+GETPIVOTDATA("XDB4",'dabac (2016)'!$A$3,"MA_HT","TON","MA_QH","ODT")</f>
        <v>0</v>
      </c>
      <c r="AS49" s="22">
        <f ca="1">+GETPIVOTDATA("XDB4",'dabac (2016)'!$A$3,"MA_HT","TON","MA_QH","TSC")</f>
        <v>0</v>
      </c>
      <c r="AT49" s="22">
        <f ca="1">+GETPIVOTDATA("XDB4",'dabac (2016)'!$A$3,"MA_HT","TON","MA_QH","DTS")</f>
        <v>0</v>
      </c>
      <c r="AU49" s="22">
        <f ca="1">+GETPIVOTDATA("XDB4",'dabac (2016)'!$A$3,"MA_HT","TON","MA_QH","DNG")</f>
        <v>0</v>
      </c>
      <c r="AV49" s="43" t="e">
        <f ca="1">$D49-$BF49</f>
        <v>#REF!</v>
      </c>
      <c r="AW49" s="22">
        <f ca="1">+GETPIVOTDATA("XDB4",'dabac (2016)'!$A$3,"MA_HT","TON","MA_QH","NTD")</f>
        <v>0</v>
      </c>
      <c r="AX49" s="22">
        <f ca="1">+GETPIVOTDATA("XDB4",'dabac (2016)'!$A$3,"MA_HT","TON","MA_QH","SKX")</f>
        <v>0</v>
      </c>
      <c r="AY49" s="22">
        <f ca="1">+GETPIVOTDATA("XDB4",'dabac (2016)'!$A$3,"MA_HT","TON","MA_QH","DSH")</f>
        <v>0</v>
      </c>
      <c r="AZ49" s="22">
        <f ca="1">+GETPIVOTDATA("XDB4",'dabac (2016)'!$A$3,"MA_HT","TON","MA_QH","DKV")</f>
        <v>0</v>
      </c>
      <c r="BA49" s="89">
        <f ca="1">+GETPIVOTDATA("XDB4",'dabac (2016)'!$A$3,"MA_HT","TON","MA_QH","TIN")</f>
        <v>0</v>
      </c>
      <c r="BB49" s="50">
        <f ca="1">+GETPIVOTDATA("XDB4",'dabac (2016)'!$A$3,"MA_HT","TON","MA_QH","SON")</f>
        <v>0</v>
      </c>
      <c r="BC49" s="50">
        <f ca="1">+GETPIVOTDATA("XDB4",'dabac (2016)'!$A$3,"MA_HT","TON","MA_QH","MNC")</f>
        <v>0</v>
      </c>
      <c r="BD49" s="22">
        <f ca="1">+GETPIVOTDATA("XDB4",'dabac (2016)'!$A$3,"MA_HT","TON","MA_QH","PNK")</f>
        <v>0</v>
      </c>
      <c r="BE49" s="71">
        <f ca="1">+GETPIVOTDATA("XDB4",'dabac (2016)'!$A$3,"MA_HT","TON","MA_QH","CSD")</f>
        <v>0</v>
      </c>
      <c r="BF49" s="74">
        <f ca="1" t="shared" si="13"/>
        <v>0</v>
      </c>
      <c r="BG49" s="101">
        <f ca="1">AV$59-$BF49</f>
        <v>0</v>
      </c>
      <c r="BH49" s="41" t="e">
        <f ca="1" t="shared" si="14"/>
        <v>#REF!</v>
      </c>
      <c r="BI49" s="98"/>
      <c r="BJ49" s="98" t="e">
        <f>#REF!</f>
        <v>#REF!</v>
      </c>
      <c r="BK49" s="107" t="e">
        <f ca="1">BH49-BJ49</f>
        <v>#REF!</v>
      </c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</row>
    <row r="50" s="2" customFormat="1" ht="15.75" customHeight="1" spans="1:79">
      <c r="A50" s="39" t="s">
        <v>8418</v>
      </c>
      <c r="B50" s="53" t="s">
        <v>8419</v>
      </c>
      <c r="C50" s="40" t="s">
        <v>182</v>
      </c>
      <c r="D50" s="41" t="e">
        <f>+#REF!</f>
        <v>#REF!</v>
      </c>
      <c r="E50" s="42">
        <f ca="1" t="shared" si="15"/>
        <v>0</v>
      </c>
      <c r="F50" s="52">
        <f ca="1" t="shared" si="9"/>
        <v>0</v>
      </c>
      <c r="G50" s="22">
        <f ca="1">+GETPIVOTDATA("XDB4",'dabac (2016)'!$A$3,"MA_HT","NTD","MA_QH","LUC")</f>
        <v>0</v>
      </c>
      <c r="H50" s="22">
        <f ca="1">+GETPIVOTDATA("XDB4",'dabac (2016)'!$A$3,"MA_HT","NTD","MA_QH","LUK")</f>
        <v>0</v>
      </c>
      <c r="I50" s="22">
        <f ca="1">+GETPIVOTDATA("XDB4",'dabac (2016)'!$A$3,"MA_HT","NTD","MA_QH","LUN")</f>
        <v>0</v>
      </c>
      <c r="J50" s="22">
        <f ca="1">+GETPIVOTDATA("XDB4",'dabac (2016)'!$A$3,"MA_HT","NTD","MA_QH","HNK")</f>
        <v>0</v>
      </c>
      <c r="K50" s="22">
        <f ca="1">+GETPIVOTDATA("XDB4",'dabac (2016)'!$A$3,"MA_HT","NTD","MA_QH","CLN")</f>
        <v>0</v>
      </c>
      <c r="L50" s="22">
        <f ca="1">+GETPIVOTDATA("XDB4",'dabac (2016)'!$A$3,"MA_HT","NTD","MA_QH","RSX")</f>
        <v>0</v>
      </c>
      <c r="M50" s="22">
        <f ca="1">+GETPIVOTDATA("XDB4",'dabac (2016)'!$A$3,"MA_HT","NTD","MA_QH","RPH")</f>
        <v>0</v>
      </c>
      <c r="N50" s="22">
        <f ca="1">+GETPIVOTDATA("XDB4",'dabac (2016)'!$A$3,"MA_HT","NTD","MA_QH","RDD")</f>
        <v>0</v>
      </c>
      <c r="O50" s="22">
        <f ca="1">+GETPIVOTDATA("XDB4",'dabac (2016)'!$A$3,"MA_HT","NTD","MA_QH","NTS")</f>
        <v>0</v>
      </c>
      <c r="P50" s="22">
        <f ca="1">+GETPIVOTDATA("XDB4",'dabac (2016)'!$A$3,"MA_HT","NTD","MA_QH","LMU")</f>
        <v>0</v>
      </c>
      <c r="Q50" s="22">
        <f ca="1">+GETPIVOTDATA("XDB4",'dabac (2016)'!$A$3,"MA_HT","NTD","MA_QH","NKH")</f>
        <v>0</v>
      </c>
      <c r="R50" s="79">
        <f ca="1">SUM(S50:AA50,AN50:AV50,AX50:BD50)</f>
        <v>0</v>
      </c>
      <c r="S50" s="22">
        <f ca="1">+GETPIVOTDATA("XDB4",'dabac (2016)'!$A$3,"MA_HT","NTD","MA_QH","CQP")</f>
        <v>0</v>
      </c>
      <c r="T50" s="22">
        <f ca="1">+GETPIVOTDATA("XDB4",'dabac (2016)'!$A$3,"MA_HT","NTD","MA_QH","CAN")</f>
        <v>0</v>
      </c>
      <c r="U50" s="22">
        <f ca="1">+GETPIVOTDATA("XDB4",'dabac (2016)'!$A$3,"MA_HT","NTD","MA_QH","SKK")</f>
        <v>0</v>
      </c>
      <c r="V50" s="22">
        <f ca="1">+GETPIVOTDATA("XDB4",'dabac (2016)'!$A$3,"MA_HT","NTD","MA_QH","SKT")</f>
        <v>0</v>
      </c>
      <c r="W50" s="22">
        <f ca="1">+GETPIVOTDATA("XDB4",'dabac (2016)'!$A$3,"MA_HT","NTD","MA_QH","SKN")</f>
        <v>0</v>
      </c>
      <c r="X50" s="22">
        <f ca="1">+GETPIVOTDATA("XDB4",'dabac (2016)'!$A$3,"MA_HT","NTD","MA_QH","TMD")</f>
        <v>0</v>
      </c>
      <c r="Y50" s="22">
        <f ca="1">+GETPIVOTDATA("XDB4",'dabac (2016)'!$A$3,"MA_HT","NTD","MA_QH","SKC")</f>
        <v>0</v>
      </c>
      <c r="Z50" s="22">
        <f ca="1">+GETPIVOTDATA("XDB4",'dabac (2016)'!$A$3,"MA_HT","NTD","MA_QH","SKS")</f>
        <v>0</v>
      </c>
      <c r="AA50" s="52">
        <f ca="1" t="shared" si="21"/>
        <v>0</v>
      </c>
      <c r="AB50" s="22">
        <f ca="1">+GETPIVOTDATA("XDB4",'dabac (2016)'!$A$3,"MA_HT","NTD","MA_QH","DGT")</f>
        <v>0</v>
      </c>
      <c r="AC50" s="22">
        <f ca="1">+GETPIVOTDATA("XDB4",'dabac (2016)'!$A$3,"MA_HT","NTD","MA_QH","DTL")</f>
        <v>0</v>
      </c>
      <c r="AD50" s="22">
        <f ca="1">+GETPIVOTDATA("XDB4",'dabac (2016)'!$A$3,"MA_HT","NTD","MA_QH","DNL")</f>
        <v>0</v>
      </c>
      <c r="AE50" s="22">
        <f ca="1">+GETPIVOTDATA("XDB4",'dabac (2016)'!$A$3,"MA_HT","NTD","MA_QH","DBV")</f>
        <v>0</v>
      </c>
      <c r="AF50" s="22">
        <f ca="1">+GETPIVOTDATA("XDB4",'dabac (2016)'!$A$3,"MA_HT","NTD","MA_QH","DVH")</f>
        <v>0</v>
      </c>
      <c r="AG50" s="22">
        <f ca="1">+GETPIVOTDATA("XDB4",'dabac (2016)'!$A$3,"MA_HT","NTD","MA_QH","DYT")</f>
        <v>0</v>
      </c>
      <c r="AH50" s="22">
        <f ca="1">+GETPIVOTDATA("XDB4",'dabac (2016)'!$A$3,"MA_HT","NTD","MA_QH","DGD")</f>
        <v>0</v>
      </c>
      <c r="AI50" s="22">
        <f ca="1">+GETPIVOTDATA("XDB4",'dabac (2016)'!$A$3,"MA_HT","NTD","MA_QH","DTT")</f>
        <v>0</v>
      </c>
      <c r="AJ50" s="22">
        <f ca="1">+GETPIVOTDATA("XDB4",'dabac (2016)'!$A$3,"MA_HT","NTD","MA_QH","NCK")</f>
        <v>0</v>
      </c>
      <c r="AK50" s="22">
        <f ca="1">+GETPIVOTDATA("XDB4",'dabac (2016)'!$A$3,"MA_HT","NTD","MA_QH","DXH")</f>
        <v>0</v>
      </c>
      <c r="AL50" s="22">
        <f ca="1">+GETPIVOTDATA("XDB4",'dabac (2016)'!$A$3,"MA_HT","NTD","MA_QH","DCH")</f>
        <v>0</v>
      </c>
      <c r="AM50" s="22">
        <f ca="1">+GETPIVOTDATA("XDB4",'dabac (2016)'!$A$3,"MA_HT","NTD","MA_QH","DKG")</f>
        <v>0</v>
      </c>
      <c r="AN50" s="22">
        <f ca="1">+GETPIVOTDATA("XDB4",'dabac (2016)'!$A$3,"MA_HT","NTD","MA_QH","DDT")</f>
        <v>0</v>
      </c>
      <c r="AO50" s="22">
        <f ca="1">+GETPIVOTDATA("XDB4",'dabac (2016)'!$A$3,"MA_HT","NTD","MA_QH","DDL")</f>
        <v>0</v>
      </c>
      <c r="AP50" s="22">
        <f ca="1">+GETPIVOTDATA("XDB4",'dabac (2016)'!$A$3,"MA_HT","NTD","MA_QH","DRA")</f>
        <v>0</v>
      </c>
      <c r="AQ50" s="22">
        <f ca="1">+GETPIVOTDATA("XDB4",'dabac (2016)'!$A$3,"MA_HT","NTD","MA_QH","ONT")</f>
        <v>0</v>
      </c>
      <c r="AR50" s="22">
        <f ca="1">+GETPIVOTDATA("XDB4",'dabac (2016)'!$A$3,"MA_HT","NTD","MA_QH","ODT")</f>
        <v>0</v>
      </c>
      <c r="AS50" s="22">
        <f ca="1">+GETPIVOTDATA("XDB4",'dabac (2016)'!$A$3,"MA_HT","NTD","MA_QH","TSC")</f>
        <v>0</v>
      </c>
      <c r="AT50" s="22">
        <f ca="1">+GETPIVOTDATA("XDB4",'dabac (2016)'!$A$3,"MA_HT","NTD","MA_QH","DTS")</f>
        <v>0</v>
      </c>
      <c r="AU50" s="22">
        <f ca="1">+GETPIVOTDATA("XDB4",'dabac (2016)'!$A$3,"MA_HT","NTD","MA_QH","DNG")</f>
        <v>0</v>
      </c>
      <c r="AV50" s="22">
        <f ca="1">+GETPIVOTDATA("XDB4",'dabac (2016)'!$A$3,"MA_HT","NTD","MA_QH","TON")</f>
        <v>0</v>
      </c>
      <c r="AW50" s="43" t="e">
        <f ca="1">$D50-$BF50</f>
        <v>#REF!</v>
      </c>
      <c r="AX50" s="22">
        <f ca="1">+GETPIVOTDATA("XDB4",'dabac (2016)'!$A$3,"MA_HT","NTD","MA_QH","SKX")</f>
        <v>0</v>
      </c>
      <c r="AY50" s="22">
        <f ca="1">+GETPIVOTDATA("XDB4",'dabac (2016)'!$A$3,"MA_HT","NTD","MA_QH","DSH")</f>
        <v>0</v>
      </c>
      <c r="AZ50" s="22">
        <f ca="1">+GETPIVOTDATA("XDB4",'dabac (2016)'!$A$3,"MA_HT","NTD","MA_QH","DKV")</f>
        <v>0</v>
      </c>
      <c r="BA50" s="89">
        <f ca="1">+GETPIVOTDATA("XDB4",'dabac (2016)'!$A$3,"MA_HT","NTD","MA_QH","TIN")</f>
        <v>0</v>
      </c>
      <c r="BB50" s="50">
        <f ca="1">+GETPIVOTDATA("XDB4",'dabac (2016)'!$A$3,"MA_HT","NTD","MA_QH","SON")</f>
        <v>0</v>
      </c>
      <c r="BC50" s="50">
        <f ca="1">+GETPIVOTDATA("XDB4",'dabac (2016)'!$A$3,"MA_HT","NTD","MA_QH","MNC")</f>
        <v>0</v>
      </c>
      <c r="BD50" s="22">
        <f ca="1">+GETPIVOTDATA("XDB4",'dabac (2016)'!$A$3,"MA_HT","NTD","MA_QH","PNK")</f>
        <v>0</v>
      </c>
      <c r="BE50" s="71">
        <f ca="1">+GETPIVOTDATA("XDB4",'dabac (2016)'!$A$3,"MA_HT","NTD","MA_QH","CSD")</f>
        <v>0</v>
      </c>
      <c r="BF50" s="74">
        <f ca="1" t="shared" si="13"/>
        <v>0</v>
      </c>
      <c r="BG50" s="101">
        <f ca="1">AW$59-$BF50</f>
        <v>0</v>
      </c>
      <c r="BH50" s="41" t="e">
        <f ca="1" t="shared" si="14"/>
        <v>#REF!</v>
      </c>
      <c r="BI50" s="98"/>
      <c r="BJ50" s="98"/>
      <c r="BK50" s="107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</row>
    <row r="51" s="2" customFormat="1" ht="15.75" customHeight="1" spans="1:79">
      <c r="A51" s="39" t="s">
        <v>8420</v>
      </c>
      <c r="B51" s="39" t="s">
        <v>8421</v>
      </c>
      <c r="C51" s="40" t="s">
        <v>236</v>
      </c>
      <c r="D51" s="41" t="e">
        <f>+#REF!</f>
        <v>#REF!</v>
      </c>
      <c r="E51" s="42">
        <f ca="1" t="shared" si="15"/>
        <v>0</v>
      </c>
      <c r="F51" s="52">
        <f ca="1" t="shared" si="9"/>
        <v>0</v>
      </c>
      <c r="G51" s="22">
        <f ca="1">+GETPIVOTDATA("XDB4",'dabac (2016)'!$A$3,"MA_HT","SKX","MA_QH","LUC")</f>
        <v>0</v>
      </c>
      <c r="H51" s="22">
        <f ca="1">+GETPIVOTDATA("XDB4",'dabac (2016)'!$A$3,"MA_HT","SKX","MA_QH","LUK")</f>
        <v>0</v>
      </c>
      <c r="I51" s="22">
        <f ca="1">+GETPIVOTDATA("XDB4",'dabac (2016)'!$A$3,"MA_HT","SKX","MA_QH","LUN")</f>
        <v>0</v>
      </c>
      <c r="J51" s="22">
        <f ca="1">+GETPIVOTDATA("XDB4",'dabac (2016)'!$A$3,"MA_HT","SKX","MA_QH","HNK")</f>
        <v>0</v>
      </c>
      <c r="K51" s="22">
        <f ca="1">+GETPIVOTDATA("XDB4",'dabac (2016)'!$A$3,"MA_HT","SKX","MA_QH","CLN")</f>
        <v>0</v>
      </c>
      <c r="L51" s="22">
        <f ca="1">+GETPIVOTDATA("XDB4",'dabac (2016)'!$A$3,"MA_HT","SKX","MA_QH","RSX")</f>
        <v>0</v>
      </c>
      <c r="M51" s="22">
        <f ca="1">+GETPIVOTDATA("XDB4",'dabac (2016)'!$A$3,"MA_HT","SKX","MA_QH","RPH")</f>
        <v>0</v>
      </c>
      <c r="N51" s="22">
        <f ca="1">+GETPIVOTDATA("XDB4",'dabac (2016)'!$A$3,"MA_HT","SKX","MA_QH","RDD")</f>
        <v>0</v>
      </c>
      <c r="O51" s="22">
        <f ca="1">+GETPIVOTDATA("XDB4",'dabac (2016)'!$A$3,"MA_HT","SKX","MA_QH","NTS")</f>
        <v>0</v>
      </c>
      <c r="P51" s="22">
        <f ca="1">+GETPIVOTDATA("XDB4",'dabac (2016)'!$A$3,"MA_HT","SKX","MA_QH","LMU")</f>
        <v>0</v>
      </c>
      <c r="Q51" s="22">
        <f ca="1">+GETPIVOTDATA("XDB4",'dabac (2016)'!$A$3,"MA_HT","SKX","MA_QH","NKH")</f>
        <v>0</v>
      </c>
      <c r="R51" s="79">
        <f ca="1">SUM(S51:AA51,AN51:AW51,AY51:BD51)</f>
        <v>0</v>
      </c>
      <c r="S51" s="22">
        <f ca="1">+GETPIVOTDATA("XDB4",'dabac (2016)'!$A$3,"MA_HT","SKX","MA_QH","CQP")</f>
        <v>0</v>
      </c>
      <c r="T51" s="22">
        <f ca="1">+GETPIVOTDATA("XDB4",'dabac (2016)'!$A$3,"MA_HT","SKX","MA_QH","CAN")</f>
        <v>0</v>
      </c>
      <c r="U51" s="22">
        <f ca="1">+GETPIVOTDATA("XDB4",'dabac (2016)'!$A$3,"MA_HT","SKX","MA_QH","SKK")</f>
        <v>0</v>
      </c>
      <c r="V51" s="22">
        <f ca="1">+GETPIVOTDATA("XDB4",'dabac (2016)'!$A$3,"MA_HT","SKX","MA_QH","SKT")</f>
        <v>0</v>
      </c>
      <c r="W51" s="22">
        <f ca="1">+GETPIVOTDATA("XDB4",'dabac (2016)'!$A$3,"MA_HT","SKX","MA_QH","SKN")</f>
        <v>0</v>
      </c>
      <c r="X51" s="22">
        <f ca="1">+GETPIVOTDATA("XDB4",'dabac (2016)'!$A$3,"MA_HT","SKX","MA_QH","TMD")</f>
        <v>0</v>
      </c>
      <c r="Y51" s="22">
        <f ca="1">+GETPIVOTDATA("XDB4",'dabac (2016)'!$A$3,"MA_HT","SKX","MA_QH","SKC")</f>
        <v>0</v>
      </c>
      <c r="Z51" s="22">
        <f ca="1">+GETPIVOTDATA("XDB4",'dabac (2016)'!$A$3,"MA_HT","SKX","MA_QH","SKS")</f>
        <v>0</v>
      </c>
      <c r="AA51" s="52">
        <f ca="1" t="shared" si="21"/>
        <v>0</v>
      </c>
      <c r="AB51" s="22">
        <f ca="1">+GETPIVOTDATA("XDB4",'dabac (2016)'!$A$3,"MA_HT","SKX","MA_QH","DGT")</f>
        <v>0</v>
      </c>
      <c r="AC51" s="22">
        <f ca="1">+GETPIVOTDATA("XDB4",'dabac (2016)'!$A$3,"MA_HT","SKX","MA_QH","DTL")</f>
        <v>0</v>
      </c>
      <c r="AD51" s="22">
        <f ca="1">+GETPIVOTDATA("XDB4",'dabac (2016)'!$A$3,"MA_HT","SKX","MA_QH","DNL")</f>
        <v>0</v>
      </c>
      <c r="AE51" s="22">
        <f ca="1">+GETPIVOTDATA("XDB4",'dabac (2016)'!$A$3,"MA_HT","SKX","MA_QH","DBV")</f>
        <v>0</v>
      </c>
      <c r="AF51" s="22">
        <f ca="1">+GETPIVOTDATA("XDB4",'dabac (2016)'!$A$3,"MA_HT","SKX","MA_QH","DVH")</f>
        <v>0</v>
      </c>
      <c r="AG51" s="22">
        <f ca="1">+GETPIVOTDATA("XDB4",'dabac (2016)'!$A$3,"MA_HT","SKX","MA_QH","DYT")</f>
        <v>0</v>
      </c>
      <c r="AH51" s="22">
        <f ca="1">+GETPIVOTDATA("XDB4",'dabac (2016)'!$A$3,"MA_HT","SKX","MA_QH","DGD")</f>
        <v>0</v>
      </c>
      <c r="AI51" s="22">
        <f ca="1">+GETPIVOTDATA("XDB4",'dabac (2016)'!$A$3,"MA_HT","SKX","MA_QH","DTT")</f>
        <v>0</v>
      </c>
      <c r="AJ51" s="22">
        <f ca="1">+GETPIVOTDATA("XDB4",'dabac (2016)'!$A$3,"MA_HT","SKX","MA_QH","NCK")</f>
        <v>0</v>
      </c>
      <c r="AK51" s="22">
        <f ca="1">+GETPIVOTDATA("XDB4",'dabac (2016)'!$A$3,"MA_HT","SKX","MA_QH","DXH")</f>
        <v>0</v>
      </c>
      <c r="AL51" s="22">
        <f ca="1">+GETPIVOTDATA("XDB4",'dabac (2016)'!$A$3,"MA_HT","SKX","MA_QH","DCH")</f>
        <v>0</v>
      </c>
      <c r="AM51" s="22">
        <f ca="1">+GETPIVOTDATA("XDB4",'dabac (2016)'!$A$3,"MA_HT","SKX","MA_QH","DKG")</f>
        <v>0</v>
      </c>
      <c r="AN51" s="22">
        <f ca="1">+GETPIVOTDATA("XDB4",'dabac (2016)'!$A$3,"MA_HT","SKX","MA_QH","DDT")</f>
        <v>0</v>
      </c>
      <c r="AO51" s="22">
        <f ca="1">+GETPIVOTDATA("XDB4",'dabac (2016)'!$A$3,"MA_HT","SKX","MA_QH","DDL")</f>
        <v>0</v>
      </c>
      <c r="AP51" s="22">
        <f ca="1">+GETPIVOTDATA("XDB4",'dabac (2016)'!$A$3,"MA_HT","SKX","MA_QH","DRA")</f>
        <v>0</v>
      </c>
      <c r="AQ51" s="22">
        <f ca="1">+GETPIVOTDATA("XDB4",'dabac (2016)'!$A$3,"MA_HT","SKX","MA_QH","ONT")</f>
        <v>0</v>
      </c>
      <c r="AR51" s="22">
        <f ca="1">+GETPIVOTDATA("XDB4",'dabac (2016)'!$A$3,"MA_HT","SKX","MA_QH","ODT")</f>
        <v>0</v>
      </c>
      <c r="AS51" s="22">
        <f ca="1">+GETPIVOTDATA("XDB4",'dabac (2016)'!$A$3,"MA_HT","SKX","MA_QH","TSC")</f>
        <v>0</v>
      </c>
      <c r="AT51" s="22">
        <f ca="1">+GETPIVOTDATA("XDB4",'dabac (2016)'!$A$3,"MA_HT","SKX","MA_QH","DTS")</f>
        <v>0</v>
      </c>
      <c r="AU51" s="22">
        <f ca="1">+GETPIVOTDATA("XDB4",'dabac (2016)'!$A$3,"MA_HT","SKX","MA_QH","DNG")</f>
        <v>0</v>
      </c>
      <c r="AV51" s="22">
        <f ca="1">+GETPIVOTDATA("XDB4",'dabac (2016)'!$A$3,"MA_HT","SKX","MA_QH","TON")</f>
        <v>0</v>
      </c>
      <c r="AW51" s="22">
        <f ca="1">+GETPIVOTDATA("XDB4",'dabac (2016)'!$A$3,"MA_HT","SKX","MA_QH","NTD")</f>
        <v>0</v>
      </c>
      <c r="AX51" s="43" t="e">
        <f ca="1">$D51-$BF51</f>
        <v>#REF!</v>
      </c>
      <c r="AY51" s="22">
        <f ca="1">+GETPIVOTDATA("XDB4",'dabac (2016)'!$A$3,"MA_HT","SKX","MA_QH","DSH")</f>
        <v>0</v>
      </c>
      <c r="AZ51" s="22">
        <f ca="1">+GETPIVOTDATA("XDB4",'dabac (2016)'!$A$3,"MA_HT","SKX","MA_QH","DKV")</f>
        <v>0</v>
      </c>
      <c r="BA51" s="89">
        <f ca="1">+GETPIVOTDATA("XDB4",'dabac (2016)'!$A$3,"MA_HT","SKX","MA_QH","TIN")</f>
        <v>0</v>
      </c>
      <c r="BB51" s="50">
        <f ca="1">+GETPIVOTDATA("XDB4",'dabac (2016)'!$A$3,"MA_HT","SKX","MA_QH","SON")</f>
        <v>0</v>
      </c>
      <c r="BC51" s="50">
        <f ca="1">+GETPIVOTDATA("XDB4",'dabac (2016)'!$A$3,"MA_HT","SKX","MA_QH","MNC")</f>
        <v>0</v>
      </c>
      <c r="BD51" s="22">
        <f ca="1">+GETPIVOTDATA("XDB4",'dabac (2016)'!$A$3,"MA_HT","SKX","MA_QH","PNK")</f>
        <v>0</v>
      </c>
      <c r="BE51" s="71">
        <f ca="1">+GETPIVOTDATA("XDB4",'dabac (2016)'!$A$3,"MA_HT","SKX","MA_QH","CSD")</f>
        <v>0</v>
      </c>
      <c r="BF51" s="74">
        <f ca="1" t="shared" si="13"/>
        <v>0</v>
      </c>
      <c r="BG51" s="101">
        <f ca="1">AX$59-$BF51</f>
        <v>0</v>
      </c>
      <c r="BH51" s="41" t="e">
        <f ca="1" t="shared" si="14"/>
        <v>#REF!</v>
      </c>
      <c r="BI51" s="98"/>
      <c r="BJ51" s="98" t="e">
        <f>#REF!</f>
        <v>#REF!</v>
      </c>
      <c r="BK51" s="107" t="e">
        <f ca="1">BH51-BJ51</f>
        <v>#REF!</v>
      </c>
      <c r="BL51" s="98"/>
      <c r="BM51" s="122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</row>
    <row r="52" s="2" customFormat="1" ht="15.75" customHeight="1" spans="1:79">
      <c r="A52" s="39" t="s">
        <v>8422</v>
      </c>
      <c r="B52" s="39" t="s">
        <v>8423</v>
      </c>
      <c r="C52" s="40" t="s">
        <v>8292</v>
      </c>
      <c r="D52" s="41" t="e">
        <f>+#REF!</f>
        <v>#REF!</v>
      </c>
      <c r="E52" s="42">
        <f ca="1" t="shared" si="15"/>
        <v>0</v>
      </c>
      <c r="F52" s="52">
        <f ca="1" t="shared" si="9"/>
        <v>0</v>
      </c>
      <c r="G52" s="22">
        <f ca="1">+GETPIVOTDATA("XDB4",'dabac (2016)'!$A$3,"MA_HT","DSH","MA_QH","LUC")</f>
        <v>0</v>
      </c>
      <c r="H52" s="22">
        <f ca="1">+GETPIVOTDATA("XDB4",'dabac (2016)'!$A$3,"MA_HT","DSH","MA_QH","LUK")</f>
        <v>0</v>
      </c>
      <c r="I52" s="22">
        <f ca="1">+GETPIVOTDATA("XDB4",'dabac (2016)'!$A$3,"MA_HT","DSH","MA_QH","LUN")</f>
        <v>0</v>
      </c>
      <c r="J52" s="22">
        <f ca="1">+GETPIVOTDATA("XDB4",'dabac (2016)'!$A$3,"MA_HT","DSH","MA_QH","HNK")</f>
        <v>0</v>
      </c>
      <c r="K52" s="22">
        <f ca="1">+GETPIVOTDATA("XDB4",'dabac (2016)'!$A$3,"MA_HT","DSH","MA_QH","CLN")</f>
        <v>0</v>
      </c>
      <c r="L52" s="22">
        <f ca="1">+GETPIVOTDATA("XDB4",'dabac (2016)'!$A$3,"MA_HT","DSH","MA_QH","RSX")</f>
        <v>0</v>
      </c>
      <c r="M52" s="22">
        <f ca="1">+GETPIVOTDATA("XDB4",'dabac (2016)'!$A$3,"MA_HT","DSH","MA_QH","RPH")</f>
        <v>0</v>
      </c>
      <c r="N52" s="22">
        <f ca="1">+GETPIVOTDATA("XDB4",'dabac (2016)'!$A$3,"MA_HT","DSH","MA_QH","RDD")</f>
        <v>0</v>
      </c>
      <c r="O52" s="22">
        <f ca="1">+GETPIVOTDATA("XDB4",'dabac (2016)'!$A$3,"MA_HT","DSH","MA_QH","NTS")</f>
        <v>0</v>
      </c>
      <c r="P52" s="22">
        <f ca="1">+GETPIVOTDATA("XDB4",'dabac (2016)'!$A$3,"MA_HT","DSH","MA_QH","LMU")</f>
        <v>0</v>
      </c>
      <c r="Q52" s="22">
        <f ca="1">+GETPIVOTDATA("XDB4",'dabac (2016)'!$A$3,"MA_HT","DSH","MA_QH","NKH")</f>
        <v>0</v>
      </c>
      <c r="R52" s="79">
        <f ca="1">SUM(S52:AA52,AN52:AX52,AZ52:BD52)</f>
        <v>0</v>
      </c>
      <c r="S52" s="22">
        <f ca="1">+GETPIVOTDATA("XDB4",'dabac (2016)'!$A$3,"MA_HT","DSH","MA_QH","CQP")</f>
        <v>0</v>
      </c>
      <c r="T52" s="22">
        <f ca="1">+GETPIVOTDATA("XDB4",'dabac (2016)'!$A$3,"MA_HT","DSH","MA_QH","CAN")</f>
        <v>0</v>
      </c>
      <c r="U52" s="22">
        <f ca="1">+GETPIVOTDATA("XDB4",'dabac (2016)'!$A$3,"MA_HT","DSH","MA_QH","SKK")</f>
        <v>0</v>
      </c>
      <c r="V52" s="22">
        <f ca="1">+GETPIVOTDATA("XDB4",'dabac (2016)'!$A$3,"MA_HT","DSH","MA_QH","SKT")</f>
        <v>0</v>
      </c>
      <c r="W52" s="22">
        <f ca="1">+GETPIVOTDATA("XDB4",'dabac (2016)'!$A$3,"MA_HT","DSH","MA_QH","SKN")</f>
        <v>0</v>
      </c>
      <c r="X52" s="22">
        <f ca="1">+GETPIVOTDATA("XDB4",'dabac (2016)'!$A$3,"MA_HT","DSH","MA_QH","TMD")</f>
        <v>0</v>
      </c>
      <c r="Y52" s="22">
        <f ca="1">+GETPIVOTDATA("XDB4",'dabac (2016)'!$A$3,"MA_HT","DSH","MA_QH","SKC")</f>
        <v>0</v>
      </c>
      <c r="Z52" s="22">
        <f ca="1">+GETPIVOTDATA("XDB4",'dabac (2016)'!$A$3,"MA_HT","DSH","MA_QH","SKS")</f>
        <v>0</v>
      </c>
      <c r="AA52" s="52">
        <f ca="1" t="shared" si="21"/>
        <v>0</v>
      </c>
      <c r="AB52" s="22">
        <f ca="1">+GETPIVOTDATA("XDB4",'dabac (2016)'!$A$3,"MA_HT","DSH","MA_QH","DGT")</f>
        <v>0</v>
      </c>
      <c r="AC52" s="22">
        <f ca="1">+GETPIVOTDATA("XDB4",'dabac (2016)'!$A$3,"MA_HT","DSH","MA_QH","DTL")</f>
        <v>0</v>
      </c>
      <c r="AD52" s="22">
        <f ca="1">+GETPIVOTDATA("XDB4",'dabac (2016)'!$A$3,"MA_HT","DSH","MA_QH","DNL")</f>
        <v>0</v>
      </c>
      <c r="AE52" s="22">
        <f ca="1">+GETPIVOTDATA("XDB4",'dabac (2016)'!$A$3,"MA_HT","DSH","MA_QH","DBV")</f>
        <v>0</v>
      </c>
      <c r="AF52" s="22">
        <f ca="1">+GETPIVOTDATA("XDB4",'dabac (2016)'!$A$3,"MA_HT","DSH","MA_QH","DVH")</f>
        <v>0</v>
      </c>
      <c r="AG52" s="22">
        <f ca="1">+GETPIVOTDATA("XDB4",'dabac (2016)'!$A$3,"MA_HT","DSH","MA_QH","DYT")</f>
        <v>0</v>
      </c>
      <c r="AH52" s="22">
        <f ca="1">+GETPIVOTDATA("XDB4",'dabac (2016)'!$A$3,"MA_HT","DSH","MA_QH","DGD")</f>
        <v>0</v>
      </c>
      <c r="AI52" s="22">
        <f ca="1">+GETPIVOTDATA("XDB4",'dabac (2016)'!$A$3,"MA_HT","DSH","MA_QH","DTT")</f>
        <v>0</v>
      </c>
      <c r="AJ52" s="22">
        <f ca="1">+GETPIVOTDATA("XDB4",'dabac (2016)'!$A$3,"MA_HT","DSH","MA_QH","NCK")</f>
        <v>0</v>
      </c>
      <c r="AK52" s="22">
        <f ca="1">+GETPIVOTDATA("XDB4",'dabac (2016)'!$A$3,"MA_HT","DSH","MA_QH","DXH")</f>
        <v>0</v>
      </c>
      <c r="AL52" s="22">
        <f ca="1">+GETPIVOTDATA("XDB4",'dabac (2016)'!$A$3,"MA_HT","DSH","MA_QH","DCH")</f>
        <v>0</v>
      </c>
      <c r="AM52" s="22">
        <f ca="1">+GETPIVOTDATA("XDB4",'dabac (2016)'!$A$3,"MA_HT","DSH","MA_QH","DKG")</f>
        <v>0</v>
      </c>
      <c r="AN52" s="22">
        <f ca="1">+GETPIVOTDATA("XDB4",'dabac (2016)'!$A$3,"MA_HT","DSH","MA_QH","DDT")</f>
        <v>0</v>
      </c>
      <c r="AO52" s="22">
        <f ca="1">+GETPIVOTDATA("XDB4",'dabac (2016)'!$A$3,"MA_HT","DSH","MA_QH","DDL")</f>
        <v>0</v>
      </c>
      <c r="AP52" s="22">
        <f ca="1">+GETPIVOTDATA("XDB4",'dabac (2016)'!$A$3,"MA_HT","DSH","MA_QH","DRA")</f>
        <v>0</v>
      </c>
      <c r="AQ52" s="22">
        <f ca="1">+GETPIVOTDATA("XDB4",'dabac (2016)'!$A$3,"MA_HT","DSH","MA_QH","ONT")</f>
        <v>0</v>
      </c>
      <c r="AR52" s="22">
        <f ca="1">+GETPIVOTDATA("XDB4",'dabac (2016)'!$A$3,"MA_HT","DSH","MA_QH","ODT")</f>
        <v>0</v>
      </c>
      <c r="AS52" s="22">
        <f ca="1">+GETPIVOTDATA("XDB4",'dabac (2016)'!$A$3,"MA_HT","DSH","MA_QH","TSC")</f>
        <v>0</v>
      </c>
      <c r="AT52" s="22">
        <f ca="1">+GETPIVOTDATA("XDB4",'dabac (2016)'!$A$3,"MA_HT","DSH","MA_QH","DTS")</f>
        <v>0</v>
      </c>
      <c r="AU52" s="22">
        <f ca="1">+GETPIVOTDATA("XDB4",'dabac (2016)'!$A$3,"MA_HT","DSH","MA_QH","DNG")</f>
        <v>0</v>
      </c>
      <c r="AV52" s="22">
        <f ca="1">+GETPIVOTDATA("XDB4",'dabac (2016)'!$A$3,"MA_HT","DSH","MA_QH","TON")</f>
        <v>0</v>
      </c>
      <c r="AW52" s="22">
        <f ca="1">+GETPIVOTDATA("XDB4",'dabac (2016)'!$A$3,"MA_HT","DSH","MA_QH","NTD")</f>
        <v>0</v>
      </c>
      <c r="AX52" s="22">
        <f ca="1">+GETPIVOTDATA("XDB4",'dabac (2016)'!$A$3,"MA_HT","DSH","MA_QH","SKX")</f>
        <v>0</v>
      </c>
      <c r="AY52" s="43" t="e">
        <f ca="1">$D52-$BF52</f>
        <v>#REF!</v>
      </c>
      <c r="AZ52" s="22">
        <f ca="1">+GETPIVOTDATA("XDB4",'dabac (2016)'!$A$3,"MA_HT","DSH","MA_QH","DKV")</f>
        <v>0</v>
      </c>
      <c r="BA52" s="89">
        <f ca="1">+GETPIVOTDATA("XDB4",'dabac (2016)'!$A$3,"MA_HT","DSH","MA_QH","TIN")</f>
        <v>0</v>
      </c>
      <c r="BB52" s="50">
        <f ca="1">+GETPIVOTDATA("XDB4",'dabac (2016)'!$A$3,"MA_HT","DSH","MA_QH","SON")</f>
        <v>0</v>
      </c>
      <c r="BC52" s="50">
        <f ca="1">+GETPIVOTDATA("XDB4",'dabac (2016)'!$A$3,"MA_HT","DSH","MA_QH","MNC")</f>
        <v>0</v>
      </c>
      <c r="BD52" s="22">
        <f ca="1">+GETPIVOTDATA("XDB4",'dabac (2016)'!$A$3,"MA_HT","DSH","MA_QH","PNK")</f>
        <v>0</v>
      </c>
      <c r="BE52" s="71">
        <f ca="1">+GETPIVOTDATA("XDB4",'dabac (2016)'!$A$3,"MA_HT","DSH","MA_QH","CSD")</f>
        <v>0</v>
      </c>
      <c r="BF52" s="74">
        <f ca="1" t="shared" si="13"/>
        <v>0</v>
      </c>
      <c r="BG52" s="101">
        <f ca="1">AY$59-$BF52</f>
        <v>0</v>
      </c>
      <c r="BH52" s="41" t="e">
        <f ca="1" t="shared" si="14"/>
        <v>#REF!</v>
      </c>
      <c r="BI52" s="98"/>
      <c r="BJ52" s="98" t="e">
        <f>#REF!</f>
        <v>#REF!</v>
      </c>
      <c r="BK52" s="107" t="e">
        <f ca="1">BH52-BJ52</f>
        <v>#REF!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</row>
    <row r="53" s="2" customFormat="1" ht="15.75" customHeight="1" spans="1:79">
      <c r="A53" s="39" t="s">
        <v>8424</v>
      </c>
      <c r="B53" s="39" t="s">
        <v>8425</v>
      </c>
      <c r="C53" s="40" t="s">
        <v>8289</v>
      </c>
      <c r="D53" s="41" t="e">
        <f>+#REF!</f>
        <v>#REF!</v>
      </c>
      <c r="E53" s="42">
        <f ca="1" t="shared" si="15"/>
        <v>0</v>
      </c>
      <c r="F53" s="52">
        <f ca="1" t="shared" si="9"/>
        <v>0</v>
      </c>
      <c r="G53" s="22">
        <f ca="1">+GETPIVOTDATA("XDB4",'dabac (2016)'!$A$3,"MA_HT","DKV","MA_QH","LUC")</f>
        <v>0</v>
      </c>
      <c r="H53" s="22">
        <f ca="1">+GETPIVOTDATA("XDB4",'dabac (2016)'!$A$3,"MA_HT","DKV","MA_QH","LUK")</f>
        <v>0</v>
      </c>
      <c r="I53" s="22">
        <f ca="1">+GETPIVOTDATA("XDB4",'dabac (2016)'!$A$3,"MA_HT","DKV","MA_QH","LUN")</f>
        <v>0</v>
      </c>
      <c r="J53" s="22">
        <f ca="1">+GETPIVOTDATA("XDB4",'dabac (2016)'!$A$3,"MA_HT","DKV","MA_QH","HNK")</f>
        <v>0</v>
      </c>
      <c r="K53" s="22">
        <f ca="1">+GETPIVOTDATA("XDB4",'dabac (2016)'!$A$3,"MA_HT","DKV","MA_QH","CLN")</f>
        <v>0</v>
      </c>
      <c r="L53" s="22">
        <f ca="1">+GETPIVOTDATA("XDB4",'dabac (2016)'!$A$3,"MA_HT","DKV","MA_QH","RSX")</f>
        <v>0</v>
      </c>
      <c r="M53" s="22">
        <f ca="1">+GETPIVOTDATA("XDB4",'dabac (2016)'!$A$3,"MA_HT","DKV","MA_QH","RPH")</f>
        <v>0</v>
      </c>
      <c r="N53" s="22">
        <f ca="1">+GETPIVOTDATA("XDB4",'dabac (2016)'!$A$3,"MA_HT","DKV","MA_QH","RDD")</f>
        <v>0</v>
      </c>
      <c r="O53" s="22">
        <f ca="1">+GETPIVOTDATA("XDB4",'dabac (2016)'!$A$3,"MA_HT","DKV","MA_QH","NTS")</f>
        <v>0</v>
      </c>
      <c r="P53" s="22">
        <f ca="1">+GETPIVOTDATA("XDB4",'dabac (2016)'!$A$3,"MA_HT","DKV","MA_QH","LMU")</f>
        <v>0</v>
      </c>
      <c r="Q53" s="22">
        <f ca="1">+GETPIVOTDATA("XDB4",'dabac (2016)'!$A$3,"MA_HT","DKV","MA_QH","NKH")</f>
        <v>0</v>
      </c>
      <c r="R53" s="79">
        <f ca="1">SUM(S53:AA53,AN53:AY53,BB53:BD53)</f>
        <v>0</v>
      </c>
      <c r="S53" s="22">
        <f ca="1">+GETPIVOTDATA("XDB4",'dabac (2016)'!$A$3,"MA_HT","DKV","MA_QH","CQP")</f>
        <v>0</v>
      </c>
      <c r="T53" s="22">
        <f ca="1">+GETPIVOTDATA("XDB4",'dabac (2016)'!$A$3,"MA_HT","DKV","MA_QH","CAN")</f>
        <v>0</v>
      </c>
      <c r="U53" s="22">
        <f ca="1">+GETPIVOTDATA("XDB4",'dabac (2016)'!$A$3,"MA_HT","DKV","MA_QH","SKK")</f>
        <v>0</v>
      </c>
      <c r="V53" s="22">
        <f ca="1">+GETPIVOTDATA("XDB4",'dabac (2016)'!$A$3,"MA_HT","DKV","MA_QH","SKT")</f>
        <v>0</v>
      </c>
      <c r="W53" s="22">
        <f ca="1">+GETPIVOTDATA("XDB4",'dabac (2016)'!$A$3,"MA_HT","DKV","MA_QH","SKN")</f>
        <v>0</v>
      </c>
      <c r="X53" s="22">
        <f ca="1">+GETPIVOTDATA("XDB4",'dabac (2016)'!$A$3,"MA_HT","DKV","MA_QH","TMD")</f>
        <v>0</v>
      </c>
      <c r="Y53" s="22">
        <f ca="1">+GETPIVOTDATA("XDB4",'dabac (2016)'!$A$3,"MA_HT","DKV","MA_QH","SKC")</f>
        <v>0</v>
      </c>
      <c r="Z53" s="22">
        <f ca="1">+GETPIVOTDATA("XDB4",'dabac (2016)'!$A$3,"MA_HT","DKV","MA_QH","SKS")</f>
        <v>0</v>
      </c>
      <c r="AA53" s="52">
        <f ca="1" t="shared" si="21"/>
        <v>0</v>
      </c>
      <c r="AB53" s="22">
        <f ca="1">+GETPIVOTDATA("XDB4",'dabac (2016)'!$A$3,"MA_HT","DKV","MA_QH","DGT")</f>
        <v>0</v>
      </c>
      <c r="AC53" s="22">
        <f ca="1">+GETPIVOTDATA("XDB4",'dabac (2016)'!$A$3,"MA_HT","DKV","MA_QH","DTL")</f>
        <v>0</v>
      </c>
      <c r="AD53" s="22">
        <f ca="1">+GETPIVOTDATA("XDB4",'dabac (2016)'!$A$3,"MA_HT","DKV","MA_QH","DNL")</f>
        <v>0</v>
      </c>
      <c r="AE53" s="22">
        <f ca="1">+GETPIVOTDATA("XDB4",'dabac (2016)'!$A$3,"MA_HT","DKV","MA_QH","DBV")</f>
        <v>0</v>
      </c>
      <c r="AF53" s="22">
        <f ca="1">+GETPIVOTDATA("XDB4",'dabac (2016)'!$A$3,"MA_HT","DKV","MA_QH","DVH")</f>
        <v>0</v>
      </c>
      <c r="AG53" s="22">
        <f ca="1">+GETPIVOTDATA("XDB4",'dabac (2016)'!$A$3,"MA_HT","DKV","MA_QH","DYT")</f>
        <v>0</v>
      </c>
      <c r="AH53" s="22">
        <f ca="1">+GETPIVOTDATA("XDB4",'dabac (2016)'!$A$3,"MA_HT","DKV","MA_QH","DGD")</f>
        <v>0</v>
      </c>
      <c r="AI53" s="22">
        <f ca="1">+GETPIVOTDATA("XDB4",'dabac (2016)'!$A$3,"MA_HT","DKV","MA_QH","DTT")</f>
        <v>0</v>
      </c>
      <c r="AJ53" s="22">
        <f ca="1">+GETPIVOTDATA("XDB4",'dabac (2016)'!$A$3,"MA_HT","DKV","MA_QH","NCK")</f>
        <v>0</v>
      </c>
      <c r="AK53" s="22">
        <f ca="1">+GETPIVOTDATA("XDB4",'dabac (2016)'!$A$3,"MA_HT","DKV","MA_QH","DXH")</f>
        <v>0</v>
      </c>
      <c r="AL53" s="22">
        <f ca="1">+GETPIVOTDATA("XDB4",'dabac (2016)'!$A$3,"MA_HT","DKV","MA_QH","DCH")</f>
        <v>0</v>
      </c>
      <c r="AM53" s="22">
        <f ca="1">+GETPIVOTDATA("XDB4",'dabac (2016)'!$A$3,"MA_HT","DKV","MA_QH","DKG")</f>
        <v>0</v>
      </c>
      <c r="AN53" s="22">
        <f ca="1">+GETPIVOTDATA("XDB4",'dabac (2016)'!$A$3,"MA_HT","DKV","MA_QH","DDT")</f>
        <v>0</v>
      </c>
      <c r="AO53" s="22">
        <f ca="1">+GETPIVOTDATA("XDB4",'dabac (2016)'!$A$3,"MA_HT","DKV","MA_QH","DDL")</f>
        <v>0</v>
      </c>
      <c r="AP53" s="22">
        <f ca="1">+GETPIVOTDATA("XDB4",'dabac (2016)'!$A$3,"MA_HT","DKV","MA_QH","DRA")</f>
        <v>0</v>
      </c>
      <c r="AQ53" s="22">
        <f ca="1">+GETPIVOTDATA("XDB4",'dabac (2016)'!$A$3,"MA_HT","DKV","MA_QH","ONT")</f>
        <v>0</v>
      </c>
      <c r="AR53" s="22">
        <f ca="1">+GETPIVOTDATA("XDB4",'dabac (2016)'!$A$3,"MA_HT","DKV","MA_QH","ODT")</f>
        <v>0</v>
      </c>
      <c r="AS53" s="22">
        <f ca="1">+GETPIVOTDATA("XDB4",'dabac (2016)'!$A$3,"MA_HT","DKV","MA_QH","TSC")</f>
        <v>0</v>
      </c>
      <c r="AT53" s="22">
        <f ca="1">+GETPIVOTDATA("XDB4",'dabac (2016)'!$A$3,"MA_HT","DKV","MA_QH","DTS")</f>
        <v>0</v>
      </c>
      <c r="AU53" s="22">
        <f ca="1">+GETPIVOTDATA("XDB4",'dabac (2016)'!$A$3,"MA_HT","DKV","MA_QH","DNG")</f>
        <v>0</v>
      </c>
      <c r="AV53" s="22">
        <f ca="1">+GETPIVOTDATA("XDB4",'dabac (2016)'!$A$3,"MA_HT","DKV","MA_QH","TON")</f>
        <v>0</v>
      </c>
      <c r="AW53" s="22">
        <f ca="1">+GETPIVOTDATA("XDB4",'dabac (2016)'!$A$3,"MA_HT","DKV","MA_QH","NTD")</f>
        <v>0</v>
      </c>
      <c r="AX53" s="22">
        <f ca="1">+GETPIVOTDATA("XDB4",'dabac (2016)'!$A$3,"MA_HT","DKV","MA_QH","SKX")</f>
        <v>0</v>
      </c>
      <c r="AY53" s="22">
        <f ca="1">+GETPIVOTDATA("XDB4",'dabac (2016)'!$A$3,"MA_HT","DKV","MA_QH","DSH")</f>
        <v>0</v>
      </c>
      <c r="AZ53" s="43" t="e">
        <f ca="1">$D53-$BF53</f>
        <v>#REF!</v>
      </c>
      <c r="BA53" s="89">
        <f ca="1">+GETPIVOTDATA("XDB4",'dabac (2016)'!$A$3,"MA_HT","DKV","MA_QH","TIN")</f>
        <v>0</v>
      </c>
      <c r="BB53" s="50">
        <f ca="1">+GETPIVOTDATA("XDB4",'dabac (2016)'!$A$3,"MA_HT","DKV","MA_QH","SON")</f>
        <v>0</v>
      </c>
      <c r="BC53" s="50">
        <f ca="1">+GETPIVOTDATA("XDB4",'dabac (2016)'!$A$3,"MA_HT","DKV","MA_QH","MNC")</f>
        <v>0</v>
      </c>
      <c r="BD53" s="22">
        <f ca="1">+GETPIVOTDATA("XDB4",'dabac (2016)'!$A$3,"MA_HT","DKV","MA_QH","PNK")</f>
        <v>0</v>
      </c>
      <c r="BE53" s="71">
        <f ca="1">+GETPIVOTDATA("XDB4",'dabac (2016)'!$A$3,"MA_HT","DKV","MA_QH","CSD")</f>
        <v>0</v>
      </c>
      <c r="BF53" s="74">
        <f ca="1" t="shared" si="13"/>
        <v>0</v>
      </c>
      <c r="BG53" s="101">
        <f ca="1">AZ$59-$BF53</f>
        <v>0</v>
      </c>
      <c r="BH53" s="41" t="e">
        <f ca="1" t="shared" si="14"/>
        <v>#REF!</v>
      </c>
      <c r="BI53" s="98"/>
      <c r="BJ53" s="98" t="e">
        <f>#REF!</f>
        <v>#REF!</v>
      </c>
      <c r="BK53" s="107" t="e">
        <f ca="1">BH53-BJ53</f>
        <v>#REF!</v>
      </c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</row>
    <row r="54" s="2" customFormat="1" ht="15.75" customHeight="1" spans="1:75">
      <c r="A54" s="39" t="s">
        <v>8426</v>
      </c>
      <c r="B54" s="39" t="s">
        <v>8427</v>
      </c>
      <c r="C54" s="40" t="s">
        <v>8310</v>
      </c>
      <c r="D54" s="41" t="e">
        <f>+#REF!</f>
        <v>#REF!</v>
      </c>
      <c r="E54" s="33">
        <f ca="1" t="shared" si="15"/>
        <v>0</v>
      </c>
      <c r="F54" s="52">
        <f ca="1">SUM(F29:F39)</f>
        <v>0</v>
      </c>
      <c r="G54" s="22">
        <f ca="1">+GETPIVOTDATA("XDB4",'dabac (2016)'!$A$3,"MA_HT","TIN","MA_QH","LUC")</f>
        <v>0</v>
      </c>
      <c r="H54" s="22">
        <f ca="1">+GETPIVOTDATA("XDB4",'dabac (2016)'!$A$3,"MA_HT","TIN","MA_QH","LUK")</f>
        <v>0</v>
      </c>
      <c r="I54" s="22">
        <f ca="1">+GETPIVOTDATA("XDB4",'dabac (2016)'!$A$3,"MA_HT","TIN","MA_QH","LUN")</f>
        <v>0</v>
      </c>
      <c r="J54" s="22">
        <f ca="1">+GETPIVOTDATA("XDB4",'dabac (2016)'!$A$3,"MA_HT","TIN","MA_QH","HNK")</f>
        <v>0</v>
      </c>
      <c r="K54" s="22">
        <f ca="1">+GETPIVOTDATA("XDB4",'dabac (2016)'!$A$3,"MA_HT","TIN","MA_QH","CLN")</f>
        <v>0</v>
      </c>
      <c r="L54" s="22">
        <f ca="1">+GETPIVOTDATA("XDB4",'dabac (2016)'!$A$3,"MA_HT","TIN","MA_QH","RSX")</f>
        <v>0</v>
      </c>
      <c r="M54" s="22">
        <f ca="1">+GETPIVOTDATA("XDB4",'dabac (2016)'!$A$3,"MA_HT","TIN","MA_QH","RPH")</f>
        <v>0</v>
      </c>
      <c r="N54" s="22">
        <f ca="1">+GETPIVOTDATA("XDB4",'dabac (2016)'!$A$3,"MA_HT","TIN","MA_QH","RDD")</f>
        <v>0</v>
      </c>
      <c r="O54" s="22">
        <f ca="1">+GETPIVOTDATA("XDB4",'dabac (2016)'!$A$3,"MA_HT","TIN","MA_QH","NTS")</f>
        <v>0</v>
      </c>
      <c r="P54" s="22">
        <f ca="1">+GETPIVOTDATA("XDB4",'dabac (2016)'!$A$3,"MA_HT","TIN","MA_QH","LMU")</f>
        <v>0</v>
      </c>
      <c r="Q54" s="22">
        <f ca="1">+GETPIVOTDATA("XDB4",'dabac (2016)'!$A$3,"MA_HT","TIN","MA_QH","NKH")</f>
        <v>0</v>
      </c>
      <c r="R54" s="79">
        <f ca="1">SUM(S54:AA54,AN54:AZ54,BB54:BD54)</f>
        <v>0</v>
      </c>
      <c r="S54" s="22">
        <f ca="1">+GETPIVOTDATA("XDB4",'dabac (2016)'!$A$3,"MA_HT","TIN","MA_QH","CQP")</f>
        <v>0</v>
      </c>
      <c r="T54" s="22">
        <f ca="1">+GETPIVOTDATA("XDB4",'dabac (2016)'!$A$3,"MA_HT","TIN","MA_QH","CAN")</f>
        <v>0</v>
      </c>
      <c r="U54" s="22">
        <f ca="1">+GETPIVOTDATA("XDB4",'dabac (2016)'!$A$3,"MA_HT","TIN","MA_QH","SKK")</f>
        <v>0</v>
      </c>
      <c r="V54" s="22">
        <f ca="1">+GETPIVOTDATA("XDB4",'dabac (2016)'!$A$3,"MA_HT","TIN","MA_QH","SKT")</f>
        <v>0</v>
      </c>
      <c r="W54" s="22">
        <f ca="1">+GETPIVOTDATA("XDB4",'dabac (2016)'!$A$3,"MA_HT","TIN","MA_QH","SKN")</f>
        <v>0</v>
      </c>
      <c r="X54" s="22">
        <f ca="1">+GETPIVOTDATA("XDB4",'dabac (2016)'!$A$3,"MA_HT","TIN","MA_QH","TMD")</f>
        <v>0</v>
      </c>
      <c r="Y54" s="22">
        <f ca="1">+GETPIVOTDATA("XDB4",'dabac (2016)'!$A$3,"MA_HT","TIN","MA_QH","SKC")</f>
        <v>0</v>
      </c>
      <c r="Z54" s="22">
        <f ca="1">+GETPIVOTDATA("XDB4",'dabac (2016)'!$A$3,"MA_HT","TIN","MA_QH","SKS")</f>
        <v>0</v>
      </c>
      <c r="AA54" s="52">
        <f ca="1" t="shared" si="21"/>
        <v>0</v>
      </c>
      <c r="AB54" s="22">
        <f ca="1">+GETPIVOTDATA("XDB4",'dabac (2016)'!$A$3,"MA_HT","TIN","MA_QH","DGT")</f>
        <v>0</v>
      </c>
      <c r="AC54" s="22">
        <f ca="1">+GETPIVOTDATA("XDB4",'dabac (2016)'!$A$3,"MA_HT","TIN","MA_QH","DTL")</f>
        <v>0</v>
      </c>
      <c r="AD54" s="22">
        <f ca="1">+GETPIVOTDATA("XDB4",'dabac (2016)'!$A$3,"MA_HT","TIN","MA_QH","DNL")</f>
        <v>0</v>
      </c>
      <c r="AE54" s="22">
        <f ca="1">+GETPIVOTDATA("XDB4",'dabac (2016)'!$A$3,"MA_HT","TIN","MA_QH","DBV")</f>
        <v>0</v>
      </c>
      <c r="AF54" s="22">
        <f ca="1">+GETPIVOTDATA("XDB4",'dabac (2016)'!$A$3,"MA_HT","TIN","MA_QH","DVH")</f>
        <v>0</v>
      </c>
      <c r="AG54" s="22">
        <f ca="1">+GETPIVOTDATA("XDB4",'dabac (2016)'!$A$3,"MA_HT","TIN","MA_QH","DYT")</f>
        <v>0</v>
      </c>
      <c r="AH54" s="22">
        <f ca="1">+GETPIVOTDATA("XDB4",'dabac (2016)'!$A$3,"MA_HT","TIN","MA_QH","DGD")</f>
        <v>0</v>
      </c>
      <c r="AI54" s="22">
        <f ca="1">+GETPIVOTDATA("XDB4",'dabac (2016)'!$A$3,"MA_HT","TIN","MA_QH","DTT")</f>
        <v>0</v>
      </c>
      <c r="AJ54" s="22">
        <f ca="1">+GETPIVOTDATA("XDB4",'dabac (2016)'!$A$3,"MA_HT","TIN","MA_QH","NCK")</f>
        <v>0</v>
      </c>
      <c r="AK54" s="22">
        <f ca="1">+GETPIVOTDATA("XDB4",'dabac (2016)'!$A$3,"MA_HT","TIN","MA_QH","DXH")</f>
        <v>0</v>
      </c>
      <c r="AL54" s="22">
        <f ca="1">+GETPIVOTDATA("XDB4",'dabac (2016)'!$A$3,"MA_HT","TIN","MA_QH","DCH")</f>
        <v>0</v>
      </c>
      <c r="AM54" s="22">
        <f ca="1">+GETPIVOTDATA("XDB4",'dabac (2016)'!$A$3,"MA_HT","TIN","MA_QH","DKG")</f>
        <v>0</v>
      </c>
      <c r="AN54" s="22">
        <f ca="1">+GETPIVOTDATA("XDB4",'dabac (2016)'!$A$3,"MA_HT","TIN","MA_QH","DDT")</f>
        <v>0</v>
      </c>
      <c r="AO54" s="22">
        <f ca="1">+GETPIVOTDATA("XDB4",'dabac (2016)'!$A$3,"MA_HT","TIN","MA_QH","DDL")</f>
        <v>0</v>
      </c>
      <c r="AP54" s="22">
        <f ca="1">+GETPIVOTDATA("XDB4",'dabac (2016)'!$A$3,"MA_HT","TIN","MA_QH","DRA")</f>
        <v>0</v>
      </c>
      <c r="AQ54" s="22">
        <f ca="1">+GETPIVOTDATA("XDB4",'dabac (2016)'!$A$3,"MA_HT","TIN","MA_QH","ONT")</f>
        <v>0</v>
      </c>
      <c r="AR54" s="22">
        <f ca="1">+GETPIVOTDATA("XDB4",'dabac (2016)'!$A$3,"MA_HT","TIN","MA_QH","ODT")</f>
        <v>0</v>
      </c>
      <c r="AS54" s="22">
        <f ca="1">+GETPIVOTDATA("XDB4",'dabac (2016)'!$A$3,"MA_HT","TIN","MA_QH","TSC")</f>
        <v>0</v>
      </c>
      <c r="AT54" s="22">
        <f ca="1">+GETPIVOTDATA("XDB4",'dabac (2016)'!$A$3,"MA_HT","TIN","MA_QH","DTS")</f>
        <v>0</v>
      </c>
      <c r="AU54" s="22">
        <f ca="1">+GETPIVOTDATA("XDB4",'dabac (2016)'!$A$3,"MA_HT","TIN","MA_QH","DNG")</f>
        <v>0</v>
      </c>
      <c r="AV54" s="22">
        <f ca="1">+GETPIVOTDATA("XDB4",'dabac (2016)'!$A$3,"MA_HT","TIN","MA_QH","TON")</f>
        <v>0</v>
      </c>
      <c r="AW54" s="22">
        <f ca="1">+GETPIVOTDATA("XDB4",'dabac (2016)'!$A$3,"MA_HT","TIN","MA_QH","NTD")</f>
        <v>0</v>
      </c>
      <c r="AX54" s="22">
        <f ca="1">+GETPIVOTDATA("XDB4",'dabac (2016)'!$A$3,"MA_HT","TIN","MA_QH","SKX")</f>
        <v>0</v>
      </c>
      <c r="AY54" s="22">
        <f ca="1">+GETPIVOTDATA("XDB4",'dabac (2016)'!$A$3,"MA_HT","TIN","MA_QH","DSH")</f>
        <v>0</v>
      </c>
      <c r="AZ54" s="22">
        <f ca="1">+GETPIVOTDATA("XDB4",'dabac (2016)'!$A$3,"MA_HT","TIN","MA_QH","DKV")</f>
        <v>0</v>
      </c>
      <c r="BA54" s="43" t="e">
        <f ca="1">$D54-$BF54</f>
        <v>#REF!</v>
      </c>
      <c r="BB54" s="22">
        <f ca="1">+GETPIVOTDATA("XDB4",'dabac (2016)'!$A$3,"MA_HT","TIN","MA_QH","SON")</f>
        <v>0</v>
      </c>
      <c r="BC54" s="22">
        <f ca="1">+GETPIVOTDATA("XDB4",'dabac (2016)'!$A$3,"MA_HT","TIN","MA_QH","MNC")</f>
        <v>0</v>
      </c>
      <c r="BD54" s="22">
        <f ca="1">+GETPIVOTDATA("XDB4",'dabac (2016)'!$A$3,"MA_HT","TIN","MA_QH","PNK")</f>
        <v>0</v>
      </c>
      <c r="BE54" s="71">
        <f ca="1">+GETPIVOTDATA("XDB4",'dabac (2016)'!$A$3,"MA_HT","TIN","MA_QH","CSD")</f>
        <v>0</v>
      </c>
      <c r="BF54" s="74">
        <f ca="1" t="shared" si="13"/>
        <v>0</v>
      </c>
      <c r="BG54" s="101">
        <f ca="1">BA59-BF54</f>
        <v>0</v>
      </c>
      <c r="BH54" s="41" t="e">
        <f ca="1" t="shared" si="14"/>
        <v>#REF!</v>
      </c>
      <c r="BI54" s="98"/>
      <c r="BJ54" s="39" t="e">
        <f>SUM(BJ29:BJ39)</f>
        <v>#REF!</v>
      </c>
      <c r="BK54" s="107" t="e">
        <f ca="1">BH54-BJ54</f>
        <v>#REF!</v>
      </c>
      <c r="BL54" s="107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</row>
    <row r="55" s="2" customFormat="1" ht="15.75" customHeight="1" spans="1:79">
      <c r="A55" s="68" t="s">
        <v>8428</v>
      </c>
      <c r="B55" s="69" t="s">
        <v>8429</v>
      </c>
      <c r="C55" s="40" t="s">
        <v>8309</v>
      </c>
      <c r="D55" s="41" t="e">
        <f>+#REF!</f>
        <v>#REF!</v>
      </c>
      <c r="E55" s="42">
        <f ca="1" t="shared" si="15"/>
        <v>0</v>
      </c>
      <c r="F55" s="52">
        <f ca="1" t="shared" si="9"/>
        <v>0</v>
      </c>
      <c r="G55" s="22">
        <f ca="1">+GETPIVOTDATA("XDB4",'dabac (2016)'!$A$3,"MA_HT","SON","MA_QH","LUC")</f>
        <v>0</v>
      </c>
      <c r="H55" s="22">
        <f ca="1">+GETPIVOTDATA("XDB4",'dabac (2016)'!$A$3,"MA_HT","SON","MA_QH","LUK")</f>
        <v>0</v>
      </c>
      <c r="I55" s="22">
        <f ca="1">+GETPIVOTDATA("XDB4",'dabac (2016)'!$A$3,"MA_HT","SON","MA_QH","LUN")</f>
        <v>0</v>
      </c>
      <c r="J55" s="22">
        <f ca="1">+GETPIVOTDATA("XDB4",'dabac (2016)'!$A$3,"MA_HT","SON","MA_QH","HNK")</f>
        <v>0</v>
      </c>
      <c r="K55" s="22">
        <f ca="1">+GETPIVOTDATA("XDB4",'dabac (2016)'!$A$3,"MA_HT","SON","MA_QH","CLN")</f>
        <v>0</v>
      </c>
      <c r="L55" s="22">
        <f ca="1">+GETPIVOTDATA("XDB4",'dabac (2016)'!$A$3,"MA_HT","SON","MA_QH","RSX")</f>
        <v>0</v>
      </c>
      <c r="M55" s="22">
        <f ca="1">+GETPIVOTDATA("XDB4",'dabac (2016)'!$A$3,"MA_HT","SON","MA_QH","RPH")</f>
        <v>0</v>
      </c>
      <c r="N55" s="22">
        <f ca="1">+GETPIVOTDATA("XDB4",'dabac (2016)'!$A$3,"MA_HT","SON","MA_QH","RDD")</f>
        <v>0</v>
      </c>
      <c r="O55" s="22">
        <f ca="1">+GETPIVOTDATA("XDB4",'dabac (2016)'!$A$3,"MA_HT","SON","MA_QH","NTS")</f>
        <v>0</v>
      </c>
      <c r="P55" s="22">
        <f ca="1">+GETPIVOTDATA("XDB4",'dabac (2016)'!$A$3,"MA_HT","SON","MA_QH","LMU")</f>
        <v>0</v>
      </c>
      <c r="Q55" s="22">
        <f ca="1">+GETPIVOTDATA("XDB4",'dabac (2016)'!$A$3,"MA_HT","SON","MA_QH","NKH")</f>
        <v>0</v>
      </c>
      <c r="R55" s="79">
        <f ca="1">SUM(S55:AA55,AN55:AZ55,BC55:BD55)</f>
        <v>0</v>
      </c>
      <c r="S55" s="22">
        <f ca="1">+GETPIVOTDATA("XDB4",'dabac (2016)'!$A$3,"MA_HT","SON","MA_QH","CQP")</f>
        <v>0</v>
      </c>
      <c r="T55" s="22">
        <f ca="1">+GETPIVOTDATA("XDB4",'dabac (2016)'!$A$3,"MA_HT","SON","MA_QH","CAN")</f>
        <v>0</v>
      </c>
      <c r="U55" s="22">
        <f ca="1">+GETPIVOTDATA("XDB4",'dabac (2016)'!$A$3,"MA_HT","SON","MA_QH","SKK")</f>
        <v>0</v>
      </c>
      <c r="V55" s="22">
        <f ca="1">+GETPIVOTDATA("XDB4",'dabac (2016)'!$A$3,"MA_HT","SON","MA_QH","SKT")</f>
        <v>0</v>
      </c>
      <c r="W55" s="22">
        <f ca="1">+GETPIVOTDATA("XDB4",'dabac (2016)'!$A$3,"MA_HT","SON","MA_QH","SKN")</f>
        <v>0</v>
      </c>
      <c r="X55" s="22">
        <f ca="1">+GETPIVOTDATA("XDB4",'dabac (2016)'!$A$3,"MA_HT","SON","MA_QH","TMD")</f>
        <v>0</v>
      </c>
      <c r="Y55" s="22">
        <f ca="1">+GETPIVOTDATA("XDB4",'dabac (2016)'!$A$3,"MA_HT","SON","MA_QH","SKC")</f>
        <v>0</v>
      </c>
      <c r="Z55" s="22">
        <f ca="1">+GETPIVOTDATA("XDB4",'dabac (2016)'!$A$3,"MA_HT","SON","MA_QH","SKS")</f>
        <v>0</v>
      </c>
      <c r="AA55" s="52">
        <f ca="1" t="shared" si="21"/>
        <v>0</v>
      </c>
      <c r="AB55" s="22">
        <f ca="1">+GETPIVOTDATA("XDB4",'dabac (2016)'!$A$3,"MA_HT","SON","MA_QH","DGT")</f>
        <v>0</v>
      </c>
      <c r="AC55" s="22">
        <f ca="1">+GETPIVOTDATA("XDB4",'dabac (2016)'!$A$3,"MA_HT","SON","MA_QH","DTL")</f>
        <v>0</v>
      </c>
      <c r="AD55" s="22">
        <f ca="1">+GETPIVOTDATA("XDB4",'dabac (2016)'!$A$3,"MA_HT","SON","MA_QH","DNL")</f>
        <v>0</v>
      </c>
      <c r="AE55" s="22">
        <f ca="1">+GETPIVOTDATA("XDB4",'dabac (2016)'!$A$3,"MA_HT","SON","MA_QH","DBV")</f>
        <v>0</v>
      </c>
      <c r="AF55" s="22">
        <f ca="1">+GETPIVOTDATA("XDB4",'dabac (2016)'!$A$3,"MA_HT","SON","MA_QH","DVH")</f>
        <v>0</v>
      </c>
      <c r="AG55" s="22">
        <f ca="1">+GETPIVOTDATA("XDB4",'dabac (2016)'!$A$3,"MA_HT","SON","MA_QH","DYT")</f>
        <v>0</v>
      </c>
      <c r="AH55" s="22">
        <f ca="1">+GETPIVOTDATA("XDB4",'dabac (2016)'!$A$3,"MA_HT","SON","MA_QH","DGD")</f>
        <v>0</v>
      </c>
      <c r="AI55" s="22">
        <f ca="1">+GETPIVOTDATA("XDB4",'dabac (2016)'!$A$3,"MA_HT","SON","MA_QH","DTT")</f>
        <v>0</v>
      </c>
      <c r="AJ55" s="22">
        <f ca="1">+GETPIVOTDATA("XDB4",'dabac (2016)'!$A$3,"MA_HT","SON","MA_QH","NCK")</f>
        <v>0</v>
      </c>
      <c r="AK55" s="22">
        <f ca="1">+GETPIVOTDATA("XDB4",'dabac (2016)'!$A$3,"MA_HT","SON","MA_QH","DXH")</f>
        <v>0</v>
      </c>
      <c r="AL55" s="22">
        <f ca="1">+GETPIVOTDATA("XDB4",'dabac (2016)'!$A$3,"MA_HT","SON","MA_QH","DCH")</f>
        <v>0</v>
      </c>
      <c r="AM55" s="22">
        <f ca="1">+GETPIVOTDATA("XDB4",'dabac (2016)'!$A$3,"MA_HT","SON","MA_QH","DKG")</f>
        <v>0</v>
      </c>
      <c r="AN55" s="22">
        <f ca="1">+GETPIVOTDATA("XDB4",'dabac (2016)'!$A$3,"MA_HT","SON","MA_QH","DDT")</f>
        <v>0</v>
      </c>
      <c r="AO55" s="22">
        <f ca="1">+GETPIVOTDATA("XDB4",'dabac (2016)'!$A$3,"MA_HT","SON","MA_QH","DDL")</f>
        <v>0</v>
      </c>
      <c r="AP55" s="22">
        <f ca="1">+GETPIVOTDATA("XDB4",'dabac (2016)'!$A$3,"MA_HT","SON","MA_QH","DRA")</f>
        <v>0</v>
      </c>
      <c r="AQ55" s="22">
        <f ca="1">+GETPIVOTDATA("XDB4",'dabac (2016)'!$A$3,"MA_HT","SON","MA_QH","ONT")</f>
        <v>0</v>
      </c>
      <c r="AR55" s="22">
        <f ca="1">+GETPIVOTDATA("XDB4",'dabac (2016)'!$A$3,"MA_HT","SON","MA_QH","ODT")</f>
        <v>0</v>
      </c>
      <c r="AS55" s="22">
        <f ca="1">+GETPIVOTDATA("XDB4",'dabac (2016)'!$A$3,"MA_HT","SON","MA_QH","TSC")</f>
        <v>0</v>
      </c>
      <c r="AT55" s="22">
        <f ca="1">+GETPIVOTDATA("XDB4",'dabac (2016)'!$A$3,"MA_HT","SON","MA_QH","DTS")</f>
        <v>0</v>
      </c>
      <c r="AU55" s="22">
        <f ca="1">+GETPIVOTDATA("XDB4",'dabac (2016)'!$A$3,"MA_HT","SON","MA_QH","DNG")</f>
        <v>0</v>
      </c>
      <c r="AV55" s="22">
        <f ca="1">+GETPIVOTDATA("XDB4",'dabac (2016)'!$A$3,"MA_HT","SON","MA_QH","TON")</f>
        <v>0</v>
      </c>
      <c r="AW55" s="22">
        <f ca="1">+GETPIVOTDATA("XDB4",'dabac (2016)'!$A$3,"MA_HT","SON","MA_QH","NTD")</f>
        <v>0</v>
      </c>
      <c r="AX55" s="22">
        <f ca="1">+GETPIVOTDATA("XDB4",'dabac (2016)'!$A$3,"MA_HT","SON","MA_QH","SKX")</f>
        <v>0</v>
      </c>
      <c r="AY55" s="22">
        <f ca="1">+GETPIVOTDATA("XDB4",'dabac (2016)'!$A$3,"MA_HT","SON","MA_QH","DSH")</f>
        <v>0</v>
      </c>
      <c r="AZ55" s="22">
        <f ca="1">+GETPIVOTDATA("XDB4",'dabac (2016)'!$A$3,"MA_HT","SON","MA_QH","DKV")</f>
        <v>0</v>
      </c>
      <c r="BA55" s="89">
        <f ca="1">+GETPIVOTDATA("XDB4",'dabac (2016)'!$A$3,"MA_HT","SON","MA_QH","TIN")</f>
        <v>0</v>
      </c>
      <c r="BB55" s="43" t="e">
        <f ca="1">$D55-$BF55</f>
        <v>#REF!</v>
      </c>
      <c r="BC55" s="50">
        <f ca="1">+GETPIVOTDATA("XDB4",'dabac (2016)'!$A$3,"MA_HT","SON","MA_QH","MNC")</f>
        <v>0</v>
      </c>
      <c r="BD55" s="22">
        <f ca="1">+GETPIVOTDATA("XDB4",'dabac (2016)'!$A$3,"MA_HT","SON","MA_QH","PNK")</f>
        <v>0</v>
      </c>
      <c r="BE55" s="71">
        <f ca="1">+GETPIVOTDATA("XDB4",'dabac (2016)'!$A$3,"MA_HT","SON","MA_QH","CSD")</f>
        <v>0</v>
      </c>
      <c r="BF55" s="74">
        <f ca="1" t="shared" si="13"/>
        <v>0</v>
      </c>
      <c r="BG55" s="101">
        <f ca="1">BB$59-$BF55</f>
        <v>0</v>
      </c>
      <c r="BH55" s="41" t="e">
        <f ca="1" t="shared" si="14"/>
        <v>#REF!</v>
      </c>
      <c r="BI55" s="98"/>
      <c r="BJ55" s="98"/>
      <c r="BK55" s="107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</row>
    <row r="56" s="2" customFormat="1" ht="15.75" customHeight="1" spans="1:79">
      <c r="A56" s="68" t="s">
        <v>8430</v>
      </c>
      <c r="B56" s="69" t="s">
        <v>8431</v>
      </c>
      <c r="C56" s="40" t="s">
        <v>8301</v>
      </c>
      <c r="D56" s="41" t="e">
        <f>+#REF!</f>
        <v>#REF!</v>
      </c>
      <c r="E56" s="42">
        <f ca="1" t="shared" si="15"/>
        <v>0</v>
      </c>
      <c r="F56" s="52">
        <f ca="1" t="shared" si="9"/>
        <v>0</v>
      </c>
      <c r="G56" s="22">
        <f ca="1">+GETPIVOTDATA("XDB4",'dabac (2016)'!$A$3,"MA_HT","MNC","MA_QH","LUC")</f>
        <v>0</v>
      </c>
      <c r="H56" s="22">
        <f ca="1">+GETPIVOTDATA("XDB4",'dabac (2016)'!$A$3,"MA_HT","MNC","MA_QH","LUK")</f>
        <v>0</v>
      </c>
      <c r="I56" s="22">
        <f ca="1">+GETPIVOTDATA("XDB4",'dabac (2016)'!$A$3,"MA_HT","MNC","MA_QH","LUN")</f>
        <v>0</v>
      </c>
      <c r="J56" s="22">
        <f ca="1">+GETPIVOTDATA("XDB4",'dabac (2016)'!$A$3,"MA_HT","MNC","MA_QH","HNK")</f>
        <v>0</v>
      </c>
      <c r="K56" s="22">
        <f ca="1">+GETPIVOTDATA("XDB4",'dabac (2016)'!$A$3,"MA_HT","MNC","MA_QH","CLN")</f>
        <v>0</v>
      </c>
      <c r="L56" s="22">
        <f ca="1">+GETPIVOTDATA("XDB4",'dabac (2016)'!$A$3,"MA_HT","MNC","MA_QH","RSX")</f>
        <v>0</v>
      </c>
      <c r="M56" s="22">
        <f ca="1">+GETPIVOTDATA("XDB4",'dabac (2016)'!$A$3,"MA_HT","MNC","MA_QH","RPH")</f>
        <v>0</v>
      </c>
      <c r="N56" s="22">
        <f ca="1">+GETPIVOTDATA("XDB4",'dabac (2016)'!$A$3,"MA_HT","MNC","MA_QH","RDD")</f>
        <v>0</v>
      </c>
      <c r="O56" s="22">
        <f ca="1">+GETPIVOTDATA("XDB4",'dabac (2016)'!$A$3,"MA_HT","MNC","MA_QH","NTS")</f>
        <v>0</v>
      </c>
      <c r="P56" s="22">
        <f ca="1">+GETPIVOTDATA("XDB4",'dabac (2016)'!$A$3,"MA_HT","MNC","MA_QH","LMU")</f>
        <v>0</v>
      </c>
      <c r="Q56" s="22">
        <f ca="1">+GETPIVOTDATA("XDB4",'dabac (2016)'!$A$3,"MA_HT","MNC","MA_QH","NKH")</f>
        <v>0</v>
      </c>
      <c r="R56" s="79">
        <f ca="1">SUM(S56:AA56,AN56:BB56,BD56)</f>
        <v>0</v>
      </c>
      <c r="S56" s="22">
        <f ca="1">+GETPIVOTDATA("XDB4",'dabac (2016)'!$A$3,"MA_HT","MNC","MA_QH","CQP")</f>
        <v>0</v>
      </c>
      <c r="T56" s="22">
        <f ca="1">+GETPIVOTDATA("XDB4",'dabac (2016)'!$A$3,"MA_HT","MNC","MA_QH","CAN")</f>
        <v>0</v>
      </c>
      <c r="U56" s="22">
        <f ca="1">+GETPIVOTDATA("XDB4",'dabac (2016)'!$A$3,"MA_HT","MNC","MA_QH","SKK")</f>
        <v>0</v>
      </c>
      <c r="V56" s="22">
        <f ca="1">+GETPIVOTDATA("XDB4",'dabac (2016)'!$A$3,"MA_HT","MNC","MA_QH","SKT")</f>
        <v>0</v>
      </c>
      <c r="W56" s="22">
        <f ca="1">+GETPIVOTDATA("XDB4",'dabac (2016)'!$A$3,"MA_HT","MNC","MA_QH","SKN")</f>
        <v>0</v>
      </c>
      <c r="X56" s="22">
        <f ca="1">+GETPIVOTDATA("XDB4",'dabac (2016)'!$A$3,"MA_HT","MNC","MA_QH","TMD")</f>
        <v>0</v>
      </c>
      <c r="Y56" s="22">
        <f ca="1">+GETPIVOTDATA("XDB4",'dabac (2016)'!$A$3,"MA_HT","MNC","MA_QH","SKC")</f>
        <v>0</v>
      </c>
      <c r="Z56" s="22">
        <f ca="1">+GETPIVOTDATA("XDB4",'dabac (2016)'!$A$3,"MA_HT","MNC","MA_QH","SKS")</f>
        <v>0</v>
      </c>
      <c r="AA56" s="52">
        <f ca="1" t="shared" si="21"/>
        <v>0</v>
      </c>
      <c r="AB56" s="22">
        <f ca="1">+GETPIVOTDATA("XDB4",'dabac (2016)'!$A$3,"MA_HT","MNC","MA_QH","DGT")</f>
        <v>0</v>
      </c>
      <c r="AC56" s="22">
        <f ca="1">+GETPIVOTDATA("XDB4",'dabac (2016)'!$A$3,"MA_HT","MNC","MA_QH","DTL")</f>
        <v>0</v>
      </c>
      <c r="AD56" s="22">
        <f ca="1">+GETPIVOTDATA("XDB4",'dabac (2016)'!$A$3,"MA_HT","MNC","MA_QH","DNL")</f>
        <v>0</v>
      </c>
      <c r="AE56" s="22">
        <f ca="1">+GETPIVOTDATA("XDB4",'dabac (2016)'!$A$3,"MA_HT","MNC","MA_QH","DBV")</f>
        <v>0</v>
      </c>
      <c r="AF56" s="22">
        <f ca="1">+GETPIVOTDATA("XDB4",'dabac (2016)'!$A$3,"MA_HT","MNC","MA_QH","DVH")</f>
        <v>0</v>
      </c>
      <c r="AG56" s="22">
        <f ca="1">+GETPIVOTDATA("XDB4",'dabac (2016)'!$A$3,"MA_HT","MNC","MA_QH","DYT")</f>
        <v>0</v>
      </c>
      <c r="AH56" s="22">
        <f ca="1">+GETPIVOTDATA("XDB4",'dabac (2016)'!$A$3,"MA_HT","MNC","MA_QH","DGD")</f>
        <v>0</v>
      </c>
      <c r="AI56" s="22">
        <f ca="1">+GETPIVOTDATA("XDB4",'dabac (2016)'!$A$3,"MA_HT","MNC","MA_QH","DTT")</f>
        <v>0</v>
      </c>
      <c r="AJ56" s="22">
        <f ca="1">+GETPIVOTDATA("XDB4",'dabac (2016)'!$A$3,"MA_HT","MNC","MA_QH","NCK")</f>
        <v>0</v>
      </c>
      <c r="AK56" s="22">
        <f ca="1">+GETPIVOTDATA("XDB4",'dabac (2016)'!$A$3,"MA_HT","MNC","MA_QH","DXH")</f>
        <v>0</v>
      </c>
      <c r="AL56" s="22">
        <f ca="1">+GETPIVOTDATA("XDB4",'dabac (2016)'!$A$3,"MA_HT","MNC","MA_QH","DCH")</f>
        <v>0</v>
      </c>
      <c r="AM56" s="22">
        <f ca="1">+GETPIVOTDATA("XDB4",'dabac (2016)'!$A$3,"MA_HT","MNC","MA_QH","DKG")</f>
        <v>0</v>
      </c>
      <c r="AN56" s="22">
        <f ca="1">+GETPIVOTDATA("XDB4",'dabac (2016)'!$A$3,"MA_HT","MNC","MA_QH","DDT")</f>
        <v>0</v>
      </c>
      <c r="AO56" s="22">
        <f ca="1">+GETPIVOTDATA("XDB4",'dabac (2016)'!$A$3,"MA_HT","MNC","MA_QH","DDL")</f>
        <v>0</v>
      </c>
      <c r="AP56" s="22">
        <f ca="1">+GETPIVOTDATA("XDB4",'dabac (2016)'!$A$3,"MA_HT","MNC","MA_QH","DRA")</f>
        <v>0</v>
      </c>
      <c r="AQ56" s="22">
        <f ca="1">+GETPIVOTDATA("XDB4",'dabac (2016)'!$A$3,"MA_HT","MNC","MA_QH","ONT")</f>
        <v>0</v>
      </c>
      <c r="AR56" s="22">
        <f ca="1">+GETPIVOTDATA("XDB4",'dabac (2016)'!$A$3,"MA_HT","MNC","MA_QH","ODT")</f>
        <v>0</v>
      </c>
      <c r="AS56" s="22">
        <f ca="1">+GETPIVOTDATA("XDB4",'dabac (2016)'!$A$3,"MA_HT","MNC","MA_QH","TSC")</f>
        <v>0</v>
      </c>
      <c r="AT56" s="22">
        <f ca="1">+GETPIVOTDATA("XDB4",'dabac (2016)'!$A$3,"MA_HT","MNC","MA_QH","DTS")</f>
        <v>0</v>
      </c>
      <c r="AU56" s="22">
        <f ca="1">+GETPIVOTDATA("XDB4",'dabac (2016)'!$A$3,"MA_HT","MNC","MA_QH","DNG")</f>
        <v>0</v>
      </c>
      <c r="AV56" s="22">
        <f ca="1">+GETPIVOTDATA("XDB4",'dabac (2016)'!$A$3,"MA_HT","MNC","MA_QH","TON")</f>
        <v>0</v>
      </c>
      <c r="AW56" s="22">
        <f ca="1">+GETPIVOTDATA("XDB4",'dabac (2016)'!$A$3,"MA_HT","MNC","MA_QH","NTD")</f>
        <v>0</v>
      </c>
      <c r="AX56" s="22">
        <f ca="1">+GETPIVOTDATA("XDB4",'dabac (2016)'!$A$3,"MA_HT","MNC","MA_QH","SKX")</f>
        <v>0</v>
      </c>
      <c r="AY56" s="22">
        <f ca="1">+GETPIVOTDATA("XDB4",'dabac (2016)'!$A$3,"MA_HT","MNC","MA_QH","DSH")</f>
        <v>0</v>
      </c>
      <c r="AZ56" s="22">
        <f ca="1">+GETPIVOTDATA("XDB4",'dabac (2016)'!$A$3,"MA_HT","MNC","MA_QH","DKV")</f>
        <v>0</v>
      </c>
      <c r="BA56" s="89">
        <f ca="1">+GETPIVOTDATA("XDB4",'dabac (2016)'!$A$3,"MA_HT","MNC","MA_QH","TIN")</f>
        <v>0</v>
      </c>
      <c r="BB56" s="50">
        <f ca="1">+GETPIVOTDATA("XDB4",'dabac (2016)'!$A$3,"MA_HT","MNC","MA_QH","SON")</f>
        <v>0</v>
      </c>
      <c r="BC56" s="43" t="e">
        <f ca="1">$D56-$BF56</f>
        <v>#REF!</v>
      </c>
      <c r="BD56" s="22">
        <f ca="1">+GETPIVOTDATA("XDB4",'dabac (2016)'!$A$3,"MA_HT","MNC","MA_QH","PNK")</f>
        <v>0</v>
      </c>
      <c r="BE56" s="71">
        <f ca="1">+GETPIVOTDATA("XDB4",'dabac (2016)'!$A$3,"MA_HT","MNC","MA_QH","CSD")</f>
        <v>0</v>
      </c>
      <c r="BF56" s="74">
        <f ca="1" t="shared" si="13"/>
        <v>0</v>
      </c>
      <c r="BG56" s="101">
        <f ca="1">BC$59-$BF56</f>
        <v>0</v>
      </c>
      <c r="BH56" s="41" t="e">
        <f ca="1" t="shared" si="14"/>
        <v>#REF!</v>
      </c>
      <c r="BI56" s="98"/>
      <c r="BJ56" s="98"/>
      <c r="BK56" s="107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</row>
    <row r="57" s="2" customFormat="1" ht="15.75" customHeight="1" spans="1:79">
      <c r="A57" s="68" t="s">
        <v>8432</v>
      </c>
      <c r="B57" s="69" t="s">
        <v>8433</v>
      </c>
      <c r="C57" s="40" t="s">
        <v>59</v>
      </c>
      <c r="D57" s="41" t="e">
        <f>+#REF!</f>
        <v>#REF!</v>
      </c>
      <c r="E57" s="42">
        <f ca="1" t="shared" si="15"/>
        <v>0</v>
      </c>
      <c r="F57" s="52">
        <f ca="1" t="shared" si="9"/>
        <v>0</v>
      </c>
      <c r="G57" s="22">
        <f ca="1">+GETPIVOTDATA("XDB4",'dabac (2016)'!$A$3,"MA_HT","PNK","MA_QH","LUC")</f>
        <v>0</v>
      </c>
      <c r="H57" s="22">
        <f ca="1">+GETPIVOTDATA("XDB4",'dabac (2016)'!$A$3,"MA_HT","PNK","MA_QH","LUK")</f>
        <v>0</v>
      </c>
      <c r="I57" s="22">
        <f ca="1">+GETPIVOTDATA("XDB4",'dabac (2016)'!$A$3,"MA_HT","PNK","MA_QH","LUN")</f>
        <v>0</v>
      </c>
      <c r="J57" s="22">
        <f ca="1">+GETPIVOTDATA("XDB4",'dabac (2016)'!$A$3,"MA_HT","PNK","MA_QH","HNK")</f>
        <v>0</v>
      </c>
      <c r="K57" s="22">
        <f ca="1">+GETPIVOTDATA("XDB4",'dabac (2016)'!$A$3,"MA_HT","PNK","MA_QH","CLN")</f>
        <v>0</v>
      </c>
      <c r="L57" s="22">
        <f ca="1">+GETPIVOTDATA("XDB4",'dabac (2016)'!$A$3,"MA_HT","PNK","MA_QH","RSX")</f>
        <v>0</v>
      </c>
      <c r="M57" s="22">
        <f ca="1">+GETPIVOTDATA("XDB4",'dabac (2016)'!$A$3,"MA_HT","PNK","MA_QH","RPH")</f>
        <v>0</v>
      </c>
      <c r="N57" s="22">
        <f ca="1">+GETPIVOTDATA("XDB4",'dabac (2016)'!$A$3,"MA_HT","PNK","MA_QH","RDD")</f>
        <v>0</v>
      </c>
      <c r="O57" s="22">
        <f ca="1">+GETPIVOTDATA("XDB4",'dabac (2016)'!$A$3,"MA_HT","PNK","MA_QH","NTS")</f>
        <v>0</v>
      </c>
      <c r="P57" s="22">
        <f ca="1">+GETPIVOTDATA("XDB4",'dabac (2016)'!$A$3,"MA_HT","PNK","MA_QH","LMU")</f>
        <v>0</v>
      </c>
      <c r="Q57" s="22">
        <f ca="1">+GETPIVOTDATA("XDB4",'dabac (2016)'!$A$3,"MA_HT","PNK","MA_QH","NKH")</f>
        <v>0</v>
      </c>
      <c r="R57" s="79">
        <f ca="1">SUM(S57:AA57,AN57:BC57)</f>
        <v>0</v>
      </c>
      <c r="S57" s="22">
        <f ca="1">+GETPIVOTDATA("XDB4",'dabac (2016)'!$A$3,"MA_HT","PNK","MA_QH","CQP")</f>
        <v>0</v>
      </c>
      <c r="T57" s="22">
        <f ca="1">+GETPIVOTDATA("XDB4",'dabac (2016)'!$A$3,"MA_HT","PNK","MA_QH","CAN")</f>
        <v>0</v>
      </c>
      <c r="U57" s="22">
        <f ca="1">+GETPIVOTDATA("XDB4",'dabac (2016)'!$A$3,"MA_HT","PNK","MA_QH","SKK")</f>
        <v>0</v>
      </c>
      <c r="V57" s="22">
        <f ca="1">+GETPIVOTDATA("XDB4",'dabac (2016)'!$A$3,"MA_HT","PNK","MA_QH","SKT")</f>
        <v>0</v>
      </c>
      <c r="W57" s="22">
        <f ca="1">+GETPIVOTDATA("XDB4",'dabac (2016)'!$A$3,"MA_HT","PNK","MA_QH","SKN")</f>
        <v>0</v>
      </c>
      <c r="X57" s="22">
        <f ca="1">+GETPIVOTDATA("XDB4",'dabac (2016)'!$A$3,"MA_HT","PNK","MA_QH","TMD")</f>
        <v>0</v>
      </c>
      <c r="Y57" s="22">
        <f ca="1">+GETPIVOTDATA("XDB4",'dabac (2016)'!$A$3,"MA_HT","PNK","MA_QH","SKC")</f>
        <v>0</v>
      </c>
      <c r="Z57" s="22">
        <f ca="1">+GETPIVOTDATA("XDB4",'dabac (2016)'!$A$3,"MA_HT","PNK","MA_QH","SKS")</f>
        <v>0</v>
      </c>
      <c r="AA57" s="52">
        <f ca="1" t="shared" si="21"/>
        <v>0</v>
      </c>
      <c r="AB57" s="22">
        <f ca="1">+GETPIVOTDATA("XDB4",'dabac (2016)'!$A$3,"MA_HT","PNK","MA_QH","DGT")</f>
        <v>0</v>
      </c>
      <c r="AC57" s="22">
        <f ca="1">+GETPIVOTDATA("XDB4",'dabac (2016)'!$A$3,"MA_HT","PNK","MA_QH","DTL")</f>
        <v>0</v>
      </c>
      <c r="AD57" s="22">
        <f ca="1">+GETPIVOTDATA("XDB4",'dabac (2016)'!$A$3,"MA_HT","PNK","MA_QH","DNL")</f>
        <v>0</v>
      </c>
      <c r="AE57" s="22">
        <f ca="1">+GETPIVOTDATA("XDB4",'dabac (2016)'!$A$3,"MA_HT","PNK","MA_QH","DBV")</f>
        <v>0</v>
      </c>
      <c r="AF57" s="22">
        <f ca="1">+GETPIVOTDATA("XDB4",'dabac (2016)'!$A$3,"MA_HT","PNK","MA_QH","DVH")</f>
        <v>0</v>
      </c>
      <c r="AG57" s="22">
        <f ca="1">+GETPIVOTDATA("XDB4",'dabac (2016)'!$A$3,"MA_HT","PNK","MA_QH","DYT")</f>
        <v>0</v>
      </c>
      <c r="AH57" s="22">
        <f ca="1">+GETPIVOTDATA("XDB4",'dabac (2016)'!$A$3,"MA_HT","PNK","MA_QH","DGD")</f>
        <v>0</v>
      </c>
      <c r="AI57" s="22">
        <f ca="1">+GETPIVOTDATA("XDB4",'dabac (2016)'!$A$3,"MA_HT","PNK","MA_QH","DTT")</f>
        <v>0</v>
      </c>
      <c r="AJ57" s="22">
        <f ca="1">+GETPIVOTDATA("XDB4",'dabac (2016)'!$A$3,"MA_HT","PNK","MA_QH","NCK")</f>
        <v>0</v>
      </c>
      <c r="AK57" s="22">
        <f ca="1">+GETPIVOTDATA("XDB4",'dabac (2016)'!$A$3,"MA_HT","PNK","MA_QH","DXH")</f>
        <v>0</v>
      </c>
      <c r="AL57" s="22">
        <f ca="1">+GETPIVOTDATA("XDB4",'dabac (2016)'!$A$3,"MA_HT","PNK","MA_QH","DCH")</f>
        <v>0</v>
      </c>
      <c r="AM57" s="22">
        <f ca="1">+GETPIVOTDATA("XDB4",'dabac (2016)'!$A$3,"MA_HT","PNK","MA_QH","DKG")</f>
        <v>0</v>
      </c>
      <c r="AN57" s="22">
        <f ca="1">+GETPIVOTDATA("XDB4",'dabac (2016)'!$A$3,"MA_HT","PNK","MA_QH","DDT")</f>
        <v>0</v>
      </c>
      <c r="AO57" s="22">
        <f ca="1">+GETPIVOTDATA("XDB4",'dabac (2016)'!$A$3,"MA_HT","PNK","MA_QH","DDL")</f>
        <v>0</v>
      </c>
      <c r="AP57" s="22">
        <f ca="1">+GETPIVOTDATA("XDB4",'dabac (2016)'!$A$3,"MA_HT","PNK","MA_QH","DRA")</f>
        <v>0</v>
      </c>
      <c r="AQ57" s="22">
        <f ca="1">+GETPIVOTDATA("XDB4",'dabac (2016)'!$A$3,"MA_HT","PNK","MA_QH","ONT")</f>
        <v>0</v>
      </c>
      <c r="AR57" s="22">
        <f ca="1">+GETPIVOTDATA("XDB4",'dabac (2016)'!$A$3,"MA_HT","PNK","MA_QH","ODT")</f>
        <v>0</v>
      </c>
      <c r="AS57" s="22">
        <f ca="1">+GETPIVOTDATA("XDB4",'dabac (2016)'!$A$3,"MA_HT","PNK","MA_QH","TSC")</f>
        <v>0</v>
      </c>
      <c r="AT57" s="22">
        <f ca="1">+GETPIVOTDATA("XDB4",'dabac (2016)'!$A$3,"MA_HT","PNK","MA_QH","DTS")</f>
        <v>0</v>
      </c>
      <c r="AU57" s="22">
        <f ca="1">+GETPIVOTDATA("XDB4",'dabac (2016)'!$A$3,"MA_HT","PNK","MA_QH","DNG")</f>
        <v>0</v>
      </c>
      <c r="AV57" s="22">
        <f ca="1">+GETPIVOTDATA("XDB4",'dabac (2016)'!$A$3,"MA_HT","PNK","MA_QH","TON")</f>
        <v>0</v>
      </c>
      <c r="AW57" s="22">
        <f ca="1">+GETPIVOTDATA("XDB4",'dabac (2016)'!$A$3,"MA_HT","PNK","MA_QH","NTD")</f>
        <v>0</v>
      </c>
      <c r="AX57" s="22">
        <f ca="1">+GETPIVOTDATA("XDB4",'dabac (2016)'!$A$3,"MA_HT","PNK","MA_QH","SKX")</f>
        <v>0</v>
      </c>
      <c r="AY57" s="22">
        <f ca="1">+GETPIVOTDATA("XDB4",'dabac (2016)'!$A$3,"MA_HT","PNK","MA_QH","DSH")</f>
        <v>0</v>
      </c>
      <c r="AZ57" s="22">
        <f ca="1">+GETPIVOTDATA("XDB4",'dabac (2016)'!$A$3,"MA_HT","PNK","MA_QH","DKV")</f>
        <v>0</v>
      </c>
      <c r="BA57" s="89">
        <f ca="1">+GETPIVOTDATA("XDB4",'dabac (2016)'!$A$3,"MA_HT","PNK","MA_QH","TIN")</f>
        <v>0</v>
      </c>
      <c r="BB57" s="50">
        <f ca="1">+GETPIVOTDATA("XDB4",'dabac (2016)'!$A$3,"MA_HT","PNK","MA_QH","SON")</f>
        <v>0</v>
      </c>
      <c r="BC57" s="50">
        <f ca="1">+GETPIVOTDATA("XDB4",'dabac (2016)'!$A$3,"MA_HT","PNK","MA_QH","MNC")</f>
        <v>0</v>
      </c>
      <c r="BD57" s="43" t="e">
        <f ca="1">$D57-$BF57</f>
        <v>#REF!</v>
      </c>
      <c r="BE57" s="71">
        <f ca="1">+GETPIVOTDATA("XDB4",'dabac (2016)'!$A$3,"MA_HT","PNK","MA_QH","CSD")</f>
        <v>0</v>
      </c>
      <c r="BF57" s="74">
        <f ca="1" t="shared" si="13"/>
        <v>0</v>
      </c>
      <c r="BG57" s="101">
        <f ca="1">BD$59-$BF57</f>
        <v>0</v>
      </c>
      <c r="BH57" s="41" t="e">
        <f ca="1" t="shared" si="14"/>
        <v>#REF!</v>
      </c>
      <c r="BI57" s="98"/>
      <c r="BJ57" s="98" t="e">
        <f>#REF!</f>
        <v>#REF!</v>
      </c>
      <c r="BK57" s="107" t="e">
        <f ca="1">BH57-BJ57</f>
        <v>#REF!</v>
      </c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</row>
    <row r="58" s="3" customFormat="1" ht="15.75" customHeight="1" spans="1:79">
      <c r="A58" s="70" t="s">
        <v>8434</v>
      </c>
      <c r="B58" s="36" t="s">
        <v>8435</v>
      </c>
      <c r="C58" s="37" t="s">
        <v>8284</v>
      </c>
      <c r="D58" s="32" t="e">
        <f>+#REF!</f>
        <v>#REF!</v>
      </c>
      <c r="E58" s="42">
        <f ca="1" t="shared" si="15"/>
        <v>0</v>
      </c>
      <c r="F58" s="33">
        <f ca="1" t="shared" si="9"/>
        <v>0</v>
      </c>
      <c r="G58" s="71">
        <f ca="1">+GETPIVOTDATA("XDB4",'dabac (2016)'!$A$3,"MA_HT","CSD","MA_QH","LUC")</f>
        <v>0</v>
      </c>
      <c r="H58" s="71">
        <f ca="1">+GETPIVOTDATA("XDB4",'dabac (2016)'!$A$3,"MA_HT","CSD","MA_QH","LUK")</f>
        <v>0</v>
      </c>
      <c r="I58" s="71">
        <f ca="1">+GETPIVOTDATA("XDB4",'dabac (2016)'!$A$3,"MA_HT","CSD","MA_QH","LUN")</f>
        <v>0</v>
      </c>
      <c r="J58" s="71">
        <f ca="1">+GETPIVOTDATA("XDB4",'dabac (2016)'!$A$3,"MA_HT","CSD","MA_QH","HNK")</f>
        <v>0</v>
      </c>
      <c r="K58" s="71">
        <f ca="1">+GETPIVOTDATA("XDB4",'dabac (2016)'!$A$3,"MA_HT","CSD","MA_QH","CLN")</f>
        <v>0</v>
      </c>
      <c r="L58" s="71">
        <f ca="1">+GETPIVOTDATA("XDB4",'dabac (2016)'!$A$3,"MA_HT","CSD","MA_QH","RSX")</f>
        <v>0</v>
      </c>
      <c r="M58" s="71">
        <f ca="1">+GETPIVOTDATA("XDB4",'dabac (2016)'!$A$3,"MA_HT","CSD","MA_QH","RPH")</f>
        <v>0</v>
      </c>
      <c r="N58" s="71">
        <f ca="1">+GETPIVOTDATA("XDB4",'dabac (2016)'!$A$3,"MA_HT","CSD","MA_QH","RDD")</f>
        <v>0</v>
      </c>
      <c r="O58" s="71">
        <f ca="1">+GETPIVOTDATA("XDB4",'dabac (2016)'!$A$3,"MA_HT","CSD","MA_QH","NTS")</f>
        <v>0</v>
      </c>
      <c r="P58" s="71">
        <f ca="1">+GETPIVOTDATA("XDB4",'dabac (2016)'!$A$3,"MA_HT","CSD","MA_QH","LMU")</f>
        <v>0</v>
      </c>
      <c r="Q58" s="71">
        <f ca="1">+GETPIVOTDATA("XDB4",'dabac (2016)'!$A$3,"MA_HT","CSD","MA_QH","NKH")</f>
        <v>0</v>
      </c>
      <c r="R58" s="79">
        <f ca="1">SUM(S58:AA58,AN58:BD58)</f>
        <v>0</v>
      </c>
      <c r="S58" s="80">
        <f ca="1">+GETPIVOTDATA("XDB4",'dabac (2016)'!$A$3,"MA_HT","CSD","MA_QH","CQP")</f>
        <v>0</v>
      </c>
      <c r="T58" s="80">
        <f ca="1">+GETPIVOTDATA("XDB4",'dabac (2016)'!$A$3,"MA_HT","CSD","MA_QH","CAN")</f>
        <v>0</v>
      </c>
      <c r="U58" s="71">
        <f ca="1">+GETPIVOTDATA("XDB4",'dabac (2016)'!$A$3,"MA_HT","CSD","MA_QH","SKK")</f>
        <v>0</v>
      </c>
      <c r="V58" s="71">
        <f ca="1">+GETPIVOTDATA("XDB4",'dabac (2016)'!$A$3,"MA_HT","CSD","MA_QH","SKT")</f>
        <v>0</v>
      </c>
      <c r="W58" s="71">
        <f ca="1">+GETPIVOTDATA("XDB4",'dabac (2016)'!$A$3,"MA_HT","CSD","MA_QH","SKN")</f>
        <v>0</v>
      </c>
      <c r="X58" s="71">
        <f ca="1">+GETPIVOTDATA("XDB4",'dabac (2016)'!$A$3,"MA_HT","CSD","MA_QH","TMD")</f>
        <v>0</v>
      </c>
      <c r="Y58" s="71">
        <f ca="1">+GETPIVOTDATA("XDB4",'dabac (2016)'!$A$3,"MA_HT","CSD","MA_QH","SKC")</f>
        <v>0</v>
      </c>
      <c r="Z58" s="71">
        <f ca="1">+GETPIVOTDATA("XDB4",'dabac (2016)'!$A$3,"MA_HT","CSD","MA_QH","SKS")</f>
        <v>0</v>
      </c>
      <c r="AA58" s="52">
        <f ca="1" t="shared" si="21"/>
        <v>0</v>
      </c>
      <c r="AB58" s="80">
        <f ca="1">+GETPIVOTDATA("XDB4",'dabac (2016)'!$A$3,"MA_HT","CSD","MA_QH","DGT")</f>
        <v>0</v>
      </c>
      <c r="AC58" s="80">
        <f ca="1">+GETPIVOTDATA("XDB4",'dabac (2016)'!$A$3,"MA_HT","CSD","MA_QH","DTL")</f>
        <v>0</v>
      </c>
      <c r="AD58" s="80">
        <f ca="1">+GETPIVOTDATA("XDB4",'dabac (2016)'!$A$3,"MA_HT","CSD","MA_QH","DNL")</f>
        <v>0</v>
      </c>
      <c r="AE58" s="80">
        <f ca="1">+GETPIVOTDATA("XDB4",'dabac (2016)'!$A$3,"MA_HT","CSD","MA_QH","DBV")</f>
        <v>0</v>
      </c>
      <c r="AF58" s="80">
        <f ca="1">+GETPIVOTDATA("XDB4",'dabac (2016)'!$A$3,"MA_HT","CSD","MA_QH","DVH")</f>
        <v>0</v>
      </c>
      <c r="AG58" s="80">
        <f ca="1">+GETPIVOTDATA("XDB4",'dabac (2016)'!$A$3,"MA_HT","CSD","MA_QH","DYT")</f>
        <v>0</v>
      </c>
      <c r="AH58" s="80">
        <f ca="1">+GETPIVOTDATA("XDB4",'dabac (2016)'!$A$3,"MA_HT","CSD","MA_QH","DGD")</f>
        <v>0</v>
      </c>
      <c r="AI58" s="80">
        <f ca="1">+GETPIVOTDATA("XDB4",'dabac (2016)'!$A$3,"MA_HT","CSD","MA_QH","DTT")</f>
        <v>0</v>
      </c>
      <c r="AJ58" s="80">
        <f ca="1">+GETPIVOTDATA("XDB4",'dabac (2016)'!$A$3,"MA_HT","CSD","MA_QH","NCK")</f>
        <v>0</v>
      </c>
      <c r="AK58" s="80">
        <f ca="1">+GETPIVOTDATA("XDB4",'dabac (2016)'!$A$3,"MA_HT","CSD","MA_QH","DXH")</f>
        <v>0</v>
      </c>
      <c r="AL58" s="80">
        <f ca="1">+GETPIVOTDATA("XDB4",'dabac (2016)'!$A$3,"MA_HT","CSD","MA_QH","DCH")</f>
        <v>0</v>
      </c>
      <c r="AM58" s="80">
        <f ca="1">+GETPIVOTDATA("XDB4",'dabac (2016)'!$A$3,"MA_HT","CSD","MA_QH","DKG")</f>
        <v>0</v>
      </c>
      <c r="AN58" s="71">
        <f ca="1">+GETPIVOTDATA("XDB4",'dabac (2016)'!$A$3,"MA_HT","CSD","MA_QH","DDT")</f>
        <v>0</v>
      </c>
      <c r="AO58" s="71">
        <f ca="1">+GETPIVOTDATA("XDB4",'dabac (2016)'!$A$3,"MA_HT","CSD","MA_QH","DDL")</f>
        <v>0</v>
      </c>
      <c r="AP58" s="71">
        <f ca="1">+GETPIVOTDATA("XDB4",'dabac (2016)'!$A$3,"MA_HT","CSD","MA_QH","DRA")</f>
        <v>0</v>
      </c>
      <c r="AQ58" s="71">
        <f ca="1">+GETPIVOTDATA("XDB4",'dabac (2016)'!$A$3,"MA_HT","CSD","MA_QH","ONT")</f>
        <v>0</v>
      </c>
      <c r="AR58" s="71">
        <f ca="1">+GETPIVOTDATA("XDB4",'dabac (2016)'!$A$3,"MA_HT","CSD","MA_QH","ODT")</f>
        <v>0</v>
      </c>
      <c r="AS58" s="71">
        <f ca="1">+GETPIVOTDATA("XDB4",'dabac (2016)'!$A$3,"MA_HT","CSD","MA_QH","TSC")</f>
        <v>0</v>
      </c>
      <c r="AT58" s="71">
        <f ca="1">+GETPIVOTDATA("XDB4",'dabac (2016)'!$A$3,"MA_HT","CSD","MA_QH","DTS")</f>
        <v>0</v>
      </c>
      <c r="AU58" s="71">
        <f ca="1">+GETPIVOTDATA("XDB4",'dabac (2016)'!$A$3,"MA_HT","CSD","MA_QH","DNG")</f>
        <v>0</v>
      </c>
      <c r="AV58" s="71">
        <f ca="1">+GETPIVOTDATA("XDB4",'dabac (2016)'!$A$3,"MA_HT","CSD","MA_QH","TON")</f>
        <v>0</v>
      </c>
      <c r="AW58" s="71">
        <f ca="1">+GETPIVOTDATA("XDB4",'dabac (2016)'!$A$3,"MA_HT","CSD","MA_QH","NTD")</f>
        <v>0</v>
      </c>
      <c r="AX58" s="71">
        <f ca="1">+GETPIVOTDATA("XDB4",'dabac (2016)'!$A$3,"MA_HT","CSD","MA_QH","SKX")</f>
        <v>0</v>
      </c>
      <c r="AY58" s="71">
        <f ca="1">+GETPIVOTDATA("XDB4",'dabac (2016)'!$A$3,"MA_HT","CSD","MA_QH","DSH")</f>
        <v>0</v>
      </c>
      <c r="AZ58" s="71">
        <f ca="1">+GETPIVOTDATA("XDB4",'dabac (2016)'!$A$3,"MA_HT","CSD","MA_QH","DKV")</f>
        <v>0</v>
      </c>
      <c r="BA58" s="89">
        <f ca="1">+GETPIVOTDATA("XDB4",'dabac (2016)'!$A$3,"MA_HT","CSD","MA_QH","TIN")</f>
        <v>0</v>
      </c>
      <c r="BB58" s="80">
        <f ca="1">+GETPIVOTDATA("XDB4",'dabac (2016)'!$A$3,"MA_HT","CSD","MA_QH","SON")</f>
        <v>0</v>
      </c>
      <c r="BC58" s="80">
        <f ca="1">+GETPIVOTDATA("XDB4",'dabac (2016)'!$A$3,"MA_HT","CSD","MA_QH","MNC")</f>
        <v>0</v>
      </c>
      <c r="BD58" s="71">
        <f ca="1">+GETPIVOTDATA("XDB4",'dabac (2016)'!$A$3,"MA_HT","CSD","MA_QH","PNK")</f>
        <v>0</v>
      </c>
      <c r="BE58" s="38" t="e">
        <f ca="1">$D58-$BF58</f>
        <v>#REF!</v>
      </c>
      <c r="BF58" s="74">
        <f ca="1">R58+E58</f>
        <v>0</v>
      </c>
      <c r="BG58" s="119">
        <f ca="1">BE$59-$BF58</f>
        <v>0</v>
      </c>
      <c r="BH58" s="41" t="e">
        <f ca="1" t="shared" si="14"/>
        <v>#REF!</v>
      </c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</row>
    <row r="59" s="2" customFormat="1" ht="13.5" spans="1:246">
      <c r="A59" s="72"/>
      <c r="B59" s="72" t="s">
        <v>8436</v>
      </c>
      <c r="C59" s="73"/>
      <c r="D59" s="74"/>
      <c r="E59" s="75">
        <f ca="1">E58+E19</f>
        <v>0</v>
      </c>
      <c r="F59" s="74">
        <f ca="1" t="shared" ref="F59:Q59" si="22">F58+F19+F6</f>
        <v>0</v>
      </c>
      <c r="G59" s="74">
        <f ca="1" t="shared" si="22"/>
        <v>0</v>
      </c>
      <c r="H59" s="74">
        <f ca="1" t="shared" si="22"/>
        <v>0</v>
      </c>
      <c r="I59" s="74">
        <f ca="1" t="shared" si="22"/>
        <v>0</v>
      </c>
      <c r="J59" s="74">
        <f ca="1" t="shared" si="22"/>
        <v>0</v>
      </c>
      <c r="K59" s="74">
        <f ca="1" t="shared" si="22"/>
        <v>0</v>
      </c>
      <c r="L59" s="74">
        <f ca="1" t="shared" si="22"/>
        <v>0</v>
      </c>
      <c r="M59" s="74">
        <f ca="1" t="shared" si="22"/>
        <v>0</v>
      </c>
      <c r="N59" s="74">
        <f ca="1" t="shared" si="22"/>
        <v>0</v>
      </c>
      <c r="O59" s="74">
        <f ca="1" t="shared" si="22"/>
        <v>0</v>
      </c>
      <c r="P59" s="74">
        <f ca="1" t="shared" si="22"/>
        <v>0</v>
      </c>
      <c r="Q59" s="74">
        <f ca="1" t="shared" si="22"/>
        <v>0</v>
      </c>
      <c r="R59" s="75">
        <f ca="1">+R58+R6</f>
        <v>0</v>
      </c>
      <c r="S59" s="74">
        <f ca="1" t="shared" ref="S59:BD59" si="23">S58+S19+S6</f>
        <v>0</v>
      </c>
      <c r="T59" s="74">
        <f ca="1" t="shared" si="23"/>
        <v>0</v>
      </c>
      <c r="U59" s="74">
        <f ca="1" t="shared" si="23"/>
        <v>0</v>
      </c>
      <c r="V59" s="74">
        <f ca="1" t="shared" si="23"/>
        <v>0</v>
      </c>
      <c r="W59" s="74">
        <f ca="1" t="shared" si="23"/>
        <v>0</v>
      </c>
      <c r="X59" s="74">
        <f ca="1" t="shared" si="23"/>
        <v>0</v>
      </c>
      <c r="Y59" s="74">
        <f ca="1" t="shared" si="23"/>
        <v>0</v>
      </c>
      <c r="Z59" s="74">
        <f ca="1" t="shared" si="23"/>
        <v>0</v>
      </c>
      <c r="AA59" s="74">
        <f ca="1" t="shared" si="23"/>
        <v>0</v>
      </c>
      <c r="AB59" s="74">
        <f ca="1" t="shared" si="23"/>
        <v>0</v>
      </c>
      <c r="AC59" s="74">
        <f ca="1" t="shared" si="23"/>
        <v>0</v>
      </c>
      <c r="AD59" s="74">
        <f ca="1" t="shared" si="23"/>
        <v>0</v>
      </c>
      <c r="AE59" s="74">
        <f ca="1" t="shared" si="23"/>
        <v>0</v>
      </c>
      <c r="AF59" s="74">
        <f ca="1" t="shared" si="23"/>
        <v>0</v>
      </c>
      <c r="AG59" s="74">
        <f ca="1" t="shared" si="23"/>
        <v>0</v>
      </c>
      <c r="AH59" s="74">
        <f ca="1" t="shared" si="23"/>
        <v>0</v>
      </c>
      <c r="AI59" s="74">
        <f ca="1" t="shared" si="23"/>
        <v>0</v>
      </c>
      <c r="AJ59" s="74">
        <f ca="1" t="shared" si="23"/>
        <v>0</v>
      </c>
      <c r="AK59" s="74">
        <f ca="1" t="shared" si="23"/>
        <v>0</v>
      </c>
      <c r="AL59" s="74">
        <f ca="1" t="shared" si="23"/>
        <v>0</v>
      </c>
      <c r="AM59" s="74">
        <f ca="1" t="shared" si="23"/>
        <v>0</v>
      </c>
      <c r="AN59" s="74">
        <f ca="1" t="shared" si="23"/>
        <v>0</v>
      </c>
      <c r="AO59" s="74">
        <f ca="1" t="shared" si="23"/>
        <v>0</v>
      </c>
      <c r="AP59" s="74">
        <f ca="1" t="shared" si="23"/>
        <v>0</v>
      </c>
      <c r="AQ59" s="74">
        <f ca="1" t="shared" si="23"/>
        <v>0</v>
      </c>
      <c r="AR59" s="74">
        <f ca="1" t="shared" si="23"/>
        <v>0</v>
      </c>
      <c r="AS59" s="74">
        <f ca="1" t="shared" si="23"/>
        <v>0</v>
      </c>
      <c r="AT59" s="74">
        <f ca="1" t="shared" si="23"/>
        <v>0</v>
      </c>
      <c r="AU59" s="74">
        <f ca="1" t="shared" si="23"/>
        <v>0</v>
      </c>
      <c r="AV59" s="74">
        <f ca="1" t="shared" si="23"/>
        <v>0</v>
      </c>
      <c r="AW59" s="74">
        <f ca="1" t="shared" si="23"/>
        <v>0</v>
      </c>
      <c r="AX59" s="74">
        <f ca="1" t="shared" si="23"/>
        <v>0</v>
      </c>
      <c r="AY59" s="74">
        <f ca="1" t="shared" si="23"/>
        <v>0</v>
      </c>
      <c r="AZ59" s="74">
        <f ca="1" t="shared" si="23"/>
        <v>0</v>
      </c>
      <c r="BA59" s="75">
        <f ca="1" t="shared" si="23"/>
        <v>0</v>
      </c>
      <c r="BB59" s="74">
        <f ca="1" t="shared" si="23"/>
        <v>0</v>
      </c>
      <c r="BC59" s="74">
        <f ca="1" t="shared" si="23"/>
        <v>0</v>
      </c>
      <c r="BD59" s="74">
        <f ca="1" t="shared" si="23"/>
        <v>0</v>
      </c>
      <c r="BE59" s="120">
        <f ca="1">BE19+BE6</f>
        <v>0</v>
      </c>
      <c r="BF59" s="74" t="s">
        <v>8437</v>
      </c>
      <c r="BG59" s="74"/>
      <c r="BH59" s="74"/>
      <c r="BI59" s="121"/>
      <c r="BJ59" s="121"/>
      <c r="BK59" s="121"/>
      <c r="BL59" s="1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3"/>
      <c r="CB59" s="123"/>
      <c r="CC59" s="124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</row>
    <row r="61" spans="61:76"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</row>
  </sheetData>
  <mergeCells count="3">
    <mergeCell ref="A3:A4"/>
    <mergeCell ref="B3:B4"/>
    <mergeCell ref="C3:C4"/>
  </mergeCells>
  <pageMargins left="0.65" right="0" top="0.5" bottom="0.25" header="0.5" footer="0.5"/>
  <pageSetup paperSize="8" orientation="landscape" horizontalDpi="360" verticalDpi="36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6">
    <tabColor rgb="FFFF0000"/>
  </sheetPr>
  <dimension ref="A1:IL61"/>
  <sheetViews>
    <sheetView workbookViewId="0">
      <selection activeCell="A1" sqref="A1"/>
    </sheetView>
  </sheetViews>
  <sheetFormatPr defaultColWidth="9" defaultRowHeight="15"/>
  <cols>
    <col min="1" max="1" width="6.375" style="7" customWidth="1"/>
    <col min="2" max="2" width="29.125" style="7" customWidth="1"/>
    <col min="3" max="3" width="6" style="7" customWidth="1"/>
    <col min="4" max="4" width="9.75" style="8" customWidth="1"/>
    <col min="5" max="5" width="9.375" style="9" customWidth="1"/>
    <col min="6" max="6" width="7" style="8" customWidth="1"/>
    <col min="7" max="7" width="7.75" style="8" customWidth="1"/>
    <col min="8" max="8" width="7" style="8" customWidth="1"/>
    <col min="9" max="9" width="6.875" style="8" customWidth="1"/>
    <col min="10" max="10" width="7.625" style="8" customWidth="1"/>
    <col min="11" max="11" width="9.125" style="8" customWidth="1"/>
    <col min="12" max="12" width="8.25" style="8" customWidth="1"/>
    <col min="13" max="13" width="6" style="8" customWidth="1"/>
    <col min="14" max="14" width="6.25" style="8" customWidth="1"/>
    <col min="15" max="15" width="5.875" style="8" customWidth="1"/>
    <col min="16" max="16" width="5.75" style="8" customWidth="1"/>
    <col min="17" max="17" width="6.25" style="8" customWidth="1"/>
    <col min="18" max="18" width="8.75" style="10" customWidth="1"/>
    <col min="19" max="19" width="7.125" style="8" customWidth="1"/>
    <col min="20" max="20" width="7.75" style="8" customWidth="1"/>
    <col min="21" max="23" width="6.125" style="8" customWidth="1"/>
    <col min="24" max="24" width="7.125" style="8" customWidth="1"/>
    <col min="25" max="25" width="7.75" style="8" customWidth="1"/>
    <col min="26" max="26" width="6.875" style="8" customWidth="1"/>
    <col min="27" max="27" width="7.375" style="8" customWidth="1"/>
    <col min="28" max="28" width="9" style="8"/>
    <col min="29" max="29" width="7.25" style="8" customWidth="1"/>
    <col min="30" max="30" width="7" style="8" customWidth="1"/>
    <col min="31" max="31" width="6.125" style="8" customWidth="1"/>
    <col min="32" max="33" width="6.625" style="8" customWidth="1"/>
    <col min="34" max="34" width="6.125" style="8" customWidth="1"/>
    <col min="35" max="35" width="8.5" style="8" customWidth="1"/>
    <col min="36" max="36" width="8.875" style="8" customWidth="1"/>
    <col min="37" max="37" width="8.75" style="8" customWidth="1"/>
    <col min="38" max="39" width="6.625" style="8" customWidth="1"/>
    <col min="40" max="41" width="6.875" style="8" customWidth="1"/>
    <col min="42" max="42" width="6.75" style="8" customWidth="1"/>
    <col min="43" max="43" width="6.375" style="8" customWidth="1"/>
    <col min="44" max="44" width="6.125" style="8" customWidth="1"/>
    <col min="45" max="46" width="5.75" style="8" customWidth="1"/>
    <col min="47" max="47" width="6.5" style="8" customWidth="1"/>
    <col min="48" max="49" width="5.625" style="8" customWidth="1"/>
    <col min="50" max="51" width="6.125" style="8" customWidth="1"/>
    <col min="52" max="52" width="7.625" style="8" customWidth="1"/>
    <col min="53" max="53" width="9.375" style="11" customWidth="1"/>
    <col min="54" max="54" width="6.625" style="12" customWidth="1"/>
    <col min="55" max="55" width="6.25" style="12" customWidth="1"/>
    <col min="56" max="56" width="7.125" style="8" customWidth="1"/>
    <col min="57" max="57" width="6.25" style="9" customWidth="1"/>
    <col min="58" max="58" width="7.25" style="11" customWidth="1"/>
    <col min="59" max="59" width="8.25" style="11" customWidth="1"/>
    <col min="60" max="60" width="10.125" style="11" customWidth="1"/>
    <col min="61" max="61" width="5.125" style="7" customWidth="1"/>
    <col min="62" max="62" width="8.375" style="7" hidden="1" customWidth="1"/>
    <col min="63" max="63" width="9" style="7" hidden="1" customWidth="1"/>
    <col min="64" max="64" width="4.875" style="7" customWidth="1"/>
    <col min="65" max="65" width="6.25" style="7" customWidth="1"/>
    <col min="66" max="66" width="5" style="7" customWidth="1"/>
    <col min="67" max="67" width="4.25" style="7" customWidth="1"/>
    <col min="68" max="68" width="5.375" style="7" customWidth="1"/>
    <col min="69" max="69" width="5.125" style="7" customWidth="1"/>
    <col min="70" max="70" width="4.625" style="7" customWidth="1"/>
    <col min="71" max="71" width="5.625" style="7" customWidth="1"/>
    <col min="72" max="72" width="5.875" style="7" customWidth="1"/>
    <col min="73" max="73" width="5" style="7" customWidth="1"/>
    <col min="74" max="74" width="3.875" style="7" customWidth="1"/>
    <col min="75" max="75" width="4.625" style="7" customWidth="1"/>
    <col min="76" max="76" width="5.5" style="7" customWidth="1"/>
    <col min="77" max="77" width="7.625" style="13" customWidth="1"/>
    <col min="78" max="79" width="8.375" style="13" customWidth="1"/>
    <col min="80" max="80" width="7.5" style="7" customWidth="1"/>
    <col min="81" max="16384" width="9" style="7"/>
  </cols>
  <sheetData>
    <row r="1" ht="21" customHeight="1" spans="1:82">
      <c r="A1" s="14" t="s">
        <v>8330</v>
      </c>
      <c r="B1" s="15"/>
      <c r="C1" s="16" t="e">
        <f>+"CHU CHUYỂN ĐẤT ĐAI TRONG KẾ HOẠCH SỬ DỤNG ĐẤT NĂM 2015 CỦA "&amp;#REF!</f>
        <v>#REF!</v>
      </c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83"/>
      <c r="BC1" s="83"/>
      <c r="BD1" s="18"/>
      <c r="BE1" s="18"/>
      <c r="BF1" s="18"/>
      <c r="BG1" s="18"/>
      <c r="BH1" s="18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7"/>
      <c r="BZ1" s="7"/>
      <c r="CA1" s="7"/>
      <c r="CB1" s="8"/>
      <c r="CC1" s="8"/>
      <c r="CD1" s="8"/>
    </row>
    <row r="2" s="1" customFormat="1" ht="7.5" customHeight="1" spans="1:82">
      <c r="A2" s="1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9"/>
      <c r="BA2" s="20"/>
      <c r="BB2" s="84"/>
      <c r="BC2" s="84"/>
      <c r="BD2" s="20"/>
      <c r="BE2" s="20"/>
      <c r="BF2" s="20"/>
      <c r="BG2" s="20"/>
      <c r="BH2" s="95" t="s">
        <v>8331</v>
      </c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CB2" s="9"/>
      <c r="CC2" s="9"/>
      <c r="CD2" s="9"/>
    </row>
    <row r="3" s="2" customFormat="1" ht="15.75" customHeight="1" spans="1:79">
      <c r="A3" s="21" t="s">
        <v>3</v>
      </c>
      <c r="B3" s="21" t="s">
        <v>8332</v>
      </c>
      <c r="C3" s="21" t="s">
        <v>8333</v>
      </c>
      <c r="D3" s="22"/>
      <c r="E3" s="23" t="s">
        <v>8334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7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85"/>
      <c r="BC3" s="85"/>
      <c r="BD3" s="24"/>
      <c r="BE3" s="97"/>
      <c r="BF3" s="22"/>
      <c r="BG3" s="22"/>
      <c r="BH3" s="22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</row>
    <row r="4" s="2" customFormat="1" ht="31.5" customHeight="1" spans="1:79">
      <c r="A4" s="25"/>
      <c r="B4" s="25"/>
      <c r="C4" s="25"/>
      <c r="D4" s="26" t="s">
        <v>8335</v>
      </c>
      <c r="E4" s="27" t="s">
        <v>8303</v>
      </c>
      <c r="F4" s="28" t="s">
        <v>8298</v>
      </c>
      <c r="G4" s="29" t="s">
        <v>8299</v>
      </c>
      <c r="H4" s="29" t="s">
        <v>221</v>
      </c>
      <c r="I4" s="29" t="s">
        <v>8300</v>
      </c>
      <c r="J4" s="28" t="s">
        <v>2492</v>
      </c>
      <c r="K4" s="28" t="s">
        <v>30</v>
      </c>
      <c r="L4" s="28" t="s">
        <v>8307</v>
      </c>
      <c r="M4" s="28" t="s">
        <v>8306</v>
      </c>
      <c r="N4" s="28" t="s">
        <v>8305</v>
      </c>
      <c r="O4" s="76" t="s">
        <v>318</v>
      </c>
      <c r="P4" s="28" t="s">
        <v>8297</v>
      </c>
      <c r="Q4" s="28" t="s">
        <v>553</v>
      </c>
      <c r="R4" s="37" t="s">
        <v>8304</v>
      </c>
      <c r="S4" s="40" t="s">
        <v>31</v>
      </c>
      <c r="T4" s="40" t="s">
        <v>8283</v>
      </c>
      <c r="U4" s="40" t="s">
        <v>47</v>
      </c>
      <c r="V4" s="40" t="s">
        <v>8308</v>
      </c>
      <c r="W4" s="40" t="s">
        <v>56</v>
      </c>
      <c r="X4" s="40" t="s">
        <v>265</v>
      </c>
      <c r="Y4" s="40" t="s">
        <v>204</v>
      </c>
      <c r="Z4" s="40" t="s">
        <v>174</v>
      </c>
      <c r="AA4" s="40" t="s">
        <v>8288</v>
      </c>
      <c r="AB4" s="46" t="s">
        <v>94</v>
      </c>
      <c r="AC4" s="46" t="s">
        <v>216</v>
      </c>
      <c r="AD4" s="46" t="s">
        <v>71</v>
      </c>
      <c r="AE4" s="46" t="s">
        <v>8285</v>
      </c>
      <c r="AF4" s="46" t="s">
        <v>212</v>
      </c>
      <c r="AG4" s="46" t="s">
        <v>8296</v>
      </c>
      <c r="AH4" s="46" t="s">
        <v>165</v>
      </c>
      <c r="AI4" s="46" t="s">
        <v>8294</v>
      </c>
      <c r="AJ4" s="46" t="s">
        <v>8302</v>
      </c>
      <c r="AK4" s="46" t="s">
        <v>8295</v>
      </c>
      <c r="AL4" s="46" t="s">
        <v>178</v>
      </c>
      <c r="AM4" s="46" t="s">
        <v>8312</v>
      </c>
      <c r="AN4" s="40" t="s">
        <v>8287</v>
      </c>
      <c r="AO4" s="40" t="s">
        <v>8286</v>
      </c>
      <c r="AP4" s="40" t="s">
        <v>8291</v>
      </c>
      <c r="AQ4" s="40" t="s">
        <v>188</v>
      </c>
      <c r="AR4" s="40" t="s">
        <v>201</v>
      </c>
      <c r="AS4" s="40" t="s">
        <v>336</v>
      </c>
      <c r="AT4" s="40" t="s">
        <v>8293</v>
      </c>
      <c r="AU4" s="40" t="s">
        <v>8290</v>
      </c>
      <c r="AV4" s="40" t="s">
        <v>324</v>
      </c>
      <c r="AW4" s="40" t="s">
        <v>182</v>
      </c>
      <c r="AX4" s="40" t="s">
        <v>236</v>
      </c>
      <c r="AY4" s="40" t="s">
        <v>8292</v>
      </c>
      <c r="AZ4" s="40" t="s">
        <v>8289</v>
      </c>
      <c r="BA4" s="40" t="s">
        <v>8310</v>
      </c>
      <c r="BB4" s="40" t="s">
        <v>8309</v>
      </c>
      <c r="BC4" s="40" t="s">
        <v>8301</v>
      </c>
      <c r="BD4" s="40" t="s">
        <v>59</v>
      </c>
      <c r="BE4" s="27" t="s">
        <v>8284</v>
      </c>
      <c r="BF4" s="99" t="s">
        <v>8336</v>
      </c>
      <c r="BG4" s="100" t="s">
        <v>8337</v>
      </c>
      <c r="BH4" s="26" t="s">
        <v>8335</v>
      </c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</row>
    <row r="5" s="2" customFormat="1" ht="15.75" customHeight="1" spans="1:79">
      <c r="A5" s="30"/>
      <c r="B5" s="30" t="s">
        <v>8338</v>
      </c>
      <c r="C5" s="31"/>
      <c r="D5" s="32" t="e">
        <f>+#REF!</f>
        <v>#REF!</v>
      </c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86"/>
      <c r="BC5" s="86"/>
      <c r="BD5" s="34"/>
      <c r="BE5" s="33"/>
      <c r="BF5" s="34"/>
      <c r="BG5" s="34"/>
      <c r="BH5" s="34" t="e">
        <f ca="1">BH6+BH19+BH58</f>
        <v>#REF!</v>
      </c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</row>
    <row r="6" s="3" customFormat="1" ht="15.75" customHeight="1" spans="1:79">
      <c r="A6" s="35">
        <v>1</v>
      </c>
      <c r="B6" s="36" t="s">
        <v>8339</v>
      </c>
      <c r="C6" s="37" t="s">
        <v>8303</v>
      </c>
      <c r="D6" s="33" t="e">
        <f>+#REF!</f>
        <v>#REF!</v>
      </c>
      <c r="E6" s="38" t="e">
        <f ca="1">$D6-$BF6</f>
        <v>#REF!</v>
      </c>
      <c r="F6" s="33">
        <f ca="1">SUM(F11:F18)</f>
        <v>0</v>
      </c>
      <c r="G6" s="33">
        <f ca="1">SUM(G7,G11:G18)</f>
        <v>0</v>
      </c>
      <c r="H6" s="33">
        <f ca="1">SUM(H7,H11:H18)</f>
        <v>0</v>
      </c>
      <c r="I6" s="33">
        <f ca="1">SUM(I7,I11:I18)</f>
        <v>0</v>
      </c>
      <c r="J6" s="33">
        <f ca="1">SUM(J7,J12:J18)</f>
        <v>0</v>
      </c>
      <c r="K6" s="33">
        <f ca="1">SUM(K7,K11,K13:K18)</f>
        <v>0</v>
      </c>
      <c r="L6" s="33">
        <f ca="1">SUM(L7,L11:L12,L14:L18)</f>
        <v>0</v>
      </c>
      <c r="M6" s="33">
        <f ca="1">SUM(M7,M11:M13,M15:M18)</f>
        <v>0</v>
      </c>
      <c r="N6" s="33">
        <f ca="1">SUM(N7,N11:N14,N16:N18)</f>
        <v>0</v>
      </c>
      <c r="O6" s="33">
        <f ca="1">SUM(O7,O11:O15,O17:O18)</f>
        <v>0</v>
      </c>
      <c r="P6" s="33">
        <f ca="1">SUM(P7,P11:P16,P18:P18)</f>
        <v>0</v>
      </c>
      <c r="Q6" s="33">
        <f ca="1">SUM(Q7,Q11:Q17)</f>
        <v>0</v>
      </c>
      <c r="R6" s="33">
        <f ca="1">SUM(R7,R11:R18)</f>
        <v>0</v>
      </c>
      <c r="S6" s="33">
        <f ca="1">SUM(S7,S11:S18)</f>
        <v>0</v>
      </c>
      <c r="T6" s="33">
        <f ca="1" t="shared" ref="T6:BE6" si="0">SUM(T7,T11:T18)</f>
        <v>0</v>
      </c>
      <c r="U6" s="33">
        <f ca="1" t="shared" si="0"/>
        <v>0</v>
      </c>
      <c r="V6" s="33">
        <f ca="1" t="shared" si="0"/>
        <v>0</v>
      </c>
      <c r="W6" s="33">
        <f ca="1" t="shared" si="0"/>
        <v>0</v>
      </c>
      <c r="X6" s="33">
        <f ca="1" t="shared" si="0"/>
        <v>0</v>
      </c>
      <c r="Y6" s="33">
        <f ca="1" t="shared" si="0"/>
        <v>0</v>
      </c>
      <c r="Z6" s="33">
        <f ca="1" t="shared" si="0"/>
        <v>0</v>
      </c>
      <c r="AA6" s="33">
        <f ca="1" t="shared" si="0"/>
        <v>0</v>
      </c>
      <c r="AB6" s="33">
        <f ca="1" t="shared" si="0"/>
        <v>0</v>
      </c>
      <c r="AC6" s="33">
        <f ca="1" t="shared" si="0"/>
        <v>0</v>
      </c>
      <c r="AD6" s="33">
        <f ca="1" t="shared" si="0"/>
        <v>0</v>
      </c>
      <c r="AE6" s="33">
        <f ca="1" t="shared" si="0"/>
        <v>0</v>
      </c>
      <c r="AF6" s="33">
        <f ca="1" t="shared" si="0"/>
        <v>0</v>
      </c>
      <c r="AG6" s="33">
        <f ca="1" t="shared" si="0"/>
        <v>0</v>
      </c>
      <c r="AH6" s="33">
        <f ca="1" t="shared" si="0"/>
        <v>0</v>
      </c>
      <c r="AI6" s="33">
        <f ca="1" t="shared" si="0"/>
        <v>0</v>
      </c>
      <c r="AJ6" s="33">
        <f ca="1" t="shared" si="0"/>
        <v>0</v>
      </c>
      <c r="AK6" s="33">
        <f ca="1" t="shared" si="0"/>
        <v>0</v>
      </c>
      <c r="AL6" s="33">
        <f ca="1" t="shared" si="0"/>
        <v>0</v>
      </c>
      <c r="AM6" s="33">
        <f ca="1" t="shared" si="0"/>
        <v>0</v>
      </c>
      <c r="AN6" s="33">
        <f ca="1" t="shared" si="0"/>
        <v>0</v>
      </c>
      <c r="AO6" s="33">
        <f ca="1" t="shared" si="0"/>
        <v>0</v>
      </c>
      <c r="AP6" s="33">
        <f ca="1" t="shared" si="0"/>
        <v>0</v>
      </c>
      <c r="AQ6" s="33">
        <f ca="1" t="shared" si="0"/>
        <v>0</v>
      </c>
      <c r="AR6" s="33">
        <f ca="1" t="shared" si="0"/>
        <v>0</v>
      </c>
      <c r="AS6" s="33">
        <f ca="1" t="shared" si="0"/>
        <v>0</v>
      </c>
      <c r="AT6" s="33">
        <f ca="1" t="shared" si="0"/>
        <v>0</v>
      </c>
      <c r="AU6" s="33">
        <f ca="1" t="shared" si="0"/>
        <v>0</v>
      </c>
      <c r="AV6" s="33">
        <f ca="1" t="shared" si="0"/>
        <v>0</v>
      </c>
      <c r="AW6" s="33">
        <f ca="1" t="shared" si="0"/>
        <v>0</v>
      </c>
      <c r="AX6" s="33">
        <f ca="1" t="shared" si="0"/>
        <v>0</v>
      </c>
      <c r="AY6" s="33">
        <f ca="1" t="shared" si="0"/>
        <v>0</v>
      </c>
      <c r="AZ6" s="33">
        <f ca="1" t="shared" si="0"/>
        <v>0</v>
      </c>
      <c r="BA6" s="33">
        <f ca="1" t="shared" si="0"/>
        <v>0</v>
      </c>
      <c r="BB6" s="33">
        <f ca="1" t="shared" si="0"/>
        <v>0</v>
      </c>
      <c r="BC6" s="33">
        <f ca="1" t="shared" si="0"/>
        <v>0</v>
      </c>
      <c r="BD6" s="33">
        <f ca="1" t="shared" si="0"/>
        <v>0</v>
      </c>
      <c r="BE6" s="33">
        <f ca="1" t="shared" si="0"/>
        <v>0</v>
      </c>
      <c r="BF6" s="74">
        <f ca="1">BE6+R6</f>
        <v>0</v>
      </c>
      <c r="BG6" s="101">
        <f ca="1">E$59-$BF6</f>
        <v>0</v>
      </c>
      <c r="BH6" s="33" t="e">
        <f ca="1">SUM(BH7,BH11:BH18)</f>
        <v>#REF!</v>
      </c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</row>
    <row r="7" s="2" customFormat="1" ht="15.75" customHeight="1" spans="1:79">
      <c r="A7" s="39" t="s">
        <v>27</v>
      </c>
      <c r="B7" s="39" t="s">
        <v>8340</v>
      </c>
      <c r="C7" s="40" t="s">
        <v>8298</v>
      </c>
      <c r="D7" s="41" t="e">
        <f>+#REF!</f>
        <v>#REF!</v>
      </c>
      <c r="E7" s="42">
        <f ca="1">SUM(J7:Q7)</f>
        <v>0</v>
      </c>
      <c r="F7" s="43" t="e">
        <f ca="1">$D7-$BF7</f>
        <v>#REF!</v>
      </c>
      <c r="G7" s="44">
        <f ca="1">SUM(G9:G10)</f>
        <v>0</v>
      </c>
      <c r="H7" s="44">
        <f ca="1">SUM(H8,H10)</f>
        <v>0</v>
      </c>
      <c r="I7" s="44">
        <f ca="1">SUM(I8:I9)</f>
        <v>0</v>
      </c>
      <c r="J7" s="44">
        <f ca="1">SUM(J8:J10)</f>
        <v>0</v>
      </c>
      <c r="K7" s="44">
        <f ca="1" t="shared" ref="K7:Q7" si="1">SUM(K8:K10)</f>
        <v>0</v>
      </c>
      <c r="L7" s="44">
        <f ca="1" t="shared" si="1"/>
        <v>0</v>
      </c>
      <c r="M7" s="44">
        <f ca="1" t="shared" si="1"/>
        <v>0</v>
      </c>
      <c r="N7" s="44">
        <f ca="1" t="shared" si="1"/>
        <v>0</v>
      </c>
      <c r="O7" s="44">
        <f ca="1" t="shared" si="1"/>
        <v>0</v>
      </c>
      <c r="P7" s="44">
        <f ca="1" t="shared" si="1"/>
        <v>0</v>
      </c>
      <c r="Q7" s="44">
        <f ca="1" t="shared" si="1"/>
        <v>0</v>
      </c>
      <c r="R7" s="42">
        <f ca="1" t="shared" ref="R7:R18" si="2">SUM(S7:AA7,AN7:BD7)</f>
        <v>0</v>
      </c>
      <c r="S7" s="52">
        <f ca="1" t="shared" ref="S7:AY7" si="3">SUM(S8:S10)</f>
        <v>0</v>
      </c>
      <c r="T7" s="52">
        <f ca="1" t="shared" si="3"/>
        <v>0</v>
      </c>
      <c r="U7" s="52">
        <f ca="1" t="shared" si="3"/>
        <v>0</v>
      </c>
      <c r="V7" s="52">
        <f ca="1" t="shared" si="3"/>
        <v>0</v>
      </c>
      <c r="W7" s="52">
        <f ca="1" t="shared" si="3"/>
        <v>0</v>
      </c>
      <c r="X7" s="52">
        <f ca="1" t="shared" si="3"/>
        <v>0</v>
      </c>
      <c r="Y7" s="52">
        <f ca="1" t="shared" si="3"/>
        <v>0</v>
      </c>
      <c r="Z7" s="52">
        <f ca="1" t="shared" si="3"/>
        <v>0</v>
      </c>
      <c r="AA7" s="52">
        <f ca="1" t="shared" ref="AA7:AA18" si="4">+SUM(AB7:AM7)</f>
        <v>0</v>
      </c>
      <c r="AB7" s="52">
        <f ca="1" t="shared" ref="AB7:AM7" si="5">SUM(AB8:AB10)</f>
        <v>0</v>
      </c>
      <c r="AC7" s="52">
        <f ca="1" t="shared" si="5"/>
        <v>0</v>
      </c>
      <c r="AD7" s="52">
        <f ca="1" t="shared" si="5"/>
        <v>0</v>
      </c>
      <c r="AE7" s="52">
        <f ca="1" t="shared" si="5"/>
        <v>0</v>
      </c>
      <c r="AF7" s="52">
        <f ca="1" t="shared" si="5"/>
        <v>0</v>
      </c>
      <c r="AG7" s="52">
        <f ca="1" t="shared" si="5"/>
        <v>0</v>
      </c>
      <c r="AH7" s="52">
        <f ca="1" t="shared" si="5"/>
        <v>0</v>
      </c>
      <c r="AI7" s="52">
        <f ca="1" t="shared" si="5"/>
        <v>0</v>
      </c>
      <c r="AJ7" s="52">
        <f ca="1" t="shared" si="5"/>
        <v>0</v>
      </c>
      <c r="AK7" s="52">
        <f ca="1" t="shared" si="5"/>
        <v>0</v>
      </c>
      <c r="AL7" s="52">
        <f ca="1" t="shared" si="5"/>
        <v>0</v>
      </c>
      <c r="AM7" s="52">
        <f ca="1" t="shared" si="5"/>
        <v>0</v>
      </c>
      <c r="AN7" s="52">
        <f ca="1" t="shared" si="3"/>
        <v>0</v>
      </c>
      <c r="AO7" s="52">
        <f ca="1" t="shared" si="3"/>
        <v>0</v>
      </c>
      <c r="AP7" s="52">
        <f ca="1" t="shared" si="3"/>
        <v>0</v>
      </c>
      <c r="AQ7" s="52">
        <f ca="1" t="shared" si="3"/>
        <v>0</v>
      </c>
      <c r="AR7" s="52">
        <f ca="1" t="shared" si="3"/>
        <v>0</v>
      </c>
      <c r="AS7" s="52">
        <f ca="1" t="shared" si="3"/>
        <v>0</v>
      </c>
      <c r="AT7" s="52">
        <f ca="1" t="shared" si="3"/>
        <v>0</v>
      </c>
      <c r="AU7" s="52">
        <f ca="1" t="shared" si="3"/>
        <v>0</v>
      </c>
      <c r="AV7" s="52">
        <f ca="1" t="shared" si="3"/>
        <v>0</v>
      </c>
      <c r="AW7" s="52">
        <f ca="1" t="shared" si="3"/>
        <v>0</v>
      </c>
      <c r="AX7" s="52">
        <f ca="1" t="shared" si="3"/>
        <v>0</v>
      </c>
      <c r="AY7" s="52">
        <f ca="1" t="shared" si="3"/>
        <v>0</v>
      </c>
      <c r="AZ7" s="52">
        <f ca="1" t="shared" ref="AZ7:BE7" si="6">SUM(AZ8:AZ10)</f>
        <v>0</v>
      </c>
      <c r="BA7" s="87">
        <f ca="1" t="shared" si="6"/>
        <v>0</v>
      </c>
      <c r="BB7" s="52">
        <f ca="1" t="shared" si="6"/>
        <v>0</v>
      </c>
      <c r="BC7" s="52">
        <f ca="1" t="shared" si="6"/>
        <v>0</v>
      </c>
      <c r="BD7" s="52">
        <f ca="1" t="shared" si="6"/>
        <v>0</v>
      </c>
      <c r="BE7" s="52">
        <f ca="1" t="shared" si="6"/>
        <v>0</v>
      </c>
      <c r="BF7" s="74">
        <f ca="1" t="shared" ref="BF7:BF18" si="7">BE7+R7+E7</f>
        <v>0</v>
      </c>
      <c r="BG7" s="101">
        <f ca="1">F$59-$BF7</f>
        <v>0</v>
      </c>
      <c r="BH7" s="41" t="e">
        <f ca="1" t="shared" ref="BH7:BH18" si="8">BG7+D7</f>
        <v>#REF!</v>
      </c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</row>
    <row r="8" s="4" customFormat="1" ht="15.75" customHeight="1" spans="1:79">
      <c r="A8" s="45"/>
      <c r="B8" s="316" t="s">
        <v>8341</v>
      </c>
      <c r="C8" s="46" t="s">
        <v>8299</v>
      </c>
      <c r="D8" s="47" t="e">
        <f>+#REF!</f>
        <v>#REF!</v>
      </c>
      <c r="E8" s="48">
        <f ca="1">SUM(F8,J8:Q8)</f>
        <v>0</v>
      </c>
      <c r="F8" s="44">
        <f ca="1">SUM(H8:I8)</f>
        <v>0</v>
      </c>
      <c r="G8" s="49" t="e">
        <f ca="1">$D8-$BF8</f>
        <v>#REF!</v>
      </c>
      <c r="H8" s="50">
        <f ca="1">+GETPIVOTDATA("XKL4",'kimlong (2016)'!$A$3,"MA_HT","LUC","MA_QH","LUK")</f>
        <v>0</v>
      </c>
      <c r="I8" s="50">
        <f ca="1">+GETPIVOTDATA("XKL4",'kimlong (2016)'!$A$3,"MA_HT","LUC","MA_QH","LUN")</f>
        <v>0</v>
      </c>
      <c r="J8" s="50">
        <f ca="1">+GETPIVOTDATA("XKL4",'kimlong (2016)'!$A$3,"MA_HT","LUC","MA_QH","HNK")</f>
        <v>0</v>
      </c>
      <c r="K8" s="50">
        <f ca="1">+GETPIVOTDATA("XKL4",'kimlong (2016)'!$A$3,"MA_HT","LUC","MA_QH","CLN")</f>
        <v>0</v>
      </c>
      <c r="L8" s="50">
        <f ca="1">+GETPIVOTDATA("XKL4",'kimlong (2016)'!$A$3,"MA_HT","LUC","MA_QH","RSX")</f>
        <v>0</v>
      </c>
      <c r="M8" s="50">
        <f ca="1">+GETPIVOTDATA("XKL4",'kimlong (2016)'!$A$3,"MA_HT","LUC","MA_QH","RPH")</f>
        <v>0</v>
      </c>
      <c r="N8" s="50">
        <f ca="1">+GETPIVOTDATA("XKL4",'kimlong (2016)'!$A$3,"MA_HT","LUC","MA_QH","RDD")</f>
        <v>0</v>
      </c>
      <c r="O8" s="50">
        <f ca="1">+GETPIVOTDATA("XKL4",'kimlong (2016)'!$A$3,"MA_HT","LUC","MA_QH","NTS")</f>
        <v>0</v>
      </c>
      <c r="P8" s="50">
        <f ca="1">+GETPIVOTDATA("XKL4",'kimlong (2016)'!$A$3,"MA_HT","LUC","MA_QH","LMU")</f>
        <v>0</v>
      </c>
      <c r="Q8" s="50">
        <f ca="1">+GETPIVOTDATA("XKL4",'kimlong (2016)'!$A$3,"MA_HT","LUC","MA_QH","NKH")</f>
        <v>0</v>
      </c>
      <c r="R8" s="48">
        <f ca="1" t="shared" si="2"/>
        <v>0</v>
      </c>
      <c r="S8" s="50">
        <f ca="1">+GETPIVOTDATA("XKL4",'kimlong (2016)'!$A$3,"MA_HT","LUC","MA_QH","CQP")</f>
        <v>0</v>
      </c>
      <c r="T8" s="50">
        <f ca="1">+GETPIVOTDATA("XKL4",'kimlong (2016)'!$A$3,"MA_HT","LUC","MA_QH","CAN")</f>
        <v>0</v>
      </c>
      <c r="U8" s="50">
        <f ca="1">+GETPIVOTDATA("XKL4",'kimlong (2016)'!$A$3,"MA_HT","LUC","MA_QH","SKK")</f>
        <v>0</v>
      </c>
      <c r="V8" s="50">
        <f ca="1">+GETPIVOTDATA("XKL4",'kimlong (2016)'!$A$3,"MA_HT","LUC","MA_QH","SKT")</f>
        <v>0</v>
      </c>
      <c r="W8" s="50">
        <f ca="1">+GETPIVOTDATA("XKL4",'kimlong (2016)'!$A$3,"MA_HT","LUC","MA_QH","SKN")</f>
        <v>0</v>
      </c>
      <c r="X8" s="50">
        <f ca="1">+GETPIVOTDATA("XKL4",'kimlong (2016)'!$A$3,"MA_HT","LUC","MA_QH","TMD")</f>
        <v>0</v>
      </c>
      <c r="Y8" s="50">
        <f ca="1">+GETPIVOTDATA("XKL4",'kimlong (2016)'!$A$3,"MA_HT","LUC","MA_QH","SKC")</f>
        <v>0</v>
      </c>
      <c r="Z8" s="50">
        <f ca="1">+GETPIVOTDATA("XKL4",'kimlong (2016)'!$A$3,"MA_HT","LUC","MA_QH","SKS")</f>
        <v>0</v>
      </c>
      <c r="AA8" s="52">
        <f ca="1" t="shared" si="4"/>
        <v>0</v>
      </c>
      <c r="AB8" s="50">
        <f ca="1">+GETPIVOTDATA("XKL4",'kimlong (2016)'!$A$3,"MA_HT","LUC","MA_QH","DGT")</f>
        <v>0</v>
      </c>
      <c r="AC8" s="50">
        <f ca="1">+GETPIVOTDATA("XKL4",'kimlong (2016)'!$A$3,"MA_HT","LUC","MA_QH","DTL")</f>
        <v>0</v>
      </c>
      <c r="AD8" s="50">
        <f ca="1">+GETPIVOTDATA("XKL4",'kimlong (2016)'!$A$3,"MA_HT","LUC","MA_QH","DNL")</f>
        <v>0</v>
      </c>
      <c r="AE8" s="50">
        <f ca="1">+GETPIVOTDATA("XKL4",'kimlong (2016)'!$A$3,"MA_HT","LUC","MA_QH","DBV")</f>
        <v>0</v>
      </c>
      <c r="AF8" s="50">
        <f ca="1">+GETPIVOTDATA("XKL4",'kimlong (2016)'!$A$3,"MA_HT","LUC","MA_QH","DVH")</f>
        <v>0</v>
      </c>
      <c r="AG8" s="50">
        <f ca="1">+GETPIVOTDATA("XKL4",'kimlong (2016)'!$A$3,"MA_HT","LUC","MA_QH","DYT")</f>
        <v>0</v>
      </c>
      <c r="AH8" s="50">
        <f ca="1">+GETPIVOTDATA("XKL4",'kimlong (2016)'!$A$3,"MA_HT","LUC","MA_QH","DGD")</f>
        <v>0</v>
      </c>
      <c r="AI8" s="50">
        <f ca="1">+GETPIVOTDATA("XKL4",'kimlong (2016)'!$A$3,"MA_HT","LUC","MA_QH","DTT")</f>
        <v>0</v>
      </c>
      <c r="AJ8" s="50">
        <f ca="1">+GETPIVOTDATA("XKL4",'kimlong (2016)'!$A$3,"MA_HT","LUC","MA_QH","NCK")</f>
        <v>0</v>
      </c>
      <c r="AK8" s="50">
        <f ca="1">+GETPIVOTDATA("XKL4",'kimlong (2016)'!$A$3,"MA_HT","LUC","MA_QH","DXH")</f>
        <v>0</v>
      </c>
      <c r="AL8" s="50">
        <f ca="1">+GETPIVOTDATA("XKL4",'kimlong (2016)'!$A$3,"MA_HT","LUC","MA_QH","DCH")</f>
        <v>0</v>
      </c>
      <c r="AM8" s="50">
        <f ca="1">+GETPIVOTDATA("XKL4",'kimlong (2016)'!$A$3,"MA_HT","LUC","MA_QH","DKG")</f>
        <v>0</v>
      </c>
      <c r="AN8" s="50">
        <f ca="1">+GETPIVOTDATA("XKL4",'kimlong (2016)'!$A$3,"MA_HT","LUC","MA_QH","DDT")</f>
        <v>0</v>
      </c>
      <c r="AO8" s="50">
        <f ca="1">+GETPIVOTDATA("XKL4",'kimlong (2016)'!$A$3,"MA_HT","LUC","MA_QH","DDL")</f>
        <v>0</v>
      </c>
      <c r="AP8" s="50">
        <f ca="1">+GETPIVOTDATA("XKL4",'kimlong (2016)'!$A$3,"MA_HT","LUC","MA_QH","DRA")</f>
        <v>0</v>
      </c>
      <c r="AQ8" s="50">
        <f ca="1">+GETPIVOTDATA("XKL4",'kimlong (2016)'!$A$3,"MA_HT","LUC","MA_QH","ONT")</f>
        <v>0</v>
      </c>
      <c r="AR8" s="50">
        <f ca="1">+GETPIVOTDATA("XKL4",'kimlong (2016)'!$A$3,"MA_HT","LUC","MA_QH","ODT")</f>
        <v>0</v>
      </c>
      <c r="AS8" s="50">
        <f ca="1">+GETPIVOTDATA("XKL4",'kimlong (2016)'!$A$3,"MA_HT","LUC","MA_QH","TSC")</f>
        <v>0</v>
      </c>
      <c r="AT8" s="50">
        <f ca="1">+GETPIVOTDATA("XKL4",'kimlong (2016)'!$A$3,"MA_HT","LUC","MA_QH","DTS")</f>
        <v>0</v>
      </c>
      <c r="AU8" s="50">
        <f ca="1">+GETPIVOTDATA("XKL4",'kimlong (2016)'!$A$3,"MA_HT","LUC","MA_QH","DNG")</f>
        <v>0</v>
      </c>
      <c r="AV8" s="50">
        <f ca="1">+GETPIVOTDATA("XKL4",'kimlong (2016)'!$A$3,"MA_HT","LUC","MA_QH","TON")</f>
        <v>0</v>
      </c>
      <c r="AW8" s="50">
        <f ca="1">+GETPIVOTDATA("XKL4",'kimlong (2016)'!$A$3,"MA_HT","LUC","MA_QH","NTD")</f>
        <v>0</v>
      </c>
      <c r="AX8" s="50">
        <f ca="1">+GETPIVOTDATA("XKL4",'kimlong (2016)'!$A$3,"MA_HT","LUC","MA_QH","SKX")</f>
        <v>0</v>
      </c>
      <c r="AY8" s="50">
        <f ca="1">+GETPIVOTDATA("XKL4",'kimlong (2016)'!$A$3,"MA_HT","LUC","MA_QH","DSH")</f>
        <v>0</v>
      </c>
      <c r="AZ8" s="50">
        <f ca="1">+GETPIVOTDATA("XKL4",'kimlong (2016)'!$A$3,"MA_HT","LUC","MA_QH","DKV")</f>
        <v>0</v>
      </c>
      <c r="BA8" s="88">
        <f ca="1">+GETPIVOTDATA("XKL4",'kimlong (2016)'!$A$3,"MA_HT","LUC","MA_QH","TIN")</f>
        <v>0</v>
      </c>
      <c r="BB8" s="50">
        <f ca="1">+GETPIVOTDATA("XKL4",'kimlong (2016)'!$A$3,"MA_HT","LUC","MA_QH","SON")</f>
        <v>0</v>
      </c>
      <c r="BC8" s="50">
        <f ca="1">+GETPIVOTDATA("XKL4",'kimlong (2016)'!$A$3,"MA_HT","LUC","MA_QH","MNC")</f>
        <v>0</v>
      </c>
      <c r="BD8" s="50">
        <f ca="1">+GETPIVOTDATA("XKL4",'kimlong (2016)'!$A$3,"MA_HT","LUC","MA_QH","PNK")</f>
        <v>0</v>
      </c>
      <c r="BE8" s="80">
        <f ca="1">+GETPIVOTDATA("XKL4",'kimlong (2016)'!$A$3,"MA_HT","LUC","MA_QH","CSD")</f>
        <v>0</v>
      </c>
      <c r="BF8" s="103">
        <f ca="1" t="shared" si="7"/>
        <v>0</v>
      </c>
      <c r="BG8" s="104">
        <f ca="1">G$59-$BF8</f>
        <v>0</v>
      </c>
      <c r="BH8" s="47" t="e">
        <f ca="1" t="shared" si="8"/>
        <v>#REF!</v>
      </c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</row>
    <row r="9" s="4" customFormat="1" ht="15.75" customHeight="1" spans="1:79">
      <c r="A9" s="45"/>
      <c r="B9" s="316" t="s">
        <v>8342</v>
      </c>
      <c r="C9" s="46" t="s">
        <v>221</v>
      </c>
      <c r="D9" s="47" t="e">
        <f>+#REF!</f>
        <v>#REF!</v>
      </c>
      <c r="E9" s="48">
        <f ca="1">SUM(F9,J9:Q9)</f>
        <v>0</v>
      </c>
      <c r="F9" s="44">
        <f ca="1">SUM(G9,I9)</f>
        <v>0</v>
      </c>
      <c r="G9" s="51">
        <f ca="1">+GETPIVOTDATA("XKL4",'kimlong (2016)'!$A$3,"MA_HT","LUK","MA_QH","LUC")</f>
        <v>0</v>
      </c>
      <c r="H9" s="49" t="e">
        <f ca="1">$D9-$BF9</f>
        <v>#REF!</v>
      </c>
      <c r="I9" s="50">
        <f ca="1">+GETPIVOTDATA("XKL4",'kimlong (2016)'!$A$3,"MA_HT","LUK","MA_QH","LUN")</f>
        <v>0</v>
      </c>
      <c r="J9" s="50">
        <f ca="1">+GETPIVOTDATA("XKL4",'kimlong (2016)'!$A$3,"MA_HT","LUK","MA_QH","HNK")</f>
        <v>0</v>
      </c>
      <c r="K9" s="50">
        <f ca="1">+GETPIVOTDATA("XKL4",'kimlong (2016)'!$A$3,"MA_HT","LUK","MA_QH","CLN")</f>
        <v>0</v>
      </c>
      <c r="L9" s="50">
        <f ca="1">+GETPIVOTDATA("XKL4",'kimlong (2016)'!$A$3,"MA_HT","LUK","MA_QH","RSX")</f>
        <v>0</v>
      </c>
      <c r="M9" s="50">
        <f ca="1">+GETPIVOTDATA("XKL4",'kimlong (2016)'!$A$3,"MA_HT","LUK","MA_QH","RPH")</f>
        <v>0</v>
      </c>
      <c r="N9" s="50">
        <f ca="1">+GETPIVOTDATA("XKL4",'kimlong (2016)'!$A$3,"MA_HT","LUK","MA_QH","RDD")</f>
        <v>0</v>
      </c>
      <c r="O9" s="50">
        <f ca="1">+GETPIVOTDATA("XKL4",'kimlong (2016)'!$A$3,"MA_HT","LUK","MA_QH","NTS")</f>
        <v>0</v>
      </c>
      <c r="P9" s="50">
        <f ca="1">+GETPIVOTDATA("XKL4",'kimlong (2016)'!$A$3,"MA_HT","LUK","MA_QH","LMU")</f>
        <v>0</v>
      </c>
      <c r="Q9" s="50">
        <f ca="1">+GETPIVOTDATA("XKL4",'kimlong (2016)'!$A$3,"MA_HT","LUK","MA_QH","NKH")</f>
        <v>0</v>
      </c>
      <c r="R9" s="48">
        <f ca="1" t="shared" si="2"/>
        <v>0</v>
      </c>
      <c r="S9" s="50">
        <f ca="1">+GETPIVOTDATA("XKL4",'kimlong (2016)'!$A$3,"MA_HT","LUK","MA_QH","CQP")</f>
        <v>0</v>
      </c>
      <c r="T9" s="50">
        <f ca="1">+GETPIVOTDATA("XKL4",'kimlong (2016)'!$A$3,"MA_HT","LUK","MA_QH","CAN")</f>
        <v>0</v>
      </c>
      <c r="U9" s="50">
        <f ca="1">+GETPIVOTDATA("XKL4",'kimlong (2016)'!$A$3,"MA_HT","LUK","MA_QH","SKK")</f>
        <v>0</v>
      </c>
      <c r="V9" s="50">
        <f ca="1">+GETPIVOTDATA("XKL4",'kimlong (2016)'!$A$3,"MA_HT","LUK","MA_QH","SKT")</f>
        <v>0</v>
      </c>
      <c r="W9" s="50">
        <f ca="1">+GETPIVOTDATA("XKL4",'kimlong (2016)'!$A$3,"MA_HT","LUK","MA_QH","SKN")</f>
        <v>0</v>
      </c>
      <c r="X9" s="50">
        <f ca="1">+GETPIVOTDATA("XKL4",'kimlong (2016)'!$A$3,"MA_HT","LUK","MA_QH","TMD")</f>
        <v>0</v>
      </c>
      <c r="Y9" s="50">
        <f ca="1">+GETPIVOTDATA("XKL4",'kimlong (2016)'!$A$3,"MA_HT","LUK","MA_QH","SKC")</f>
        <v>0</v>
      </c>
      <c r="Z9" s="50">
        <f ca="1">+GETPIVOTDATA("XKL4",'kimlong (2016)'!$A$3,"MA_HT","LUK","MA_QH","SKS")</f>
        <v>0</v>
      </c>
      <c r="AA9" s="52">
        <f ca="1" t="shared" si="4"/>
        <v>0</v>
      </c>
      <c r="AB9" s="50">
        <f ca="1">+GETPIVOTDATA("XKL4",'kimlong (2016)'!$A$3,"MA_HT","LUK","MA_QH","DGT")</f>
        <v>0</v>
      </c>
      <c r="AC9" s="50">
        <f ca="1">+GETPIVOTDATA("XKL4",'kimlong (2016)'!$A$3,"MA_HT","LUK","MA_QH","DTL")</f>
        <v>0</v>
      </c>
      <c r="AD9" s="50">
        <f ca="1">+GETPIVOTDATA("XKL4",'kimlong (2016)'!$A$3,"MA_HT","LUK","MA_QH","DNL")</f>
        <v>0</v>
      </c>
      <c r="AE9" s="50">
        <f ca="1">+GETPIVOTDATA("XKL4",'kimlong (2016)'!$A$3,"MA_HT","LUK","MA_QH","DBV")</f>
        <v>0</v>
      </c>
      <c r="AF9" s="50">
        <f ca="1">+GETPIVOTDATA("XKL4",'kimlong (2016)'!$A$3,"MA_HT","LUK","MA_QH","DVH")</f>
        <v>0</v>
      </c>
      <c r="AG9" s="50">
        <f ca="1">+GETPIVOTDATA("XKL4",'kimlong (2016)'!$A$3,"MA_HT","LUK","MA_QH","DYT")</f>
        <v>0</v>
      </c>
      <c r="AH9" s="50">
        <f ca="1">+GETPIVOTDATA("XKL4",'kimlong (2016)'!$A$3,"MA_HT","LUK","MA_QH","DGD")</f>
        <v>0</v>
      </c>
      <c r="AI9" s="50">
        <f ca="1">+GETPIVOTDATA("XKL4",'kimlong (2016)'!$A$3,"MA_HT","LUK","MA_QH","DTT")</f>
        <v>0</v>
      </c>
      <c r="AJ9" s="50">
        <f ca="1">+GETPIVOTDATA("XKL4",'kimlong (2016)'!$A$3,"MA_HT","LUK","MA_QH","NCK")</f>
        <v>0</v>
      </c>
      <c r="AK9" s="50">
        <f ca="1">+GETPIVOTDATA("XKL4",'kimlong (2016)'!$A$3,"MA_HT","LUK","MA_QH","DXH")</f>
        <v>0</v>
      </c>
      <c r="AL9" s="50">
        <f ca="1">+GETPIVOTDATA("XKL4",'kimlong (2016)'!$A$3,"MA_HT","LUK","MA_QH","DCH")</f>
        <v>0</v>
      </c>
      <c r="AM9" s="50">
        <f ca="1">+GETPIVOTDATA("XKL4",'kimlong (2016)'!$A$3,"MA_HT","LUK","MA_QH","DKG")</f>
        <v>0</v>
      </c>
      <c r="AN9" s="50">
        <f ca="1">+GETPIVOTDATA("XKL4",'kimlong (2016)'!$A$3,"MA_HT","LUK","MA_QH","DDT")</f>
        <v>0</v>
      </c>
      <c r="AO9" s="50">
        <f ca="1">+GETPIVOTDATA("XKL4",'kimlong (2016)'!$A$3,"MA_HT","LUK","MA_QH","DDL")</f>
        <v>0</v>
      </c>
      <c r="AP9" s="50">
        <f ca="1">+GETPIVOTDATA("XKL4",'kimlong (2016)'!$A$3,"MA_HT","LUK","MA_QH","DRA")</f>
        <v>0</v>
      </c>
      <c r="AQ9" s="50">
        <f ca="1">+GETPIVOTDATA("XKL4",'kimlong (2016)'!$A$3,"MA_HT","LUK","MA_QH","ONT")</f>
        <v>0</v>
      </c>
      <c r="AR9" s="50">
        <f ca="1">+GETPIVOTDATA("XKL4",'kimlong (2016)'!$A$3,"MA_HT","LUK","MA_QH","ODT")</f>
        <v>0</v>
      </c>
      <c r="AS9" s="50">
        <f ca="1">+GETPIVOTDATA("XKL4",'kimlong (2016)'!$A$3,"MA_HT","LUK","MA_QH","TSC")</f>
        <v>0</v>
      </c>
      <c r="AT9" s="50">
        <f ca="1">+GETPIVOTDATA("XKL4",'kimlong (2016)'!$A$3,"MA_HT","LUK","MA_QH","DTS")</f>
        <v>0</v>
      </c>
      <c r="AU9" s="50">
        <f ca="1">+GETPIVOTDATA("XKL4",'kimlong (2016)'!$A$3,"MA_HT","LUK","MA_QH","DNG")</f>
        <v>0</v>
      </c>
      <c r="AV9" s="50">
        <f ca="1">+GETPIVOTDATA("XKL4",'kimlong (2016)'!$A$3,"MA_HT","LUK","MA_QH","TON")</f>
        <v>0</v>
      </c>
      <c r="AW9" s="50">
        <f ca="1">+GETPIVOTDATA("XKL4",'kimlong (2016)'!$A$3,"MA_HT","LUK","MA_QH","NTD")</f>
        <v>0</v>
      </c>
      <c r="AX9" s="50">
        <f ca="1">+GETPIVOTDATA("XKL4",'kimlong (2016)'!$A$3,"MA_HT","LUK","MA_QH","SKX")</f>
        <v>0</v>
      </c>
      <c r="AY9" s="50">
        <f ca="1">+GETPIVOTDATA("XKL4",'kimlong (2016)'!$A$3,"MA_HT","LUK","MA_QH","DSH")</f>
        <v>0</v>
      </c>
      <c r="AZ9" s="50">
        <f ca="1">+GETPIVOTDATA("XKL4",'kimlong (2016)'!$A$3,"MA_HT","LUK","MA_QH","DKV")</f>
        <v>0</v>
      </c>
      <c r="BA9" s="88">
        <f ca="1">+GETPIVOTDATA("XKL4",'kimlong (2016)'!$A$3,"MA_HT","LUK","MA_QH","TIN")</f>
        <v>0</v>
      </c>
      <c r="BB9" s="50">
        <f ca="1">+GETPIVOTDATA("XKL4",'kimlong (2016)'!$A$3,"MA_HT","LUK","MA_QH","SON")</f>
        <v>0</v>
      </c>
      <c r="BC9" s="50">
        <f ca="1">+GETPIVOTDATA("XKL4",'kimlong (2016)'!$A$3,"MA_HT","LUK","MA_QH","MNC")</f>
        <v>0</v>
      </c>
      <c r="BD9" s="50">
        <f ca="1">+GETPIVOTDATA("XKL4",'kimlong (2016)'!$A$3,"MA_HT","LUK","MA_QH","PNK")</f>
        <v>0</v>
      </c>
      <c r="BE9" s="80">
        <f ca="1">+GETPIVOTDATA("XKL4",'kimlong (2016)'!$A$3,"MA_HT","LUK","MA_QH","CSD")</f>
        <v>0</v>
      </c>
      <c r="BF9" s="103">
        <f ca="1" t="shared" si="7"/>
        <v>0</v>
      </c>
      <c r="BG9" s="104">
        <f ca="1">H$59-$BF9</f>
        <v>0</v>
      </c>
      <c r="BH9" s="47" t="e">
        <f ca="1" t="shared" si="8"/>
        <v>#REF!</v>
      </c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</row>
    <row r="10" s="4" customFormat="1" ht="15.75" customHeight="1" spans="1:79">
      <c r="A10" s="45"/>
      <c r="B10" s="316" t="s">
        <v>8343</v>
      </c>
      <c r="C10" s="46" t="s">
        <v>8300</v>
      </c>
      <c r="D10" s="47" t="e">
        <f>+#REF!</f>
        <v>#REF!</v>
      </c>
      <c r="E10" s="48">
        <f ca="1">SUM(J10:Q10,F10)</f>
        <v>0</v>
      </c>
      <c r="F10" s="44">
        <f ca="1">SUM(G10:H10)</f>
        <v>0</v>
      </c>
      <c r="G10" s="50">
        <f ca="1">+GETPIVOTDATA("XKL4",'kimlong (2016)'!$A$3,"MA_HT","LUN","MA_QH","LUC")</f>
        <v>0</v>
      </c>
      <c r="H10" s="50">
        <f ca="1">+GETPIVOTDATA("XKL4",'kimlong (2016)'!$A$3,"MA_HT","LUN","MA_QH","LUK")</f>
        <v>0</v>
      </c>
      <c r="I10" s="49" t="e">
        <f ca="1">$D10-$BF10</f>
        <v>#REF!</v>
      </c>
      <c r="J10" s="50">
        <f ca="1">+GETPIVOTDATA("XKL4",'kimlong (2016)'!$A$3,"MA_HT","LUN","MA_QH","HNK")</f>
        <v>0</v>
      </c>
      <c r="K10" s="50">
        <f ca="1">+GETPIVOTDATA("XKL4",'kimlong (2016)'!$A$3,"MA_HT","LUN","MA_QH","CLN")</f>
        <v>0</v>
      </c>
      <c r="L10" s="50">
        <f ca="1">+GETPIVOTDATA("XKL4",'kimlong (2016)'!$A$3,"MA_HT","LUN","MA_QH","RSX")</f>
        <v>0</v>
      </c>
      <c r="M10" s="50">
        <f ca="1">+GETPIVOTDATA("XKL4",'kimlong (2016)'!$A$3,"MA_HT","LUN","MA_QH","RPH")</f>
        <v>0</v>
      </c>
      <c r="N10" s="50">
        <f ca="1">+GETPIVOTDATA("XKL4",'kimlong (2016)'!$A$3,"MA_HT","LUN","MA_QH","RDD")</f>
        <v>0</v>
      </c>
      <c r="O10" s="50">
        <f ca="1">+GETPIVOTDATA("XKL4",'kimlong (2016)'!$A$3,"MA_HT","LUN","MA_QH","NTS")</f>
        <v>0</v>
      </c>
      <c r="P10" s="50">
        <f ca="1">+GETPIVOTDATA("XKL4",'kimlong (2016)'!$A$3,"MA_HT","LUN","MA_QH","LMU")</f>
        <v>0</v>
      </c>
      <c r="Q10" s="50">
        <f ca="1">+GETPIVOTDATA("XKL4",'kimlong (2016)'!$A$3,"MA_HT","LUN","MA_QH","NKH")</f>
        <v>0</v>
      </c>
      <c r="R10" s="48">
        <f ca="1" t="shared" si="2"/>
        <v>0</v>
      </c>
      <c r="S10" s="50">
        <f ca="1">+GETPIVOTDATA("XKL4",'kimlong (2016)'!$A$3,"MA_HT","LUN","MA_QH","CQP")</f>
        <v>0</v>
      </c>
      <c r="T10" s="50">
        <f ca="1">+GETPIVOTDATA("XKL4",'kimlong (2016)'!$A$3,"MA_HT","LUN","MA_QH","CAN")</f>
        <v>0</v>
      </c>
      <c r="U10" s="50">
        <f ca="1">+GETPIVOTDATA("XKL4",'kimlong (2016)'!$A$3,"MA_HT","LUN","MA_QH","SKK")</f>
        <v>0</v>
      </c>
      <c r="V10" s="50">
        <f ca="1">+GETPIVOTDATA("XKL4",'kimlong (2016)'!$A$3,"MA_HT","LUN","MA_QH","SKT")</f>
        <v>0</v>
      </c>
      <c r="W10" s="50">
        <f ca="1">+GETPIVOTDATA("XKL4",'kimlong (2016)'!$A$3,"MA_HT","LUN","MA_QH","SKN")</f>
        <v>0</v>
      </c>
      <c r="X10" s="50">
        <f ca="1">+GETPIVOTDATA("XKL4",'kimlong (2016)'!$A$3,"MA_HT","LUN","MA_QH","TMD")</f>
        <v>0</v>
      </c>
      <c r="Y10" s="50">
        <f ca="1">+GETPIVOTDATA("XKL4",'kimlong (2016)'!$A$3,"MA_HT","LUN","MA_QH","SKC")</f>
        <v>0</v>
      </c>
      <c r="Z10" s="50">
        <f ca="1">+GETPIVOTDATA("XKL4",'kimlong (2016)'!$A$3,"MA_HT","LUN","MA_QH","SKS")</f>
        <v>0</v>
      </c>
      <c r="AA10" s="52">
        <f ca="1" t="shared" si="4"/>
        <v>0</v>
      </c>
      <c r="AB10" s="50">
        <f ca="1">+GETPIVOTDATA("XKL4",'kimlong (2016)'!$A$3,"MA_HT","LUN","MA_QH","DGT")</f>
        <v>0</v>
      </c>
      <c r="AC10" s="50">
        <f ca="1">+GETPIVOTDATA("XKL4",'kimlong (2016)'!$A$3,"MA_HT","LUN","MA_QH","DTL")</f>
        <v>0</v>
      </c>
      <c r="AD10" s="50">
        <f ca="1">+GETPIVOTDATA("XKL4",'kimlong (2016)'!$A$3,"MA_HT","LUN","MA_QH","DNL")</f>
        <v>0</v>
      </c>
      <c r="AE10" s="50">
        <f ca="1">+GETPIVOTDATA("XKL4",'kimlong (2016)'!$A$3,"MA_HT","LUN","MA_QH","DBV")</f>
        <v>0</v>
      </c>
      <c r="AF10" s="50">
        <f ca="1">+GETPIVOTDATA("XKL4",'kimlong (2016)'!$A$3,"MA_HT","LUN","MA_QH","DVH")</f>
        <v>0</v>
      </c>
      <c r="AG10" s="50">
        <f ca="1">+GETPIVOTDATA("XKL4",'kimlong (2016)'!$A$3,"MA_HT","LUN","MA_QH","DYT")</f>
        <v>0</v>
      </c>
      <c r="AH10" s="50">
        <f ca="1">+GETPIVOTDATA("XKL4",'kimlong (2016)'!$A$3,"MA_HT","LUN","MA_QH","DGD")</f>
        <v>0</v>
      </c>
      <c r="AI10" s="50">
        <f ca="1">+GETPIVOTDATA("XKL4",'kimlong (2016)'!$A$3,"MA_HT","LUN","MA_QH","DTT")</f>
        <v>0</v>
      </c>
      <c r="AJ10" s="50">
        <f ca="1">+GETPIVOTDATA("XKL4",'kimlong (2016)'!$A$3,"MA_HT","LUN","MA_QH","NCK")</f>
        <v>0</v>
      </c>
      <c r="AK10" s="50">
        <f ca="1">+GETPIVOTDATA("XKL4",'kimlong (2016)'!$A$3,"MA_HT","LUN","MA_QH","DXH")</f>
        <v>0</v>
      </c>
      <c r="AL10" s="50">
        <f ca="1">+GETPIVOTDATA("XKL4",'kimlong (2016)'!$A$3,"MA_HT","LUN","MA_QH","DCH")</f>
        <v>0</v>
      </c>
      <c r="AM10" s="50">
        <f ca="1">+GETPIVOTDATA("XKL4",'kimlong (2016)'!$A$3,"MA_HT","LUN","MA_QH","DKG")</f>
        <v>0</v>
      </c>
      <c r="AN10" s="50">
        <f ca="1">+GETPIVOTDATA("XKL4",'kimlong (2016)'!$A$3,"MA_HT","LUN","MA_QH","DDT")</f>
        <v>0</v>
      </c>
      <c r="AO10" s="50">
        <f ca="1">+GETPIVOTDATA("XKL4",'kimlong (2016)'!$A$3,"MA_HT","LUN","MA_QH","DDL")</f>
        <v>0</v>
      </c>
      <c r="AP10" s="50">
        <f ca="1">+GETPIVOTDATA("XKL4",'kimlong (2016)'!$A$3,"MA_HT","LUN","MA_QH","DRA")</f>
        <v>0</v>
      </c>
      <c r="AQ10" s="50">
        <f ca="1">+GETPIVOTDATA("XKL4",'kimlong (2016)'!$A$3,"MA_HT","LUN","MA_QH","ONT")</f>
        <v>0</v>
      </c>
      <c r="AR10" s="50">
        <f ca="1">+GETPIVOTDATA("XKL4",'kimlong (2016)'!$A$3,"MA_HT","LUN","MA_QH","ODT")</f>
        <v>0</v>
      </c>
      <c r="AS10" s="50">
        <f ca="1">+GETPIVOTDATA("XKL4",'kimlong (2016)'!$A$3,"MA_HT","LUN","MA_QH","TSC")</f>
        <v>0</v>
      </c>
      <c r="AT10" s="50">
        <f ca="1">+GETPIVOTDATA("XKL4",'kimlong (2016)'!$A$3,"MA_HT","LUN","MA_QH","DTS")</f>
        <v>0</v>
      </c>
      <c r="AU10" s="50">
        <f ca="1">+GETPIVOTDATA("XKL4",'kimlong (2016)'!$A$3,"MA_HT","LUN","MA_QH","DNG")</f>
        <v>0</v>
      </c>
      <c r="AV10" s="50">
        <f ca="1">+GETPIVOTDATA("XKL4",'kimlong (2016)'!$A$3,"MA_HT","LUN","MA_QH","TON")</f>
        <v>0</v>
      </c>
      <c r="AW10" s="50">
        <f ca="1">+GETPIVOTDATA("XKL4",'kimlong (2016)'!$A$3,"MA_HT","LUN","MA_QH","NTD")</f>
        <v>0</v>
      </c>
      <c r="AX10" s="50">
        <f ca="1">+GETPIVOTDATA("XKL4",'kimlong (2016)'!$A$3,"MA_HT","LUN","MA_QH","SKX")</f>
        <v>0</v>
      </c>
      <c r="AY10" s="50">
        <f ca="1">+GETPIVOTDATA("XKL4",'kimlong (2016)'!$A$3,"MA_HT","LUN","MA_QH","DSH")</f>
        <v>0</v>
      </c>
      <c r="AZ10" s="50">
        <f ca="1">+GETPIVOTDATA("XKL4",'kimlong (2016)'!$A$3,"MA_HT","LUN","MA_QH","DKV")</f>
        <v>0</v>
      </c>
      <c r="BA10" s="88">
        <f ca="1">+GETPIVOTDATA("XKL4",'kimlong (2016)'!$A$3,"MA_HT","LUN","MA_QH","TIN")</f>
        <v>0</v>
      </c>
      <c r="BB10" s="50">
        <f ca="1">+GETPIVOTDATA("XKL4",'kimlong (2016)'!$A$3,"MA_HT","LUN","MA_QH","SON")</f>
        <v>0</v>
      </c>
      <c r="BC10" s="50">
        <f ca="1">+GETPIVOTDATA("XKL4",'kimlong (2016)'!$A$3,"MA_HT","LUN","MA_QH","MNC")</f>
        <v>0</v>
      </c>
      <c r="BD10" s="50">
        <f ca="1">+GETPIVOTDATA("XKL4",'kimlong (2016)'!$A$3,"MA_HT","LUN","MA_QH","PNK")</f>
        <v>0</v>
      </c>
      <c r="BE10" s="80">
        <f ca="1">+GETPIVOTDATA("XKL4",'kimlong (2016)'!$A$3,"MA_HT","LUN","MA_QH","CSD")</f>
        <v>0</v>
      </c>
      <c r="BF10" s="103">
        <f ca="1" t="shared" si="7"/>
        <v>0</v>
      </c>
      <c r="BG10" s="104">
        <f ca="1">I$59-$BF10</f>
        <v>0</v>
      </c>
      <c r="BH10" s="47" t="e">
        <f ca="1" t="shared" si="8"/>
        <v>#REF!</v>
      </c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</row>
    <row r="11" s="2" customFormat="1" ht="15.75" customHeight="1" spans="1:79">
      <c r="A11" s="39" t="s">
        <v>40</v>
      </c>
      <c r="B11" s="39" t="s">
        <v>8344</v>
      </c>
      <c r="C11" s="40" t="s">
        <v>2492</v>
      </c>
      <c r="D11" s="47" t="e">
        <f>+#REF!</f>
        <v>#REF!</v>
      </c>
      <c r="E11" s="42">
        <f ca="1">SUM(K11:Q11,F11)</f>
        <v>0</v>
      </c>
      <c r="F11" s="52">
        <f ca="1">SUM(G11:I11)</f>
        <v>0</v>
      </c>
      <c r="G11" s="22">
        <f ca="1">+GETPIVOTDATA("XKL4",'kimlong (2016)'!$A$3,"MA_HT","HNK","MA_QH","LUC")</f>
        <v>0</v>
      </c>
      <c r="H11" s="22">
        <f ca="1">+GETPIVOTDATA("XKL4",'kimlong (2016)'!$A$3,"MA_HT","HNK","MA_QH","LUK")</f>
        <v>0</v>
      </c>
      <c r="I11" s="22">
        <f ca="1">+GETPIVOTDATA("XKL4",'kimlong (2016)'!$A$3,"MA_HT","HNK","MA_QH","LUN")</f>
        <v>0</v>
      </c>
      <c r="J11" s="43" t="e">
        <f ca="1">$D11-$BF11</f>
        <v>#REF!</v>
      </c>
      <c r="K11" s="22">
        <f ca="1">+GETPIVOTDATA("XKL4",'kimlong (2016)'!$A$3,"MA_HT","HNK","MA_QH","CLN")</f>
        <v>0</v>
      </c>
      <c r="L11" s="22">
        <f ca="1">+GETPIVOTDATA("XKL4",'kimlong (2016)'!$A$3,"MA_HT","HNK","MA_QH","RSX")</f>
        <v>0</v>
      </c>
      <c r="M11" s="22">
        <f ca="1">+GETPIVOTDATA("XKL4",'kimlong (2016)'!$A$3,"MA_HT","HNK","MA_QH","RPH")</f>
        <v>0</v>
      </c>
      <c r="N11" s="22">
        <f ca="1">+GETPIVOTDATA("XKL4",'kimlong (2016)'!$A$3,"MA_HT","HNK","MA_QH","RDD")</f>
        <v>0</v>
      </c>
      <c r="O11" s="22">
        <f ca="1">+GETPIVOTDATA("XKL4",'kimlong (2016)'!$A$3,"MA_HT","HNK","MA_QH","NTS")</f>
        <v>0</v>
      </c>
      <c r="P11" s="22">
        <f ca="1">+GETPIVOTDATA("XKL4",'kimlong (2016)'!$A$3,"MA_HT","HNK","MA_QH","LMU")</f>
        <v>0</v>
      </c>
      <c r="Q11" s="22">
        <f ca="1">+GETPIVOTDATA("XKL4",'kimlong (2016)'!$A$3,"MA_HT","HNK","MA_QH","NKH")</f>
        <v>0</v>
      </c>
      <c r="R11" s="42">
        <f ca="1" t="shared" si="2"/>
        <v>0</v>
      </c>
      <c r="S11" s="22">
        <f ca="1">+GETPIVOTDATA("XKL4",'kimlong (2016)'!$A$3,"MA_HT","HNK","MA_QH","CQP")</f>
        <v>0</v>
      </c>
      <c r="T11" s="22">
        <f ca="1">+GETPIVOTDATA("XKL4",'kimlong (2016)'!$A$3,"MA_HT","HNK","MA_QH","CAN")</f>
        <v>0</v>
      </c>
      <c r="U11" s="22">
        <f ca="1">+GETPIVOTDATA("XKL4",'kimlong (2016)'!$A$3,"MA_HT","HNK","MA_QH","SKK")</f>
        <v>0</v>
      </c>
      <c r="V11" s="22">
        <f ca="1">+GETPIVOTDATA("XKL4",'kimlong (2016)'!$A$3,"MA_HT","HNK","MA_QH","SKT")</f>
        <v>0</v>
      </c>
      <c r="W11" s="22">
        <f ca="1">+GETPIVOTDATA("XKL4",'kimlong (2016)'!$A$3,"MA_HT","HNK","MA_QH","SKN")</f>
        <v>0</v>
      </c>
      <c r="X11" s="22">
        <f ca="1">+GETPIVOTDATA("XKL4",'kimlong (2016)'!$A$3,"MA_HT","HNK","MA_QH","TMD")</f>
        <v>0</v>
      </c>
      <c r="Y11" s="22">
        <f ca="1">+GETPIVOTDATA("XKL4",'kimlong (2016)'!$A$3,"MA_HT","HNK","MA_QH","SKC")</f>
        <v>0</v>
      </c>
      <c r="Z11" s="22">
        <f ca="1">+GETPIVOTDATA("XKL4",'kimlong (2016)'!$A$3,"MA_HT","HNK","MA_QH","SKS")</f>
        <v>0</v>
      </c>
      <c r="AA11" s="52">
        <f ca="1" t="shared" si="4"/>
        <v>0</v>
      </c>
      <c r="AB11" s="22">
        <f ca="1">+GETPIVOTDATA("XKL4",'kimlong (2016)'!$A$3,"MA_HT","HNK","MA_QH","DGT")</f>
        <v>0</v>
      </c>
      <c r="AC11" s="22">
        <f ca="1">+GETPIVOTDATA("XKL4",'kimlong (2016)'!$A$3,"MA_HT","HNK","MA_QH","DTL")</f>
        <v>0</v>
      </c>
      <c r="AD11" s="22">
        <f ca="1">+GETPIVOTDATA("XKL4",'kimlong (2016)'!$A$3,"MA_HT","HNK","MA_QH","DNL")</f>
        <v>0</v>
      </c>
      <c r="AE11" s="22">
        <f ca="1">+GETPIVOTDATA("XKL4",'kimlong (2016)'!$A$3,"MA_HT","HNK","MA_QH","DBV")</f>
        <v>0</v>
      </c>
      <c r="AF11" s="22">
        <f ca="1">+GETPIVOTDATA("XKL4",'kimlong (2016)'!$A$3,"MA_HT","HNK","MA_QH","DVH")</f>
        <v>0</v>
      </c>
      <c r="AG11" s="22">
        <f ca="1">+GETPIVOTDATA("XKL4",'kimlong (2016)'!$A$3,"MA_HT","HNK","MA_QH","DYT")</f>
        <v>0</v>
      </c>
      <c r="AH11" s="22">
        <f ca="1">+GETPIVOTDATA("XKL4",'kimlong (2016)'!$A$3,"MA_HT","HNK","MA_QH","DGD")</f>
        <v>0</v>
      </c>
      <c r="AI11" s="22">
        <f ca="1">+GETPIVOTDATA("XKL4",'kimlong (2016)'!$A$3,"MA_HT","HNK","MA_QH","DTT")</f>
        <v>0</v>
      </c>
      <c r="AJ11" s="22">
        <f ca="1">+GETPIVOTDATA("XKL4",'kimlong (2016)'!$A$3,"MA_HT","HNK","MA_QH","NCK")</f>
        <v>0</v>
      </c>
      <c r="AK11" s="22">
        <f ca="1">+GETPIVOTDATA("XKL4",'kimlong (2016)'!$A$3,"MA_HT","HNK","MA_QH","DXH")</f>
        <v>0</v>
      </c>
      <c r="AL11" s="22">
        <f ca="1">+GETPIVOTDATA("XKL4",'kimlong (2016)'!$A$3,"MA_HT","HNK","MA_QH","DCH")</f>
        <v>0</v>
      </c>
      <c r="AM11" s="22">
        <f ca="1">+GETPIVOTDATA("XKL4",'kimlong (2016)'!$A$3,"MA_HT","HNK","MA_QH","DKG")</f>
        <v>0</v>
      </c>
      <c r="AN11" s="22">
        <f ca="1">+GETPIVOTDATA("XKL4",'kimlong (2016)'!$A$3,"MA_HT","HNK","MA_QH","DDT")</f>
        <v>0</v>
      </c>
      <c r="AO11" s="22">
        <f ca="1">+GETPIVOTDATA("XKL4",'kimlong (2016)'!$A$3,"MA_HT","HNK","MA_QH","DDL")</f>
        <v>0</v>
      </c>
      <c r="AP11" s="22">
        <f ca="1">+GETPIVOTDATA("XKL4",'kimlong (2016)'!$A$3,"MA_HT","HNK","MA_QH","DRA")</f>
        <v>0</v>
      </c>
      <c r="AQ11" s="22">
        <f ca="1">+GETPIVOTDATA("XKL4",'kimlong (2016)'!$A$3,"MA_HT","HNK","MA_QH","ONT")</f>
        <v>0</v>
      </c>
      <c r="AR11" s="22">
        <f ca="1">+GETPIVOTDATA("XKL4",'kimlong (2016)'!$A$3,"MA_HT","HNK","MA_QH","ODT")</f>
        <v>0</v>
      </c>
      <c r="AS11" s="22">
        <f ca="1">+GETPIVOTDATA("XKL4",'kimlong (2016)'!$A$3,"MA_HT","HNK","MA_QH","TSC")</f>
        <v>0</v>
      </c>
      <c r="AT11" s="22">
        <f ca="1">+GETPIVOTDATA("XKL4",'kimlong (2016)'!$A$3,"MA_HT","HNK","MA_QH","DTS")</f>
        <v>0</v>
      </c>
      <c r="AU11" s="22">
        <f ca="1">+GETPIVOTDATA("XKL4",'kimlong (2016)'!$A$3,"MA_HT","HNK","MA_QH","DNG")</f>
        <v>0</v>
      </c>
      <c r="AV11" s="22">
        <f ca="1">+GETPIVOTDATA("XKL4",'kimlong (2016)'!$A$3,"MA_HT","HNK","MA_QH","TON")</f>
        <v>0</v>
      </c>
      <c r="AW11" s="22">
        <f ca="1">+GETPIVOTDATA("XKL4",'kimlong (2016)'!$A$3,"MA_HT","HNK","MA_QH","NTD")</f>
        <v>0</v>
      </c>
      <c r="AX11" s="22">
        <f ca="1">+GETPIVOTDATA("XKL4",'kimlong (2016)'!$A$3,"MA_HT","HNK","MA_QH","SKX")</f>
        <v>0</v>
      </c>
      <c r="AY11" s="22">
        <f ca="1">+GETPIVOTDATA("XKL4",'kimlong (2016)'!$A$3,"MA_HT","HNK","MA_QH","DSH")</f>
        <v>0</v>
      </c>
      <c r="AZ11" s="22">
        <f ca="1">+GETPIVOTDATA("XKL4",'kimlong (2016)'!$A$3,"MA_HT","HNK","MA_QH","DKV")</f>
        <v>0</v>
      </c>
      <c r="BA11" s="89">
        <f ca="1">+GETPIVOTDATA("XKL4",'kimlong (2016)'!$A$3,"MA_HT","HNK","MA_QH","TIN")</f>
        <v>0</v>
      </c>
      <c r="BB11" s="50">
        <f ca="1">+GETPIVOTDATA("XKL4",'kimlong (2016)'!$A$3,"MA_HT","HNK","MA_QH","SON")</f>
        <v>0</v>
      </c>
      <c r="BC11" s="50">
        <f ca="1">+GETPIVOTDATA("XKL4",'kimlong (2016)'!$A$3,"MA_HT","HNK","MA_QH","MNC")</f>
        <v>0</v>
      </c>
      <c r="BD11" s="22">
        <f ca="1">+GETPIVOTDATA("XKL4",'kimlong (2016)'!$A$3,"MA_HT","HNK","MA_QH","PNK")</f>
        <v>0</v>
      </c>
      <c r="BE11" s="71">
        <f ca="1">+GETPIVOTDATA("XKL4",'kimlong (2016)'!$A$3,"MA_HT","HNK","MA_QH","CSD")</f>
        <v>0</v>
      </c>
      <c r="BF11" s="74">
        <f ca="1" t="shared" si="7"/>
        <v>0</v>
      </c>
      <c r="BG11" s="101">
        <f ca="1">J$59-$BF11</f>
        <v>0</v>
      </c>
      <c r="BH11" s="41" t="e">
        <f ca="1" t="shared" si="8"/>
        <v>#REF!</v>
      </c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</row>
    <row r="12" s="2" customFormat="1" ht="15.75" customHeight="1" spans="1:79">
      <c r="A12" s="39" t="s">
        <v>8345</v>
      </c>
      <c r="B12" s="39" t="s">
        <v>8346</v>
      </c>
      <c r="C12" s="40" t="s">
        <v>30</v>
      </c>
      <c r="D12" s="47" t="e">
        <f>+#REF!</f>
        <v>#REF!</v>
      </c>
      <c r="E12" s="42">
        <f ca="1">SUM(L12:Q12,F12,J12)</f>
        <v>0</v>
      </c>
      <c r="F12" s="52">
        <f ca="1" t="shared" ref="F12:F58" si="9">SUM(G12:I12)</f>
        <v>0</v>
      </c>
      <c r="G12" s="22">
        <f ca="1">+GETPIVOTDATA("XKL4",'kimlong (2016)'!$A$3,"MA_HT","CLN","MA_QH","LUC")</f>
        <v>0</v>
      </c>
      <c r="H12" s="22">
        <f ca="1">+GETPIVOTDATA("XKL4",'kimlong (2016)'!$A$3,"MA_HT","CLN","MA_QH","LUK")</f>
        <v>0</v>
      </c>
      <c r="I12" s="22">
        <f ca="1">+GETPIVOTDATA("XKL4",'kimlong (2016)'!$A$3,"MA_HT","CLN","MA_QH","LUN")</f>
        <v>0</v>
      </c>
      <c r="J12" s="22">
        <f ca="1">+GETPIVOTDATA("XKL4",'kimlong (2016)'!$A$3,"MA_HT","CLN","MA_QH","HNK")</f>
        <v>0</v>
      </c>
      <c r="K12" s="43" t="e">
        <f ca="1">$D12-$BF12</f>
        <v>#REF!</v>
      </c>
      <c r="L12" s="22">
        <f ca="1">+GETPIVOTDATA("XKL4",'kimlong (2016)'!$A$3,"MA_HT","CLN","MA_QH","RSX")</f>
        <v>0</v>
      </c>
      <c r="M12" s="22">
        <f ca="1">+GETPIVOTDATA("XKL4",'kimlong (2016)'!$A$3,"MA_HT","CLN","MA_QH","RPH")</f>
        <v>0</v>
      </c>
      <c r="N12" s="22">
        <f ca="1">+GETPIVOTDATA("XKL4",'kimlong (2016)'!$A$3,"MA_HT","CLN","MA_QH","RDD")</f>
        <v>0</v>
      </c>
      <c r="O12" s="22">
        <f ca="1">+GETPIVOTDATA("XKL4",'kimlong (2016)'!$A$3,"MA_HT","CLN","MA_QH","NTS")</f>
        <v>0</v>
      </c>
      <c r="P12" s="22">
        <f ca="1">+GETPIVOTDATA("XKL4",'kimlong (2016)'!$A$3,"MA_HT","CLN","MA_QH","LMU")</f>
        <v>0</v>
      </c>
      <c r="Q12" s="22">
        <f ca="1">+GETPIVOTDATA("XKL4",'kimlong (2016)'!$A$3,"MA_HT","CLN","MA_QH","NKH")</f>
        <v>0</v>
      </c>
      <c r="R12" s="42">
        <f ca="1" t="shared" si="2"/>
        <v>0</v>
      </c>
      <c r="S12" s="22">
        <f ca="1">+GETPIVOTDATA("XKL4",'kimlong (2016)'!$A$3,"MA_HT","CLN","MA_QH","CQP")</f>
        <v>0</v>
      </c>
      <c r="T12" s="22">
        <f ca="1">+GETPIVOTDATA("XKL4",'kimlong (2016)'!$A$3,"MA_HT","CLN","MA_QH","CAN")</f>
        <v>0</v>
      </c>
      <c r="U12" s="22">
        <f ca="1">+GETPIVOTDATA("XKL4",'kimlong (2016)'!$A$3,"MA_HT","CLN","MA_QH","SKK")</f>
        <v>0</v>
      </c>
      <c r="V12" s="22">
        <f ca="1">+GETPIVOTDATA("XKL4",'kimlong (2016)'!$A$3,"MA_HT","CLN","MA_QH","SKT")</f>
        <v>0</v>
      </c>
      <c r="W12" s="22">
        <f ca="1">+GETPIVOTDATA("XKL4",'kimlong (2016)'!$A$3,"MA_HT","CLN","MA_QH","SKN")</f>
        <v>0</v>
      </c>
      <c r="X12" s="22">
        <f ca="1">+GETPIVOTDATA("XKL4",'kimlong (2016)'!$A$3,"MA_HT","CLN","MA_QH","TMD")</f>
        <v>0</v>
      </c>
      <c r="Y12" s="22">
        <f ca="1">+GETPIVOTDATA("XKL4",'kimlong (2016)'!$A$3,"MA_HT","CLN","MA_QH","SKC")</f>
        <v>0</v>
      </c>
      <c r="Z12" s="22">
        <f ca="1">+GETPIVOTDATA("XKL4",'kimlong (2016)'!$A$3,"MA_HT","CLN","MA_QH","SKS")</f>
        <v>0</v>
      </c>
      <c r="AA12" s="52">
        <f ca="1" t="shared" si="4"/>
        <v>0</v>
      </c>
      <c r="AB12" s="22">
        <f ca="1">+GETPIVOTDATA("XKL4",'kimlong (2016)'!$A$3,"MA_HT","CLN","MA_QH","DGT")</f>
        <v>0</v>
      </c>
      <c r="AC12" s="22">
        <f ca="1">+GETPIVOTDATA("XKL4",'kimlong (2016)'!$A$3,"MA_HT","CLN","MA_QH","DTL")</f>
        <v>0</v>
      </c>
      <c r="AD12" s="22">
        <f ca="1">+GETPIVOTDATA("XKL4",'kimlong (2016)'!$A$3,"MA_HT","CLN","MA_QH","DNL")</f>
        <v>0</v>
      </c>
      <c r="AE12" s="22">
        <f ca="1">+GETPIVOTDATA("XKL4",'kimlong (2016)'!$A$3,"MA_HT","CLN","MA_QH","DBV")</f>
        <v>0</v>
      </c>
      <c r="AF12" s="22">
        <f ca="1">+GETPIVOTDATA("XKL4",'kimlong (2016)'!$A$3,"MA_HT","CLN","MA_QH","DVH")</f>
        <v>0</v>
      </c>
      <c r="AG12" s="22">
        <f ca="1">+GETPIVOTDATA("XKL4",'kimlong (2016)'!$A$3,"MA_HT","CLN","MA_QH","DYT")</f>
        <v>0</v>
      </c>
      <c r="AH12" s="22">
        <f ca="1">+GETPIVOTDATA("XKL4",'kimlong (2016)'!$A$3,"MA_HT","CLN","MA_QH","DGD")</f>
        <v>0</v>
      </c>
      <c r="AI12" s="22">
        <f ca="1">+GETPIVOTDATA("XKL4",'kimlong (2016)'!$A$3,"MA_HT","CLN","MA_QH","DTT")</f>
        <v>0</v>
      </c>
      <c r="AJ12" s="22">
        <f ca="1">+GETPIVOTDATA("XKL4",'kimlong (2016)'!$A$3,"MA_HT","CLN","MA_QH","NCK")</f>
        <v>0</v>
      </c>
      <c r="AK12" s="22">
        <f ca="1">+GETPIVOTDATA("XKL4",'kimlong (2016)'!$A$3,"MA_HT","CLN","MA_QH","DXH")</f>
        <v>0</v>
      </c>
      <c r="AL12" s="22">
        <f ca="1">+GETPIVOTDATA("XKL4",'kimlong (2016)'!$A$3,"MA_HT","CLN","MA_QH","DCH")</f>
        <v>0</v>
      </c>
      <c r="AM12" s="22">
        <f ca="1">+GETPIVOTDATA("XKL4",'kimlong (2016)'!$A$3,"MA_HT","CLN","MA_QH","DKG")</f>
        <v>0</v>
      </c>
      <c r="AN12" s="22">
        <f ca="1">+GETPIVOTDATA("XKL4",'kimlong (2016)'!$A$3,"MA_HT","CLN","MA_QH","DDT")</f>
        <v>0</v>
      </c>
      <c r="AO12" s="22">
        <f ca="1">+GETPIVOTDATA("XKL4",'kimlong (2016)'!$A$3,"MA_HT","CLN","MA_QH","DDL")</f>
        <v>0</v>
      </c>
      <c r="AP12" s="22">
        <f ca="1">+GETPIVOTDATA("XKL4",'kimlong (2016)'!$A$3,"MA_HT","CLN","MA_QH","DRA")</f>
        <v>0</v>
      </c>
      <c r="AQ12" s="22">
        <f ca="1">+GETPIVOTDATA("XKL4",'kimlong (2016)'!$A$3,"MA_HT","CLN","MA_QH","ONT")</f>
        <v>0</v>
      </c>
      <c r="AR12" s="22">
        <f ca="1">+GETPIVOTDATA("XKL4",'kimlong (2016)'!$A$3,"MA_HT","CLN","MA_QH","ODT")</f>
        <v>0</v>
      </c>
      <c r="AS12" s="22">
        <f ca="1">+GETPIVOTDATA("XKL4",'kimlong (2016)'!$A$3,"MA_HT","CLN","MA_QH","TSC")</f>
        <v>0</v>
      </c>
      <c r="AT12" s="22">
        <f ca="1">+GETPIVOTDATA("XKL4",'kimlong (2016)'!$A$3,"MA_HT","CLN","MA_QH","DTS")</f>
        <v>0</v>
      </c>
      <c r="AU12" s="22">
        <f ca="1">+GETPIVOTDATA("XKL4",'kimlong (2016)'!$A$3,"MA_HT","CLN","MA_QH","DNG")</f>
        <v>0</v>
      </c>
      <c r="AV12" s="22">
        <f ca="1">+GETPIVOTDATA("XKL4",'kimlong (2016)'!$A$3,"MA_HT","CLN","MA_QH","TON")</f>
        <v>0</v>
      </c>
      <c r="AW12" s="22">
        <f ca="1">+GETPIVOTDATA("XKL4",'kimlong (2016)'!$A$3,"MA_HT","CLN","MA_QH","NTD")</f>
        <v>0</v>
      </c>
      <c r="AX12" s="22">
        <f ca="1">+GETPIVOTDATA("XKL4",'kimlong (2016)'!$A$3,"MA_HT","CLN","MA_QH","SKX")</f>
        <v>0</v>
      </c>
      <c r="AY12" s="22">
        <f ca="1">+GETPIVOTDATA("XKL4",'kimlong (2016)'!$A$3,"MA_HT","CLN","MA_QH","DSH")</f>
        <v>0</v>
      </c>
      <c r="AZ12" s="22">
        <f ca="1">+GETPIVOTDATA("XKL4",'kimlong (2016)'!$A$3,"MA_HT","CLN","MA_QH","DKV")</f>
        <v>0</v>
      </c>
      <c r="BA12" s="89">
        <f ca="1">+GETPIVOTDATA("XKL4",'kimlong (2016)'!$A$3,"MA_HT","CLN","MA_QH","TIN")</f>
        <v>0</v>
      </c>
      <c r="BB12" s="50">
        <f ca="1">+GETPIVOTDATA("XKL4",'kimlong (2016)'!$A$3,"MA_HT","CLN","MA_QH","SON")</f>
        <v>0</v>
      </c>
      <c r="BC12" s="50">
        <f ca="1">+GETPIVOTDATA("XKL4",'kimlong (2016)'!$A$3,"MA_HT","CLN","MA_QH","MNC")</f>
        <v>0</v>
      </c>
      <c r="BD12" s="22">
        <f ca="1">+GETPIVOTDATA("XKL4",'kimlong (2016)'!$A$3,"MA_HT","CLN","MA_QH","PNK")</f>
        <v>0</v>
      </c>
      <c r="BE12" s="71">
        <f ca="1">+GETPIVOTDATA("XKL4",'kimlong (2016)'!$A$3,"MA_HT","CLN","MA_QH","CSD")</f>
        <v>0</v>
      </c>
      <c r="BF12" s="74">
        <f ca="1" t="shared" si="7"/>
        <v>0</v>
      </c>
      <c r="BG12" s="101">
        <f ca="1">K$59-$BF12</f>
        <v>0</v>
      </c>
      <c r="BH12" s="41" t="e">
        <f ca="1" t="shared" si="8"/>
        <v>#REF!</v>
      </c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</row>
    <row r="13" s="2" customFormat="1" ht="15.75" customHeight="1" spans="1:79">
      <c r="A13" s="39" t="s">
        <v>8347</v>
      </c>
      <c r="B13" s="39" t="s">
        <v>8348</v>
      </c>
      <c r="C13" s="40" t="s">
        <v>8307</v>
      </c>
      <c r="D13" s="47" t="e">
        <f>+#REF!</f>
        <v>#REF!</v>
      </c>
      <c r="E13" s="42">
        <f ca="1">SUM(F13,J13:K13,M13:Q13)</f>
        <v>0</v>
      </c>
      <c r="F13" s="52">
        <f ca="1" t="shared" si="9"/>
        <v>0</v>
      </c>
      <c r="G13" s="22">
        <f ca="1">+GETPIVOTDATA("XKL4",'kimlong (2016)'!$A$3,"MA_HT","RSX","MA_QH","LUC")</f>
        <v>0</v>
      </c>
      <c r="H13" s="22">
        <f ca="1">+GETPIVOTDATA("XKL4",'kimlong (2016)'!$A$3,"MA_HT","RSX","MA_QH","LUK")</f>
        <v>0</v>
      </c>
      <c r="I13" s="22">
        <f ca="1">+GETPIVOTDATA("XKL4",'kimlong (2016)'!$A$3,"MA_HT","RSX","MA_QH","LUN")</f>
        <v>0</v>
      </c>
      <c r="J13" s="22">
        <f ca="1">+GETPIVOTDATA("XKL4",'kimlong (2016)'!$A$3,"MA_HT","RSX","MA_QH","HNK")</f>
        <v>0</v>
      </c>
      <c r="K13" s="22">
        <f ca="1">+GETPIVOTDATA("XKL4",'kimlong (2016)'!$A$3,"MA_HT","RSX","MA_QH","CLN")</f>
        <v>0</v>
      </c>
      <c r="L13" s="43" t="e">
        <f ca="1">$D13-$BF13</f>
        <v>#REF!</v>
      </c>
      <c r="M13" s="22">
        <f ca="1">+GETPIVOTDATA("XKL4",'kimlong (2016)'!$A$3,"MA_HT","RSX","MA_QH","RPH")</f>
        <v>0</v>
      </c>
      <c r="N13" s="22">
        <f ca="1">+GETPIVOTDATA("XKL4",'kimlong (2016)'!$A$3,"MA_HT","RSX","MA_QH","RDD")</f>
        <v>0</v>
      </c>
      <c r="O13" s="22">
        <f ca="1">+GETPIVOTDATA("XKL4",'kimlong (2016)'!$A$3,"MA_HT","RSX","MA_QH","NTS")</f>
        <v>0</v>
      </c>
      <c r="P13" s="22">
        <f ca="1">+GETPIVOTDATA("XKL4",'kimlong (2016)'!$A$3,"MA_HT","RSX","MA_QH","LMU")</f>
        <v>0</v>
      </c>
      <c r="Q13" s="22">
        <f ca="1">+GETPIVOTDATA("XKL4",'kimlong (2016)'!$A$3,"MA_HT","RSX","MA_QH","NKH")</f>
        <v>0</v>
      </c>
      <c r="R13" s="42">
        <f ca="1" t="shared" si="2"/>
        <v>0</v>
      </c>
      <c r="S13" s="22">
        <f ca="1">+GETPIVOTDATA("XKL4",'kimlong (2016)'!$A$3,"MA_HT","RSX","MA_QH","CQP")</f>
        <v>0</v>
      </c>
      <c r="T13" s="22">
        <f ca="1">+GETPIVOTDATA("XKL4",'kimlong (2016)'!$A$3,"MA_HT","RSX","MA_QH","CAN")</f>
        <v>0</v>
      </c>
      <c r="U13" s="22">
        <f ca="1">+GETPIVOTDATA("XKL4",'kimlong (2016)'!$A$3,"MA_HT","RSX","MA_QH","SKK")</f>
        <v>0</v>
      </c>
      <c r="V13" s="22">
        <f ca="1">+GETPIVOTDATA("XKL4",'kimlong (2016)'!$A$3,"MA_HT","RSX","MA_QH","SKT")</f>
        <v>0</v>
      </c>
      <c r="W13" s="22">
        <f ca="1">+GETPIVOTDATA("XKL4",'kimlong (2016)'!$A$3,"MA_HT","RSX","MA_QH","SKN")</f>
        <v>0</v>
      </c>
      <c r="X13" s="22">
        <f ca="1">+GETPIVOTDATA("XKL4",'kimlong (2016)'!$A$3,"MA_HT","RSX","MA_QH","TMD")</f>
        <v>0</v>
      </c>
      <c r="Y13" s="22">
        <f ca="1">+GETPIVOTDATA("XKL4",'kimlong (2016)'!$A$3,"MA_HT","RSX","MA_QH","SKC")</f>
        <v>0</v>
      </c>
      <c r="Z13" s="22">
        <f ca="1">+GETPIVOTDATA("XKL4",'kimlong (2016)'!$A$3,"MA_HT","RSX","MA_QH","SKS")</f>
        <v>0</v>
      </c>
      <c r="AA13" s="52">
        <f ca="1" t="shared" si="4"/>
        <v>0</v>
      </c>
      <c r="AB13" s="22">
        <f ca="1">+GETPIVOTDATA("XKL4",'kimlong (2016)'!$A$3,"MA_HT","RSX","MA_QH","DGT")</f>
        <v>0</v>
      </c>
      <c r="AC13" s="22">
        <f ca="1">+GETPIVOTDATA("XKL4",'kimlong (2016)'!$A$3,"MA_HT","RSX","MA_QH","DTL")</f>
        <v>0</v>
      </c>
      <c r="AD13" s="22">
        <f ca="1">+GETPIVOTDATA("XKL4",'kimlong (2016)'!$A$3,"MA_HT","RSX","MA_QH","DNL")</f>
        <v>0</v>
      </c>
      <c r="AE13" s="22">
        <f ca="1">+GETPIVOTDATA("XKL4",'kimlong (2016)'!$A$3,"MA_HT","RSX","MA_QH","DBV")</f>
        <v>0</v>
      </c>
      <c r="AF13" s="22">
        <f ca="1">+GETPIVOTDATA("XKL4",'kimlong (2016)'!$A$3,"MA_HT","RSX","MA_QH","DVH")</f>
        <v>0</v>
      </c>
      <c r="AG13" s="22">
        <f ca="1">+GETPIVOTDATA("XKL4",'kimlong (2016)'!$A$3,"MA_HT","RSX","MA_QH","DYT")</f>
        <v>0</v>
      </c>
      <c r="AH13" s="22">
        <f ca="1">+GETPIVOTDATA("XKL4",'kimlong (2016)'!$A$3,"MA_HT","RSX","MA_QH","DGD")</f>
        <v>0</v>
      </c>
      <c r="AI13" s="22">
        <f ca="1">+GETPIVOTDATA("XKL4",'kimlong (2016)'!$A$3,"MA_HT","RSX","MA_QH","DTT")</f>
        <v>0</v>
      </c>
      <c r="AJ13" s="22">
        <f ca="1">+GETPIVOTDATA("XKL4",'kimlong (2016)'!$A$3,"MA_HT","RSX","MA_QH","NCK")</f>
        <v>0</v>
      </c>
      <c r="AK13" s="22">
        <f ca="1">+GETPIVOTDATA("XKL4",'kimlong (2016)'!$A$3,"MA_HT","RSX","MA_QH","DXH")</f>
        <v>0</v>
      </c>
      <c r="AL13" s="22">
        <f ca="1">+GETPIVOTDATA("XKL4",'kimlong (2016)'!$A$3,"MA_HT","RSX","MA_QH","DCH")</f>
        <v>0</v>
      </c>
      <c r="AM13" s="22">
        <f ca="1">+GETPIVOTDATA("XKL4",'kimlong (2016)'!$A$3,"MA_HT","RSX","MA_QH","DKG")</f>
        <v>0</v>
      </c>
      <c r="AN13" s="22">
        <f ca="1">+GETPIVOTDATA("XKL4",'kimlong (2016)'!$A$3,"MA_HT","RSX","MA_QH","DDT")</f>
        <v>0</v>
      </c>
      <c r="AO13" s="22">
        <f ca="1">+GETPIVOTDATA("XKL4",'kimlong (2016)'!$A$3,"MA_HT","RSX","MA_QH","DDL")</f>
        <v>0</v>
      </c>
      <c r="AP13" s="22">
        <f ca="1">+GETPIVOTDATA("XKL4",'kimlong (2016)'!$A$3,"MA_HT","RSX","MA_QH","DRA")</f>
        <v>0</v>
      </c>
      <c r="AQ13" s="22">
        <f ca="1">+GETPIVOTDATA("XKL4",'kimlong (2016)'!$A$3,"MA_HT","RSX","MA_QH","ONT")</f>
        <v>0</v>
      </c>
      <c r="AR13" s="22">
        <f ca="1">+GETPIVOTDATA("XKL4",'kimlong (2016)'!$A$3,"MA_HT","RSX","MA_QH","ODT")</f>
        <v>0</v>
      </c>
      <c r="AS13" s="22">
        <f ca="1">+GETPIVOTDATA("XKL4",'kimlong (2016)'!$A$3,"MA_HT","RSX","MA_QH","TSC")</f>
        <v>0</v>
      </c>
      <c r="AT13" s="22">
        <f ca="1">+GETPIVOTDATA("XKL4",'kimlong (2016)'!$A$3,"MA_HT","RSX","MA_QH","DTS")</f>
        <v>0</v>
      </c>
      <c r="AU13" s="22">
        <f ca="1">+GETPIVOTDATA("XKL4",'kimlong (2016)'!$A$3,"MA_HT","RSX","MA_QH","DNG")</f>
        <v>0</v>
      </c>
      <c r="AV13" s="22">
        <f ca="1">+GETPIVOTDATA("XKL4",'kimlong (2016)'!$A$3,"MA_HT","RSX","MA_QH","TON")</f>
        <v>0</v>
      </c>
      <c r="AW13" s="22">
        <f ca="1">+GETPIVOTDATA("XKL4",'kimlong (2016)'!$A$3,"MA_HT","RSX","MA_QH","NTD")</f>
        <v>0</v>
      </c>
      <c r="AX13" s="22">
        <f ca="1">+GETPIVOTDATA("XKL4",'kimlong (2016)'!$A$3,"MA_HT","RSX","MA_QH","SKX")</f>
        <v>0</v>
      </c>
      <c r="AY13" s="22">
        <f ca="1">+GETPIVOTDATA("XKL4",'kimlong (2016)'!$A$3,"MA_HT","RSX","MA_QH","DSH")</f>
        <v>0</v>
      </c>
      <c r="AZ13" s="22">
        <f ca="1">+GETPIVOTDATA("XKL4",'kimlong (2016)'!$A$3,"MA_HT","RSX","MA_QH","DKV")</f>
        <v>0</v>
      </c>
      <c r="BA13" s="89">
        <f ca="1">+GETPIVOTDATA("XKL4",'kimlong (2016)'!$A$3,"MA_HT","RSX","MA_QH","TIN")</f>
        <v>0</v>
      </c>
      <c r="BB13" s="50">
        <f ca="1">+GETPIVOTDATA("XKL4",'kimlong (2016)'!$A$3,"MA_HT","RSX","MA_QH","SON")</f>
        <v>0</v>
      </c>
      <c r="BC13" s="50">
        <f ca="1">+GETPIVOTDATA("XKL4",'kimlong (2016)'!$A$3,"MA_HT","RSX","MA_QH","MNC")</f>
        <v>0</v>
      </c>
      <c r="BD13" s="22">
        <f ca="1">+GETPIVOTDATA("XKL4",'kimlong (2016)'!$A$3,"MA_HT","RSX","MA_QH","PNK")</f>
        <v>0</v>
      </c>
      <c r="BE13" s="71">
        <f ca="1">+GETPIVOTDATA("XKL4",'kimlong (2016)'!$A$3,"MA_HT","RSX","MA_QH","CSD")</f>
        <v>0</v>
      </c>
      <c r="BF13" s="74">
        <f ca="1" t="shared" si="7"/>
        <v>0</v>
      </c>
      <c r="BG13" s="101">
        <f ca="1">L$59-$BF13</f>
        <v>0</v>
      </c>
      <c r="BH13" s="41" t="e">
        <f ca="1" t="shared" si="8"/>
        <v>#REF!</v>
      </c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</row>
    <row r="14" s="2" customFormat="1" ht="15.75" customHeight="1" spans="1:79">
      <c r="A14" s="39" t="s">
        <v>8349</v>
      </c>
      <c r="B14" s="39" t="s">
        <v>8350</v>
      </c>
      <c r="C14" s="40" t="s">
        <v>8306</v>
      </c>
      <c r="D14" s="47" t="e">
        <f>+#REF!</f>
        <v>#REF!</v>
      </c>
      <c r="E14" s="42">
        <f ca="1">SUM(F14,J14:L14,N14:Q14)</f>
        <v>0</v>
      </c>
      <c r="F14" s="52">
        <f ca="1" t="shared" si="9"/>
        <v>0</v>
      </c>
      <c r="G14" s="22">
        <f ca="1">+GETPIVOTDATA("XKL4",'kimlong (2016)'!$A$3,"MA_HT","RPH","MA_QH","LUC")</f>
        <v>0</v>
      </c>
      <c r="H14" s="22">
        <f ca="1">+GETPIVOTDATA("XKL4",'kimlong (2016)'!$A$3,"MA_HT","RPH","MA_QH","LUK")</f>
        <v>0</v>
      </c>
      <c r="I14" s="22">
        <f ca="1">+GETPIVOTDATA("XKL4",'kimlong (2016)'!$A$3,"MA_HT","RPH","MA_QH","LUN")</f>
        <v>0</v>
      </c>
      <c r="J14" s="22">
        <f ca="1">+GETPIVOTDATA("XKL4",'kimlong (2016)'!$A$3,"MA_HT","RPH","MA_QH","HNK")</f>
        <v>0</v>
      </c>
      <c r="K14" s="22">
        <f ca="1">+GETPIVOTDATA("XKL4",'kimlong (2016)'!$A$3,"MA_HT","RPH","MA_QH","CLN")</f>
        <v>0</v>
      </c>
      <c r="L14" s="22">
        <f ca="1">+GETPIVOTDATA("XKL4",'kimlong (2016)'!$A$3,"MA_HT","RPH","MA_QH","RSX")</f>
        <v>0</v>
      </c>
      <c r="M14" s="43" t="e">
        <f ca="1">$D14-$BF14</f>
        <v>#REF!</v>
      </c>
      <c r="N14" s="22">
        <f ca="1">+GETPIVOTDATA("XKL4",'kimlong (2016)'!$A$3,"MA_HT","RPH","MA_QH","RDD")</f>
        <v>0</v>
      </c>
      <c r="O14" s="22">
        <f ca="1">+GETPIVOTDATA("XKL4",'kimlong (2016)'!$A$3,"MA_HT","RPH","MA_QH","NTS")</f>
        <v>0</v>
      </c>
      <c r="P14" s="22">
        <f ca="1">+GETPIVOTDATA("XKL4",'kimlong (2016)'!$A$3,"MA_HT","RPH","MA_QH","LMU")</f>
        <v>0</v>
      </c>
      <c r="Q14" s="22">
        <f ca="1">+GETPIVOTDATA("XKL4",'kimlong (2016)'!$A$3,"MA_HT","RPH","MA_QH","NKH")</f>
        <v>0</v>
      </c>
      <c r="R14" s="42">
        <f ca="1" t="shared" si="2"/>
        <v>0</v>
      </c>
      <c r="S14" s="22">
        <f ca="1">+GETPIVOTDATA("XKL4",'kimlong (2016)'!$A$3,"MA_HT","RPH","MA_QH","CQP")</f>
        <v>0</v>
      </c>
      <c r="T14" s="22">
        <f ca="1">+GETPIVOTDATA("XKL4",'kimlong (2016)'!$A$3,"MA_HT","RPH","MA_QH","CAN")</f>
        <v>0</v>
      </c>
      <c r="U14" s="22">
        <f ca="1">+GETPIVOTDATA("XKL4",'kimlong (2016)'!$A$3,"MA_HT","RPH","MA_QH","SKK")</f>
        <v>0</v>
      </c>
      <c r="V14" s="22">
        <f ca="1">+GETPIVOTDATA("XKL4",'kimlong (2016)'!$A$3,"MA_HT","RPH","MA_QH","SKT")</f>
        <v>0</v>
      </c>
      <c r="W14" s="22">
        <f ca="1">+GETPIVOTDATA("XKL4",'kimlong (2016)'!$A$3,"MA_HT","RPH","MA_QH","SKN")</f>
        <v>0</v>
      </c>
      <c r="X14" s="22">
        <f ca="1">+GETPIVOTDATA("XKL4",'kimlong (2016)'!$A$3,"MA_HT","RPH","MA_QH","TMD")</f>
        <v>0</v>
      </c>
      <c r="Y14" s="22">
        <f ca="1">+GETPIVOTDATA("XKL4",'kimlong (2016)'!$A$3,"MA_HT","RPH","MA_QH","SKC")</f>
        <v>0</v>
      </c>
      <c r="Z14" s="22">
        <f ca="1">+GETPIVOTDATA("XKL4",'kimlong (2016)'!$A$3,"MA_HT","RPH","MA_QH","SKS")</f>
        <v>0</v>
      </c>
      <c r="AA14" s="52">
        <f ca="1" t="shared" si="4"/>
        <v>0</v>
      </c>
      <c r="AB14" s="22">
        <f ca="1">+GETPIVOTDATA("XKL4",'kimlong (2016)'!$A$3,"MA_HT","RPH","MA_QH","DGT")</f>
        <v>0</v>
      </c>
      <c r="AC14" s="22">
        <f ca="1">+GETPIVOTDATA("XKL4",'kimlong (2016)'!$A$3,"MA_HT","RPH","MA_QH","DTL")</f>
        <v>0</v>
      </c>
      <c r="AD14" s="22">
        <f ca="1">+GETPIVOTDATA("XKL4",'kimlong (2016)'!$A$3,"MA_HT","RPH","MA_QH","DNL")</f>
        <v>0</v>
      </c>
      <c r="AE14" s="22">
        <f ca="1">+GETPIVOTDATA("XKL4",'kimlong (2016)'!$A$3,"MA_HT","RPH","MA_QH","DBV")</f>
        <v>0</v>
      </c>
      <c r="AF14" s="22">
        <f ca="1">+GETPIVOTDATA("XKL4",'kimlong (2016)'!$A$3,"MA_HT","RPH","MA_QH","DVH")</f>
        <v>0</v>
      </c>
      <c r="AG14" s="22">
        <f ca="1">+GETPIVOTDATA("XKL4",'kimlong (2016)'!$A$3,"MA_HT","RPH","MA_QH","DYT")</f>
        <v>0</v>
      </c>
      <c r="AH14" s="22">
        <f ca="1">+GETPIVOTDATA("XKL4",'kimlong (2016)'!$A$3,"MA_HT","RPH","MA_QH","DGD")</f>
        <v>0</v>
      </c>
      <c r="AI14" s="22">
        <f ca="1">+GETPIVOTDATA("XKL4",'kimlong (2016)'!$A$3,"MA_HT","RPH","MA_QH","DTT")</f>
        <v>0</v>
      </c>
      <c r="AJ14" s="22">
        <f ca="1">+GETPIVOTDATA("XKL4",'kimlong (2016)'!$A$3,"MA_HT","RPH","MA_QH","NCK")</f>
        <v>0</v>
      </c>
      <c r="AK14" s="22">
        <f ca="1">+GETPIVOTDATA("XKL4",'kimlong (2016)'!$A$3,"MA_HT","RPH","MA_QH","DXH")</f>
        <v>0</v>
      </c>
      <c r="AL14" s="22">
        <f ca="1">+GETPIVOTDATA("XKL4",'kimlong (2016)'!$A$3,"MA_HT","RPH","MA_QH","DCH")</f>
        <v>0</v>
      </c>
      <c r="AM14" s="22">
        <f ca="1">+GETPIVOTDATA("XKL4",'kimlong (2016)'!$A$3,"MA_HT","RPH","MA_QH","DKG")</f>
        <v>0</v>
      </c>
      <c r="AN14" s="22">
        <f ca="1">+GETPIVOTDATA("XKL4",'kimlong (2016)'!$A$3,"MA_HT","RPH","MA_QH","DDT")</f>
        <v>0</v>
      </c>
      <c r="AO14" s="22">
        <f ca="1">+GETPIVOTDATA("XKL4",'kimlong (2016)'!$A$3,"MA_HT","RPH","MA_QH","DDL")</f>
        <v>0</v>
      </c>
      <c r="AP14" s="22">
        <f ca="1">+GETPIVOTDATA("XKL4",'kimlong (2016)'!$A$3,"MA_HT","RPH","MA_QH","DRA")</f>
        <v>0</v>
      </c>
      <c r="AQ14" s="22">
        <f ca="1">+GETPIVOTDATA("XKL4",'kimlong (2016)'!$A$3,"MA_HT","RPH","MA_QH","ONT")</f>
        <v>0</v>
      </c>
      <c r="AR14" s="22">
        <f ca="1">+GETPIVOTDATA("XKL4",'kimlong (2016)'!$A$3,"MA_HT","RPH","MA_QH","ODT")</f>
        <v>0</v>
      </c>
      <c r="AS14" s="22">
        <f ca="1">+GETPIVOTDATA("XKL4",'kimlong (2016)'!$A$3,"MA_HT","RPH","MA_QH","TSC")</f>
        <v>0</v>
      </c>
      <c r="AT14" s="22">
        <f ca="1">+GETPIVOTDATA("XKL4",'kimlong (2016)'!$A$3,"MA_HT","RPH","MA_QH","DTS")</f>
        <v>0</v>
      </c>
      <c r="AU14" s="22">
        <f ca="1">+GETPIVOTDATA("XKL4",'kimlong (2016)'!$A$3,"MA_HT","RPH","MA_QH","DNG")</f>
        <v>0</v>
      </c>
      <c r="AV14" s="22">
        <f ca="1">+GETPIVOTDATA("XKL4",'kimlong (2016)'!$A$3,"MA_HT","RPH","MA_QH","TON")</f>
        <v>0</v>
      </c>
      <c r="AW14" s="22">
        <f ca="1">+GETPIVOTDATA("XKL4",'kimlong (2016)'!$A$3,"MA_HT","RPH","MA_QH","NTD")</f>
        <v>0</v>
      </c>
      <c r="AX14" s="22">
        <f ca="1">+GETPIVOTDATA("XKL4",'kimlong (2016)'!$A$3,"MA_HT","RPH","MA_QH","SKX")</f>
        <v>0</v>
      </c>
      <c r="AY14" s="22">
        <f ca="1">+GETPIVOTDATA("XKL4",'kimlong (2016)'!$A$3,"MA_HT","RPH","MA_QH","DSH")</f>
        <v>0</v>
      </c>
      <c r="AZ14" s="22">
        <f ca="1">+GETPIVOTDATA("XKL4",'kimlong (2016)'!$A$3,"MA_HT","RPH","MA_QH","DKV")</f>
        <v>0</v>
      </c>
      <c r="BA14" s="89">
        <f ca="1">+GETPIVOTDATA("XKL4",'kimlong (2016)'!$A$3,"MA_HT","RPH","MA_QH","TIN")</f>
        <v>0</v>
      </c>
      <c r="BB14" s="50">
        <f ca="1">+GETPIVOTDATA("XKL4",'kimlong (2016)'!$A$3,"MA_HT","RPH","MA_QH","SON")</f>
        <v>0</v>
      </c>
      <c r="BC14" s="50">
        <f ca="1">+GETPIVOTDATA("XKL4",'kimlong (2016)'!$A$3,"MA_HT","RPH","MA_QH","MNC")</f>
        <v>0</v>
      </c>
      <c r="BD14" s="22">
        <f ca="1">+GETPIVOTDATA("XKL4",'kimlong (2016)'!$A$3,"MA_HT","RPH","MA_QH","PNK")</f>
        <v>0</v>
      </c>
      <c r="BE14" s="71">
        <f ca="1">+GETPIVOTDATA("XKL4",'kimlong (2016)'!$A$3,"MA_HT","RPH","MA_QH","CSD")</f>
        <v>0</v>
      </c>
      <c r="BF14" s="74">
        <f ca="1" t="shared" si="7"/>
        <v>0</v>
      </c>
      <c r="BG14" s="101">
        <f ca="1">M$59-$BF14</f>
        <v>0</v>
      </c>
      <c r="BH14" s="41" t="e">
        <f ca="1" t="shared" si="8"/>
        <v>#REF!</v>
      </c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</row>
    <row r="15" s="2" customFormat="1" ht="15.75" customHeight="1" spans="1:79">
      <c r="A15" s="39" t="s">
        <v>8351</v>
      </c>
      <c r="B15" s="39" t="s">
        <v>8352</v>
      </c>
      <c r="C15" s="40" t="s">
        <v>8305</v>
      </c>
      <c r="D15" s="47" t="e">
        <f>+#REF!</f>
        <v>#REF!</v>
      </c>
      <c r="E15" s="42">
        <f ca="1">SUM(F15,J15:M15,O15:Q15)</f>
        <v>0</v>
      </c>
      <c r="F15" s="52">
        <f ca="1" t="shared" si="9"/>
        <v>0</v>
      </c>
      <c r="G15" s="22">
        <f ca="1">+GETPIVOTDATA("XKL4",'kimlong (2016)'!$A$3,"MA_HT","RDD","MA_QH","LUC")</f>
        <v>0</v>
      </c>
      <c r="H15" s="22">
        <f ca="1">+GETPIVOTDATA("XKL4",'kimlong (2016)'!$A$3,"MA_HT","RDD","MA_QH","LUK")</f>
        <v>0</v>
      </c>
      <c r="I15" s="22">
        <f ca="1">+GETPIVOTDATA("XKL4",'kimlong (2016)'!$A$3,"MA_HT","RDD","MA_QH","LUN")</f>
        <v>0</v>
      </c>
      <c r="J15" s="22">
        <f ca="1">+GETPIVOTDATA("XKL4",'kimlong (2016)'!$A$3,"MA_HT","RDD","MA_QH","HNK")</f>
        <v>0</v>
      </c>
      <c r="K15" s="22">
        <f ca="1">+GETPIVOTDATA("XKL4",'kimlong (2016)'!$A$3,"MA_HT","RDD","MA_QH","CLN")</f>
        <v>0</v>
      </c>
      <c r="L15" s="22">
        <f ca="1">+GETPIVOTDATA("XKL4",'kimlong (2016)'!$A$3,"MA_HT","RDD","MA_QH","RSX")</f>
        <v>0</v>
      </c>
      <c r="M15" s="22">
        <f ca="1">+GETPIVOTDATA("XKL4",'kimlong (2016)'!$A$3,"MA_HT","RDD","MA_QH","RPH")</f>
        <v>0</v>
      </c>
      <c r="N15" s="43" t="e">
        <f ca="1">$D15-$BF15</f>
        <v>#REF!</v>
      </c>
      <c r="O15" s="22">
        <f ca="1">+GETPIVOTDATA("XKL4",'kimlong (2016)'!$A$3,"MA_HT","RDD","MA_QH","NTS")</f>
        <v>0</v>
      </c>
      <c r="P15" s="22">
        <f ca="1">+GETPIVOTDATA("XKL4",'kimlong (2016)'!$A$3,"MA_HT","RDD","MA_QH","LMU")</f>
        <v>0</v>
      </c>
      <c r="Q15" s="22">
        <f ca="1">+GETPIVOTDATA("XKL4",'kimlong (2016)'!$A$3,"MA_HT","RDD","MA_QH","NKH")</f>
        <v>0</v>
      </c>
      <c r="R15" s="42">
        <f ca="1" t="shared" si="2"/>
        <v>0</v>
      </c>
      <c r="S15" s="22">
        <f ca="1">+GETPIVOTDATA("XKL4",'kimlong (2016)'!$A$3,"MA_HT","RDD","MA_QH","CQP")</f>
        <v>0</v>
      </c>
      <c r="T15" s="22">
        <f ca="1">+GETPIVOTDATA("XKL4",'kimlong (2016)'!$A$3,"MA_HT","RDD","MA_QH","CAN")</f>
        <v>0</v>
      </c>
      <c r="U15" s="22">
        <f ca="1">+GETPIVOTDATA("XKL4",'kimlong (2016)'!$A$3,"MA_HT","RDD","MA_QH","SKK")</f>
        <v>0</v>
      </c>
      <c r="V15" s="22">
        <f ca="1">+GETPIVOTDATA("XKL4",'kimlong (2016)'!$A$3,"MA_HT","RDD","MA_QH","SKT")</f>
        <v>0</v>
      </c>
      <c r="W15" s="22">
        <f ca="1">+GETPIVOTDATA("XKL4",'kimlong (2016)'!$A$3,"MA_HT","RDD","MA_QH","SKN")</f>
        <v>0</v>
      </c>
      <c r="X15" s="22">
        <f ca="1">+GETPIVOTDATA("XKL4",'kimlong (2016)'!$A$3,"MA_HT","RDD","MA_QH","TMD")</f>
        <v>0</v>
      </c>
      <c r="Y15" s="22">
        <f ca="1">+GETPIVOTDATA("XKL4",'kimlong (2016)'!$A$3,"MA_HT","RDD","MA_QH","SKC")</f>
        <v>0</v>
      </c>
      <c r="Z15" s="22">
        <f ca="1">+GETPIVOTDATA("XKL4",'kimlong (2016)'!$A$3,"MA_HT","RDD","MA_QH","SKS")</f>
        <v>0</v>
      </c>
      <c r="AA15" s="52">
        <f ca="1" t="shared" si="4"/>
        <v>0</v>
      </c>
      <c r="AB15" s="22">
        <f ca="1">+GETPIVOTDATA("XKL4",'kimlong (2016)'!$A$3,"MA_HT","RDD","MA_QH","DGT")</f>
        <v>0</v>
      </c>
      <c r="AC15" s="22">
        <f ca="1">+GETPIVOTDATA("XKL4",'kimlong (2016)'!$A$3,"MA_HT","RDD","MA_QH","DTL")</f>
        <v>0</v>
      </c>
      <c r="AD15" s="22">
        <f ca="1">+GETPIVOTDATA("XKL4",'kimlong (2016)'!$A$3,"MA_HT","RDD","MA_QH","DNL")</f>
        <v>0</v>
      </c>
      <c r="AE15" s="22">
        <f ca="1">+GETPIVOTDATA("XKL4",'kimlong (2016)'!$A$3,"MA_HT","RDD","MA_QH","DBV")</f>
        <v>0</v>
      </c>
      <c r="AF15" s="22">
        <f ca="1">+GETPIVOTDATA("XKL4",'kimlong (2016)'!$A$3,"MA_HT","RDD","MA_QH","DVH")</f>
        <v>0</v>
      </c>
      <c r="AG15" s="22">
        <f ca="1">+GETPIVOTDATA("XKL4",'kimlong (2016)'!$A$3,"MA_HT","RDD","MA_QH","DYT")</f>
        <v>0</v>
      </c>
      <c r="AH15" s="22">
        <f ca="1">+GETPIVOTDATA("XKL4",'kimlong (2016)'!$A$3,"MA_HT","RDD","MA_QH","DGD")</f>
        <v>0</v>
      </c>
      <c r="AI15" s="22">
        <f ca="1">+GETPIVOTDATA("XKL4",'kimlong (2016)'!$A$3,"MA_HT","RDD","MA_QH","DTT")</f>
        <v>0</v>
      </c>
      <c r="AJ15" s="22">
        <f ca="1">+GETPIVOTDATA("XKL4",'kimlong (2016)'!$A$3,"MA_HT","RDD","MA_QH","NCK")</f>
        <v>0</v>
      </c>
      <c r="AK15" s="22">
        <f ca="1">+GETPIVOTDATA("XKL4",'kimlong (2016)'!$A$3,"MA_HT","RDD","MA_QH","DXH")</f>
        <v>0</v>
      </c>
      <c r="AL15" s="22">
        <f ca="1">+GETPIVOTDATA("XKL4",'kimlong (2016)'!$A$3,"MA_HT","RDD","MA_QH","DCH")</f>
        <v>0</v>
      </c>
      <c r="AM15" s="22">
        <f ca="1">+GETPIVOTDATA("XKL4",'kimlong (2016)'!$A$3,"MA_HT","RDD","MA_QH","DKG")</f>
        <v>0</v>
      </c>
      <c r="AN15" s="22">
        <f ca="1">+GETPIVOTDATA("XKL4",'kimlong (2016)'!$A$3,"MA_HT","RDD","MA_QH","DDT")</f>
        <v>0</v>
      </c>
      <c r="AO15" s="22">
        <f ca="1">+GETPIVOTDATA("XKL4",'kimlong (2016)'!$A$3,"MA_HT","RDD","MA_QH","DDL")</f>
        <v>0</v>
      </c>
      <c r="AP15" s="22">
        <f ca="1">+GETPIVOTDATA("XKL4",'kimlong (2016)'!$A$3,"MA_HT","RDD","MA_QH","DRA")</f>
        <v>0</v>
      </c>
      <c r="AQ15" s="22">
        <f ca="1">+GETPIVOTDATA("XKL4",'kimlong (2016)'!$A$3,"MA_HT","RDD","MA_QH","ONT")</f>
        <v>0</v>
      </c>
      <c r="AR15" s="22">
        <f ca="1">+GETPIVOTDATA("XKL4",'kimlong (2016)'!$A$3,"MA_HT","RDD","MA_QH","ODT")</f>
        <v>0</v>
      </c>
      <c r="AS15" s="22">
        <f ca="1">+GETPIVOTDATA("XKL4",'kimlong (2016)'!$A$3,"MA_HT","RDD","MA_QH","TSC")</f>
        <v>0</v>
      </c>
      <c r="AT15" s="22">
        <f ca="1">+GETPIVOTDATA("XKL4",'kimlong (2016)'!$A$3,"MA_HT","RDD","MA_QH","DTS")</f>
        <v>0</v>
      </c>
      <c r="AU15" s="22">
        <f ca="1">+GETPIVOTDATA("XKL4",'kimlong (2016)'!$A$3,"MA_HT","RDD","MA_QH","DNG")</f>
        <v>0</v>
      </c>
      <c r="AV15" s="22">
        <f ca="1">+GETPIVOTDATA("XKL4",'kimlong (2016)'!$A$3,"MA_HT","RDD","MA_QH","TON")</f>
        <v>0</v>
      </c>
      <c r="AW15" s="22">
        <f ca="1">+GETPIVOTDATA("XKL4",'kimlong (2016)'!$A$3,"MA_HT","RDD","MA_QH","NTD")</f>
        <v>0</v>
      </c>
      <c r="AX15" s="22">
        <f ca="1">+GETPIVOTDATA("XKL4",'kimlong (2016)'!$A$3,"MA_HT","RDD","MA_QH","SKX")</f>
        <v>0</v>
      </c>
      <c r="AY15" s="22">
        <f ca="1">+GETPIVOTDATA("XKL4",'kimlong (2016)'!$A$3,"MA_HT","RDD","MA_QH","DSH")</f>
        <v>0</v>
      </c>
      <c r="AZ15" s="22">
        <f ca="1">+GETPIVOTDATA("XKL4",'kimlong (2016)'!$A$3,"MA_HT","RDD","MA_QH","DKV")</f>
        <v>0</v>
      </c>
      <c r="BA15" s="89">
        <f ca="1">+GETPIVOTDATA("XKL4",'kimlong (2016)'!$A$3,"MA_HT","RDD","MA_QH","TIN")</f>
        <v>0</v>
      </c>
      <c r="BB15" s="50">
        <f ca="1">+GETPIVOTDATA("XKL4",'kimlong (2016)'!$A$3,"MA_HT","RDD","MA_QH","SON")</f>
        <v>0</v>
      </c>
      <c r="BC15" s="50">
        <f ca="1">+GETPIVOTDATA("XKL4",'kimlong (2016)'!$A$3,"MA_HT","RDD","MA_QH","MNC")</f>
        <v>0</v>
      </c>
      <c r="BD15" s="22">
        <f ca="1">+GETPIVOTDATA("XKL4",'kimlong (2016)'!$A$3,"MA_HT","RDD","MA_QH","PNK")</f>
        <v>0</v>
      </c>
      <c r="BE15" s="71">
        <f ca="1">+GETPIVOTDATA("XKL4",'kimlong (2016)'!$A$3,"MA_HT","RDD","MA_QH","CSD")</f>
        <v>0</v>
      </c>
      <c r="BF15" s="74">
        <f ca="1" t="shared" si="7"/>
        <v>0</v>
      </c>
      <c r="BG15" s="101">
        <f ca="1">N$59-$BF15</f>
        <v>0</v>
      </c>
      <c r="BH15" s="41" t="e">
        <f ca="1" t="shared" si="8"/>
        <v>#REF!</v>
      </c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</row>
    <row r="16" s="2" customFormat="1" ht="15.75" customHeight="1" spans="1:79">
      <c r="A16" s="39" t="s">
        <v>8353</v>
      </c>
      <c r="B16" s="39" t="s">
        <v>8354</v>
      </c>
      <c r="C16" s="40" t="s">
        <v>318</v>
      </c>
      <c r="D16" s="47" t="e">
        <f>+#REF!</f>
        <v>#REF!</v>
      </c>
      <c r="E16" s="42">
        <f ca="1">SUM(F16,J16:N16,P16:Q16)</f>
        <v>0</v>
      </c>
      <c r="F16" s="52">
        <f ca="1" t="shared" si="9"/>
        <v>0</v>
      </c>
      <c r="G16" s="22">
        <f ca="1">+GETPIVOTDATA("XKL4",'kimlong (2016)'!$A$3,"MA_HT","NTS","MA_QH","LUC")</f>
        <v>0</v>
      </c>
      <c r="H16" s="22">
        <f ca="1">+GETPIVOTDATA("XKL4",'kimlong (2016)'!$A$3,"MA_HT","NTS","MA_QH","LUK")</f>
        <v>0</v>
      </c>
      <c r="I16" s="22">
        <f ca="1">+GETPIVOTDATA("XKL4",'kimlong (2016)'!$A$3,"MA_HT","NTS","MA_QH","LUN")</f>
        <v>0</v>
      </c>
      <c r="J16" s="22">
        <f ca="1">+GETPIVOTDATA("XKL4",'kimlong (2016)'!$A$3,"MA_HT","NTS","MA_QH","HNK")</f>
        <v>0</v>
      </c>
      <c r="K16" s="22">
        <f ca="1">+GETPIVOTDATA("XKL4",'kimlong (2016)'!$A$3,"MA_HT","NTS","MA_QH","CLN")</f>
        <v>0</v>
      </c>
      <c r="L16" s="22">
        <f ca="1">+GETPIVOTDATA("XKL4",'kimlong (2016)'!$A$3,"MA_HT","NTS","MA_QH","RSX")</f>
        <v>0</v>
      </c>
      <c r="M16" s="22">
        <f ca="1">+GETPIVOTDATA("XKL4",'kimlong (2016)'!$A$3,"MA_HT","NTS","MA_QH","RPH")</f>
        <v>0</v>
      </c>
      <c r="N16" s="22">
        <f ca="1">+GETPIVOTDATA("XKL4",'kimlong (2016)'!$A$3,"MA_HT","NTS","MA_QH","RDD")</f>
        <v>0</v>
      </c>
      <c r="O16" s="43" t="e">
        <f ca="1">$D16-$BF16</f>
        <v>#REF!</v>
      </c>
      <c r="P16" s="22">
        <f ca="1">+GETPIVOTDATA("XKL4",'kimlong (2016)'!$A$3,"MA_HT","NTS","MA_QH","LMU")</f>
        <v>0</v>
      </c>
      <c r="Q16" s="22">
        <f ca="1">+GETPIVOTDATA("XKL4",'kimlong (2016)'!$A$3,"MA_HT","NTS","MA_QH","NKH")</f>
        <v>0</v>
      </c>
      <c r="R16" s="42">
        <f ca="1" t="shared" si="2"/>
        <v>0</v>
      </c>
      <c r="S16" s="22">
        <f ca="1">+GETPIVOTDATA("XKL4",'kimlong (2016)'!$A$3,"MA_HT","NTS","MA_QH","CQP")</f>
        <v>0</v>
      </c>
      <c r="T16" s="22">
        <f ca="1">+GETPIVOTDATA("XKL4",'kimlong (2016)'!$A$3,"MA_HT","NTS","MA_QH","CAN")</f>
        <v>0</v>
      </c>
      <c r="U16" s="22">
        <f ca="1">+GETPIVOTDATA("XKL4",'kimlong (2016)'!$A$3,"MA_HT","NTS","MA_QH","SKK")</f>
        <v>0</v>
      </c>
      <c r="V16" s="22">
        <f ca="1">+GETPIVOTDATA("XKL4",'kimlong (2016)'!$A$3,"MA_HT","NTS","MA_QH","SKT")</f>
        <v>0</v>
      </c>
      <c r="W16" s="22">
        <f ca="1">+GETPIVOTDATA("XKL4",'kimlong (2016)'!$A$3,"MA_HT","NTS","MA_QH","SKN")</f>
        <v>0</v>
      </c>
      <c r="X16" s="22">
        <f ca="1">+GETPIVOTDATA("XKL4",'kimlong (2016)'!$A$3,"MA_HT","NTS","MA_QH","TMD")</f>
        <v>0</v>
      </c>
      <c r="Y16" s="22">
        <f ca="1">+GETPIVOTDATA("XKL4",'kimlong (2016)'!$A$3,"MA_HT","NTS","MA_QH","SKC")</f>
        <v>0</v>
      </c>
      <c r="Z16" s="22">
        <f ca="1">+GETPIVOTDATA("XKL4",'kimlong (2016)'!$A$3,"MA_HT","NTS","MA_QH","SKS")</f>
        <v>0</v>
      </c>
      <c r="AA16" s="52">
        <f ca="1" t="shared" si="4"/>
        <v>0</v>
      </c>
      <c r="AB16" s="22">
        <f ca="1">+GETPIVOTDATA("XKL4",'kimlong (2016)'!$A$3,"MA_HT","NTS","MA_QH","DGT")</f>
        <v>0</v>
      </c>
      <c r="AC16" s="22">
        <f ca="1">+GETPIVOTDATA("XKL4",'kimlong (2016)'!$A$3,"MA_HT","NTS","MA_QH","DTL")</f>
        <v>0</v>
      </c>
      <c r="AD16" s="22">
        <f ca="1">+GETPIVOTDATA("XKL4",'kimlong (2016)'!$A$3,"MA_HT","NTS","MA_QH","DNL")</f>
        <v>0</v>
      </c>
      <c r="AE16" s="22">
        <f ca="1">+GETPIVOTDATA("XKL4",'kimlong (2016)'!$A$3,"MA_HT","NTS","MA_QH","DBV")</f>
        <v>0</v>
      </c>
      <c r="AF16" s="22">
        <f ca="1">+GETPIVOTDATA("XKL4",'kimlong (2016)'!$A$3,"MA_HT","NTS","MA_QH","DVH")</f>
        <v>0</v>
      </c>
      <c r="AG16" s="22">
        <f ca="1">+GETPIVOTDATA("XKL4",'kimlong (2016)'!$A$3,"MA_HT","NTS","MA_QH","DYT")</f>
        <v>0</v>
      </c>
      <c r="AH16" s="22">
        <f ca="1">+GETPIVOTDATA("XKL4",'kimlong (2016)'!$A$3,"MA_HT","NTS","MA_QH","DGD")</f>
        <v>0</v>
      </c>
      <c r="AI16" s="22">
        <f ca="1">+GETPIVOTDATA("XKL4",'kimlong (2016)'!$A$3,"MA_HT","NTS","MA_QH","DTT")</f>
        <v>0</v>
      </c>
      <c r="AJ16" s="22">
        <f ca="1">+GETPIVOTDATA("XKL4",'kimlong (2016)'!$A$3,"MA_HT","NTS","MA_QH","NCK")</f>
        <v>0</v>
      </c>
      <c r="AK16" s="22">
        <f ca="1">+GETPIVOTDATA("XKL4",'kimlong (2016)'!$A$3,"MA_HT","NTS","MA_QH","DXH")</f>
        <v>0</v>
      </c>
      <c r="AL16" s="22">
        <f ca="1">+GETPIVOTDATA("XKL4",'kimlong (2016)'!$A$3,"MA_HT","NTS","MA_QH","DCH")</f>
        <v>0</v>
      </c>
      <c r="AM16" s="22">
        <f ca="1">+GETPIVOTDATA("XKL4",'kimlong (2016)'!$A$3,"MA_HT","NTS","MA_QH","DKG")</f>
        <v>0</v>
      </c>
      <c r="AN16" s="22">
        <f ca="1">+GETPIVOTDATA("XKL4",'kimlong (2016)'!$A$3,"MA_HT","NTS","MA_QH","DDT")</f>
        <v>0</v>
      </c>
      <c r="AO16" s="22">
        <f ca="1">+GETPIVOTDATA("XKL4",'kimlong (2016)'!$A$3,"MA_HT","NTS","MA_QH","DDL")</f>
        <v>0</v>
      </c>
      <c r="AP16" s="22">
        <f ca="1">+GETPIVOTDATA("XKL4",'kimlong (2016)'!$A$3,"MA_HT","NTS","MA_QH","DRA")</f>
        <v>0</v>
      </c>
      <c r="AQ16" s="22">
        <f ca="1">+GETPIVOTDATA("XKL4",'kimlong (2016)'!$A$3,"MA_HT","NTS","MA_QH","ONT")</f>
        <v>0</v>
      </c>
      <c r="AR16" s="22">
        <f ca="1">+GETPIVOTDATA("XKL4",'kimlong (2016)'!$A$3,"MA_HT","NTS","MA_QH","ODT")</f>
        <v>0</v>
      </c>
      <c r="AS16" s="22">
        <f ca="1">+GETPIVOTDATA("XKL4",'kimlong (2016)'!$A$3,"MA_HT","NTS","MA_QH","TSC")</f>
        <v>0</v>
      </c>
      <c r="AT16" s="22">
        <f ca="1">+GETPIVOTDATA("XKL4",'kimlong (2016)'!$A$3,"MA_HT","NTS","MA_QH","DTS")</f>
        <v>0</v>
      </c>
      <c r="AU16" s="22">
        <f ca="1">+GETPIVOTDATA("XKL4",'kimlong (2016)'!$A$3,"MA_HT","NTS","MA_QH","DNG")</f>
        <v>0</v>
      </c>
      <c r="AV16" s="22">
        <f ca="1">+GETPIVOTDATA("XKL4",'kimlong (2016)'!$A$3,"MA_HT","NTS","MA_QH","TON")</f>
        <v>0</v>
      </c>
      <c r="AW16" s="22">
        <f ca="1">+GETPIVOTDATA("XKL4",'kimlong (2016)'!$A$3,"MA_HT","NTS","MA_QH","NTD")</f>
        <v>0</v>
      </c>
      <c r="AX16" s="22">
        <f ca="1">+GETPIVOTDATA("XKL4",'kimlong (2016)'!$A$3,"MA_HT","NTS","MA_QH","SKX")</f>
        <v>0</v>
      </c>
      <c r="AY16" s="22">
        <f ca="1">+GETPIVOTDATA("XKL4",'kimlong (2016)'!$A$3,"MA_HT","NTS","MA_QH","DSH")</f>
        <v>0</v>
      </c>
      <c r="AZ16" s="22">
        <f ca="1">+GETPIVOTDATA("XKL4",'kimlong (2016)'!$A$3,"MA_HT","NTS","MA_QH","DKV")</f>
        <v>0</v>
      </c>
      <c r="BA16" s="89">
        <f ca="1">+GETPIVOTDATA("XKL4",'kimlong (2016)'!$A$3,"MA_HT","NTS","MA_QH","TIN")</f>
        <v>0</v>
      </c>
      <c r="BB16" s="50">
        <f ca="1">+GETPIVOTDATA("XKL4",'kimlong (2016)'!$A$3,"MA_HT","NTS","MA_QH","SON")</f>
        <v>0</v>
      </c>
      <c r="BC16" s="50">
        <f ca="1">+GETPIVOTDATA("XKL4",'kimlong (2016)'!$A$3,"MA_HT","NTS","MA_QH","MNC")</f>
        <v>0</v>
      </c>
      <c r="BD16" s="22">
        <f ca="1">+GETPIVOTDATA("XKL4",'kimlong (2016)'!$A$3,"MA_HT","NTS","MA_QH","PNK")</f>
        <v>0</v>
      </c>
      <c r="BE16" s="71">
        <f ca="1">+GETPIVOTDATA("XKL4",'kimlong (2016)'!$A$3,"MA_HT","NTS","MA_QH","CSD")</f>
        <v>0</v>
      </c>
      <c r="BF16" s="74">
        <f ca="1" t="shared" si="7"/>
        <v>0</v>
      </c>
      <c r="BG16" s="101">
        <f ca="1">O$59-$BF16</f>
        <v>0</v>
      </c>
      <c r="BH16" s="41" t="e">
        <f ca="1" t="shared" si="8"/>
        <v>#REF!</v>
      </c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</row>
    <row r="17" s="2" customFormat="1" ht="15.75" customHeight="1" spans="1:79">
      <c r="A17" s="39" t="s">
        <v>8355</v>
      </c>
      <c r="B17" s="39" t="s">
        <v>8356</v>
      </c>
      <c r="C17" s="40" t="s">
        <v>8297</v>
      </c>
      <c r="D17" s="47" t="e">
        <f>+#REF!</f>
        <v>#REF!</v>
      </c>
      <c r="E17" s="42">
        <f ca="1">SUM(F17,J17:O17,Q17:Q17)</f>
        <v>0</v>
      </c>
      <c r="F17" s="52">
        <f ca="1" t="shared" si="9"/>
        <v>0</v>
      </c>
      <c r="G17" s="22">
        <f ca="1">+GETPIVOTDATA("XKL4",'kimlong (2016)'!$A$3,"MA_HT","LMU","MA_QH","LUC")</f>
        <v>0</v>
      </c>
      <c r="H17" s="22">
        <f ca="1">+GETPIVOTDATA("XKL4",'kimlong (2016)'!$A$3,"MA_HT","LMU","MA_QH","LUK")</f>
        <v>0</v>
      </c>
      <c r="I17" s="22">
        <f ca="1">+GETPIVOTDATA("XKL4",'kimlong (2016)'!$A$3,"MA_HT","LMU","MA_QH","LUN")</f>
        <v>0</v>
      </c>
      <c r="J17" s="22">
        <f ca="1">+GETPIVOTDATA("XKL4",'kimlong (2016)'!$A$3,"MA_HT","LMU","MA_QH","HNK")</f>
        <v>0</v>
      </c>
      <c r="K17" s="22">
        <f ca="1">+GETPIVOTDATA("XKL4",'kimlong (2016)'!$A$3,"MA_HT","LMU","MA_QH","CLN")</f>
        <v>0</v>
      </c>
      <c r="L17" s="22">
        <f ca="1">+GETPIVOTDATA("XKL4",'kimlong (2016)'!$A$3,"MA_HT","LMU","MA_QH","RSX")</f>
        <v>0</v>
      </c>
      <c r="M17" s="22">
        <f ca="1">+GETPIVOTDATA("XKL4",'kimlong (2016)'!$A$3,"MA_HT","LMU","MA_QH","RPH")</f>
        <v>0</v>
      </c>
      <c r="N17" s="22">
        <f ca="1">+GETPIVOTDATA("XKL4",'kimlong (2016)'!$A$3,"MA_HT","LMU","MA_QH","RDD")</f>
        <v>0</v>
      </c>
      <c r="O17" s="22">
        <f ca="1">+GETPIVOTDATA("XKL4",'kimlong (2016)'!$A$3,"MA_HT","LMU","MA_QH","NTS")</f>
        <v>0</v>
      </c>
      <c r="P17" s="43" t="e">
        <f ca="1">$D17-$BF17</f>
        <v>#REF!</v>
      </c>
      <c r="Q17" s="22">
        <f ca="1">+GETPIVOTDATA("XKL4",'kimlong (2016)'!$A$3,"MA_HT","LMU","MA_QH","NKH")</f>
        <v>0</v>
      </c>
      <c r="R17" s="42">
        <f ca="1" t="shared" si="2"/>
        <v>0</v>
      </c>
      <c r="S17" s="22">
        <f ca="1">+GETPIVOTDATA("XKL4",'kimlong (2016)'!$A$3,"MA_HT","LMU","MA_QH","CQP")</f>
        <v>0</v>
      </c>
      <c r="T17" s="22">
        <f ca="1">+GETPIVOTDATA("XKL4",'kimlong (2016)'!$A$3,"MA_HT","LMU","MA_QH","CAN")</f>
        <v>0</v>
      </c>
      <c r="U17" s="22">
        <f ca="1">+GETPIVOTDATA("XKL4",'kimlong (2016)'!$A$3,"MA_HT","LMU","MA_QH","SKK")</f>
        <v>0</v>
      </c>
      <c r="V17" s="22">
        <f ca="1">+GETPIVOTDATA("XKL4",'kimlong (2016)'!$A$3,"MA_HT","LMU","MA_QH","SKT")</f>
        <v>0</v>
      </c>
      <c r="W17" s="22">
        <f ca="1">+GETPIVOTDATA("XKL4",'kimlong (2016)'!$A$3,"MA_HT","LMU","MA_QH","SKN")</f>
        <v>0</v>
      </c>
      <c r="X17" s="22">
        <f ca="1">+GETPIVOTDATA("XKL4",'kimlong (2016)'!$A$3,"MA_HT","LMU","MA_QH","TMD")</f>
        <v>0</v>
      </c>
      <c r="Y17" s="22">
        <f ca="1">+GETPIVOTDATA("XKL4",'kimlong (2016)'!$A$3,"MA_HT","LMU","MA_QH","SKC")</f>
        <v>0</v>
      </c>
      <c r="Z17" s="22">
        <f ca="1">+GETPIVOTDATA("XKL4",'kimlong (2016)'!$A$3,"MA_HT","LMU","MA_QH","SKS")</f>
        <v>0</v>
      </c>
      <c r="AA17" s="52">
        <f ca="1" t="shared" si="4"/>
        <v>0</v>
      </c>
      <c r="AB17" s="22">
        <f ca="1">+GETPIVOTDATA("XKL4",'kimlong (2016)'!$A$3,"MA_HT","LMU","MA_QH","DGT")</f>
        <v>0</v>
      </c>
      <c r="AC17" s="22">
        <f ca="1">+GETPIVOTDATA("XKL4",'kimlong (2016)'!$A$3,"MA_HT","LMU","MA_QH","DTL")</f>
        <v>0</v>
      </c>
      <c r="AD17" s="22">
        <f ca="1">+GETPIVOTDATA("XKL4",'kimlong (2016)'!$A$3,"MA_HT","LMU","MA_QH","DNL")</f>
        <v>0</v>
      </c>
      <c r="AE17" s="22">
        <f ca="1">+GETPIVOTDATA("XKL4",'kimlong (2016)'!$A$3,"MA_HT","LMU","MA_QH","DBV")</f>
        <v>0</v>
      </c>
      <c r="AF17" s="22">
        <f ca="1">+GETPIVOTDATA("XKL4",'kimlong (2016)'!$A$3,"MA_HT","LMU","MA_QH","DVH")</f>
        <v>0</v>
      </c>
      <c r="AG17" s="22">
        <f ca="1">+GETPIVOTDATA("XKL4",'kimlong (2016)'!$A$3,"MA_HT","LMU","MA_QH","DYT")</f>
        <v>0</v>
      </c>
      <c r="AH17" s="22">
        <f ca="1">+GETPIVOTDATA("XKL4",'kimlong (2016)'!$A$3,"MA_HT","LMU","MA_QH","DGD")</f>
        <v>0</v>
      </c>
      <c r="AI17" s="22">
        <f ca="1">+GETPIVOTDATA("XKL4",'kimlong (2016)'!$A$3,"MA_HT","LMU","MA_QH","DTT")</f>
        <v>0</v>
      </c>
      <c r="AJ17" s="22">
        <f ca="1">+GETPIVOTDATA("XKL4",'kimlong (2016)'!$A$3,"MA_HT","LMU","MA_QH","NCK")</f>
        <v>0</v>
      </c>
      <c r="AK17" s="22">
        <f ca="1">+GETPIVOTDATA("XKL4",'kimlong (2016)'!$A$3,"MA_HT","LMU","MA_QH","DXH")</f>
        <v>0</v>
      </c>
      <c r="AL17" s="22">
        <f ca="1">+GETPIVOTDATA("XKL4",'kimlong (2016)'!$A$3,"MA_HT","LMU","MA_QH","DCH")</f>
        <v>0</v>
      </c>
      <c r="AM17" s="22">
        <f ca="1">+GETPIVOTDATA("XKL4",'kimlong (2016)'!$A$3,"MA_HT","LMU","MA_QH","DKG")</f>
        <v>0</v>
      </c>
      <c r="AN17" s="22">
        <f ca="1">+GETPIVOTDATA("XKL4",'kimlong (2016)'!$A$3,"MA_HT","LMU","MA_QH","DDT")</f>
        <v>0</v>
      </c>
      <c r="AO17" s="22">
        <f ca="1">+GETPIVOTDATA("XKL4",'kimlong (2016)'!$A$3,"MA_HT","LMU","MA_QH","DDL")</f>
        <v>0</v>
      </c>
      <c r="AP17" s="22">
        <f ca="1">+GETPIVOTDATA("XKL4",'kimlong (2016)'!$A$3,"MA_HT","LMU","MA_QH","DRA")</f>
        <v>0</v>
      </c>
      <c r="AQ17" s="22">
        <f ca="1">+GETPIVOTDATA("XKL4",'kimlong (2016)'!$A$3,"MA_HT","LMU","MA_QH","ONT")</f>
        <v>0</v>
      </c>
      <c r="AR17" s="22">
        <f ca="1">+GETPIVOTDATA("XKL4",'kimlong (2016)'!$A$3,"MA_HT","LMU","MA_QH","ODT")</f>
        <v>0</v>
      </c>
      <c r="AS17" s="22">
        <f ca="1">+GETPIVOTDATA("XKL4",'kimlong (2016)'!$A$3,"MA_HT","LMU","MA_QH","TSC")</f>
        <v>0</v>
      </c>
      <c r="AT17" s="22">
        <f ca="1">+GETPIVOTDATA("XKL4",'kimlong (2016)'!$A$3,"MA_HT","LMU","MA_QH","DTS")</f>
        <v>0</v>
      </c>
      <c r="AU17" s="22">
        <f ca="1">+GETPIVOTDATA("XKL4",'kimlong (2016)'!$A$3,"MA_HT","LMU","MA_QH","DNG")</f>
        <v>0</v>
      </c>
      <c r="AV17" s="22">
        <f ca="1">+GETPIVOTDATA("XKL4",'kimlong (2016)'!$A$3,"MA_HT","LMU","MA_QH","TON")</f>
        <v>0</v>
      </c>
      <c r="AW17" s="22">
        <f ca="1">+GETPIVOTDATA("XKL4",'kimlong (2016)'!$A$3,"MA_HT","LMU","MA_QH","NTD")</f>
        <v>0</v>
      </c>
      <c r="AX17" s="22">
        <f ca="1">+GETPIVOTDATA("XKL4",'kimlong (2016)'!$A$3,"MA_HT","LMU","MA_QH","SKX")</f>
        <v>0</v>
      </c>
      <c r="AY17" s="22">
        <f ca="1">+GETPIVOTDATA("XKL4",'kimlong (2016)'!$A$3,"MA_HT","LMU","MA_QH","DSH")</f>
        <v>0</v>
      </c>
      <c r="AZ17" s="22">
        <f ca="1">+GETPIVOTDATA("XKL4",'kimlong (2016)'!$A$3,"MA_HT","LMU","MA_QH","DKV")</f>
        <v>0</v>
      </c>
      <c r="BA17" s="89">
        <f ca="1">+GETPIVOTDATA("XKL4",'kimlong (2016)'!$A$3,"MA_HT","LMU","MA_QH","TIN")</f>
        <v>0</v>
      </c>
      <c r="BB17" s="50">
        <f ca="1">+GETPIVOTDATA("XKL4",'kimlong (2016)'!$A$3,"MA_HT","LMU","MA_QH","SON")</f>
        <v>0</v>
      </c>
      <c r="BC17" s="50">
        <f ca="1">+GETPIVOTDATA("XKL4",'kimlong (2016)'!$A$3,"MA_HT","LMU","MA_QH","MNC")</f>
        <v>0</v>
      </c>
      <c r="BD17" s="22">
        <f ca="1">+GETPIVOTDATA("XKL4",'kimlong (2016)'!$A$3,"MA_HT","LMU","MA_QH","PNK")</f>
        <v>0</v>
      </c>
      <c r="BE17" s="71">
        <f ca="1">+GETPIVOTDATA("XKL4",'kimlong (2016)'!$A$3,"MA_HT","LMU","MA_QH","CSD")</f>
        <v>0</v>
      </c>
      <c r="BF17" s="74">
        <f ca="1" t="shared" si="7"/>
        <v>0</v>
      </c>
      <c r="BG17" s="101">
        <f ca="1">P$59-$BF17</f>
        <v>0</v>
      </c>
      <c r="BH17" s="41" t="e">
        <f ca="1" t="shared" si="8"/>
        <v>#REF!</v>
      </c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</row>
    <row r="18" s="2" customFormat="1" ht="15.75" customHeight="1" spans="1:79">
      <c r="A18" s="39" t="s">
        <v>8357</v>
      </c>
      <c r="B18" s="39" t="s">
        <v>8358</v>
      </c>
      <c r="C18" s="40" t="s">
        <v>553</v>
      </c>
      <c r="D18" s="47" t="e">
        <f>+#REF!</f>
        <v>#REF!</v>
      </c>
      <c r="E18" s="42">
        <f ca="1">SUM(F18,J18:P18)</f>
        <v>0</v>
      </c>
      <c r="F18" s="52">
        <f ca="1" t="shared" si="9"/>
        <v>0</v>
      </c>
      <c r="G18" s="22">
        <f ca="1">+GETPIVOTDATA("XKL4",'kimlong (2016)'!$A$3,"MA_HT","NKH","MA_QH","LUC")</f>
        <v>0</v>
      </c>
      <c r="H18" s="22">
        <f ca="1">+GETPIVOTDATA("XKL4",'kimlong (2016)'!$A$3,"MA_HT","NKH","MA_QH","LUK")</f>
        <v>0</v>
      </c>
      <c r="I18" s="22">
        <f ca="1">+GETPIVOTDATA("XKL4",'kimlong (2016)'!$A$3,"MA_HT","NKH","MA_QH","LUN")</f>
        <v>0</v>
      </c>
      <c r="J18" s="22">
        <f ca="1">+GETPIVOTDATA("XKL4",'kimlong (2016)'!$A$3,"MA_HT","NKH","MA_QH","HNK")</f>
        <v>0</v>
      </c>
      <c r="K18" s="22">
        <f ca="1">+GETPIVOTDATA("XKL4",'kimlong (2016)'!$A$3,"MA_HT","NKH","MA_QH","CLN")</f>
        <v>0</v>
      </c>
      <c r="L18" s="22">
        <f ca="1">+GETPIVOTDATA("XKL4",'kimlong (2016)'!$A$3,"MA_HT","NKH","MA_QH","RSX")</f>
        <v>0</v>
      </c>
      <c r="M18" s="22">
        <f ca="1">+GETPIVOTDATA("XKL4",'kimlong (2016)'!$A$3,"MA_HT","NKH","MA_QH","RPH")</f>
        <v>0</v>
      </c>
      <c r="N18" s="22">
        <f ca="1">+GETPIVOTDATA("XKL4",'kimlong (2016)'!$A$3,"MA_HT","NKH","MA_QH","RDD")</f>
        <v>0</v>
      </c>
      <c r="O18" s="22">
        <f ca="1">+GETPIVOTDATA("XKL4",'kimlong (2016)'!$A$3,"MA_HT","NKH","MA_QH","NTS")</f>
        <v>0</v>
      </c>
      <c r="P18" s="22">
        <f ca="1">+GETPIVOTDATA("XKL4",'kimlong (2016)'!$A$3,"MA_HT","NKH","MA_QH","LMU")</f>
        <v>0</v>
      </c>
      <c r="Q18" s="43" t="e">
        <f ca="1">$D18-$BF18</f>
        <v>#REF!</v>
      </c>
      <c r="R18" s="42">
        <f ca="1" t="shared" si="2"/>
        <v>0</v>
      </c>
      <c r="S18" s="22">
        <f ca="1">+GETPIVOTDATA("XKL4",'kimlong (2016)'!$A$3,"MA_HT","NKH","MA_QH","CQP")</f>
        <v>0</v>
      </c>
      <c r="T18" s="22">
        <f ca="1">+GETPIVOTDATA("XKL4",'kimlong (2016)'!$A$3,"MA_HT","NKH","MA_QH","CAN")</f>
        <v>0</v>
      </c>
      <c r="U18" s="22">
        <f ca="1">+GETPIVOTDATA("XKL4",'kimlong (2016)'!$A$3,"MA_HT","NKH","MA_QH","SKK")</f>
        <v>0</v>
      </c>
      <c r="V18" s="22">
        <f ca="1">+GETPIVOTDATA("XKL4",'kimlong (2016)'!$A$3,"MA_HT","NKH","MA_QH","SKT")</f>
        <v>0</v>
      </c>
      <c r="W18" s="22">
        <f ca="1">+GETPIVOTDATA("XKL4",'kimlong (2016)'!$A$3,"MA_HT","NKH","MA_QH","SKN")</f>
        <v>0</v>
      </c>
      <c r="X18" s="22">
        <f ca="1">+GETPIVOTDATA("XKL4",'kimlong (2016)'!$A$3,"MA_HT","NKH","MA_QH","TMD")</f>
        <v>0</v>
      </c>
      <c r="Y18" s="22">
        <f ca="1">+GETPIVOTDATA("XKL4",'kimlong (2016)'!$A$3,"MA_HT","NKH","MA_QH","SKC")</f>
        <v>0</v>
      </c>
      <c r="Z18" s="22">
        <f ca="1">+GETPIVOTDATA("XKL4",'kimlong (2016)'!$A$3,"MA_HT","NKH","MA_QH","SKS")</f>
        <v>0</v>
      </c>
      <c r="AA18" s="52">
        <f ca="1" t="shared" si="4"/>
        <v>0</v>
      </c>
      <c r="AB18" s="22">
        <f ca="1">+GETPIVOTDATA("XKL4",'kimlong (2016)'!$A$3,"MA_HT","NKH","MA_QH","DGT")</f>
        <v>0</v>
      </c>
      <c r="AC18" s="22">
        <f ca="1">+GETPIVOTDATA("XKL4",'kimlong (2016)'!$A$3,"MA_HT","NKH","MA_QH","DTL")</f>
        <v>0</v>
      </c>
      <c r="AD18" s="22">
        <f ca="1">+GETPIVOTDATA("XKL4",'kimlong (2016)'!$A$3,"MA_HT","NKH","MA_QH","DNL")</f>
        <v>0</v>
      </c>
      <c r="AE18" s="22">
        <f ca="1">+GETPIVOTDATA("XKL4",'kimlong (2016)'!$A$3,"MA_HT","NKH","MA_QH","DBV")</f>
        <v>0</v>
      </c>
      <c r="AF18" s="22">
        <f ca="1">+GETPIVOTDATA("XKL4",'kimlong (2016)'!$A$3,"MA_HT","NKH","MA_QH","DVH")</f>
        <v>0</v>
      </c>
      <c r="AG18" s="22">
        <f ca="1">+GETPIVOTDATA("XKL4",'kimlong (2016)'!$A$3,"MA_HT","NKH","MA_QH","DYT")</f>
        <v>0</v>
      </c>
      <c r="AH18" s="22">
        <f ca="1">+GETPIVOTDATA("XKL4",'kimlong (2016)'!$A$3,"MA_HT","NKH","MA_QH","DGD")</f>
        <v>0</v>
      </c>
      <c r="AI18" s="22">
        <f ca="1">+GETPIVOTDATA("XKL4",'kimlong (2016)'!$A$3,"MA_HT","NKH","MA_QH","DTT")</f>
        <v>0</v>
      </c>
      <c r="AJ18" s="22">
        <f ca="1">+GETPIVOTDATA("XKL4",'kimlong (2016)'!$A$3,"MA_HT","NKH","MA_QH","NCK")</f>
        <v>0</v>
      </c>
      <c r="AK18" s="22">
        <f ca="1">+GETPIVOTDATA("XKL4",'kimlong (2016)'!$A$3,"MA_HT","NKH","MA_QH","DXH")</f>
        <v>0</v>
      </c>
      <c r="AL18" s="22">
        <f ca="1">+GETPIVOTDATA("XKL4",'kimlong (2016)'!$A$3,"MA_HT","NKH","MA_QH","DCH")</f>
        <v>0</v>
      </c>
      <c r="AM18" s="22">
        <f ca="1">+GETPIVOTDATA("XKL4",'kimlong (2016)'!$A$3,"MA_HT","NKH","MA_QH","DKG")</f>
        <v>0</v>
      </c>
      <c r="AN18" s="22">
        <f ca="1">+GETPIVOTDATA("XKL4",'kimlong (2016)'!$A$3,"MA_HT","NKH","MA_QH","DDT")</f>
        <v>0</v>
      </c>
      <c r="AO18" s="22">
        <f ca="1">+GETPIVOTDATA("XKL4",'kimlong (2016)'!$A$3,"MA_HT","NKH","MA_QH","DDL")</f>
        <v>0</v>
      </c>
      <c r="AP18" s="22">
        <f ca="1">+GETPIVOTDATA("XKL4",'kimlong (2016)'!$A$3,"MA_HT","NKH","MA_QH","DRA")</f>
        <v>0</v>
      </c>
      <c r="AQ18" s="22">
        <f ca="1">+GETPIVOTDATA("XKL4",'kimlong (2016)'!$A$3,"MA_HT","NKH","MA_QH","ONT")</f>
        <v>0</v>
      </c>
      <c r="AR18" s="22">
        <f ca="1">+GETPIVOTDATA("XKL4",'kimlong (2016)'!$A$3,"MA_HT","NKH","MA_QH","ODT")</f>
        <v>0</v>
      </c>
      <c r="AS18" s="22">
        <f ca="1">+GETPIVOTDATA("XKL4",'kimlong (2016)'!$A$3,"MA_HT","NKH","MA_QH","TSC")</f>
        <v>0</v>
      </c>
      <c r="AT18" s="22">
        <f ca="1">+GETPIVOTDATA("XKL4",'kimlong (2016)'!$A$3,"MA_HT","NKH","MA_QH","DTS")</f>
        <v>0</v>
      </c>
      <c r="AU18" s="22">
        <f ca="1">+GETPIVOTDATA("XKL4",'kimlong (2016)'!$A$3,"MA_HT","NKH","MA_QH","DNG")</f>
        <v>0</v>
      </c>
      <c r="AV18" s="22">
        <f ca="1">+GETPIVOTDATA("XKL4",'kimlong (2016)'!$A$3,"MA_HT","NKH","MA_QH","TON")</f>
        <v>0</v>
      </c>
      <c r="AW18" s="22">
        <f ca="1">+GETPIVOTDATA("XKL4",'kimlong (2016)'!$A$3,"MA_HT","NKH","MA_QH","NTD")</f>
        <v>0</v>
      </c>
      <c r="AX18" s="22">
        <f ca="1">+GETPIVOTDATA("XKL4",'kimlong (2016)'!$A$3,"MA_HT","NKH","MA_QH","SKX")</f>
        <v>0</v>
      </c>
      <c r="AY18" s="22">
        <f ca="1">+GETPIVOTDATA("XKL4",'kimlong (2016)'!$A$3,"MA_HT","NKH","MA_QH","DSH")</f>
        <v>0</v>
      </c>
      <c r="AZ18" s="22">
        <f ca="1">+GETPIVOTDATA("XKL4",'kimlong (2016)'!$A$3,"MA_HT","NKH","MA_QH","DKV")</f>
        <v>0</v>
      </c>
      <c r="BA18" s="89">
        <f ca="1">+GETPIVOTDATA("XKL4",'kimlong (2016)'!$A$3,"MA_HT","NKH","MA_QH","TIN")</f>
        <v>0</v>
      </c>
      <c r="BB18" s="50">
        <f ca="1">+GETPIVOTDATA("XKL4",'kimlong (2016)'!$A$3,"MA_HT","NKH","MA_QH","SON")</f>
        <v>0</v>
      </c>
      <c r="BC18" s="50">
        <f ca="1">+GETPIVOTDATA("XKL4",'kimlong (2016)'!$A$3,"MA_HT","NKH","MA_QH","MNC")</f>
        <v>0</v>
      </c>
      <c r="BD18" s="22">
        <f ca="1">+GETPIVOTDATA("XKL4",'kimlong (2016)'!$A$3,"MA_HT","NKH","MA_QH","PNK")</f>
        <v>0</v>
      </c>
      <c r="BE18" s="71">
        <f ca="1">+GETPIVOTDATA("XKL4",'kimlong (2016)'!$A$3,"MA_HT","NKH","MA_QH","CSD")</f>
        <v>0</v>
      </c>
      <c r="BF18" s="74">
        <f ca="1" t="shared" si="7"/>
        <v>0</v>
      </c>
      <c r="BG18" s="101">
        <f ca="1">Q$59-$BF18</f>
        <v>0</v>
      </c>
      <c r="BH18" s="41" t="e">
        <f ca="1" t="shared" si="8"/>
        <v>#REF!</v>
      </c>
      <c r="BI18" s="98"/>
      <c r="BJ18" s="98"/>
      <c r="BK18" s="98"/>
      <c r="BL18" s="98"/>
      <c r="BM18" s="107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</row>
    <row r="19" s="3" customFormat="1" ht="15.75" customHeight="1" spans="1:75">
      <c r="A19" s="35">
        <v>2</v>
      </c>
      <c r="B19" s="36" t="s">
        <v>8359</v>
      </c>
      <c r="C19" s="37" t="s">
        <v>8304</v>
      </c>
      <c r="D19" s="33" t="e">
        <f>+#REF!</f>
        <v>#REF!</v>
      </c>
      <c r="E19" s="33">
        <f ca="1">SUM(E20:E28,E41:E57)</f>
        <v>0</v>
      </c>
      <c r="F19" s="33">
        <f ca="1">SUM(F20:F28,F41:F57)</f>
        <v>0</v>
      </c>
      <c r="G19" s="33">
        <f ca="1">SUM(G20:G28,G41:G57)</f>
        <v>0</v>
      </c>
      <c r="H19" s="33">
        <f ca="1">SUM(H20:H28,H41:H57)</f>
        <v>0</v>
      </c>
      <c r="I19" s="33">
        <f ca="1">SUM(I20:I28,I41:I57)</f>
        <v>0</v>
      </c>
      <c r="J19" s="33">
        <f ca="1" t="shared" ref="J19:Q19" si="10">SUM(J20:J28,J41:J57)</f>
        <v>0</v>
      </c>
      <c r="K19" s="33">
        <f ca="1" t="shared" si="10"/>
        <v>0</v>
      </c>
      <c r="L19" s="33">
        <f ca="1" t="shared" si="10"/>
        <v>0</v>
      </c>
      <c r="M19" s="33">
        <f ca="1" t="shared" si="10"/>
        <v>0</v>
      </c>
      <c r="N19" s="33">
        <f ca="1" t="shared" si="10"/>
        <v>0</v>
      </c>
      <c r="O19" s="33">
        <f ca="1" t="shared" si="10"/>
        <v>0</v>
      </c>
      <c r="P19" s="33">
        <f ca="1" t="shared" si="10"/>
        <v>0</v>
      </c>
      <c r="Q19" s="33">
        <f ca="1" t="shared" si="10"/>
        <v>0</v>
      </c>
      <c r="R19" s="38" t="e">
        <f ca="1">$D19-$BF19</f>
        <v>#REF!</v>
      </c>
      <c r="S19" s="33">
        <f ca="1">SUM(S21:S28,S41:S57)</f>
        <v>0</v>
      </c>
      <c r="T19" s="33">
        <f ca="1">SUM(T20,T22:T28,T41:T57)</f>
        <v>0</v>
      </c>
      <c r="U19" s="33">
        <f ca="1">SUM(U20:U21,U23:U28,U41:U57)</f>
        <v>0</v>
      </c>
      <c r="V19" s="33">
        <f ca="1">SUM(V20:V22,V24:V28,V41:V57)</f>
        <v>0</v>
      </c>
      <c r="W19" s="33">
        <f ca="1">SUM(W20:W23,W25:W28,W41:W57)</f>
        <v>0</v>
      </c>
      <c r="X19" s="33">
        <f ca="1">SUM(X20:X24,X26:X28,X41:X57)</f>
        <v>0</v>
      </c>
      <c r="Y19" s="33">
        <f ca="1">SUM(Y20:Y25,Y27:Y28,Y41:Y57)</f>
        <v>0</v>
      </c>
      <c r="Z19" s="33">
        <f ca="1">SUM(Z20:Z26,Z28,Z41:Z57)</f>
        <v>0</v>
      </c>
      <c r="AA19" s="33">
        <f ca="1">SUM(AA20:AA27,AA41:AA57)</f>
        <v>0</v>
      </c>
      <c r="AB19" s="33">
        <f ca="1" t="shared" ref="AB19:AM19" si="11">SUM(AB20:AB28,AB41:AB57)</f>
        <v>0</v>
      </c>
      <c r="AC19" s="33">
        <f ca="1" t="shared" si="11"/>
        <v>0</v>
      </c>
      <c r="AD19" s="33">
        <f ca="1" t="shared" si="11"/>
        <v>0</v>
      </c>
      <c r="AE19" s="33">
        <f ca="1" t="shared" si="11"/>
        <v>0</v>
      </c>
      <c r="AF19" s="33">
        <f ca="1" t="shared" si="11"/>
        <v>0</v>
      </c>
      <c r="AG19" s="33">
        <f ca="1" t="shared" si="11"/>
        <v>0</v>
      </c>
      <c r="AH19" s="33">
        <f ca="1" t="shared" si="11"/>
        <v>0</v>
      </c>
      <c r="AI19" s="33">
        <f ca="1" t="shared" si="11"/>
        <v>0</v>
      </c>
      <c r="AJ19" s="33">
        <f ca="1" t="shared" si="11"/>
        <v>0</v>
      </c>
      <c r="AK19" s="33">
        <f ca="1" t="shared" si="11"/>
        <v>0</v>
      </c>
      <c r="AL19" s="33">
        <f ca="1" t="shared" si="11"/>
        <v>0</v>
      </c>
      <c r="AM19" s="33">
        <f ca="1" t="shared" si="11"/>
        <v>0</v>
      </c>
      <c r="AN19" s="33">
        <f ca="1">SUM(AN20:AN28,AN42:AN57)</f>
        <v>0</v>
      </c>
      <c r="AO19" s="33">
        <f ca="1">SUM(AO20:AO28,AO41,AO43:AO57)</f>
        <v>0</v>
      </c>
      <c r="AP19" s="33">
        <f ca="1">SUM(AP20:AP28,AP41:AP42,AP44:AP57)</f>
        <v>0</v>
      </c>
      <c r="AQ19" s="33">
        <f ca="1">SUM(AQ20:AQ28,AQ41:AQ43,AQ45:AQ57)</f>
        <v>0</v>
      </c>
      <c r="AR19" s="33">
        <f ca="1">SUM(AR20:AR28,AR41:AR44,AR46:AR57)</f>
        <v>0</v>
      </c>
      <c r="AS19" s="33">
        <f ca="1">SUM(AS20:AS28,AS41:AS45,AS47:AS57)</f>
        <v>0</v>
      </c>
      <c r="AT19" s="33">
        <f ca="1">SUM(AT20:AT28,AT41:AT46,AT48:AT57)</f>
        <v>0</v>
      </c>
      <c r="AU19" s="33">
        <f ca="1">SUM(AU20:AU28,AU41:AU47,AU49:AU57)</f>
        <v>0</v>
      </c>
      <c r="AV19" s="33">
        <f ca="1">SUM(AV20:AV28,AV41:AV48,AV50:AV57)</f>
        <v>0</v>
      </c>
      <c r="AW19" s="33">
        <f ca="1">SUM(AW20:AW28,AW41:AW49,AW51:AW57)</f>
        <v>0</v>
      </c>
      <c r="AX19" s="33">
        <f ca="1">SUM(AX20:AX28,AX41:AX50,AX52:AX57)</f>
        <v>0</v>
      </c>
      <c r="AY19" s="33">
        <f ca="1">SUM(AY20:AY28,AY41:AY51,AY53:AY57)</f>
        <v>0</v>
      </c>
      <c r="AZ19" s="33">
        <f ca="1">SUM(AZ20:AZ28,AZ41:AZ52,AZ54:AZ57)</f>
        <v>0</v>
      </c>
      <c r="BA19" s="33">
        <f ca="1">SUM(BA20:BA28,BA41:BA53,BA55:BA57)</f>
        <v>0</v>
      </c>
      <c r="BB19" s="33">
        <f ca="1">SUM(BB20:BB28,BB41:BB54,BB56:BB57)</f>
        <v>0</v>
      </c>
      <c r="BC19" s="33">
        <f ca="1">SUM(BC20:BC28,BC41:BC55,BC57)</f>
        <v>0</v>
      </c>
      <c r="BD19" s="33">
        <f ca="1">SUM(BD20:BD28,BD41:BD56,BD58)</f>
        <v>0</v>
      </c>
      <c r="BE19" s="33">
        <f ca="1">SUM(BE20:BE28,BE41:BE57)</f>
        <v>0</v>
      </c>
      <c r="BF19" s="74">
        <f ca="1">SUM(BE19,E19)</f>
        <v>0</v>
      </c>
      <c r="BG19" s="101">
        <f ca="1">R$59-$BF19</f>
        <v>0</v>
      </c>
      <c r="BH19" s="33" t="e">
        <f ca="1">SUM(BH20:BH28,BH41:BH57)</f>
        <v>#REF!</v>
      </c>
      <c r="BI19" s="102"/>
      <c r="BJ19" s="36" t="e">
        <f>SUM(BJ22:BJ54,BJ57:BJ57)</f>
        <v>#REF!</v>
      </c>
      <c r="BK19" s="106" t="e">
        <f ca="1">BH19-BJ19</f>
        <v>#REF!</v>
      </c>
      <c r="BL19" s="106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</row>
    <row r="20" s="2" customFormat="1" ht="15.75" customHeight="1" spans="1:79">
      <c r="A20" s="39" t="s">
        <v>69</v>
      </c>
      <c r="B20" s="39" t="s">
        <v>8360</v>
      </c>
      <c r="C20" s="40" t="s">
        <v>31</v>
      </c>
      <c r="D20" s="41" t="e">
        <f>+#REF!</f>
        <v>#REF!</v>
      </c>
      <c r="E20" s="42">
        <f ca="1">SUM(F20,J20:Q20)</f>
        <v>0</v>
      </c>
      <c r="F20" s="52">
        <f ca="1" t="shared" si="9"/>
        <v>0</v>
      </c>
      <c r="G20" s="22">
        <f ca="1">+GETPIVOTDATA("XKL4",'kimlong (2016)'!$A$3,"MA_HT","CQP","MA_QH","LUC")</f>
        <v>0</v>
      </c>
      <c r="H20" s="22">
        <f ca="1">+GETPIVOTDATA("XKL4",'kimlong (2016)'!$A$3,"MA_HT","CQP","MA_QH","LUK")</f>
        <v>0</v>
      </c>
      <c r="I20" s="22">
        <f ca="1">+GETPIVOTDATA("XKL4",'kimlong (2016)'!$A$3,"MA_HT","CQP","MA_QH","LUN")</f>
        <v>0</v>
      </c>
      <c r="J20" s="22">
        <f ca="1">+GETPIVOTDATA("XKL4",'kimlong (2016)'!$A$3,"MA_HT","CQP","MA_QH","HNK")</f>
        <v>0</v>
      </c>
      <c r="K20" s="22">
        <f ca="1">+GETPIVOTDATA("XKL4",'kimlong (2016)'!$A$3,"MA_HT","CQP","MA_QH","CLN")</f>
        <v>0</v>
      </c>
      <c r="L20" s="22">
        <f ca="1">+GETPIVOTDATA("XKL4",'kimlong (2016)'!$A$3,"MA_HT","CQP","MA_QH","RSX")</f>
        <v>0</v>
      </c>
      <c r="M20" s="22">
        <f ca="1">+GETPIVOTDATA("XKL4",'kimlong (2016)'!$A$3,"MA_HT","CQP","MA_QH","RPH")</f>
        <v>0</v>
      </c>
      <c r="N20" s="22">
        <f ca="1">+GETPIVOTDATA("XKL4",'kimlong (2016)'!$A$3,"MA_HT","CQP","MA_QH","RDD")</f>
        <v>0</v>
      </c>
      <c r="O20" s="22">
        <f ca="1">+GETPIVOTDATA("XKL4",'kimlong (2016)'!$A$3,"MA_HT","CQP","MA_QH","NTS")</f>
        <v>0</v>
      </c>
      <c r="P20" s="22">
        <f ca="1">+GETPIVOTDATA("XKL4",'kimlong (2016)'!$A$3,"MA_HT","CQP","MA_QH","LMU")</f>
        <v>0</v>
      </c>
      <c r="Q20" s="22">
        <f ca="1">+GETPIVOTDATA("XKL4",'kimlong (2016)'!$A$3,"MA_HT","CQP","MA_QH","NKH")</f>
        <v>0</v>
      </c>
      <c r="R20" s="42">
        <f ca="1">SUM(T20:AA20,AN20:BD20)</f>
        <v>0</v>
      </c>
      <c r="S20" s="43" t="e">
        <f ca="1">$D20-$BF20</f>
        <v>#REF!</v>
      </c>
      <c r="T20" s="22">
        <f ca="1">+GETPIVOTDATA("XKL4",'kimlong (2016)'!$A$3,"MA_HT","CQP","MA_QH","CAN")</f>
        <v>0</v>
      </c>
      <c r="U20" s="22">
        <f ca="1">+GETPIVOTDATA("XKL4",'kimlong (2016)'!$A$3,"MA_HT","CQP","MA_QH","SKK")</f>
        <v>0</v>
      </c>
      <c r="V20" s="22">
        <f ca="1">+GETPIVOTDATA("XKL4",'kimlong (2016)'!$A$3,"MA_HT","CQP","MA_QH","SKT")</f>
        <v>0</v>
      </c>
      <c r="W20" s="22">
        <f ca="1">+GETPIVOTDATA("XKL4",'kimlong (2016)'!$A$3,"MA_HT","CQP","MA_QH","SKN")</f>
        <v>0</v>
      </c>
      <c r="X20" s="22">
        <f ca="1">+GETPIVOTDATA("XKL4",'kimlong (2016)'!$A$3,"MA_HT","CQP","MA_QH","TMD")</f>
        <v>0</v>
      </c>
      <c r="Y20" s="22">
        <f ca="1">+GETPIVOTDATA("XKL4",'kimlong (2016)'!$A$3,"MA_HT","CQP","MA_QH","SKC")</f>
        <v>0</v>
      </c>
      <c r="Z20" s="22">
        <f ca="1">+GETPIVOTDATA("XKL4",'kimlong (2016)'!$A$3,"MA_HT","CQP","MA_QH","SKS")</f>
        <v>0</v>
      </c>
      <c r="AA20" s="52">
        <f ca="1" t="shared" ref="AA20:AA27" si="12">+SUM(AB20:AM20)</f>
        <v>0</v>
      </c>
      <c r="AB20" s="22">
        <f ca="1">+GETPIVOTDATA("XKL4",'kimlong (2016)'!$A$3,"MA_HT","CQP","MA_QH","DGT")</f>
        <v>0</v>
      </c>
      <c r="AC20" s="22">
        <f ca="1">+GETPIVOTDATA("XKL4",'kimlong (2016)'!$A$3,"MA_HT","CQP","MA_QH","DTL")</f>
        <v>0</v>
      </c>
      <c r="AD20" s="22">
        <f ca="1">+GETPIVOTDATA("XKL4",'kimlong (2016)'!$A$3,"MA_HT","CQP","MA_QH","DNL")</f>
        <v>0</v>
      </c>
      <c r="AE20" s="22">
        <f ca="1">+GETPIVOTDATA("XKL4",'kimlong (2016)'!$A$3,"MA_HT","CQP","MA_QH","DBV")</f>
        <v>0</v>
      </c>
      <c r="AF20" s="22">
        <f ca="1">+GETPIVOTDATA("XKL4",'kimlong (2016)'!$A$3,"MA_HT","CQP","MA_QH","DVH")</f>
        <v>0</v>
      </c>
      <c r="AG20" s="22">
        <f ca="1">+GETPIVOTDATA("XKL4",'kimlong (2016)'!$A$3,"MA_HT","CQP","MA_QH","DYT")</f>
        <v>0</v>
      </c>
      <c r="AH20" s="22">
        <f ca="1">+GETPIVOTDATA("XKL4",'kimlong (2016)'!$A$3,"MA_HT","CQP","MA_QH","DGD")</f>
        <v>0</v>
      </c>
      <c r="AI20" s="22">
        <f ca="1">+GETPIVOTDATA("XKL4",'kimlong (2016)'!$A$3,"MA_HT","CQP","MA_QH","DTT")</f>
        <v>0</v>
      </c>
      <c r="AJ20" s="22">
        <f ca="1">+GETPIVOTDATA("XKL4",'kimlong (2016)'!$A$3,"MA_HT","CQP","MA_QH","NCK")</f>
        <v>0</v>
      </c>
      <c r="AK20" s="22">
        <f ca="1">+GETPIVOTDATA("XKL4",'kimlong (2016)'!$A$3,"MA_HT","CQP","MA_QH","DXH")</f>
        <v>0</v>
      </c>
      <c r="AL20" s="22">
        <f ca="1">+GETPIVOTDATA("XKL4",'kimlong (2016)'!$A$3,"MA_HT","CQP","MA_QH","DCH")</f>
        <v>0</v>
      </c>
      <c r="AM20" s="22">
        <f ca="1">+GETPIVOTDATA("XKL4",'kimlong (2016)'!$A$3,"MA_HT","CQP","MA_QH","DKG")</f>
        <v>0</v>
      </c>
      <c r="AN20" s="22">
        <f ca="1">+GETPIVOTDATA("XKL4",'kimlong (2016)'!$A$3,"MA_HT","CQP","MA_QH","DDT")</f>
        <v>0</v>
      </c>
      <c r="AO20" s="22">
        <f ca="1">+GETPIVOTDATA("XKL4",'kimlong (2016)'!$A$3,"MA_HT","CQP","MA_QH","DDL")</f>
        <v>0</v>
      </c>
      <c r="AP20" s="22">
        <f ca="1">+GETPIVOTDATA("XKL4",'kimlong (2016)'!$A$3,"MA_HT","CQP","MA_QH","DRA")</f>
        <v>0</v>
      </c>
      <c r="AQ20" s="22">
        <f ca="1">+GETPIVOTDATA("XKL4",'kimlong (2016)'!$A$3,"MA_HT","CQP","MA_QH","ONT")</f>
        <v>0</v>
      </c>
      <c r="AR20" s="22">
        <f ca="1">+GETPIVOTDATA("XKL4",'kimlong (2016)'!$A$3,"MA_HT","CQP","MA_QH","ODT")</f>
        <v>0</v>
      </c>
      <c r="AS20" s="22">
        <f ca="1">+GETPIVOTDATA("XKL4",'kimlong (2016)'!$A$3,"MA_HT","CQP","MA_QH","TSC")</f>
        <v>0</v>
      </c>
      <c r="AT20" s="22">
        <f ca="1">+GETPIVOTDATA("XKL4",'kimlong (2016)'!$A$3,"MA_HT","CQP","MA_QH","DTS")</f>
        <v>0</v>
      </c>
      <c r="AU20" s="22">
        <f ca="1">+GETPIVOTDATA("XKL4",'kimlong (2016)'!$A$3,"MA_HT","CQP","MA_QH","DNG")</f>
        <v>0</v>
      </c>
      <c r="AV20" s="22">
        <f ca="1">+GETPIVOTDATA("XKL4",'kimlong (2016)'!$A$3,"MA_HT","CQP","MA_QH","TON")</f>
        <v>0</v>
      </c>
      <c r="AW20" s="22">
        <f ca="1">+GETPIVOTDATA("XKL4",'kimlong (2016)'!$A$3,"MA_HT","CQP","MA_QH","NTD")</f>
        <v>0</v>
      </c>
      <c r="AX20" s="22">
        <f ca="1">+GETPIVOTDATA("XKL4",'kimlong (2016)'!$A$3,"MA_HT","CQP","MA_QH","SKX")</f>
        <v>0</v>
      </c>
      <c r="AY20" s="22">
        <f ca="1">+GETPIVOTDATA("XKL4",'kimlong (2016)'!$A$3,"MA_HT","CQP","MA_QH","DSH")</f>
        <v>0</v>
      </c>
      <c r="AZ20" s="22">
        <f ca="1">+GETPIVOTDATA("XKL4",'kimlong (2016)'!$A$3,"MA_HT","CQP","MA_QH","DKV")</f>
        <v>0</v>
      </c>
      <c r="BA20" s="89">
        <f ca="1">+GETPIVOTDATA("XKL4",'kimlong (2016)'!$A$3,"MA_HT","CQP","MA_QH","TIN")</f>
        <v>0</v>
      </c>
      <c r="BB20" s="50">
        <f ca="1">+GETPIVOTDATA("XKL4",'kimlong (2016)'!$A$3,"MA_HT","CQP","MA_QH","SON")</f>
        <v>0</v>
      </c>
      <c r="BC20" s="50">
        <f ca="1">+GETPIVOTDATA("XKL4",'kimlong (2016)'!$A$3,"MA_HT","CQP","MA_QH","MNC")</f>
        <v>0</v>
      </c>
      <c r="BD20" s="22">
        <f ca="1">+GETPIVOTDATA("XKL4",'kimlong (2016)'!$A$3,"MA_HT","CQP","MA_QH","PNK")</f>
        <v>0</v>
      </c>
      <c r="BE20" s="71">
        <f ca="1">+GETPIVOTDATA("XKL4",'kimlong (2016)'!$A$3,"MA_HT","CQP","MA_QH","CSD")</f>
        <v>0</v>
      </c>
      <c r="BF20" s="74">
        <f ca="1" t="shared" ref="BF20:BF57" si="13">BE20+R20+E20</f>
        <v>0</v>
      </c>
      <c r="BG20" s="101">
        <f ca="1">S$59-$BF20</f>
        <v>0</v>
      </c>
      <c r="BH20" s="41" t="e">
        <f ca="1" t="shared" ref="BH20:BH58" si="14">BG20+D20</f>
        <v>#REF!</v>
      </c>
      <c r="BI20" s="98"/>
      <c r="BJ20" s="98" t="e">
        <f>#REF!</f>
        <v>#REF!</v>
      </c>
      <c r="BK20" s="107" t="e">
        <f ca="1">BH20-BJ20</f>
        <v>#REF!</v>
      </c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</row>
    <row r="21" s="2" customFormat="1" ht="15.75" customHeight="1" spans="1:79">
      <c r="A21" s="39" t="s">
        <v>232</v>
      </c>
      <c r="B21" s="39" t="s">
        <v>8361</v>
      </c>
      <c r="C21" s="40" t="s">
        <v>8283</v>
      </c>
      <c r="D21" s="41" t="e">
        <f>+#REF!</f>
        <v>#REF!</v>
      </c>
      <c r="E21" s="42">
        <f ca="1" t="shared" ref="E21:E58" si="15">SUM(F21,J21:Q21)</f>
        <v>0</v>
      </c>
      <c r="F21" s="52">
        <f ca="1" t="shared" si="9"/>
        <v>0</v>
      </c>
      <c r="G21" s="22">
        <f ca="1">+GETPIVOTDATA("XKL4",'kimlong (2016)'!$A$3,"MA_HT","CAN","MA_QH","LUC")</f>
        <v>0</v>
      </c>
      <c r="H21" s="22">
        <f ca="1">+GETPIVOTDATA("XKL4",'kimlong (2016)'!$A$3,"MA_HT","CAN","MA_QH","LUK")</f>
        <v>0</v>
      </c>
      <c r="I21" s="22">
        <f ca="1">+GETPIVOTDATA("XKL4",'kimlong (2016)'!$A$3,"MA_HT","CAN","MA_QH","LUN")</f>
        <v>0</v>
      </c>
      <c r="J21" s="22">
        <f ca="1">+GETPIVOTDATA("XKL4",'kimlong (2016)'!$A$3,"MA_HT","CAN","MA_QH","HNK")</f>
        <v>0</v>
      </c>
      <c r="K21" s="22">
        <f ca="1">+GETPIVOTDATA("XKL4",'kimlong (2016)'!$A$3,"MA_HT","CAN","MA_QH","CLN")</f>
        <v>0</v>
      </c>
      <c r="L21" s="22">
        <f ca="1">+GETPIVOTDATA("XKL4",'kimlong (2016)'!$A$3,"MA_HT","CAN","MA_QH","RSX")</f>
        <v>0</v>
      </c>
      <c r="M21" s="22">
        <f ca="1">+GETPIVOTDATA("XKL4",'kimlong (2016)'!$A$3,"MA_HT","CAN","MA_QH","RPH")</f>
        <v>0</v>
      </c>
      <c r="N21" s="22">
        <f ca="1">+GETPIVOTDATA("XKL4",'kimlong (2016)'!$A$3,"MA_HT","CAN","MA_QH","RDD")</f>
        <v>0</v>
      </c>
      <c r="O21" s="22">
        <f ca="1">+GETPIVOTDATA("XKL4",'kimlong (2016)'!$A$3,"MA_HT","CAN","MA_QH","NTS")</f>
        <v>0</v>
      </c>
      <c r="P21" s="22">
        <f ca="1">+GETPIVOTDATA("XKL4",'kimlong (2016)'!$A$3,"MA_HT","CAN","MA_QH","LMU")</f>
        <v>0</v>
      </c>
      <c r="Q21" s="22">
        <f ca="1">+GETPIVOTDATA("XKL4",'kimlong (2016)'!$A$3,"MA_HT","CAN","MA_QH","NKH")</f>
        <v>0</v>
      </c>
      <c r="R21" s="42">
        <f ca="1">SUM(S21,U21:AA21,AN21:BD21)</f>
        <v>0</v>
      </c>
      <c r="S21" s="22">
        <f ca="1">+GETPIVOTDATA("XKL4",'kimlong (2016)'!$A$3,"MA_HT","CAN","MA_QH","CQP")</f>
        <v>0</v>
      </c>
      <c r="T21" s="43" t="e">
        <f ca="1">$D21-$BF21</f>
        <v>#REF!</v>
      </c>
      <c r="U21" s="22">
        <f ca="1">+GETPIVOTDATA("XKL4",'kimlong (2016)'!$A$3,"MA_HT","CAN","MA_QH","SKK")</f>
        <v>0</v>
      </c>
      <c r="V21" s="22">
        <f ca="1">+GETPIVOTDATA("XKL4",'kimlong (2016)'!$A$3,"MA_HT","CAN","MA_QH","SKT")</f>
        <v>0</v>
      </c>
      <c r="W21" s="22">
        <f ca="1">+GETPIVOTDATA("XKL4",'kimlong (2016)'!$A$3,"MA_HT","CAN","MA_QH","SKN")</f>
        <v>0</v>
      </c>
      <c r="X21" s="22">
        <f ca="1">+GETPIVOTDATA("XKL4",'kimlong (2016)'!$A$3,"MA_HT","CAN","MA_QH","TMD")</f>
        <v>0</v>
      </c>
      <c r="Y21" s="22">
        <f ca="1">+GETPIVOTDATA("XKL4",'kimlong (2016)'!$A$3,"MA_HT","CAN","MA_QH","SKC")</f>
        <v>0</v>
      </c>
      <c r="Z21" s="22">
        <f ca="1">+GETPIVOTDATA("XKL4",'kimlong (2016)'!$A$3,"MA_HT","CAN","MA_QH","SKS")</f>
        <v>0</v>
      </c>
      <c r="AA21" s="52">
        <f ca="1" t="shared" si="12"/>
        <v>0</v>
      </c>
      <c r="AB21" s="22">
        <f ca="1">+GETPIVOTDATA("XKL4",'kimlong (2016)'!$A$3,"MA_HT","CAN","MA_QH","DGT")</f>
        <v>0</v>
      </c>
      <c r="AC21" s="22">
        <f ca="1">+GETPIVOTDATA("XKL4",'kimlong (2016)'!$A$3,"MA_HT","CAN","MA_QH","DTL")</f>
        <v>0</v>
      </c>
      <c r="AD21" s="22">
        <f ca="1">+GETPIVOTDATA("XKL4",'kimlong (2016)'!$A$3,"MA_HT","CAN","MA_QH","DNL")</f>
        <v>0</v>
      </c>
      <c r="AE21" s="22">
        <f ca="1">+GETPIVOTDATA("XKL4",'kimlong (2016)'!$A$3,"MA_HT","CAN","MA_QH","DBV")</f>
        <v>0</v>
      </c>
      <c r="AF21" s="22">
        <f ca="1">+GETPIVOTDATA("XKL4",'kimlong (2016)'!$A$3,"MA_HT","CAN","MA_QH","DVH")</f>
        <v>0</v>
      </c>
      <c r="AG21" s="22">
        <f ca="1">+GETPIVOTDATA("XKL4",'kimlong (2016)'!$A$3,"MA_HT","CAN","MA_QH","DYT")</f>
        <v>0</v>
      </c>
      <c r="AH21" s="22">
        <f ca="1">+GETPIVOTDATA("XKL4",'kimlong (2016)'!$A$3,"MA_HT","CAN","MA_QH","DGD")</f>
        <v>0</v>
      </c>
      <c r="AI21" s="22">
        <f ca="1">+GETPIVOTDATA("XKL4",'kimlong (2016)'!$A$3,"MA_HT","CAN","MA_QH","DTT")</f>
        <v>0</v>
      </c>
      <c r="AJ21" s="22">
        <f ca="1">+GETPIVOTDATA("XKL4",'kimlong (2016)'!$A$3,"MA_HT","CAN","MA_QH","NCK")</f>
        <v>0</v>
      </c>
      <c r="AK21" s="22">
        <f ca="1">+GETPIVOTDATA("XKL4",'kimlong (2016)'!$A$3,"MA_HT","CAN","MA_QH","DXH")</f>
        <v>0</v>
      </c>
      <c r="AL21" s="22">
        <f ca="1">+GETPIVOTDATA("XKL4",'kimlong (2016)'!$A$3,"MA_HT","CAN","MA_QH","DCH")</f>
        <v>0</v>
      </c>
      <c r="AM21" s="22">
        <f ca="1">+GETPIVOTDATA("XKL4",'kimlong (2016)'!$A$3,"MA_HT","CAN","MA_QH","DKG")</f>
        <v>0</v>
      </c>
      <c r="AN21" s="22">
        <f ca="1">+GETPIVOTDATA("XKL4",'kimlong (2016)'!$A$3,"MA_HT","CAN","MA_QH","DDT")</f>
        <v>0</v>
      </c>
      <c r="AO21" s="22">
        <f ca="1">+GETPIVOTDATA("XKL4",'kimlong (2016)'!$A$3,"MA_HT","CAN","MA_QH","DDL")</f>
        <v>0</v>
      </c>
      <c r="AP21" s="22">
        <f ca="1">+GETPIVOTDATA("XKL4",'kimlong (2016)'!$A$3,"MA_HT","CAN","MA_QH","DRA")</f>
        <v>0</v>
      </c>
      <c r="AQ21" s="22">
        <f ca="1">+GETPIVOTDATA("XKL4",'kimlong (2016)'!$A$3,"MA_HT","CAN","MA_QH","ONT")</f>
        <v>0</v>
      </c>
      <c r="AR21" s="22">
        <f ca="1">+GETPIVOTDATA("XKL4",'kimlong (2016)'!$A$3,"MA_HT","CAN","MA_QH","ODT")</f>
        <v>0</v>
      </c>
      <c r="AS21" s="22">
        <f ca="1">+GETPIVOTDATA("XKL4",'kimlong (2016)'!$A$3,"MA_HT","CAN","MA_QH","TSC")</f>
        <v>0</v>
      </c>
      <c r="AT21" s="22">
        <f ca="1">+GETPIVOTDATA("XKL4",'kimlong (2016)'!$A$3,"MA_HT","CAN","MA_QH","DTS")</f>
        <v>0</v>
      </c>
      <c r="AU21" s="22">
        <f ca="1">+GETPIVOTDATA("XKL4",'kimlong (2016)'!$A$3,"MA_HT","CAN","MA_QH","DNG")</f>
        <v>0</v>
      </c>
      <c r="AV21" s="22">
        <f ca="1">+GETPIVOTDATA("XKL4",'kimlong (2016)'!$A$3,"MA_HT","CAN","MA_QH","TON")</f>
        <v>0</v>
      </c>
      <c r="AW21" s="22">
        <f ca="1">+GETPIVOTDATA("XKL4",'kimlong (2016)'!$A$3,"MA_HT","CAN","MA_QH","NTD")</f>
        <v>0</v>
      </c>
      <c r="AX21" s="22">
        <f ca="1">+GETPIVOTDATA("XKL4",'kimlong (2016)'!$A$3,"MA_HT","CAN","MA_QH","SKX")</f>
        <v>0</v>
      </c>
      <c r="AY21" s="22">
        <f ca="1">+GETPIVOTDATA("XKL4",'kimlong (2016)'!$A$3,"MA_HT","CAN","MA_QH","DSH")</f>
        <v>0</v>
      </c>
      <c r="AZ21" s="22">
        <f ca="1">+GETPIVOTDATA("XKL4",'kimlong (2016)'!$A$3,"MA_HT","CAN","MA_QH","DKV")</f>
        <v>0</v>
      </c>
      <c r="BA21" s="89">
        <f ca="1">+GETPIVOTDATA("XKL4",'kimlong (2016)'!$A$3,"MA_HT","CAN","MA_QH","TIN")</f>
        <v>0</v>
      </c>
      <c r="BB21" s="50">
        <f ca="1">+GETPIVOTDATA("XKL4",'kimlong (2016)'!$A$3,"MA_HT","CAN","MA_QH","SON")</f>
        <v>0</v>
      </c>
      <c r="BC21" s="50">
        <f ca="1">+GETPIVOTDATA("XKL4",'kimlong (2016)'!$A$3,"MA_HT","CAN","MA_QH","MNC")</f>
        <v>0</v>
      </c>
      <c r="BD21" s="22">
        <f ca="1">+GETPIVOTDATA("XKL4",'kimlong (2016)'!$A$3,"MA_HT","CAN","MA_QH","PNK")</f>
        <v>0</v>
      </c>
      <c r="BE21" s="71">
        <f ca="1">+GETPIVOTDATA("XKL4",'kimlong (2016)'!$A$3,"MA_HT","CAN","MA_QH","CSD")</f>
        <v>0</v>
      </c>
      <c r="BF21" s="74">
        <f ca="1" t="shared" si="13"/>
        <v>0</v>
      </c>
      <c r="BG21" s="101">
        <f ca="1">T$59-$BF21</f>
        <v>0</v>
      </c>
      <c r="BH21" s="41" t="e">
        <f ca="1" t="shared" si="14"/>
        <v>#REF!</v>
      </c>
      <c r="BI21" s="98"/>
      <c r="BJ21" s="98" t="e">
        <f>#REF!</f>
        <v>#REF!</v>
      </c>
      <c r="BK21" s="107" t="e">
        <f ca="1">BH21-BJ21</f>
        <v>#REF!</v>
      </c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</row>
    <row r="22" s="2" customFormat="1" ht="15.75" customHeight="1" spans="1:79">
      <c r="A22" s="39" t="s">
        <v>8362</v>
      </c>
      <c r="B22" s="53" t="s">
        <v>8363</v>
      </c>
      <c r="C22" s="40" t="s">
        <v>47</v>
      </c>
      <c r="D22" s="41" t="e">
        <f>+#REF!</f>
        <v>#REF!</v>
      </c>
      <c r="E22" s="42">
        <f ca="1" t="shared" si="15"/>
        <v>0</v>
      </c>
      <c r="F22" s="52">
        <f ca="1" t="shared" si="9"/>
        <v>0</v>
      </c>
      <c r="G22" s="22">
        <f ca="1">+GETPIVOTDATA("XKL4",'kimlong (2016)'!$A$3,"MA_HT","SKK","MA_QH","LUC")</f>
        <v>0</v>
      </c>
      <c r="H22" s="22">
        <f ca="1">+GETPIVOTDATA("XKL4",'kimlong (2016)'!$A$3,"MA_HT","SKK","MA_QH","LUK")</f>
        <v>0</v>
      </c>
      <c r="I22" s="22">
        <f ca="1">+GETPIVOTDATA("XKL4",'kimlong (2016)'!$A$3,"MA_HT","SKK","MA_QH","LUN")</f>
        <v>0</v>
      </c>
      <c r="J22" s="22">
        <f ca="1">+GETPIVOTDATA("XKL4",'kimlong (2016)'!$A$3,"MA_HT","SKK","MA_QH","HNK")</f>
        <v>0</v>
      </c>
      <c r="K22" s="22">
        <f ca="1">+GETPIVOTDATA("XKL4",'kimlong (2016)'!$A$3,"MA_HT","SKK","MA_QH","CLN")</f>
        <v>0</v>
      </c>
      <c r="L22" s="22">
        <f ca="1">+GETPIVOTDATA("XKL4",'kimlong (2016)'!$A$3,"MA_HT","SKK","MA_QH","RSX")</f>
        <v>0</v>
      </c>
      <c r="M22" s="22">
        <f ca="1">+GETPIVOTDATA("XKL4",'kimlong (2016)'!$A$3,"MA_HT","SKK","MA_QH","RPH")</f>
        <v>0</v>
      </c>
      <c r="N22" s="22">
        <f ca="1">+GETPIVOTDATA("XKL4",'kimlong (2016)'!$A$3,"MA_HT","SKK","MA_QH","RDD")</f>
        <v>0</v>
      </c>
      <c r="O22" s="22">
        <f ca="1">+GETPIVOTDATA("XKL4",'kimlong (2016)'!$A$3,"MA_HT","SKK","MA_QH","NTS")</f>
        <v>0</v>
      </c>
      <c r="P22" s="22">
        <f ca="1">+GETPIVOTDATA("XKL4",'kimlong (2016)'!$A$3,"MA_HT","SKK","MA_QH","LMU")</f>
        <v>0</v>
      </c>
      <c r="Q22" s="22">
        <f ca="1">+GETPIVOTDATA("XKL4",'kimlong (2016)'!$A$3,"MA_HT","SKK","MA_QH","NKH")</f>
        <v>0</v>
      </c>
      <c r="R22" s="42">
        <f ca="1">SUM(S22:T22,V22:AA22,AN22:BD22)</f>
        <v>0</v>
      </c>
      <c r="S22" s="22">
        <f ca="1">+GETPIVOTDATA("XKL4",'kimlong (2016)'!$A$3,"MA_HT","SKK","MA_QH","CQP")</f>
        <v>0</v>
      </c>
      <c r="T22" s="22">
        <f ca="1">+GETPIVOTDATA("XKL4",'kimlong (2016)'!$A$3,"MA_HT","SKK","MA_QH","CAN")</f>
        <v>0</v>
      </c>
      <c r="U22" s="43" t="e">
        <f ca="1">$D22-$BF22</f>
        <v>#REF!</v>
      </c>
      <c r="V22" s="22">
        <f ca="1">+GETPIVOTDATA("XKL4",'kimlong (2016)'!$A$3,"MA_HT","SKK","MA_QH","SKT")</f>
        <v>0</v>
      </c>
      <c r="W22" s="22">
        <f ca="1">+GETPIVOTDATA("XKL4",'kimlong (2016)'!$A$3,"MA_HT","SKK","MA_QH","SKN")</f>
        <v>0</v>
      </c>
      <c r="X22" s="22">
        <f ca="1">+GETPIVOTDATA("XKL4",'kimlong (2016)'!$A$3,"MA_HT","SKK","MA_QH","TMD")</f>
        <v>0</v>
      </c>
      <c r="Y22" s="22">
        <f ca="1">+GETPIVOTDATA("XKL4",'kimlong (2016)'!$A$3,"MA_HT","SKK","MA_QH","SKC")</f>
        <v>0</v>
      </c>
      <c r="Z22" s="22">
        <f ca="1">+GETPIVOTDATA("XKL4",'kimlong (2016)'!$A$3,"MA_HT","SKK","MA_QH","SKS")</f>
        <v>0</v>
      </c>
      <c r="AA22" s="52">
        <f ca="1" t="shared" si="12"/>
        <v>0</v>
      </c>
      <c r="AB22" s="22">
        <f ca="1">+GETPIVOTDATA("XKL4",'kimlong (2016)'!$A$3,"MA_HT","SKK","MA_QH","DGT")</f>
        <v>0</v>
      </c>
      <c r="AC22" s="22">
        <f ca="1">+GETPIVOTDATA("XKL4",'kimlong (2016)'!$A$3,"MA_HT","SKK","MA_QH","DTL")</f>
        <v>0</v>
      </c>
      <c r="AD22" s="22">
        <f ca="1">+GETPIVOTDATA("XKL4",'kimlong (2016)'!$A$3,"MA_HT","SKK","MA_QH","DNL")</f>
        <v>0</v>
      </c>
      <c r="AE22" s="22">
        <f ca="1">+GETPIVOTDATA("XKL4",'kimlong (2016)'!$A$3,"MA_HT","SKK","MA_QH","DBV")</f>
        <v>0</v>
      </c>
      <c r="AF22" s="22">
        <f ca="1">+GETPIVOTDATA("XKL4",'kimlong (2016)'!$A$3,"MA_HT","SKK","MA_QH","DVH")</f>
        <v>0</v>
      </c>
      <c r="AG22" s="22">
        <f ca="1">+GETPIVOTDATA("XKL4",'kimlong (2016)'!$A$3,"MA_HT","SKK","MA_QH","DYT")</f>
        <v>0</v>
      </c>
      <c r="AH22" s="22">
        <f ca="1">+GETPIVOTDATA("XKL4",'kimlong (2016)'!$A$3,"MA_HT","SKK","MA_QH","DGD")</f>
        <v>0</v>
      </c>
      <c r="AI22" s="22">
        <f ca="1">+GETPIVOTDATA("XKL4",'kimlong (2016)'!$A$3,"MA_HT","SKK","MA_QH","DTT")</f>
        <v>0</v>
      </c>
      <c r="AJ22" s="22">
        <f ca="1">+GETPIVOTDATA("XKL4",'kimlong (2016)'!$A$3,"MA_HT","SKK","MA_QH","NCK")</f>
        <v>0</v>
      </c>
      <c r="AK22" s="22">
        <f ca="1">+GETPIVOTDATA("XKL4",'kimlong (2016)'!$A$3,"MA_HT","SKK","MA_QH","DXH")</f>
        <v>0</v>
      </c>
      <c r="AL22" s="22">
        <f ca="1">+GETPIVOTDATA("XKL4",'kimlong (2016)'!$A$3,"MA_HT","SKK","MA_QH","DCH")</f>
        <v>0</v>
      </c>
      <c r="AM22" s="22">
        <f ca="1">+GETPIVOTDATA("XKL4",'kimlong (2016)'!$A$3,"MA_HT","SKK","MA_QH","DKG")</f>
        <v>0</v>
      </c>
      <c r="AN22" s="22">
        <f ca="1">+GETPIVOTDATA("XKL4",'kimlong (2016)'!$A$3,"MA_HT","SKK","MA_QH","DDT")</f>
        <v>0</v>
      </c>
      <c r="AO22" s="22">
        <f ca="1">+GETPIVOTDATA("XKL4",'kimlong (2016)'!$A$3,"MA_HT","SKK","MA_QH","DDL")</f>
        <v>0</v>
      </c>
      <c r="AP22" s="22">
        <f ca="1">+GETPIVOTDATA("XKL4",'kimlong (2016)'!$A$3,"MA_HT","SKK","MA_QH","DRA")</f>
        <v>0</v>
      </c>
      <c r="AQ22" s="22">
        <f ca="1">+GETPIVOTDATA("XKL4",'kimlong (2016)'!$A$3,"MA_HT","SKK","MA_QH","ONT")</f>
        <v>0</v>
      </c>
      <c r="AR22" s="22">
        <f ca="1">+GETPIVOTDATA("XKL4",'kimlong (2016)'!$A$3,"MA_HT","SKK","MA_QH","ODT")</f>
        <v>0</v>
      </c>
      <c r="AS22" s="22">
        <f ca="1">+GETPIVOTDATA("XKL4",'kimlong (2016)'!$A$3,"MA_HT","SKK","MA_QH","TSC")</f>
        <v>0</v>
      </c>
      <c r="AT22" s="22">
        <f ca="1">+GETPIVOTDATA("XKL4",'kimlong (2016)'!$A$3,"MA_HT","SKK","MA_QH","DTS")</f>
        <v>0</v>
      </c>
      <c r="AU22" s="22">
        <f ca="1">+GETPIVOTDATA("XKL4",'kimlong (2016)'!$A$3,"MA_HT","SKK","MA_QH","DNG")</f>
        <v>0</v>
      </c>
      <c r="AV22" s="22">
        <f ca="1">+GETPIVOTDATA("XKL4",'kimlong (2016)'!$A$3,"MA_HT","SKK","MA_QH","TON")</f>
        <v>0</v>
      </c>
      <c r="AW22" s="22">
        <f ca="1">+GETPIVOTDATA("XKL4",'kimlong (2016)'!$A$3,"MA_HT","SKK","MA_QH","NTD")</f>
        <v>0</v>
      </c>
      <c r="AX22" s="22">
        <f ca="1">+GETPIVOTDATA("XKL4",'kimlong (2016)'!$A$3,"MA_HT","SKK","MA_QH","SKX")</f>
        <v>0</v>
      </c>
      <c r="AY22" s="22">
        <f ca="1">+GETPIVOTDATA("XKL4",'kimlong (2016)'!$A$3,"MA_HT","SKK","MA_QH","DSH")</f>
        <v>0</v>
      </c>
      <c r="AZ22" s="22">
        <f ca="1">+GETPIVOTDATA("XKL4",'kimlong (2016)'!$A$3,"MA_HT","SKK","MA_QH","DKV")</f>
        <v>0</v>
      </c>
      <c r="BA22" s="89">
        <f ca="1">+GETPIVOTDATA("XKL4",'kimlong (2016)'!$A$3,"MA_HT","SKK","MA_QH","TIN")</f>
        <v>0</v>
      </c>
      <c r="BB22" s="50">
        <f ca="1">+GETPIVOTDATA("XKL4",'kimlong (2016)'!$A$3,"MA_HT","SKK","MA_QH","SON")</f>
        <v>0</v>
      </c>
      <c r="BC22" s="50">
        <f ca="1">+GETPIVOTDATA("XKL4",'kimlong (2016)'!$A$3,"MA_HT","SKK","MA_QH","MNC")</f>
        <v>0</v>
      </c>
      <c r="BD22" s="22">
        <f ca="1">+GETPIVOTDATA("XKL4",'kimlong (2016)'!$A$3,"MA_HT","SKK","MA_QH","PNK")</f>
        <v>0</v>
      </c>
      <c r="BE22" s="71">
        <f ca="1">+GETPIVOTDATA("XKL4",'kimlong (2016)'!$A$3,"MA_HT","SKK","MA_QH","CSD")</f>
        <v>0</v>
      </c>
      <c r="BF22" s="74">
        <f ca="1" t="shared" si="13"/>
        <v>0</v>
      </c>
      <c r="BG22" s="101">
        <f ca="1">U$59-$BF22</f>
        <v>0</v>
      </c>
      <c r="BH22" s="41" t="e">
        <f ca="1" t="shared" si="14"/>
        <v>#REF!</v>
      </c>
      <c r="BI22" s="98"/>
      <c r="BJ22" s="107" t="e">
        <f>#REF!</f>
        <v>#REF!</v>
      </c>
      <c r="BK22" s="107" t="e">
        <f ca="1">BH22-BJ22</f>
        <v>#REF!</v>
      </c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</row>
    <row r="23" s="2" customFormat="1" ht="15.75" customHeight="1" spans="1:79">
      <c r="A23" s="39" t="s">
        <v>8364</v>
      </c>
      <c r="B23" s="53" t="s">
        <v>8365</v>
      </c>
      <c r="C23" s="40" t="s">
        <v>8308</v>
      </c>
      <c r="D23" s="41" t="e">
        <f>+#REF!</f>
        <v>#REF!</v>
      </c>
      <c r="E23" s="42">
        <f ca="1" t="shared" si="15"/>
        <v>0</v>
      </c>
      <c r="F23" s="52">
        <f ca="1" t="shared" si="9"/>
        <v>0</v>
      </c>
      <c r="G23" s="22">
        <f ca="1">+GETPIVOTDATA("XKL4",'kimlong (2016)'!$A$3,"MA_HT","SKT","MA_QH","LUC")</f>
        <v>0</v>
      </c>
      <c r="H23" s="22">
        <f ca="1">+GETPIVOTDATA("XKL4",'kimlong (2016)'!$A$3,"MA_HT","SKT","MA_QH","LUK")</f>
        <v>0</v>
      </c>
      <c r="I23" s="22">
        <f ca="1">+GETPIVOTDATA("XKL4",'kimlong (2016)'!$A$3,"MA_HT","SKT","MA_QH","LUN")</f>
        <v>0</v>
      </c>
      <c r="J23" s="22">
        <f ca="1">+GETPIVOTDATA("XKL4",'kimlong (2016)'!$A$3,"MA_HT","SKT","MA_QH","HNK")</f>
        <v>0</v>
      </c>
      <c r="K23" s="22">
        <f ca="1">+GETPIVOTDATA("XKL4",'kimlong (2016)'!$A$3,"MA_HT","SKT","MA_QH","CLN")</f>
        <v>0</v>
      </c>
      <c r="L23" s="22">
        <f ca="1">+GETPIVOTDATA("XKL4",'kimlong (2016)'!$A$3,"MA_HT","SKT","MA_QH","RSX")</f>
        <v>0</v>
      </c>
      <c r="M23" s="22">
        <f ca="1">+GETPIVOTDATA("XKL4",'kimlong (2016)'!$A$3,"MA_HT","SKT","MA_QH","RPH")</f>
        <v>0</v>
      </c>
      <c r="N23" s="22">
        <f ca="1">+GETPIVOTDATA("XKL4",'kimlong (2016)'!$A$3,"MA_HT","SKT","MA_QH","RDD")</f>
        <v>0</v>
      </c>
      <c r="O23" s="22">
        <f ca="1">+GETPIVOTDATA("XKL4",'kimlong (2016)'!$A$3,"MA_HT","SKT","MA_QH","NTS")</f>
        <v>0</v>
      </c>
      <c r="P23" s="22">
        <f ca="1">+GETPIVOTDATA("XKL4",'kimlong (2016)'!$A$3,"MA_HT","SKT","MA_QH","LMU")</f>
        <v>0</v>
      </c>
      <c r="Q23" s="22">
        <f ca="1">+GETPIVOTDATA("XKL4",'kimlong (2016)'!$A$3,"MA_HT","SKT","MA_QH","NKH")</f>
        <v>0</v>
      </c>
      <c r="R23" s="42">
        <f ca="1">SUM(S23:U23,W23:AA23,AN23:BD23)</f>
        <v>0</v>
      </c>
      <c r="S23" s="22">
        <f ca="1">+GETPIVOTDATA("XKL4",'kimlong (2016)'!$A$3,"MA_HT","SKT","MA_QH","CQP")</f>
        <v>0</v>
      </c>
      <c r="T23" s="22">
        <f ca="1">+GETPIVOTDATA("XKL4",'kimlong (2016)'!$A$3,"MA_HT","SKT","MA_QH","CAN")</f>
        <v>0</v>
      </c>
      <c r="U23" s="22">
        <f ca="1">+GETPIVOTDATA("XKL4",'kimlong (2016)'!$A$3,"MA_HT","SKT","MA_QH","SKK")</f>
        <v>0</v>
      </c>
      <c r="V23" s="43" t="e">
        <f ca="1">$D23-$BF23</f>
        <v>#REF!</v>
      </c>
      <c r="W23" s="22">
        <f ca="1">+GETPIVOTDATA("XKL4",'kimlong (2016)'!$A$3,"MA_HT","SKT","MA_QH","SKN")</f>
        <v>0</v>
      </c>
      <c r="X23" s="22">
        <f ca="1">+GETPIVOTDATA("XKL4",'kimlong (2016)'!$A$3,"MA_HT","SKT","MA_QH","TMD")</f>
        <v>0</v>
      </c>
      <c r="Y23" s="22">
        <f ca="1">+GETPIVOTDATA("XKL4",'kimlong (2016)'!$A$3,"MA_HT","SKT","MA_QH","SKC")</f>
        <v>0</v>
      </c>
      <c r="Z23" s="22">
        <f ca="1">+GETPIVOTDATA("XKL4",'kimlong (2016)'!$A$3,"MA_HT","SKT","MA_QH","SKS")</f>
        <v>0</v>
      </c>
      <c r="AA23" s="52">
        <f ca="1" t="shared" si="12"/>
        <v>0</v>
      </c>
      <c r="AB23" s="22">
        <f ca="1">+GETPIVOTDATA("XKL4",'kimlong (2016)'!$A$3,"MA_HT","SKT","MA_QH","DGT")</f>
        <v>0</v>
      </c>
      <c r="AC23" s="22">
        <f ca="1">+GETPIVOTDATA("XKL4",'kimlong (2016)'!$A$3,"MA_HT","SKT","MA_QH","DTL")</f>
        <v>0</v>
      </c>
      <c r="AD23" s="22">
        <f ca="1">+GETPIVOTDATA("XKL4",'kimlong (2016)'!$A$3,"MA_HT","SKT","MA_QH","DNL")</f>
        <v>0</v>
      </c>
      <c r="AE23" s="22">
        <f ca="1">+GETPIVOTDATA("XKL4",'kimlong (2016)'!$A$3,"MA_HT","SKT","MA_QH","DBV")</f>
        <v>0</v>
      </c>
      <c r="AF23" s="22">
        <f ca="1">+GETPIVOTDATA("XKL4",'kimlong (2016)'!$A$3,"MA_HT","SKT","MA_QH","DVH")</f>
        <v>0</v>
      </c>
      <c r="AG23" s="22">
        <f ca="1">+GETPIVOTDATA("XKL4",'kimlong (2016)'!$A$3,"MA_HT","SKT","MA_QH","DYT")</f>
        <v>0</v>
      </c>
      <c r="AH23" s="22">
        <f ca="1">+GETPIVOTDATA("XKL4",'kimlong (2016)'!$A$3,"MA_HT","SKT","MA_QH","DGD")</f>
        <v>0</v>
      </c>
      <c r="AI23" s="22">
        <f ca="1">+GETPIVOTDATA("XKL4",'kimlong (2016)'!$A$3,"MA_HT","SKT","MA_QH","DTT")</f>
        <v>0</v>
      </c>
      <c r="AJ23" s="22">
        <f ca="1">+GETPIVOTDATA("XKL4",'kimlong (2016)'!$A$3,"MA_HT","SKT","MA_QH","NCK")</f>
        <v>0</v>
      </c>
      <c r="AK23" s="22">
        <f ca="1">+GETPIVOTDATA("XKL4",'kimlong (2016)'!$A$3,"MA_HT","SKT","MA_QH","DXH")</f>
        <v>0</v>
      </c>
      <c r="AL23" s="22">
        <f ca="1">+GETPIVOTDATA("XKL4",'kimlong (2016)'!$A$3,"MA_HT","SKT","MA_QH","DCH")</f>
        <v>0</v>
      </c>
      <c r="AM23" s="22">
        <f ca="1">+GETPIVOTDATA("XKL4",'kimlong (2016)'!$A$3,"MA_HT","SKT","MA_QH","DKG")</f>
        <v>0</v>
      </c>
      <c r="AN23" s="22">
        <f ca="1">+GETPIVOTDATA("XKL4",'kimlong (2016)'!$A$3,"MA_HT","SKT","MA_QH","DDT")</f>
        <v>0</v>
      </c>
      <c r="AO23" s="22">
        <f ca="1">+GETPIVOTDATA("XKL4",'kimlong (2016)'!$A$3,"MA_HT","SKT","MA_QH","DDL")</f>
        <v>0</v>
      </c>
      <c r="AP23" s="22">
        <f ca="1">+GETPIVOTDATA("XKL4",'kimlong (2016)'!$A$3,"MA_HT","SKT","MA_QH","DRA")</f>
        <v>0</v>
      </c>
      <c r="AQ23" s="22">
        <f ca="1">+GETPIVOTDATA("XKL4",'kimlong (2016)'!$A$3,"MA_HT","SKT","MA_QH","ONT")</f>
        <v>0</v>
      </c>
      <c r="AR23" s="22">
        <f ca="1">+GETPIVOTDATA("XKL4",'kimlong (2016)'!$A$3,"MA_HT","SKT","MA_QH","ODT")</f>
        <v>0</v>
      </c>
      <c r="AS23" s="22">
        <f ca="1">+GETPIVOTDATA("XKL4",'kimlong (2016)'!$A$3,"MA_HT","SKT","MA_QH","TSC")</f>
        <v>0</v>
      </c>
      <c r="AT23" s="22">
        <f ca="1">+GETPIVOTDATA("XKL4",'kimlong (2016)'!$A$3,"MA_HT","SKT","MA_QH","DTS")</f>
        <v>0</v>
      </c>
      <c r="AU23" s="22">
        <f ca="1">+GETPIVOTDATA("XKL4",'kimlong (2016)'!$A$3,"MA_HT","SKT","MA_QH","DNG")</f>
        <v>0</v>
      </c>
      <c r="AV23" s="22">
        <f ca="1">+GETPIVOTDATA("XKL4",'kimlong (2016)'!$A$3,"MA_HT","SKT","MA_QH","TON")</f>
        <v>0</v>
      </c>
      <c r="AW23" s="22">
        <f ca="1">+GETPIVOTDATA("XKL4",'kimlong (2016)'!$A$3,"MA_HT","SKT","MA_QH","NTD")</f>
        <v>0</v>
      </c>
      <c r="AX23" s="22">
        <f ca="1">+GETPIVOTDATA("XKL4",'kimlong (2016)'!$A$3,"MA_HT","SKT","MA_QH","SKX")</f>
        <v>0</v>
      </c>
      <c r="AY23" s="22">
        <f ca="1">+GETPIVOTDATA("XKL4",'kimlong (2016)'!$A$3,"MA_HT","SKT","MA_QH","DSH")</f>
        <v>0</v>
      </c>
      <c r="AZ23" s="22">
        <f ca="1">+GETPIVOTDATA("XKL4",'kimlong (2016)'!$A$3,"MA_HT","SKT","MA_QH","DKV")</f>
        <v>0</v>
      </c>
      <c r="BA23" s="89">
        <f ca="1">+GETPIVOTDATA("XKL4",'kimlong (2016)'!$A$3,"MA_HT","SKT","MA_QH","TIN")</f>
        <v>0</v>
      </c>
      <c r="BB23" s="50">
        <f ca="1">+GETPIVOTDATA("XKL4",'kimlong (2016)'!$A$3,"MA_HT","SKT","MA_QH","SON")</f>
        <v>0</v>
      </c>
      <c r="BC23" s="50">
        <f ca="1">+GETPIVOTDATA("XKL4",'kimlong (2016)'!$A$3,"MA_HT","SKT","MA_QH","MNC")</f>
        <v>0</v>
      </c>
      <c r="BD23" s="22">
        <f ca="1">+GETPIVOTDATA("XKL4",'kimlong (2016)'!$A$3,"MA_HT","SKT","MA_QH","PNK")</f>
        <v>0</v>
      </c>
      <c r="BE23" s="71">
        <f ca="1">+GETPIVOTDATA("XKL4",'kimlong (2016)'!$A$3,"MA_HT","SKT","MA_QH","CSD")</f>
        <v>0</v>
      </c>
      <c r="BF23" s="74">
        <f ca="1" t="shared" si="13"/>
        <v>0</v>
      </c>
      <c r="BG23" s="101">
        <f ca="1">V$59-$BF23</f>
        <v>0</v>
      </c>
      <c r="BH23" s="41" t="e">
        <f ca="1" t="shared" si="14"/>
        <v>#REF!</v>
      </c>
      <c r="BI23" s="98"/>
      <c r="BJ23" s="107"/>
      <c r="BK23" s="107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</row>
    <row r="24" s="2" customFormat="1" ht="15.75" customHeight="1" spans="1:79">
      <c r="A24" s="39" t="s">
        <v>8366</v>
      </c>
      <c r="B24" s="53" t="s">
        <v>8367</v>
      </c>
      <c r="C24" s="40" t="s">
        <v>56</v>
      </c>
      <c r="D24" s="41" t="e">
        <f>+#REF!</f>
        <v>#REF!</v>
      </c>
      <c r="E24" s="42">
        <f ca="1" t="shared" si="15"/>
        <v>0</v>
      </c>
      <c r="F24" s="52">
        <f ca="1" t="shared" si="9"/>
        <v>0</v>
      </c>
      <c r="G24" s="22">
        <f ca="1">+GETPIVOTDATA("XKL4",'kimlong (2016)'!$A$3,"MA_HT","SKN","MA_QH","LUC")</f>
        <v>0</v>
      </c>
      <c r="H24" s="22">
        <f ca="1">+GETPIVOTDATA("XKL4",'kimlong (2016)'!$A$3,"MA_HT","SKN","MA_QH","LUK")</f>
        <v>0</v>
      </c>
      <c r="I24" s="22">
        <f ca="1">+GETPIVOTDATA("XKL4",'kimlong (2016)'!$A$3,"MA_HT","SKN","MA_QH","LUN")</f>
        <v>0</v>
      </c>
      <c r="J24" s="22">
        <f ca="1">+GETPIVOTDATA("XKL4",'kimlong (2016)'!$A$3,"MA_HT","SKN","MA_QH","HNK")</f>
        <v>0</v>
      </c>
      <c r="K24" s="22">
        <f ca="1">+GETPIVOTDATA("XKL4",'kimlong (2016)'!$A$3,"MA_HT","SKN","MA_QH","CLN")</f>
        <v>0</v>
      </c>
      <c r="L24" s="22">
        <f ca="1">+GETPIVOTDATA("XKL4",'kimlong (2016)'!$A$3,"MA_HT","SKN","MA_QH","RSX")</f>
        <v>0</v>
      </c>
      <c r="M24" s="22">
        <f ca="1">+GETPIVOTDATA("XKL4",'kimlong (2016)'!$A$3,"MA_HT","SKN","MA_QH","RPH")</f>
        <v>0</v>
      </c>
      <c r="N24" s="22">
        <f ca="1">+GETPIVOTDATA("XKL4",'kimlong (2016)'!$A$3,"MA_HT","SKN","MA_QH","RDD")</f>
        <v>0</v>
      </c>
      <c r="O24" s="22">
        <f ca="1">+GETPIVOTDATA("XKL4",'kimlong (2016)'!$A$3,"MA_HT","SKN","MA_QH","NTS")</f>
        <v>0</v>
      </c>
      <c r="P24" s="22">
        <f ca="1">+GETPIVOTDATA("XKL4",'kimlong (2016)'!$A$3,"MA_HT","SKN","MA_QH","LMU")</f>
        <v>0</v>
      </c>
      <c r="Q24" s="22">
        <f ca="1">+GETPIVOTDATA("XKL4",'kimlong (2016)'!$A$3,"MA_HT","SKN","MA_QH","NKH")</f>
        <v>0</v>
      </c>
      <c r="R24" s="42">
        <f ca="1">SUM(S24:V24,X24:AA24,AN24:BD24)</f>
        <v>0</v>
      </c>
      <c r="S24" s="22">
        <f ca="1">+GETPIVOTDATA("XKL4",'kimlong (2016)'!$A$3,"MA_HT","SKN","MA_QH","CQP")</f>
        <v>0</v>
      </c>
      <c r="T24" s="22">
        <f ca="1">+GETPIVOTDATA("XKL4",'kimlong (2016)'!$A$3,"MA_HT","SKN","MA_QH","CAN")</f>
        <v>0</v>
      </c>
      <c r="U24" s="22">
        <f ca="1">+GETPIVOTDATA("XKL4",'kimlong (2016)'!$A$3,"MA_HT","SKN","MA_QH","SKK")</f>
        <v>0</v>
      </c>
      <c r="V24" s="22">
        <f ca="1">+GETPIVOTDATA("XKL4",'kimlong (2016)'!$A$3,"MA_HT","SKN","MA_QH","SKT")</f>
        <v>0</v>
      </c>
      <c r="W24" s="43" t="e">
        <f ca="1">$D24-$BF24</f>
        <v>#REF!</v>
      </c>
      <c r="X24" s="22">
        <f ca="1">+GETPIVOTDATA("XKL4",'kimlong (2016)'!$A$3,"MA_HT","SKN","MA_QH","TMD")</f>
        <v>0</v>
      </c>
      <c r="Y24" s="22">
        <f ca="1">+GETPIVOTDATA("XKL4",'kimlong (2016)'!$A$3,"MA_HT","SKN","MA_QH","SKC")</f>
        <v>0</v>
      </c>
      <c r="Z24" s="22">
        <f ca="1">+GETPIVOTDATA("XKL4",'kimlong (2016)'!$A$3,"MA_HT","SKN","MA_QH","SKS")</f>
        <v>0</v>
      </c>
      <c r="AA24" s="52">
        <f ca="1" t="shared" si="12"/>
        <v>0</v>
      </c>
      <c r="AB24" s="22">
        <f ca="1">+GETPIVOTDATA("XKL4",'kimlong (2016)'!$A$3,"MA_HT","SKN","MA_QH","DGT")</f>
        <v>0</v>
      </c>
      <c r="AC24" s="22">
        <f ca="1">+GETPIVOTDATA("XKL4",'kimlong (2016)'!$A$3,"MA_HT","SKN","MA_QH","DTL")</f>
        <v>0</v>
      </c>
      <c r="AD24" s="22">
        <f ca="1">+GETPIVOTDATA("XKL4",'kimlong (2016)'!$A$3,"MA_HT","SKN","MA_QH","DNL")</f>
        <v>0</v>
      </c>
      <c r="AE24" s="22">
        <f ca="1">+GETPIVOTDATA("XKL4",'kimlong (2016)'!$A$3,"MA_HT","SKN","MA_QH","DBV")</f>
        <v>0</v>
      </c>
      <c r="AF24" s="22">
        <f ca="1">+GETPIVOTDATA("XKL4",'kimlong (2016)'!$A$3,"MA_HT","SKN","MA_QH","DVH")</f>
        <v>0</v>
      </c>
      <c r="AG24" s="22">
        <f ca="1">+GETPIVOTDATA("XKL4",'kimlong (2016)'!$A$3,"MA_HT","SKN","MA_QH","DYT")</f>
        <v>0</v>
      </c>
      <c r="AH24" s="22">
        <f ca="1">+GETPIVOTDATA("XKL4",'kimlong (2016)'!$A$3,"MA_HT","SKN","MA_QH","DGD")</f>
        <v>0</v>
      </c>
      <c r="AI24" s="22">
        <f ca="1">+GETPIVOTDATA("XKL4",'kimlong (2016)'!$A$3,"MA_HT","SKN","MA_QH","DTT")</f>
        <v>0</v>
      </c>
      <c r="AJ24" s="22">
        <f ca="1">+GETPIVOTDATA("XKL4",'kimlong (2016)'!$A$3,"MA_HT","SKN","MA_QH","NCK")</f>
        <v>0</v>
      </c>
      <c r="AK24" s="22">
        <f ca="1">+GETPIVOTDATA("XKL4",'kimlong (2016)'!$A$3,"MA_HT","SKN","MA_QH","DXH")</f>
        <v>0</v>
      </c>
      <c r="AL24" s="22">
        <f ca="1">+GETPIVOTDATA("XKL4",'kimlong (2016)'!$A$3,"MA_HT","SKN","MA_QH","DCH")</f>
        <v>0</v>
      </c>
      <c r="AM24" s="22">
        <f ca="1">+GETPIVOTDATA("XKL4",'kimlong (2016)'!$A$3,"MA_HT","SKN","MA_QH","DKG")</f>
        <v>0</v>
      </c>
      <c r="AN24" s="22">
        <f ca="1">+GETPIVOTDATA("XKL4",'kimlong (2016)'!$A$3,"MA_HT","SKN","MA_QH","DDT")</f>
        <v>0</v>
      </c>
      <c r="AO24" s="22">
        <f ca="1">+GETPIVOTDATA("XKL4",'kimlong (2016)'!$A$3,"MA_HT","SKN","MA_QH","DDL")</f>
        <v>0</v>
      </c>
      <c r="AP24" s="22">
        <f ca="1">+GETPIVOTDATA("XKL4",'kimlong (2016)'!$A$3,"MA_HT","SKN","MA_QH","DRA")</f>
        <v>0</v>
      </c>
      <c r="AQ24" s="22">
        <f ca="1">+GETPIVOTDATA("XKL4",'kimlong (2016)'!$A$3,"MA_HT","SKN","MA_QH","ONT")</f>
        <v>0</v>
      </c>
      <c r="AR24" s="22">
        <f ca="1">+GETPIVOTDATA("XKL4",'kimlong (2016)'!$A$3,"MA_HT","SKN","MA_QH","ODT")</f>
        <v>0</v>
      </c>
      <c r="AS24" s="22">
        <f ca="1">+GETPIVOTDATA("XKL4",'kimlong (2016)'!$A$3,"MA_HT","SKN","MA_QH","TSC")</f>
        <v>0</v>
      </c>
      <c r="AT24" s="22">
        <f ca="1">+GETPIVOTDATA("XKL4",'kimlong (2016)'!$A$3,"MA_HT","SKN","MA_QH","DTS")</f>
        <v>0</v>
      </c>
      <c r="AU24" s="22">
        <f ca="1">+GETPIVOTDATA("XKL4",'kimlong (2016)'!$A$3,"MA_HT","SKN","MA_QH","DNG")</f>
        <v>0</v>
      </c>
      <c r="AV24" s="22">
        <f ca="1">+GETPIVOTDATA("XKL4",'kimlong (2016)'!$A$3,"MA_HT","SKN","MA_QH","TON")</f>
        <v>0</v>
      </c>
      <c r="AW24" s="22">
        <f ca="1">+GETPIVOTDATA("XKL4",'kimlong (2016)'!$A$3,"MA_HT","SKN","MA_QH","NTD")</f>
        <v>0</v>
      </c>
      <c r="AX24" s="22">
        <f ca="1">+GETPIVOTDATA("XKL4",'kimlong (2016)'!$A$3,"MA_HT","SKN","MA_QH","SKX")</f>
        <v>0</v>
      </c>
      <c r="AY24" s="22">
        <f ca="1">+GETPIVOTDATA("XKL4",'kimlong (2016)'!$A$3,"MA_HT","SKN","MA_QH","DSH")</f>
        <v>0</v>
      </c>
      <c r="AZ24" s="22">
        <f ca="1">+GETPIVOTDATA("XKL4",'kimlong (2016)'!$A$3,"MA_HT","SKN","MA_QH","DKV")</f>
        <v>0</v>
      </c>
      <c r="BA24" s="89">
        <f ca="1">+GETPIVOTDATA("XKL4",'kimlong (2016)'!$A$3,"MA_HT","SKN","MA_QH","TIN")</f>
        <v>0</v>
      </c>
      <c r="BB24" s="50">
        <f ca="1">+GETPIVOTDATA("XKL4",'kimlong (2016)'!$A$3,"MA_HT","SKN","MA_QH","SON")</f>
        <v>0</v>
      </c>
      <c r="BC24" s="50">
        <f ca="1">+GETPIVOTDATA("XKL4",'kimlong (2016)'!$A$3,"MA_HT","SKN","MA_QH","MNC")</f>
        <v>0</v>
      </c>
      <c r="BD24" s="22">
        <f ca="1">+GETPIVOTDATA("XKL4",'kimlong (2016)'!$A$3,"MA_HT","SKN","MA_QH","PNK")</f>
        <v>0</v>
      </c>
      <c r="BE24" s="71">
        <f ca="1">+GETPIVOTDATA("XKL4",'kimlong (2016)'!$A$3,"MA_HT","SKN","MA_QH","CSD")</f>
        <v>0</v>
      </c>
      <c r="BF24" s="74">
        <f ca="1" t="shared" si="13"/>
        <v>0</v>
      </c>
      <c r="BG24" s="101">
        <f ca="1">W$59-$BF24</f>
        <v>0</v>
      </c>
      <c r="BH24" s="41" t="e">
        <f ca="1" t="shared" si="14"/>
        <v>#REF!</v>
      </c>
      <c r="BI24" s="98"/>
      <c r="BJ24" s="107"/>
      <c r="BK24" s="107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</row>
    <row r="25" s="2" customFormat="1" ht="15.75" customHeight="1" spans="1:79">
      <c r="A25" s="39" t="s">
        <v>8368</v>
      </c>
      <c r="B25" s="39" t="s">
        <v>8369</v>
      </c>
      <c r="C25" s="40" t="s">
        <v>265</v>
      </c>
      <c r="D25" s="41" t="e">
        <f>+#REF!</f>
        <v>#REF!</v>
      </c>
      <c r="E25" s="42">
        <f ca="1" t="shared" si="15"/>
        <v>0</v>
      </c>
      <c r="F25" s="52">
        <f ca="1" t="shared" si="9"/>
        <v>0</v>
      </c>
      <c r="G25" s="22">
        <f ca="1">+GETPIVOTDATA("XKL4",'kimlong (2016)'!$A$3,"MA_HT","TMD","MA_QH","LUC")</f>
        <v>0</v>
      </c>
      <c r="H25" s="22">
        <f ca="1">+GETPIVOTDATA("XKL4",'kimlong (2016)'!$A$3,"MA_HT","TMD","MA_QH","LUK")</f>
        <v>0</v>
      </c>
      <c r="I25" s="22">
        <f ca="1">+GETPIVOTDATA("XKL4",'kimlong (2016)'!$A$3,"MA_HT","TMD","MA_QH","LUN")</f>
        <v>0</v>
      </c>
      <c r="J25" s="22">
        <f ca="1">+GETPIVOTDATA("XKL4",'kimlong (2016)'!$A$3,"MA_HT","TMD","MA_QH","HNK")</f>
        <v>0</v>
      </c>
      <c r="K25" s="22">
        <f ca="1">+GETPIVOTDATA("XKL4",'kimlong (2016)'!$A$3,"MA_HT","TMD","MA_QH","CLN")</f>
        <v>0</v>
      </c>
      <c r="L25" s="22">
        <f ca="1">+GETPIVOTDATA("XKL4",'kimlong (2016)'!$A$3,"MA_HT","TMD","MA_QH","RSX")</f>
        <v>0</v>
      </c>
      <c r="M25" s="22">
        <f ca="1">+GETPIVOTDATA("XKL4",'kimlong (2016)'!$A$3,"MA_HT","TMD","MA_QH","RPH")</f>
        <v>0</v>
      </c>
      <c r="N25" s="22">
        <f ca="1">+GETPIVOTDATA("XKL4",'kimlong (2016)'!$A$3,"MA_HT","TMD","MA_QH","RDD")</f>
        <v>0</v>
      </c>
      <c r="O25" s="22">
        <f ca="1">+GETPIVOTDATA("XKL4",'kimlong (2016)'!$A$3,"MA_HT","TMD","MA_QH","NTS")</f>
        <v>0</v>
      </c>
      <c r="P25" s="22">
        <f ca="1">+GETPIVOTDATA("XKL4",'kimlong (2016)'!$A$3,"MA_HT","TMD","MA_QH","LMU")</f>
        <v>0</v>
      </c>
      <c r="Q25" s="22">
        <f ca="1">+GETPIVOTDATA("XKL4",'kimlong (2016)'!$A$3,"MA_HT","TMD","MA_QH","NKH")</f>
        <v>0</v>
      </c>
      <c r="R25" s="42">
        <f ca="1">SUM(S25:W25,Y25:AA25,AN25:BD25)</f>
        <v>0</v>
      </c>
      <c r="S25" s="22">
        <f ca="1">+GETPIVOTDATA("XKL4",'kimlong (2016)'!$A$3,"MA_HT","TMD","MA_QH","CQP")</f>
        <v>0</v>
      </c>
      <c r="T25" s="22">
        <f ca="1">+GETPIVOTDATA("XKL4",'kimlong (2016)'!$A$3,"MA_HT","TMD","MA_QH","CAN")</f>
        <v>0</v>
      </c>
      <c r="U25" s="22">
        <f ca="1">+GETPIVOTDATA("XKL4",'kimlong (2016)'!$A$3,"MA_HT","TMD","MA_QH","SKK")</f>
        <v>0</v>
      </c>
      <c r="V25" s="22">
        <f ca="1">+GETPIVOTDATA("XKL4",'kimlong (2016)'!$A$3,"MA_HT","TMD","MA_QH","SKT")</f>
        <v>0</v>
      </c>
      <c r="W25" s="22">
        <f ca="1">+GETPIVOTDATA("XKL4",'kimlong (2016)'!$A$3,"MA_HT","TMD","MA_QH","SKN")</f>
        <v>0</v>
      </c>
      <c r="X25" s="43" t="e">
        <f ca="1">$D25-$BF25</f>
        <v>#REF!</v>
      </c>
      <c r="Y25" s="22">
        <f ca="1">+GETPIVOTDATA("XKL4",'kimlong (2016)'!$A$3,"MA_HT","TMD","MA_QH","SKC")</f>
        <v>0</v>
      </c>
      <c r="Z25" s="22">
        <f ca="1">+GETPIVOTDATA("XKL4",'kimlong (2016)'!$A$3,"MA_HT","TMD","MA_QH","SKS")</f>
        <v>0</v>
      </c>
      <c r="AA25" s="52">
        <f ca="1" t="shared" si="12"/>
        <v>0</v>
      </c>
      <c r="AB25" s="22">
        <f ca="1">+GETPIVOTDATA("XKL4",'kimlong (2016)'!$A$3,"MA_HT","TMD","MA_QH","DGT")</f>
        <v>0</v>
      </c>
      <c r="AC25" s="22">
        <f ca="1">+GETPIVOTDATA("XKL4",'kimlong (2016)'!$A$3,"MA_HT","TMD","MA_QH","DTL")</f>
        <v>0</v>
      </c>
      <c r="AD25" s="22">
        <f ca="1">+GETPIVOTDATA("XKL4",'kimlong (2016)'!$A$3,"MA_HT","TMD","MA_QH","DNL")</f>
        <v>0</v>
      </c>
      <c r="AE25" s="22">
        <f ca="1">+GETPIVOTDATA("XKL4",'kimlong (2016)'!$A$3,"MA_HT","TMD","MA_QH","DBV")</f>
        <v>0</v>
      </c>
      <c r="AF25" s="22">
        <f ca="1">+GETPIVOTDATA("XKL4",'kimlong (2016)'!$A$3,"MA_HT","TMD","MA_QH","DVH")</f>
        <v>0</v>
      </c>
      <c r="AG25" s="22">
        <f ca="1">+GETPIVOTDATA("XKL4",'kimlong (2016)'!$A$3,"MA_HT","TMD","MA_QH","DYT")</f>
        <v>0</v>
      </c>
      <c r="AH25" s="22">
        <f ca="1">+GETPIVOTDATA("XKL4",'kimlong (2016)'!$A$3,"MA_HT","TMD","MA_QH","DGD")</f>
        <v>0</v>
      </c>
      <c r="AI25" s="22">
        <f ca="1">+GETPIVOTDATA("XKL4",'kimlong (2016)'!$A$3,"MA_HT","TMD","MA_QH","DTT")</f>
        <v>0</v>
      </c>
      <c r="AJ25" s="22">
        <f ca="1">+GETPIVOTDATA("XKL4",'kimlong (2016)'!$A$3,"MA_HT","TMD","MA_QH","NCK")</f>
        <v>0</v>
      </c>
      <c r="AK25" s="22">
        <f ca="1">+GETPIVOTDATA("XKL4",'kimlong (2016)'!$A$3,"MA_HT","TMD","MA_QH","DXH")</f>
        <v>0</v>
      </c>
      <c r="AL25" s="22">
        <f ca="1">+GETPIVOTDATA("XKL4",'kimlong (2016)'!$A$3,"MA_HT","TMD","MA_QH","DCH")</f>
        <v>0</v>
      </c>
      <c r="AM25" s="22">
        <f ca="1">+GETPIVOTDATA("XKL4",'kimlong (2016)'!$A$3,"MA_HT","TMD","MA_QH","DKG")</f>
        <v>0</v>
      </c>
      <c r="AN25" s="22">
        <f ca="1">+GETPIVOTDATA("XKL4",'kimlong (2016)'!$A$3,"MA_HT","TMD","MA_QH","DDT")</f>
        <v>0</v>
      </c>
      <c r="AO25" s="22">
        <f ca="1">+GETPIVOTDATA("XKL4",'kimlong (2016)'!$A$3,"MA_HT","TMD","MA_QH","DDL")</f>
        <v>0</v>
      </c>
      <c r="AP25" s="22">
        <f ca="1">+GETPIVOTDATA("XKL4",'kimlong (2016)'!$A$3,"MA_HT","TMD","MA_QH","DRA")</f>
        <v>0</v>
      </c>
      <c r="AQ25" s="22">
        <f ca="1">+GETPIVOTDATA("XKL4",'kimlong (2016)'!$A$3,"MA_HT","TMD","MA_QH","ONT")</f>
        <v>0</v>
      </c>
      <c r="AR25" s="22">
        <f ca="1">+GETPIVOTDATA("XKL4",'kimlong (2016)'!$A$3,"MA_HT","TMD","MA_QH","ODT")</f>
        <v>0</v>
      </c>
      <c r="AS25" s="22">
        <f ca="1">+GETPIVOTDATA("XKL4",'kimlong (2016)'!$A$3,"MA_HT","TMD","MA_QH","TSC")</f>
        <v>0</v>
      </c>
      <c r="AT25" s="22">
        <f ca="1">+GETPIVOTDATA("XKL4",'kimlong (2016)'!$A$3,"MA_HT","TMD","MA_QH","DTS")</f>
        <v>0</v>
      </c>
      <c r="AU25" s="22">
        <f ca="1">+GETPIVOTDATA("XKL4",'kimlong (2016)'!$A$3,"MA_HT","TMD","MA_QH","DNG")</f>
        <v>0</v>
      </c>
      <c r="AV25" s="22">
        <f ca="1">+GETPIVOTDATA("XKL4",'kimlong (2016)'!$A$3,"MA_HT","TMD","MA_QH","TON")</f>
        <v>0</v>
      </c>
      <c r="AW25" s="22">
        <f ca="1">+GETPIVOTDATA("XKL4",'kimlong (2016)'!$A$3,"MA_HT","TMD","MA_QH","NTD")</f>
        <v>0</v>
      </c>
      <c r="AX25" s="22">
        <f ca="1">+GETPIVOTDATA("XKL4",'kimlong (2016)'!$A$3,"MA_HT","TMD","MA_QH","SKX")</f>
        <v>0</v>
      </c>
      <c r="AY25" s="22">
        <f ca="1">+GETPIVOTDATA("XKL4",'kimlong (2016)'!$A$3,"MA_HT","TMD","MA_QH","DSH")</f>
        <v>0</v>
      </c>
      <c r="AZ25" s="22">
        <f ca="1">+GETPIVOTDATA("XKL4",'kimlong (2016)'!$A$3,"MA_HT","TMD","MA_QH","DKV")</f>
        <v>0</v>
      </c>
      <c r="BA25" s="89">
        <f ca="1">+GETPIVOTDATA("XKL4",'kimlong (2016)'!$A$3,"MA_HT","TMD","MA_QH","TIN")</f>
        <v>0</v>
      </c>
      <c r="BB25" s="50">
        <f ca="1">+GETPIVOTDATA("XKL4",'kimlong (2016)'!$A$3,"MA_HT","TMD","MA_QH","SON")</f>
        <v>0</v>
      </c>
      <c r="BC25" s="50">
        <f ca="1">+GETPIVOTDATA("XKL4",'kimlong (2016)'!$A$3,"MA_HT","TMD","MA_QH","MNC")</f>
        <v>0</v>
      </c>
      <c r="BD25" s="22">
        <f ca="1">+GETPIVOTDATA("XKL4",'kimlong (2016)'!$A$3,"MA_HT","TMD","MA_QH","PNK")</f>
        <v>0</v>
      </c>
      <c r="BE25" s="71">
        <f ca="1">+GETPIVOTDATA("XKL4",'kimlong (2016)'!$A$3,"MA_HT","TMD","MA_QH","CSD")</f>
        <v>0</v>
      </c>
      <c r="BF25" s="74">
        <f ca="1" t="shared" si="13"/>
        <v>0</v>
      </c>
      <c r="BG25" s="101">
        <f ca="1">X$59-$BF25</f>
        <v>0</v>
      </c>
      <c r="BH25" s="41" t="e">
        <f ca="1" t="shared" si="14"/>
        <v>#REF!</v>
      </c>
      <c r="BI25" s="98"/>
      <c r="BJ25" s="107" t="e">
        <f>#REF!</f>
        <v>#REF!</v>
      </c>
      <c r="BK25" s="107" t="e">
        <f ca="1">BH25-BJ25</f>
        <v>#REF!</v>
      </c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</row>
    <row r="26" s="2" customFormat="1" ht="15.75" customHeight="1" spans="1:79">
      <c r="A26" s="39" t="s">
        <v>8370</v>
      </c>
      <c r="B26" s="39" t="s">
        <v>8371</v>
      </c>
      <c r="C26" s="40" t="s">
        <v>204</v>
      </c>
      <c r="D26" s="41" t="e">
        <f>+#REF!</f>
        <v>#REF!</v>
      </c>
      <c r="E26" s="42">
        <f ca="1" t="shared" si="15"/>
        <v>0</v>
      </c>
      <c r="F26" s="52">
        <f ca="1" t="shared" si="9"/>
        <v>0</v>
      </c>
      <c r="G26" s="22">
        <f ca="1">+GETPIVOTDATA("XKL4",'kimlong (2016)'!$A$3,"MA_HT","SKC","MA_QH","LUC")</f>
        <v>0</v>
      </c>
      <c r="H26" s="22">
        <f ca="1">+GETPIVOTDATA("XKL4",'kimlong (2016)'!$A$3,"MA_HT","SKC","MA_QH","LUK")</f>
        <v>0</v>
      </c>
      <c r="I26" s="22">
        <f ca="1">+GETPIVOTDATA("XKL4",'kimlong (2016)'!$A$3,"MA_HT","SKC","MA_QH","LUN")</f>
        <v>0</v>
      </c>
      <c r="J26" s="22">
        <f ca="1">+GETPIVOTDATA("XKL4",'kimlong (2016)'!$A$3,"MA_HT","SKC","MA_QH","HNK")</f>
        <v>0</v>
      </c>
      <c r="K26" s="22">
        <f ca="1">+GETPIVOTDATA("XKL4",'kimlong (2016)'!$A$3,"MA_HT","SKC","MA_QH","CLN")</f>
        <v>0</v>
      </c>
      <c r="L26" s="22">
        <f ca="1">+GETPIVOTDATA("XKL4",'kimlong (2016)'!$A$3,"MA_HT","SKC","MA_QH","RSX")</f>
        <v>0</v>
      </c>
      <c r="M26" s="22">
        <f ca="1">+GETPIVOTDATA("XKL4",'kimlong (2016)'!$A$3,"MA_HT","SKC","MA_QH","RPH")</f>
        <v>0</v>
      </c>
      <c r="N26" s="22">
        <f ca="1">+GETPIVOTDATA("XKL4",'kimlong (2016)'!$A$3,"MA_HT","SKC","MA_QH","RDD")</f>
        <v>0</v>
      </c>
      <c r="O26" s="22">
        <f ca="1">+GETPIVOTDATA("XKL4",'kimlong (2016)'!$A$3,"MA_HT","SKC","MA_QH","NTS")</f>
        <v>0</v>
      </c>
      <c r="P26" s="22">
        <f ca="1">+GETPIVOTDATA("XKL4",'kimlong (2016)'!$A$3,"MA_HT","SKC","MA_QH","LMU")</f>
        <v>0</v>
      </c>
      <c r="Q26" s="22">
        <f ca="1">+GETPIVOTDATA("XKL4",'kimlong (2016)'!$A$3,"MA_HT","SKC","MA_QH","NKH")</f>
        <v>0</v>
      </c>
      <c r="R26" s="42">
        <f ca="1">SUM(S26:X26,Z26,AN26:BD26)</f>
        <v>0</v>
      </c>
      <c r="S26" s="22">
        <f ca="1">+GETPIVOTDATA("XKL4",'kimlong (2016)'!$A$3,"MA_HT","SKC","MA_QH","CQP")</f>
        <v>0</v>
      </c>
      <c r="T26" s="22">
        <f ca="1">+GETPIVOTDATA("XKL4",'kimlong (2016)'!$A$3,"MA_HT","SKC","MA_QH","CAN")</f>
        <v>0</v>
      </c>
      <c r="U26" s="22">
        <f ca="1">+GETPIVOTDATA("XKL4",'kimlong (2016)'!$A$3,"MA_HT","SKC","MA_QH","SKK")</f>
        <v>0</v>
      </c>
      <c r="V26" s="22">
        <f ca="1">+GETPIVOTDATA("XKL4",'kimlong (2016)'!$A$3,"MA_HT","SKC","MA_QH","SKT")</f>
        <v>0</v>
      </c>
      <c r="W26" s="22">
        <f ca="1">+GETPIVOTDATA("XKL4",'kimlong (2016)'!$A$3,"MA_HT","SKC","MA_QH","SKN")</f>
        <v>0</v>
      </c>
      <c r="X26" s="22">
        <f ca="1">+GETPIVOTDATA("XKL4",'kimlong (2016)'!$A$3,"MA_HT","SKC","MA_QH","TMD")</f>
        <v>0</v>
      </c>
      <c r="Y26" s="43" t="e">
        <f ca="1">$D26-$BF26</f>
        <v>#REF!</v>
      </c>
      <c r="Z26" s="22">
        <f ca="1">+GETPIVOTDATA("XKL4",'kimlong (2016)'!$A$3,"MA_HT","SKC","MA_QH","SKS")</f>
        <v>0</v>
      </c>
      <c r="AA26" s="52">
        <f ca="1" t="shared" si="12"/>
        <v>0</v>
      </c>
      <c r="AB26" s="22">
        <f ca="1">+GETPIVOTDATA("XKL4",'kimlong (2016)'!$A$3,"MA_HT","SKC","MA_QH","DGT")</f>
        <v>0</v>
      </c>
      <c r="AC26" s="22">
        <f ca="1">+GETPIVOTDATA("XKL4",'kimlong (2016)'!$A$3,"MA_HT","SKC","MA_QH","DTL")</f>
        <v>0</v>
      </c>
      <c r="AD26" s="22">
        <f ca="1">+GETPIVOTDATA("XKL4",'kimlong (2016)'!$A$3,"MA_HT","SKC","MA_QH","DNL")</f>
        <v>0</v>
      </c>
      <c r="AE26" s="22">
        <f ca="1">+GETPIVOTDATA("XKL4",'kimlong (2016)'!$A$3,"MA_HT","SKC","MA_QH","DBV")</f>
        <v>0</v>
      </c>
      <c r="AF26" s="22">
        <f ca="1">+GETPIVOTDATA("XKL4",'kimlong (2016)'!$A$3,"MA_HT","SKC","MA_QH","DVH")</f>
        <v>0</v>
      </c>
      <c r="AG26" s="22">
        <f ca="1">+GETPIVOTDATA("XKL4",'kimlong (2016)'!$A$3,"MA_HT","SKC","MA_QH","DYT")</f>
        <v>0</v>
      </c>
      <c r="AH26" s="22">
        <f ca="1">+GETPIVOTDATA("XKL4",'kimlong (2016)'!$A$3,"MA_HT","SKC","MA_QH","DGD")</f>
        <v>0</v>
      </c>
      <c r="AI26" s="22">
        <f ca="1">+GETPIVOTDATA("XKL4",'kimlong (2016)'!$A$3,"MA_HT","SKC","MA_QH","DTT")</f>
        <v>0</v>
      </c>
      <c r="AJ26" s="22">
        <f ca="1">+GETPIVOTDATA("XKL4",'kimlong (2016)'!$A$3,"MA_HT","SKC","MA_QH","NCK")</f>
        <v>0</v>
      </c>
      <c r="AK26" s="22">
        <f ca="1">+GETPIVOTDATA("XKL4",'kimlong (2016)'!$A$3,"MA_HT","SKC","MA_QH","DXH")</f>
        <v>0</v>
      </c>
      <c r="AL26" s="22">
        <f ca="1">+GETPIVOTDATA("XKL4",'kimlong (2016)'!$A$3,"MA_HT","SKC","MA_QH","DCH")</f>
        <v>0</v>
      </c>
      <c r="AM26" s="22">
        <f ca="1">+GETPIVOTDATA("XKL4",'kimlong (2016)'!$A$3,"MA_HT","SKC","MA_QH","DKG")</f>
        <v>0</v>
      </c>
      <c r="AN26" s="22">
        <f ca="1">+GETPIVOTDATA("XKL4",'kimlong (2016)'!$A$3,"MA_HT","SKC","MA_QH","DDT")</f>
        <v>0</v>
      </c>
      <c r="AO26" s="22">
        <f ca="1">+GETPIVOTDATA("XKL4",'kimlong (2016)'!$A$3,"MA_HT","SKC","MA_QH","DDL")</f>
        <v>0</v>
      </c>
      <c r="AP26" s="22">
        <f ca="1">+GETPIVOTDATA("XKL4",'kimlong (2016)'!$A$3,"MA_HT","SKC","MA_QH","DRA")</f>
        <v>0</v>
      </c>
      <c r="AQ26" s="22">
        <f ca="1">+GETPIVOTDATA("XKL4",'kimlong (2016)'!$A$3,"MA_HT","SKC","MA_QH","ONT")</f>
        <v>0</v>
      </c>
      <c r="AR26" s="22">
        <f ca="1">+GETPIVOTDATA("XKL4",'kimlong (2016)'!$A$3,"MA_HT","SKC","MA_QH","ODT")</f>
        <v>0</v>
      </c>
      <c r="AS26" s="22">
        <f ca="1">+GETPIVOTDATA("XKL4",'kimlong (2016)'!$A$3,"MA_HT","SKC","MA_QH","TSC")</f>
        <v>0</v>
      </c>
      <c r="AT26" s="22">
        <f ca="1">+GETPIVOTDATA("XKL4",'kimlong (2016)'!$A$3,"MA_HT","SKC","MA_QH","DTS")</f>
        <v>0</v>
      </c>
      <c r="AU26" s="22">
        <f ca="1">+GETPIVOTDATA("XKL4",'kimlong (2016)'!$A$3,"MA_HT","SKC","MA_QH","DNG")</f>
        <v>0</v>
      </c>
      <c r="AV26" s="22">
        <f ca="1">+GETPIVOTDATA("XKL4",'kimlong (2016)'!$A$3,"MA_HT","SKC","MA_QH","TON")</f>
        <v>0</v>
      </c>
      <c r="AW26" s="22">
        <f ca="1">+GETPIVOTDATA("XKL4",'kimlong (2016)'!$A$3,"MA_HT","SKC","MA_QH","NTD")</f>
        <v>0</v>
      </c>
      <c r="AX26" s="22">
        <f ca="1">+GETPIVOTDATA("XKL4",'kimlong (2016)'!$A$3,"MA_HT","SKC","MA_QH","SKX")</f>
        <v>0</v>
      </c>
      <c r="AY26" s="22">
        <f ca="1">+GETPIVOTDATA("XKL4",'kimlong (2016)'!$A$3,"MA_HT","SKC","MA_QH","DSH")</f>
        <v>0</v>
      </c>
      <c r="AZ26" s="22">
        <f ca="1">+GETPIVOTDATA("XKL4",'kimlong (2016)'!$A$3,"MA_HT","SKC","MA_QH","DKV")</f>
        <v>0</v>
      </c>
      <c r="BA26" s="89">
        <f ca="1">+GETPIVOTDATA("XKL4",'kimlong (2016)'!$A$3,"MA_HT","SKC","MA_QH","TIN")</f>
        <v>0</v>
      </c>
      <c r="BB26" s="50">
        <f ca="1">+GETPIVOTDATA("XKL4",'kimlong (2016)'!$A$3,"MA_HT","SKC","MA_QH","SON")</f>
        <v>0</v>
      </c>
      <c r="BC26" s="50">
        <f ca="1">+GETPIVOTDATA("XKL4",'kimlong (2016)'!$A$3,"MA_HT","SKC","MA_QH","MNC")</f>
        <v>0</v>
      </c>
      <c r="BD26" s="22">
        <f ca="1">+GETPIVOTDATA("XKL4",'kimlong (2016)'!$A$3,"MA_HT","SKC","MA_QH","PNK")</f>
        <v>0</v>
      </c>
      <c r="BE26" s="71">
        <f ca="1">+GETPIVOTDATA("XKL4",'kimlong (2016)'!$A$3,"MA_HT","SKC","MA_QH","CSD")</f>
        <v>0</v>
      </c>
      <c r="BF26" s="74">
        <f ca="1" t="shared" si="13"/>
        <v>0</v>
      </c>
      <c r="BG26" s="101">
        <f ca="1">Y$59-$BF26</f>
        <v>0</v>
      </c>
      <c r="BH26" s="41" t="e">
        <f ca="1" t="shared" si="14"/>
        <v>#REF!</v>
      </c>
      <c r="BI26" s="98"/>
      <c r="BJ26" s="107" t="e">
        <f>#REF!</f>
        <v>#REF!</v>
      </c>
      <c r="BK26" s="107" t="e">
        <f ca="1">BH26-BJ26</f>
        <v>#REF!</v>
      </c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</row>
    <row r="27" s="2" customFormat="1" ht="15.75" customHeight="1" spans="1:79">
      <c r="A27" s="39" t="s">
        <v>8372</v>
      </c>
      <c r="B27" s="53" t="s">
        <v>8373</v>
      </c>
      <c r="C27" s="40" t="s">
        <v>174</v>
      </c>
      <c r="D27" s="41" t="e">
        <f>+#REF!</f>
        <v>#REF!</v>
      </c>
      <c r="E27" s="42">
        <f ca="1" t="shared" si="15"/>
        <v>0</v>
      </c>
      <c r="F27" s="52">
        <f ca="1" t="shared" si="9"/>
        <v>0</v>
      </c>
      <c r="G27" s="22">
        <f ca="1">+GETPIVOTDATA("XKL4",'kimlong (2016)'!$A$3,"MA_HT","SKS","MA_QH","LUC")</f>
        <v>0</v>
      </c>
      <c r="H27" s="22">
        <f ca="1">+GETPIVOTDATA("XKL4",'kimlong (2016)'!$A$3,"MA_HT","SKS","MA_QH","LUK")</f>
        <v>0</v>
      </c>
      <c r="I27" s="22">
        <f ca="1">+GETPIVOTDATA("XKL4",'kimlong (2016)'!$A$3,"MA_HT","SKS","MA_QH","LUN")</f>
        <v>0</v>
      </c>
      <c r="J27" s="22">
        <f ca="1">+GETPIVOTDATA("XKL4",'kimlong (2016)'!$A$3,"MA_HT","SKS","MA_QH","HNK")</f>
        <v>0</v>
      </c>
      <c r="K27" s="22">
        <f ca="1">+GETPIVOTDATA("XKL4",'kimlong (2016)'!$A$3,"MA_HT","SKS","MA_QH","CLN")</f>
        <v>0</v>
      </c>
      <c r="L27" s="22">
        <f ca="1">+GETPIVOTDATA("XKL4",'kimlong (2016)'!$A$3,"MA_HT","SKS","MA_QH","RSX")</f>
        <v>0</v>
      </c>
      <c r="M27" s="22">
        <f ca="1">+GETPIVOTDATA("XKL4",'kimlong (2016)'!$A$3,"MA_HT","SKS","MA_QH","RPH")</f>
        <v>0</v>
      </c>
      <c r="N27" s="22">
        <f ca="1">+GETPIVOTDATA("XKL4",'kimlong (2016)'!$A$3,"MA_HT","SKS","MA_QH","RDD")</f>
        <v>0</v>
      </c>
      <c r="O27" s="22">
        <f ca="1">+GETPIVOTDATA("XKL4",'kimlong (2016)'!$A$3,"MA_HT","SKS","MA_QH","NTS")</f>
        <v>0</v>
      </c>
      <c r="P27" s="22">
        <f ca="1">+GETPIVOTDATA("XKL4",'kimlong (2016)'!$A$3,"MA_HT","SKS","MA_QH","LMU")</f>
        <v>0</v>
      </c>
      <c r="Q27" s="22">
        <f ca="1">+GETPIVOTDATA("XKL4",'kimlong (2016)'!$A$3,"MA_HT","SKS","MA_QH","NKH")</f>
        <v>0</v>
      </c>
      <c r="R27" s="42">
        <f ca="1">SUM(S27:Y27,AA27,AN27:BD27)</f>
        <v>0</v>
      </c>
      <c r="S27" s="22">
        <f ca="1">+GETPIVOTDATA("XKL4",'kimlong (2016)'!$A$3,"MA_HT","SKS","MA_QH","CQP")</f>
        <v>0</v>
      </c>
      <c r="T27" s="22">
        <f ca="1">+GETPIVOTDATA("XKL4",'kimlong (2016)'!$A$3,"MA_HT","SKS","MA_QH","CAN")</f>
        <v>0</v>
      </c>
      <c r="U27" s="22">
        <f ca="1">+GETPIVOTDATA("XKL4",'kimlong (2016)'!$A$3,"MA_HT","SKS","MA_QH","SKK")</f>
        <v>0</v>
      </c>
      <c r="V27" s="22">
        <f ca="1">+GETPIVOTDATA("XKL4",'kimlong (2016)'!$A$3,"MA_HT","SKS","MA_QH","SKT")</f>
        <v>0</v>
      </c>
      <c r="W27" s="22">
        <f ca="1">+GETPIVOTDATA("XKL4",'kimlong (2016)'!$A$3,"MA_HT","SKS","MA_QH","SKN")</f>
        <v>0</v>
      </c>
      <c r="X27" s="22">
        <f ca="1">+GETPIVOTDATA("XKL4",'kimlong (2016)'!$A$3,"MA_HT","SKS","MA_QH","TMD")</f>
        <v>0</v>
      </c>
      <c r="Y27" s="22">
        <f ca="1">+GETPIVOTDATA("XKL4",'kimlong (2016)'!$A$3,"MA_HT","SKS","MA_QH","SKC")</f>
        <v>0</v>
      </c>
      <c r="Z27" s="43" t="e">
        <f ca="1">$D27-$BF27</f>
        <v>#REF!</v>
      </c>
      <c r="AA27" s="52">
        <f ca="1" t="shared" si="12"/>
        <v>0</v>
      </c>
      <c r="AB27" s="22">
        <f ca="1">+GETPIVOTDATA("XKL4",'kimlong (2016)'!$A$3,"MA_HT","SKS","MA_QH","DGT")</f>
        <v>0</v>
      </c>
      <c r="AC27" s="22">
        <f ca="1">+GETPIVOTDATA("XKL4",'kimlong (2016)'!$A$3,"MA_HT","SKS","MA_QH","DTL")</f>
        <v>0</v>
      </c>
      <c r="AD27" s="22">
        <f ca="1">+GETPIVOTDATA("XKL4",'kimlong (2016)'!$A$3,"MA_HT","SKS","MA_QH","DNL")</f>
        <v>0</v>
      </c>
      <c r="AE27" s="22">
        <f ca="1">+GETPIVOTDATA("XKL4",'kimlong (2016)'!$A$3,"MA_HT","SKS","MA_QH","DBV")</f>
        <v>0</v>
      </c>
      <c r="AF27" s="22">
        <f ca="1">+GETPIVOTDATA("XKL4",'kimlong (2016)'!$A$3,"MA_HT","SKS","MA_QH","DVH")</f>
        <v>0</v>
      </c>
      <c r="AG27" s="22">
        <f ca="1">+GETPIVOTDATA("XKL4",'kimlong (2016)'!$A$3,"MA_HT","SKS","MA_QH","DYT")</f>
        <v>0</v>
      </c>
      <c r="AH27" s="22">
        <f ca="1">+GETPIVOTDATA("XKL4",'kimlong (2016)'!$A$3,"MA_HT","SKS","MA_QH","DGD")</f>
        <v>0</v>
      </c>
      <c r="AI27" s="22">
        <f ca="1">+GETPIVOTDATA("XKL4",'kimlong (2016)'!$A$3,"MA_HT","SKS","MA_QH","DTT")</f>
        <v>0</v>
      </c>
      <c r="AJ27" s="22">
        <f ca="1">+GETPIVOTDATA("XKL4",'kimlong (2016)'!$A$3,"MA_HT","SKS","MA_QH","NCK")</f>
        <v>0</v>
      </c>
      <c r="AK27" s="22">
        <f ca="1">+GETPIVOTDATA("XKL4",'kimlong (2016)'!$A$3,"MA_HT","SKS","MA_QH","DXH")</f>
        <v>0</v>
      </c>
      <c r="AL27" s="22">
        <f ca="1">+GETPIVOTDATA("XKL4",'kimlong (2016)'!$A$3,"MA_HT","SKS","MA_QH","DCH")</f>
        <v>0</v>
      </c>
      <c r="AM27" s="22">
        <f ca="1">+GETPIVOTDATA("XKL4",'kimlong (2016)'!$A$3,"MA_HT","SKS","MA_QH","DKG")</f>
        <v>0</v>
      </c>
      <c r="AN27" s="22">
        <f ca="1">+GETPIVOTDATA("XKL4",'kimlong (2016)'!$A$3,"MA_HT","SKS","MA_QH","DDT")</f>
        <v>0</v>
      </c>
      <c r="AO27" s="22">
        <f ca="1">+GETPIVOTDATA("XKL4",'kimlong (2016)'!$A$3,"MA_HT","SKS","MA_QH","DDL")</f>
        <v>0</v>
      </c>
      <c r="AP27" s="22">
        <f ca="1">+GETPIVOTDATA("XKL4",'kimlong (2016)'!$A$3,"MA_HT","SKS","MA_QH","DRA")</f>
        <v>0</v>
      </c>
      <c r="AQ27" s="22">
        <f ca="1">+GETPIVOTDATA("XKL4",'kimlong (2016)'!$A$3,"MA_HT","SKS","MA_QH","ONT")</f>
        <v>0</v>
      </c>
      <c r="AR27" s="22">
        <f ca="1">+GETPIVOTDATA("XKL4",'kimlong (2016)'!$A$3,"MA_HT","SKS","MA_QH","ODT")</f>
        <v>0</v>
      </c>
      <c r="AS27" s="22">
        <f ca="1">+GETPIVOTDATA("XKL4",'kimlong (2016)'!$A$3,"MA_HT","SKS","MA_QH","TSC")</f>
        <v>0</v>
      </c>
      <c r="AT27" s="22">
        <f ca="1">+GETPIVOTDATA("XKL4",'kimlong (2016)'!$A$3,"MA_HT","SKS","MA_QH","DTS")</f>
        <v>0</v>
      </c>
      <c r="AU27" s="22">
        <f ca="1">+GETPIVOTDATA("XKL4",'kimlong (2016)'!$A$3,"MA_HT","SKS","MA_QH","DNG")</f>
        <v>0</v>
      </c>
      <c r="AV27" s="22">
        <f ca="1">+GETPIVOTDATA("XKL4",'kimlong (2016)'!$A$3,"MA_HT","SKS","MA_QH","TON")</f>
        <v>0</v>
      </c>
      <c r="AW27" s="22">
        <f ca="1">+GETPIVOTDATA("XKL4",'kimlong (2016)'!$A$3,"MA_HT","SKS","MA_QH","NTD")</f>
        <v>0</v>
      </c>
      <c r="AX27" s="22">
        <f ca="1">+GETPIVOTDATA("XKL4",'kimlong (2016)'!$A$3,"MA_HT","SKS","MA_QH","SKX")</f>
        <v>0</v>
      </c>
      <c r="AY27" s="22">
        <f ca="1">+GETPIVOTDATA("XKL4",'kimlong (2016)'!$A$3,"MA_HT","SKS","MA_QH","DSH")</f>
        <v>0</v>
      </c>
      <c r="AZ27" s="22">
        <f ca="1">+GETPIVOTDATA("XKL4",'kimlong (2016)'!$A$3,"MA_HT","SKS","MA_QH","DKV")</f>
        <v>0</v>
      </c>
      <c r="BA27" s="89">
        <f ca="1">+GETPIVOTDATA("XKL4",'kimlong (2016)'!$A$3,"MA_HT","SKS","MA_QH","TIN")</f>
        <v>0</v>
      </c>
      <c r="BB27" s="50">
        <f ca="1">+GETPIVOTDATA("XKL4",'kimlong (2016)'!$A$3,"MA_HT","SKS","MA_QH","SON")</f>
        <v>0</v>
      </c>
      <c r="BC27" s="50">
        <f ca="1">+GETPIVOTDATA("XKL4",'kimlong (2016)'!$A$3,"MA_HT","SKS","MA_QH","MNC")</f>
        <v>0</v>
      </c>
      <c r="BD27" s="22">
        <f ca="1">+GETPIVOTDATA("XKL4",'kimlong (2016)'!$A$3,"MA_HT","SKS","MA_QH","PNK")</f>
        <v>0</v>
      </c>
      <c r="BE27" s="71">
        <f ca="1">+GETPIVOTDATA("XKL4",'kimlong (2016)'!$A$3,"MA_HT","SKS","MA_QH","CSD")</f>
        <v>0</v>
      </c>
      <c r="BF27" s="74">
        <f ca="1" t="shared" si="13"/>
        <v>0</v>
      </c>
      <c r="BG27" s="101">
        <f ca="1">Z$59-$BF27</f>
        <v>0</v>
      </c>
      <c r="BH27" s="41" t="e">
        <f ca="1" t="shared" si="14"/>
        <v>#REF!</v>
      </c>
      <c r="BI27" s="98"/>
      <c r="BJ27" s="107" t="e">
        <f>#REF!</f>
        <v>#REF!</v>
      </c>
      <c r="BK27" s="107" t="e">
        <f ca="1">BH27-BJ27</f>
        <v>#REF!</v>
      </c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</row>
    <row r="28" s="2" customFormat="1" ht="15.75" customHeight="1" spans="1:79">
      <c r="A28" s="39" t="s">
        <v>8374</v>
      </c>
      <c r="B28" s="53" t="s">
        <v>8375</v>
      </c>
      <c r="C28" s="40" t="s">
        <v>8288</v>
      </c>
      <c r="D28" s="41" t="e">
        <f>+#REF!</f>
        <v>#REF!</v>
      </c>
      <c r="E28" s="42">
        <f ca="1" t="shared" si="15"/>
        <v>0</v>
      </c>
      <c r="F28" s="52">
        <f ca="1" t="shared" si="9"/>
        <v>0</v>
      </c>
      <c r="G28" s="44">
        <f ca="1">SUM(G29:G39)</f>
        <v>0</v>
      </c>
      <c r="H28" s="44">
        <f ca="1" t="shared" ref="H28:Q28" si="16">SUM(H29:H39)</f>
        <v>0</v>
      </c>
      <c r="I28" s="44">
        <f ca="1" t="shared" si="16"/>
        <v>0</v>
      </c>
      <c r="J28" s="44">
        <f ca="1" t="shared" si="16"/>
        <v>0</v>
      </c>
      <c r="K28" s="44">
        <f ca="1" t="shared" si="16"/>
        <v>0</v>
      </c>
      <c r="L28" s="44">
        <f ca="1" t="shared" si="16"/>
        <v>0</v>
      </c>
      <c r="M28" s="44">
        <f ca="1" t="shared" si="16"/>
        <v>0</v>
      </c>
      <c r="N28" s="44">
        <f ca="1" t="shared" si="16"/>
        <v>0</v>
      </c>
      <c r="O28" s="44">
        <f ca="1" t="shared" si="16"/>
        <v>0</v>
      </c>
      <c r="P28" s="44">
        <f ca="1" t="shared" si="16"/>
        <v>0</v>
      </c>
      <c r="Q28" s="44">
        <f ca="1" t="shared" si="16"/>
        <v>0</v>
      </c>
      <c r="R28" s="44">
        <f ca="1">SUM(S28:Z28,AN28:BD28)</f>
        <v>0</v>
      </c>
      <c r="S28" s="44">
        <f ca="1">SUM(S29:S39)</f>
        <v>0</v>
      </c>
      <c r="T28" s="44">
        <f ca="1" t="shared" ref="T28:Z28" si="17">SUM(T29:T39)</f>
        <v>0</v>
      </c>
      <c r="U28" s="44">
        <f ca="1" t="shared" si="17"/>
        <v>0</v>
      </c>
      <c r="V28" s="44">
        <f ca="1" t="shared" si="17"/>
        <v>0</v>
      </c>
      <c r="W28" s="44">
        <f ca="1" t="shared" si="17"/>
        <v>0</v>
      </c>
      <c r="X28" s="44">
        <f ca="1" t="shared" si="17"/>
        <v>0</v>
      </c>
      <c r="Y28" s="44">
        <f ca="1" t="shared" si="17"/>
        <v>0</v>
      </c>
      <c r="Z28" s="44">
        <f ca="1" t="shared" si="17"/>
        <v>0</v>
      </c>
      <c r="AA28" s="43" t="e">
        <f ca="1">$D28-$BF28</f>
        <v>#REF!</v>
      </c>
      <c r="AB28" s="44">
        <f ca="1">SUM(AB30:AB39)</f>
        <v>0</v>
      </c>
      <c r="AC28" s="44">
        <f ca="1">SUM(AC29,AC31:AC39)</f>
        <v>0</v>
      </c>
      <c r="AD28" s="44">
        <f ca="1">SUM(AD29:AD30,AD32:AD39)</f>
        <v>0</v>
      </c>
      <c r="AE28" s="44">
        <f ca="1">SUM(AE29:AE31,AE33:AE39)</f>
        <v>0</v>
      </c>
      <c r="AF28" s="44">
        <f ca="1">SUM(AF29:AF32,AF34:AF39)</f>
        <v>0</v>
      </c>
      <c r="AG28" s="44">
        <f ca="1">SUM(AG29:AG33,AG35:AG39)</f>
        <v>0</v>
      </c>
      <c r="AH28" s="44">
        <f ca="1">SUM(AH29:AH34,AH36:AH39)</f>
        <v>0</v>
      </c>
      <c r="AI28" s="44">
        <f ca="1">SUM(AI29:AI35,AI37:AI39)</f>
        <v>0</v>
      </c>
      <c r="AJ28" s="44">
        <f ca="1">SUM(AJ29:AJ36,AJ38:AJ39)</f>
        <v>0</v>
      </c>
      <c r="AK28" s="44">
        <f ca="1">SUM(AK29:AK37,AK39)</f>
        <v>0</v>
      </c>
      <c r="AL28" s="44">
        <f ca="1">SUM(AL29:AL38)</f>
        <v>0</v>
      </c>
      <c r="AM28" s="44">
        <f ca="1">SUM(AM29:AM38)</f>
        <v>0</v>
      </c>
      <c r="AN28" s="44">
        <f ca="1" t="shared" ref="AN28:BE28" si="18">SUM(AN29:AN39)</f>
        <v>0</v>
      </c>
      <c r="AO28" s="44">
        <f ca="1" t="shared" si="18"/>
        <v>0</v>
      </c>
      <c r="AP28" s="44">
        <f ca="1" t="shared" si="18"/>
        <v>0</v>
      </c>
      <c r="AQ28" s="44">
        <f ca="1" t="shared" si="18"/>
        <v>0</v>
      </c>
      <c r="AR28" s="44">
        <f ca="1" t="shared" si="18"/>
        <v>0</v>
      </c>
      <c r="AS28" s="44">
        <f ca="1" t="shared" si="18"/>
        <v>0</v>
      </c>
      <c r="AT28" s="44">
        <f ca="1" t="shared" si="18"/>
        <v>0</v>
      </c>
      <c r="AU28" s="44">
        <f ca="1" t="shared" si="18"/>
        <v>0</v>
      </c>
      <c r="AV28" s="44">
        <f ca="1" t="shared" si="18"/>
        <v>0</v>
      </c>
      <c r="AW28" s="44">
        <f ca="1" t="shared" si="18"/>
        <v>0</v>
      </c>
      <c r="AX28" s="44">
        <f ca="1" t="shared" si="18"/>
        <v>0</v>
      </c>
      <c r="AY28" s="44">
        <f ca="1" t="shared" si="18"/>
        <v>0</v>
      </c>
      <c r="AZ28" s="44">
        <f ca="1" t="shared" si="18"/>
        <v>0</v>
      </c>
      <c r="BA28" s="44">
        <f ca="1" t="shared" si="18"/>
        <v>0</v>
      </c>
      <c r="BB28" s="44">
        <f ca="1" t="shared" si="18"/>
        <v>0</v>
      </c>
      <c r="BC28" s="44">
        <f ca="1" t="shared" si="18"/>
        <v>0</v>
      </c>
      <c r="BD28" s="44">
        <f ca="1" t="shared" si="18"/>
        <v>0</v>
      </c>
      <c r="BE28" s="44">
        <f ca="1" t="shared" si="18"/>
        <v>0</v>
      </c>
      <c r="BF28" s="74">
        <f ca="1" t="shared" si="13"/>
        <v>0</v>
      </c>
      <c r="BG28" s="101">
        <f ca="1">AA$59-$BF28</f>
        <v>0</v>
      </c>
      <c r="BH28" s="41" t="e">
        <f ca="1" t="shared" si="14"/>
        <v>#REF!</v>
      </c>
      <c r="BI28" s="98"/>
      <c r="BJ28" s="107"/>
      <c r="BK28" s="107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</row>
    <row r="29" s="4" customFormat="1" ht="16.5" customHeight="1" spans="1:79">
      <c r="A29" s="45" t="s">
        <v>8376</v>
      </c>
      <c r="B29" s="45" t="s">
        <v>8377</v>
      </c>
      <c r="C29" s="46" t="s">
        <v>94</v>
      </c>
      <c r="D29" s="47" t="e">
        <f>+#REF!</f>
        <v>#REF!</v>
      </c>
      <c r="E29" s="42">
        <f ca="1" t="shared" si="15"/>
        <v>0</v>
      </c>
      <c r="F29" s="52">
        <f ca="1" t="shared" si="9"/>
        <v>0</v>
      </c>
      <c r="G29" s="50">
        <f ca="1">+GETPIVOTDATA("XKL4",'kimlong (2016)'!$A$3,"MA_HT","DGT","MA_QH","LUC")</f>
        <v>0</v>
      </c>
      <c r="H29" s="50">
        <f ca="1">+GETPIVOTDATA("XKL4",'kimlong (2016)'!$A$3,"MA_HT","DGT","MA_QH","LUK")</f>
        <v>0</v>
      </c>
      <c r="I29" s="50">
        <f ca="1">+GETPIVOTDATA("XKL4",'kimlong (2016)'!$A$3,"MA_HT","DGT","MA_QH","LUN")</f>
        <v>0</v>
      </c>
      <c r="J29" s="50">
        <f ca="1">+GETPIVOTDATA("XKL4",'kimlong (2016)'!$A$3,"MA_HT","DGT","MA_QH","HNK")</f>
        <v>0</v>
      </c>
      <c r="K29" s="50">
        <f ca="1">+GETPIVOTDATA("XKL4",'kimlong (2016)'!$A$3,"MA_HT","DGT","MA_QH","CLN")</f>
        <v>0</v>
      </c>
      <c r="L29" s="50">
        <f ca="1">+GETPIVOTDATA("XKL4",'kimlong (2016)'!$A$3,"MA_HT","DGT","MA_QH","RSX")</f>
        <v>0</v>
      </c>
      <c r="M29" s="50">
        <f ca="1">+GETPIVOTDATA("XKL4",'kimlong (2016)'!$A$3,"MA_HT","DGT","MA_QH","RPH")</f>
        <v>0</v>
      </c>
      <c r="N29" s="50">
        <f ca="1">+GETPIVOTDATA("XKL4",'kimlong (2016)'!$A$3,"MA_HT","DGT","MA_QH","RDD")</f>
        <v>0</v>
      </c>
      <c r="O29" s="50">
        <f ca="1">+GETPIVOTDATA("XKL4",'kimlong (2016)'!$A$3,"MA_HT","DGT","MA_QH","NTS")</f>
        <v>0</v>
      </c>
      <c r="P29" s="50">
        <f ca="1">+GETPIVOTDATA("XKL4",'kimlong (2016)'!$A$3,"MA_HT","DGT","MA_QH","LMU")</f>
        <v>0</v>
      </c>
      <c r="Q29" s="50">
        <f ca="1">+GETPIVOTDATA("XKL4",'kimlong (2016)'!$A$3,"MA_HT","DGT","MA_QH","NKH")</f>
        <v>0</v>
      </c>
      <c r="R29" s="48">
        <f ca="1">SUM(S29:AA29,AN29:BD29)</f>
        <v>0</v>
      </c>
      <c r="S29" s="50">
        <f ca="1">+GETPIVOTDATA("XKL4",'kimlong (2016)'!$A$3,"MA_HT","DGT","MA_QH","CQP")</f>
        <v>0</v>
      </c>
      <c r="T29" s="50">
        <f ca="1">+GETPIVOTDATA("XKL4",'kimlong (2016)'!$A$3,"MA_HT","DGT","MA_QH","CAN")</f>
        <v>0</v>
      </c>
      <c r="U29" s="50">
        <f ca="1">+GETPIVOTDATA("XKL4",'kimlong (2016)'!$A$3,"MA_HT","DGT","MA_QH","SKK")</f>
        <v>0</v>
      </c>
      <c r="V29" s="50">
        <f ca="1">+GETPIVOTDATA("XKL4",'kimlong (2016)'!$A$3,"MA_HT","DGT","MA_QH","SKT")</f>
        <v>0</v>
      </c>
      <c r="W29" s="50">
        <f ca="1">+GETPIVOTDATA("XKL4",'kimlong (2016)'!$A$3,"MA_HT","DGT","MA_QH","SKN")</f>
        <v>0</v>
      </c>
      <c r="X29" s="50">
        <f ca="1">+GETPIVOTDATA("XKL4",'kimlong (2016)'!$A$3,"MA_HT","DGT","MA_QH","TMD")</f>
        <v>0</v>
      </c>
      <c r="Y29" s="50">
        <f ca="1">+GETPIVOTDATA("XKL4",'kimlong (2016)'!$A$3,"MA_HT","DGT","MA_QH","SKC")</f>
        <v>0</v>
      </c>
      <c r="Z29" s="50">
        <f ca="1">+GETPIVOTDATA("XKL4",'kimlong (2016)'!$A$3,"MA_HT","DGT","MA_QH","SKS")</f>
        <v>0</v>
      </c>
      <c r="AA29" s="52">
        <f ca="1">+SUM(AC29:AM29)</f>
        <v>0</v>
      </c>
      <c r="AB29" s="49" t="e">
        <f ca="1">$D29-$BF29</f>
        <v>#REF!</v>
      </c>
      <c r="AC29" s="50">
        <f ca="1">+GETPIVOTDATA("XKL4",'kimlong (2016)'!$A$3,"MA_HT","DGT","MA_QH","DTL")</f>
        <v>0</v>
      </c>
      <c r="AD29" s="50">
        <f ca="1">+GETPIVOTDATA("XKL4",'kimlong (2016)'!$A$3,"MA_HT","DGT","MA_QH","DNL")</f>
        <v>0</v>
      </c>
      <c r="AE29" s="50">
        <f ca="1">+GETPIVOTDATA("XKL4",'kimlong (2016)'!$A$3,"MA_HT","DGT","MA_QH","DBV")</f>
        <v>0</v>
      </c>
      <c r="AF29" s="50">
        <f ca="1">+GETPIVOTDATA("XKL4",'kimlong (2016)'!$A$3,"MA_HT","DGT","MA_QH","DVH")</f>
        <v>0</v>
      </c>
      <c r="AG29" s="50">
        <f ca="1">+GETPIVOTDATA("XKL4",'kimlong (2016)'!$A$3,"MA_HT","DGT","MA_QH","DYT")</f>
        <v>0</v>
      </c>
      <c r="AH29" s="50">
        <f ca="1">+GETPIVOTDATA("XKL4",'kimlong (2016)'!$A$3,"MA_HT","DGT","MA_QH","DGD")</f>
        <v>0</v>
      </c>
      <c r="AI29" s="50">
        <f ca="1">+GETPIVOTDATA("XKL4",'kimlong (2016)'!$A$3,"MA_HT","DGT","MA_QH","DTT")</f>
        <v>0</v>
      </c>
      <c r="AJ29" s="50">
        <f ca="1">+GETPIVOTDATA("XKL4",'kimlong (2016)'!$A$3,"MA_HT","DGT","MA_QH","NCK")</f>
        <v>0</v>
      </c>
      <c r="AK29" s="50">
        <f ca="1">+GETPIVOTDATA("XKL4",'kimlong (2016)'!$A$3,"MA_HT","DGT","MA_QH","DXH")</f>
        <v>0</v>
      </c>
      <c r="AL29" s="50">
        <f ca="1">+GETPIVOTDATA("XKL4",'kimlong (2016)'!$A$3,"MA_HT","DGT","MA_QH","DCH")</f>
        <v>0</v>
      </c>
      <c r="AM29" s="50">
        <f ca="1">+GETPIVOTDATA("XKL4",'kimlong (2016)'!$A$3,"MA_HT","DGT","MA_QH","DKG")</f>
        <v>0</v>
      </c>
      <c r="AN29" s="50">
        <f ca="1">+GETPIVOTDATA("XKL4",'kimlong (2016)'!$A$3,"MA_HT","DGT","MA_QH","DDT")</f>
        <v>0</v>
      </c>
      <c r="AO29" s="50">
        <f ca="1">+GETPIVOTDATA("XKL4",'kimlong (2016)'!$A$3,"MA_HT","DGT","MA_QH","DDL")</f>
        <v>0</v>
      </c>
      <c r="AP29" s="50">
        <f ca="1">+GETPIVOTDATA("XKL4",'kimlong (2016)'!$A$3,"MA_HT","DGT","MA_QH","DRA")</f>
        <v>0</v>
      </c>
      <c r="AQ29" s="50">
        <f ca="1">+GETPIVOTDATA("XKL4",'kimlong (2016)'!$A$3,"MA_HT","DGT","MA_QH","ONT")</f>
        <v>0</v>
      </c>
      <c r="AR29" s="50">
        <f ca="1">+GETPIVOTDATA("XKL4",'kimlong (2016)'!$A$3,"MA_HT","DGT","MA_QH","ODT")</f>
        <v>0</v>
      </c>
      <c r="AS29" s="50">
        <f ca="1">+GETPIVOTDATA("XKL4",'kimlong (2016)'!$A$3,"MA_HT","DGT","MA_QH","TSC")</f>
        <v>0</v>
      </c>
      <c r="AT29" s="50">
        <f ca="1">+GETPIVOTDATA("XKL4",'kimlong (2016)'!$A$3,"MA_HT","DGT","MA_QH","DTS")</f>
        <v>0</v>
      </c>
      <c r="AU29" s="50">
        <f ca="1">+GETPIVOTDATA("XKL4",'kimlong (2016)'!$A$3,"MA_HT","DGT","MA_QH","DNG")</f>
        <v>0</v>
      </c>
      <c r="AV29" s="50">
        <f ca="1">+GETPIVOTDATA("XKL4",'kimlong (2016)'!$A$3,"MA_HT","DGT","MA_QH","TON")</f>
        <v>0</v>
      </c>
      <c r="AW29" s="50">
        <f ca="1">+GETPIVOTDATA("XKL4",'kimlong (2016)'!$A$3,"MA_HT","DGT","MA_QH","NTD")</f>
        <v>0</v>
      </c>
      <c r="AX29" s="50">
        <f ca="1">+GETPIVOTDATA("XKL4",'kimlong (2016)'!$A$3,"MA_HT","DGT","MA_QH","SKX")</f>
        <v>0</v>
      </c>
      <c r="AY29" s="50">
        <f ca="1">+GETPIVOTDATA("XKL4",'kimlong (2016)'!$A$3,"MA_HT","DGT","MA_QH","DSH")</f>
        <v>0</v>
      </c>
      <c r="AZ29" s="50">
        <f ca="1">+GETPIVOTDATA("XKL4",'kimlong (2016)'!$A$3,"MA_HT","DGT","MA_QH","DKV")</f>
        <v>0</v>
      </c>
      <c r="BA29" s="88">
        <f ca="1">+GETPIVOTDATA("XKL4",'kimlong (2016)'!$A$3,"MA_HT","DGT","MA_QH","TIN")</f>
        <v>0</v>
      </c>
      <c r="BB29" s="50">
        <f ca="1">+GETPIVOTDATA("XKL4",'kimlong (2016)'!$A$3,"MA_HT","DGT","MA_QH","SON")</f>
        <v>0</v>
      </c>
      <c r="BC29" s="50">
        <f ca="1">+GETPIVOTDATA("XKL4",'kimlong (2016)'!$A$3,"MA_HT","DGT","MA_QH","MNC")</f>
        <v>0</v>
      </c>
      <c r="BD29" s="50">
        <f ca="1">+GETPIVOTDATA("XKL4",'kimlong (2016)'!$A$3,"MA_HT","DGT","MA_QH","PNK")</f>
        <v>0</v>
      </c>
      <c r="BE29" s="80">
        <f ca="1">+GETPIVOTDATA("XKL4",'kimlong (2016)'!$A$3,"MA_HT","DGT","MA_QH","CSD")</f>
        <v>0</v>
      </c>
      <c r="BF29" s="103">
        <f ca="1" t="shared" si="13"/>
        <v>0</v>
      </c>
      <c r="BG29" s="104">
        <f ca="1">AB$59-$BF29</f>
        <v>0</v>
      </c>
      <c r="BH29" s="47" t="e">
        <f ca="1" t="shared" si="14"/>
        <v>#REF!</v>
      </c>
      <c r="BI29" s="105"/>
      <c r="BJ29" s="105" t="e">
        <f>#REF!</f>
        <v>#REF!</v>
      </c>
      <c r="BK29" s="108" t="e">
        <f ca="1" t="shared" ref="BK29:BK40" si="19">BH29-BJ29</f>
        <v>#REF!</v>
      </c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</row>
    <row r="30" s="4" customFormat="1" ht="16.5" customHeight="1" spans="1:79">
      <c r="A30" s="45" t="s">
        <v>8378</v>
      </c>
      <c r="B30" s="45" t="s">
        <v>8379</v>
      </c>
      <c r="C30" s="46" t="s">
        <v>216</v>
      </c>
      <c r="D30" s="47" t="e">
        <f>+#REF!</f>
        <v>#REF!</v>
      </c>
      <c r="E30" s="42">
        <f ca="1" t="shared" si="15"/>
        <v>0</v>
      </c>
      <c r="F30" s="52">
        <f ca="1" t="shared" si="9"/>
        <v>0</v>
      </c>
      <c r="G30" s="50">
        <f ca="1">+GETPIVOTDATA("XKL4",'kimlong (2016)'!$A$3,"MA_HT","DTL","MA_QH","LUC")</f>
        <v>0</v>
      </c>
      <c r="H30" s="50">
        <f ca="1">+GETPIVOTDATA("XKL4",'kimlong (2016)'!$A$3,"MA_HT","DTL","MA_QH","LUK")</f>
        <v>0</v>
      </c>
      <c r="I30" s="50">
        <f ca="1">+GETPIVOTDATA("XKL4",'kimlong (2016)'!$A$3,"MA_HT","DTL","MA_QH","LUN")</f>
        <v>0</v>
      </c>
      <c r="J30" s="50">
        <f ca="1">+GETPIVOTDATA("XKL4",'kimlong (2016)'!$A$3,"MA_HT","DTL","MA_QH","HNK")</f>
        <v>0</v>
      </c>
      <c r="K30" s="50">
        <f ca="1">+GETPIVOTDATA("XKL4",'kimlong (2016)'!$A$3,"MA_HT","DTL","MA_QH","CLN")</f>
        <v>0</v>
      </c>
      <c r="L30" s="50">
        <f ca="1">+GETPIVOTDATA("XKL4",'kimlong (2016)'!$A$3,"MA_HT","DTL","MA_QH","RSX")</f>
        <v>0</v>
      </c>
      <c r="M30" s="50">
        <f ca="1">+GETPIVOTDATA("XKL4",'kimlong (2016)'!$A$3,"MA_HT","DTL","MA_QH","RPH")</f>
        <v>0</v>
      </c>
      <c r="N30" s="50">
        <f ca="1">+GETPIVOTDATA("XKL4",'kimlong (2016)'!$A$3,"MA_HT","DTL","MA_QH","RDD")</f>
        <v>0</v>
      </c>
      <c r="O30" s="50">
        <f ca="1">+GETPIVOTDATA("XKL4",'kimlong (2016)'!$A$3,"MA_HT","DTL","MA_QH","NTS")</f>
        <v>0</v>
      </c>
      <c r="P30" s="50">
        <f ca="1">+GETPIVOTDATA("XKL4",'kimlong (2016)'!$A$3,"MA_HT","DTL","MA_QH","LMU")</f>
        <v>0</v>
      </c>
      <c r="Q30" s="50">
        <f ca="1">+GETPIVOTDATA("XKL4",'kimlong (2016)'!$A$3,"MA_HT","DTL","MA_QH","NKH")</f>
        <v>0</v>
      </c>
      <c r="R30" s="48">
        <f ca="1" t="shared" ref="R30:R40" si="20">SUM(S30:AA30,AN30:BD30)</f>
        <v>0</v>
      </c>
      <c r="S30" s="50">
        <f ca="1">+GETPIVOTDATA("XKL4",'kimlong (2016)'!$A$3,"MA_HT","DTL","MA_QH","CQP")</f>
        <v>0</v>
      </c>
      <c r="T30" s="50">
        <f ca="1">+GETPIVOTDATA("XKL4",'kimlong (2016)'!$A$3,"MA_HT","DTL","MA_QH","CAN")</f>
        <v>0</v>
      </c>
      <c r="U30" s="50">
        <f ca="1">+GETPIVOTDATA("XKL4",'kimlong (2016)'!$A$3,"MA_HT","DTL","MA_QH","SKK")</f>
        <v>0</v>
      </c>
      <c r="V30" s="50">
        <f ca="1">+GETPIVOTDATA("XKL4",'kimlong (2016)'!$A$3,"MA_HT","DTL","MA_QH","SKT")</f>
        <v>0</v>
      </c>
      <c r="W30" s="50">
        <f ca="1">+GETPIVOTDATA("XKL4",'kimlong (2016)'!$A$3,"MA_HT","DTL","MA_QH","SKN")</f>
        <v>0</v>
      </c>
      <c r="X30" s="50">
        <f ca="1">+GETPIVOTDATA("XKL4",'kimlong (2016)'!$A$3,"MA_HT","DTL","MA_QH","TMD")</f>
        <v>0</v>
      </c>
      <c r="Y30" s="50">
        <f ca="1">+GETPIVOTDATA("XKL4",'kimlong (2016)'!$A$3,"MA_HT","DTL","MA_QH","SKC")</f>
        <v>0</v>
      </c>
      <c r="Z30" s="50">
        <f ca="1">+GETPIVOTDATA("XKL4",'kimlong (2016)'!$A$3,"MA_HT","DTL","MA_QH","SKS")</f>
        <v>0</v>
      </c>
      <c r="AA30" s="52">
        <f ca="1">+SUM(AB30,AD30:AM30)</f>
        <v>0</v>
      </c>
      <c r="AB30" s="50">
        <f ca="1">+GETPIVOTDATA("XKL4",'kimlong (2016)'!$A$3,"MA_HT","DTL","MA_QH","DGT")</f>
        <v>0</v>
      </c>
      <c r="AC30" s="49" t="e">
        <f ca="1">$D30-$BF30</f>
        <v>#REF!</v>
      </c>
      <c r="AD30" s="50">
        <f ca="1">+GETPIVOTDATA("XKL4",'kimlong (2016)'!$A$3,"MA_HT","DTL","MA_QH","DNL")</f>
        <v>0</v>
      </c>
      <c r="AE30" s="50">
        <f ca="1">+GETPIVOTDATA("XKL4",'kimlong (2016)'!$A$3,"MA_HT","DTL","MA_QH","DBV")</f>
        <v>0</v>
      </c>
      <c r="AF30" s="50">
        <f ca="1">+GETPIVOTDATA("XKL4",'kimlong (2016)'!$A$3,"MA_HT","DTL","MA_QH","DVH")</f>
        <v>0</v>
      </c>
      <c r="AG30" s="50">
        <f ca="1">+GETPIVOTDATA("XKL4",'kimlong (2016)'!$A$3,"MA_HT","DTL","MA_QH","DYT")</f>
        <v>0</v>
      </c>
      <c r="AH30" s="50">
        <f ca="1">+GETPIVOTDATA("XKL4",'kimlong (2016)'!$A$3,"MA_HT","DTL","MA_QH","DGD")</f>
        <v>0</v>
      </c>
      <c r="AI30" s="50">
        <f ca="1">+GETPIVOTDATA("XKL4",'kimlong (2016)'!$A$3,"MA_HT","DTL","MA_QH","DTT")</f>
        <v>0</v>
      </c>
      <c r="AJ30" s="50">
        <f ca="1">+GETPIVOTDATA("XKL4",'kimlong (2016)'!$A$3,"MA_HT","DTL","MA_QH","NCK")</f>
        <v>0</v>
      </c>
      <c r="AK30" s="50">
        <f ca="1">+GETPIVOTDATA("XKL4",'kimlong (2016)'!$A$3,"MA_HT","DTL","MA_QH","DXH")</f>
        <v>0</v>
      </c>
      <c r="AL30" s="50">
        <f ca="1">+GETPIVOTDATA("XKL4",'kimlong (2016)'!$A$3,"MA_HT","DTL","MA_QH","DCH")</f>
        <v>0</v>
      </c>
      <c r="AM30" s="50">
        <f ca="1">+GETPIVOTDATA("XKL4",'kimlong (2016)'!$A$3,"MA_HT","DTL","MA_QH","DKG")</f>
        <v>0</v>
      </c>
      <c r="AN30" s="50">
        <f ca="1">+GETPIVOTDATA("XKL4",'kimlong (2016)'!$A$3,"MA_HT","DTL","MA_QH","DDT")</f>
        <v>0</v>
      </c>
      <c r="AO30" s="50">
        <f ca="1">+GETPIVOTDATA("XKL4",'kimlong (2016)'!$A$3,"MA_HT","DTL","MA_QH","DDL")</f>
        <v>0</v>
      </c>
      <c r="AP30" s="50">
        <f ca="1">+GETPIVOTDATA("XKL4",'kimlong (2016)'!$A$3,"MA_HT","DTL","MA_QH","DRA")</f>
        <v>0</v>
      </c>
      <c r="AQ30" s="50">
        <f ca="1">+GETPIVOTDATA("XKL4",'kimlong (2016)'!$A$3,"MA_HT","DTL","MA_QH","ONT")</f>
        <v>0</v>
      </c>
      <c r="AR30" s="50">
        <f ca="1">+GETPIVOTDATA("XKL4",'kimlong (2016)'!$A$3,"MA_HT","DTL","MA_QH","ODT")</f>
        <v>0</v>
      </c>
      <c r="AS30" s="50">
        <f ca="1">+GETPIVOTDATA("XKL4",'kimlong (2016)'!$A$3,"MA_HT","DTL","MA_QH","TSC")</f>
        <v>0</v>
      </c>
      <c r="AT30" s="50">
        <f ca="1">+GETPIVOTDATA("XKL4",'kimlong (2016)'!$A$3,"MA_HT","DTL","MA_QH","DTS")</f>
        <v>0</v>
      </c>
      <c r="AU30" s="50">
        <f ca="1">+GETPIVOTDATA("XKL4",'kimlong (2016)'!$A$3,"MA_HT","DTL","MA_QH","DNG")</f>
        <v>0</v>
      </c>
      <c r="AV30" s="50">
        <f ca="1">+GETPIVOTDATA("XKL4",'kimlong (2016)'!$A$3,"MA_HT","DTL","MA_QH","TON")</f>
        <v>0</v>
      </c>
      <c r="AW30" s="50">
        <f ca="1">+GETPIVOTDATA("XKL4",'kimlong (2016)'!$A$3,"MA_HT","DTL","MA_QH","NTD")</f>
        <v>0</v>
      </c>
      <c r="AX30" s="50">
        <f ca="1">+GETPIVOTDATA("XKL4",'kimlong (2016)'!$A$3,"MA_HT","DTL","MA_QH","SKX")</f>
        <v>0</v>
      </c>
      <c r="AY30" s="50">
        <f ca="1">+GETPIVOTDATA("XKL4",'kimlong (2016)'!$A$3,"MA_HT","DTL","MA_QH","DSH")</f>
        <v>0</v>
      </c>
      <c r="AZ30" s="50">
        <f ca="1">+GETPIVOTDATA("XKL4",'kimlong (2016)'!$A$3,"MA_HT","DTL","MA_QH","DKV")</f>
        <v>0</v>
      </c>
      <c r="BA30" s="88">
        <f ca="1">+GETPIVOTDATA("XKL4",'kimlong (2016)'!$A$3,"MA_HT","DTL","MA_QH","TIN")</f>
        <v>0</v>
      </c>
      <c r="BB30" s="50">
        <f ca="1">+GETPIVOTDATA("XKL4",'kimlong (2016)'!$A$3,"MA_HT","DTL","MA_QH","SON")</f>
        <v>0</v>
      </c>
      <c r="BC30" s="50">
        <f ca="1">+GETPIVOTDATA("XKL4",'kimlong (2016)'!$A$3,"MA_HT","DTL","MA_QH","MNC")</f>
        <v>0</v>
      </c>
      <c r="BD30" s="50">
        <f ca="1">+GETPIVOTDATA("XKL4",'kimlong (2016)'!$A$3,"MA_HT","DTL","MA_QH","PNK")</f>
        <v>0</v>
      </c>
      <c r="BE30" s="80">
        <f ca="1">+GETPIVOTDATA("XKL4",'kimlong (2016)'!$A$3,"MA_HT","DTL","MA_QH","CSD")</f>
        <v>0</v>
      </c>
      <c r="BF30" s="103">
        <f ca="1" t="shared" si="13"/>
        <v>0</v>
      </c>
      <c r="BG30" s="104">
        <f ca="1">AC$59-$BF30</f>
        <v>0</v>
      </c>
      <c r="BH30" s="47" t="e">
        <f ca="1" t="shared" si="14"/>
        <v>#REF!</v>
      </c>
      <c r="BI30" s="105"/>
      <c r="BJ30" s="105" t="e">
        <f>#REF!</f>
        <v>#REF!</v>
      </c>
      <c r="BK30" s="108" t="e">
        <f ca="1" t="shared" si="19"/>
        <v>#REF!</v>
      </c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</row>
    <row r="31" s="4" customFormat="1" ht="16.5" customHeight="1" spans="1:79">
      <c r="A31" s="45" t="s">
        <v>8380</v>
      </c>
      <c r="B31" s="45" t="s">
        <v>8381</v>
      </c>
      <c r="C31" s="46" t="s">
        <v>71</v>
      </c>
      <c r="D31" s="47" t="e">
        <f>+#REF!</f>
        <v>#REF!</v>
      </c>
      <c r="E31" s="42">
        <f ca="1" t="shared" si="15"/>
        <v>0</v>
      </c>
      <c r="F31" s="52">
        <f ca="1" t="shared" si="9"/>
        <v>0</v>
      </c>
      <c r="G31" s="50">
        <f ca="1">+GETPIVOTDATA("XKL4",'kimlong (2016)'!$A$3,"MA_HT","DNL","MA_QH","LUC")</f>
        <v>0</v>
      </c>
      <c r="H31" s="50">
        <f ca="1">+GETPIVOTDATA("XKL4",'kimlong (2016)'!$A$3,"MA_HT","DNL","MA_QH","LUK")</f>
        <v>0</v>
      </c>
      <c r="I31" s="50">
        <f ca="1">+GETPIVOTDATA("XKL4",'kimlong (2016)'!$A$3,"MA_HT","DNL","MA_QH","LUN")</f>
        <v>0</v>
      </c>
      <c r="J31" s="50">
        <f ca="1">+GETPIVOTDATA("XKL4",'kimlong (2016)'!$A$3,"MA_HT","DNL","MA_QH","HNK")</f>
        <v>0</v>
      </c>
      <c r="K31" s="50">
        <f ca="1">+GETPIVOTDATA("XKL4",'kimlong (2016)'!$A$3,"MA_HT","DNL","MA_QH","CLN")</f>
        <v>0</v>
      </c>
      <c r="L31" s="50">
        <f ca="1">+GETPIVOTDATA("XKL4",'kimlong (2016)'!$A$3,"MA_HT","DNL","MA_QH","RSX")</f>
        <v>0</v>
      </c>
      <c r="M31" s="50">
        <f ca="1">+GETPIVOTDATA("XKL4",'kimlong (2016)'!$A$3,"MA_HT","DNL","MA_QH","RPH")</f>
        <v>0</v>
      </c>
      <c r="N31" s="50">
        <f ca="1">+GETPIVOTDATA("XKL4",'kimlong (2016)'!$A$3,"MA_HT","DNL","MA_QH","RDD")</f>
        <v>0</v>
      </c>
      <c r="O31" s="50">
        <f ca="1">+GETPIVOTDATA("XKL4",'kimlong (2016)'!$A$3,"MA_HT","DNL","MA_QH","NTS")</f>
        <v>0</v>
      </c>
      <c r="P31" s="50">
        <f ca="1">+GETPIVOTDATA("XKL4",'kimlong (2016)'!$A$3,"MA_HT","DNL","MA_QH","LMU")</f>
        <v>0</v>
      </c>
      <c r="Q31" s="50">
        <f ca="1">+GETPIVOTDATA("XKL4",'kimlong (2016)'!$A$3,"MA_HT","DNL","MA_QH","NKH")</f>
        <v>0</v>
      </c>
      <c r="R31" s="48">
        <f ca="1" t="shared" si="20"/>
        <v>0</v>
      </c>
      <c r="S31" s="50">
        <f ca="1">+GETPIVOTDATA("XKL4",'kimlong (2016)'!$A$3,"MA_HT","DNL","MA_QH","CQP")</f>
        <v>0</v>
      </c>
      <c r="T31" s="50">
        <f ca="1">+GETPIVOTDATA("XKL4",'kimlong (2016)'!$A$3,"MA_HT","DNL","MA_QH","CAN")</f>
        <v>0</v>
      </c>
      <c r="U31" s="50">
        <f ca="1">+GETPIVOTDATA("XKL4",'kimlong (2016)'!$A$3,"MA_HT","DNL","MA_QH","SKK")</f>
        <v>0</v>
      </c>
      <c r="V31" s="50">
        <f ca="1">+GETPIVOTDATA("XKL4",'kimlong (2016)'!$A$3,"MA_HT","DNL","MA_QH","SKT")</f>
        <v>0</v>
      </c>
      <c r="W31" s="50">
        <f ca="1">+GETPIVOTDATA("XKL4",'kimlong (2016)'!$A$3,"MA_HT","DNL","MA_QH","SKN")</f>
        <v>0</v>
      </c>
      <c r="X31" s="50">
        <f ca="1">+GETPIVOTDATA("XKL4",'kimlong (2016)'!$A$3,"MA_HT","DNL","MA_QH","TMD")</f>
        <v>0</v>
      </c>
      <c r="Y31" s="50">
        <f ca="1">+GETPIVOTDATA("XKL4",'kimlong (2016)'!$A$3,"MA_HT","DNL","MA_QH","SKC")</f>
        <v>0</v>
      </c>
      <c r="Z31" s="50">
        <f ca="1">+GETPIVOTDATA("XKL4",'kimlong (2016)'!$A$3,"MA_HT","DNL","MA_QH","SKS")</f>
        <v>0</v>
      </c>
      <c r="AA31" s="52">
        <f ca="1">+SUM(AB31:AC31,AE31:AM31)</f>
        <v>0</v>
      </c>
      <c r="AB31" s="50">
        <f ca="1">+GETPIVOTDATA("XKL4",'kimlong (2016)'!$A$3,"MA_HT","DNL","MA_QH","DGT")</f>
        <v>0</v>
      </c>
      <c r="AC31" s="50">
        <f ca="1">+GETPIVOTDATA("XKL4",'kimlong (2016)'!$A$3,"MA_HT","DNL","MA_QH","DTL")</f>
        <v>0</v>
      </c>
      <c r="AD31" s="49" t="e">
        <f ca="1">$D31-$BF31</f>
        <v>#REF!</v>
      </c>
      <c r="AE31" s="50">
        <f ca="1">+GETPIVOTDATA("XKL4",'kimlong (2016)'!$A$3,"MA_HT","DNL","MA_QH","DBV")</f>
        <v>0</v>
      </c>
      <c r="AF31" s="50">
        <f ca="1">+GETPIVOTDATA("XKL4",'kimlong (2016)'!$A$3,"MA_HT","DNL","MA_QH","DVH")</f>
        <v>0</v>
      </c>
      <c r="AG31" s="50">
        <f ca="1">+GETPIVOTDATA("XKL4",'kimlong (2016)'!$A$3,"MA_HT","DNL","MA_QH","DYT")</f>
        <v>0</v>
      </c>
      <c r="AH31" s="50">
        <f ca="1">+GETPIVOTDATA("XKL4",'kimlong (2016)'!$A$3,"MA_HT","DNL","MA_QH","DGD")</f>
        <v>0</v>
      </c>
      <c r="AI31" s="50">
        <f ca="1">+GETPIVOTDATA("XKL4",'kimlong (2016)'!$A$3,"MA_HT","DNL","MA_QH","DTT")</f>
        <v>0</v>
      </c>
      <c r="AJ31" s="50">
        <f ca="1">+GETPIVOTDATA("XKL4",'kimlong (2016)'!$A$3,"MA_HT","DNL","MA_QH","NCK")</f>
        <v>0</v>
      </c>
      <c r="AK31" s="50">
        <f ca="1">+GETPIVOTDATA("XKL4",'kimlong (2016)'!$A$3,"MA_HT","DNL","MA_QH","DXH")</f>
        <v>0</v>
      </c>
      <c r="AL31" s="50">
        <f ca="1">+GETPIVOTDATA("XKL4",'kimlong (2016)'!$A$3,"MA_HT","DNL","MA_QH","DCH")</f>
        <v>0</v>
      </c>
      <c r="AM31" s="50">
        <f ca="1">+GETPIVOTDATA("XKL4",'kimlong (2016)'!$A$3,"MA_HT","DNL","MA_QH","DKG")</f>
        <v>0</v>
      </c>
      <c r="AN31" s="50">
        <f ca="1">+GETPIVOTDATA("XKL4",'kimlong (2016)'!$A$3,"MA_HT","DNL","MA_QH","DDT")</f>
        <v>0</v>
      </c>
      <c r="AO31" s="50">
        <f ca="1">+GETPIVOTDATA("XKL4",'kimlong (2016)'!$A$3,"MA_HT","DNL","MA_QH","DDL")</f>
        <v>0</v>
      </c>
      <c r="AP31" s="50">
        <f ca="1">+GETPIVOTDATA("XKL4",'kimlong (2016)'!$A$3,"MA_HT","DNL","MA_QH","DRA")</f>
        <v>0</v>
      </c>
      <c r="AQ31" s="50">
        <f ca="1">+GETPIVOTDATA("XKL4",'kimlong (2016)'!$A$3,"MA_HT","DNL","MA_QH","ONT")</f>
        <v>0</v>
      </c>
      <c r="AR31" s="50">
        <f ca="1">+GETPIVOTDATA("XKL4",'kimlong (2016)'!$A$3,"MA_HT","DNL","MA_QH","ODT")</f>
        <v>0</v>
      </c>
      <c r="AS31" s="50">
        <f ca="1">+GETPIVOTDATA("XKL4",'kimlong (2016)'!$A$3,"MA_HT","DNL","MA_QH","TSC")</f>
        <v>0</v>
      </c>
      <c r="AT31" s="50">
        <f ca="1">+GETPIVOTDATA("XKL4",'kimlong (2016)'!$A$3,"MA_HT","DNL","MA_QH","DTS")</f>
        <v>0</v>
      </c>
      <c r="AU31" s="50">
        <f ca="1">+GETPIVOTDATA("XKL4",'kimlong (2016)'!$A$3,"MA_HT","DNL","MA_QH","DNG")</f>
        <v>0</v>
      </c>
      <c r="AV31" s="50">
        <f ca="1">+GETPIVOTDATA("XKL4",'kimlong (2016)'!$A$3,"MA_HT","DNL","MA_QH","TON")</f>
        <v>0</v>
      </c>
      <c r="AW31" s="50">
        <f ca="1">+GETPIVOTDATA("XKL4",'kimlong (2016)'!$A$3,"MA_HT","DNL","MA_QH","NTD")</f>
        <v>0</v>
      </c>
      <c r="AX31" s="50">
        <f ca="1">+GETPIVOTDATA("XKL4",'kimlong (2016)'!$A$3,"MA_HT","DNL","MA_QH","SKX")</f>
        <v>0</v>
      </c>
      <c r="AY31" s="50">
        <f ca="1">+GETPIVOTDATA("XKL4",'kimlong (2016)'!$A$3,"MA_HT","DNL","MA_QH","DSH")</f>
        <v>0</v>
      </c>
      <c r="AZ31" s="50">
        <f ca="1">+GETPIVOTDATA("XKL4",'kimlong (2016)'!$A$3,"MA_HT","DNL","MA_QH","DKV")</f>
        <v>0</v>
      </c>
      <c r="BA31" s="88">
        <f ca="1">+GETPIVOTDATA("XKL4",'kimlong (2016)'!$A$3,"MA_HT","DNL","MA_QH","TIN")</f>
        <v>0</v>
      </c>
      <c r="BB31" s="50">
        <f ca="1">+GETPIVOTDATA("XKL4",'kimlong (2016)'!$A$3,"MA_HT","DNL","MA_QH","SON")</f>
        <v>0</v>
      </c>
      <c r="BC31" s="50">
        <f ca="1">+GETPIVOTDATA("XKL4",'kimlong (2016)'!$A$3,"MA_HT","DNL","MA_QH","MNC")</f>
        <v>0</v>
      </c>
      <c r="BD31" s="50">
        <f ca="1">+GETPIVOTDATA("XKL4",'kimlong (2016)'!$A$3,"MA_HT","DNL","MA_QH","PNK")</f>
        <v>0</v>
      </c>
      <c r="BE31" s="80">
        <f ca="1">+GETPIVOTDATA("XKL4",'kimlong (2016)'!$A$3,"MA_HT","DNL","MA_QH","CSD")</f>
        <v>0</v>
      </c>
      <c r="BF31" s="103">
        <f ca="1" t="shared" si="13"/>
        <v>0</v>
      </c>
      <c r="BG31" s="104">
        <f ca="1">AD$59-$BF31</f>
        <v>0</v>
      </c>
      <c r="BH31" s="47" t="e">
        <f ca="1" t="shared" si="14"/>
        <v>#REF!</v>
      </c>
      <c r="BI31" s="105"/>
      <c r="BJ31" s="105" t="e">
        <f>#REF!</f>
        <v>#REF!</v>
      </c>
      <c r="BK31" s="108" t="e">
        <f ca="1" t="shared" si="19"/>
        <v>#REF!</v>
      </c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</row>
    <row r="32" s="4" customFormat="1" ht="16.5" customHeight="1" spans="1:79">
      <c r="A32" s="45" t="s">
        <v>8382</v>
      </c>
      <c r="B32" s="45" t="s">
        <v>8383</v>
      </c>
      <c r="C32" s="46" t="s">
        <v>8285</v>
      </c>
      <c r="D32" s="47" t="e">
        <f>+#REF!</f>
        <v>#REF!</v>
      </c>
      <c r="E32" s="42">
        <f ca="1" t="shared" si="15"/>
        <v>0</v>
      </c>
      <c r="F32" s="52">
        <f ca="1" t="shared" si="9"/>
        <v>0</v>
      </c>
      <c r="G32" s="50">
        <f ca="1">+GETPIVOTDATA("XKL4",'kimlong (2016)'!$A$3,"MA_HT","DBV","MA_QH","LUC")</f>
        <v>0</v>
      </c>
      <c r="H32" s="50">
        <f ca="1">+GETPIVOTDATA("XKL4",'kimlong (2016)'!$A$3,"MA_HT","DBV","MA_QH","LUK")</f>
        <v>0</v>
      </c>
      <c r="I32" s="50">
        <f ca="1">+GETPIVOTDATA("XKL4",'kimlong (2016)'!$A$3,"MA_HT","DBV","MA_QH","LUN")</f>
        <v>0</v>
      </c>
      <c r="J32" s="50">
        <f ca="1">+GETPIVOTDATA("XKL4",'kimlong (2016)'!$A$3,"MA_HT","DBV","MA_QH","HNK")</f>
        <v>0</v>
      </c>
      <c r="K32" s="50">
        <f ca="1">+GETPIVOTDATA("XKL4",'kimlong (2016)'!$A$3,"MA_HT","DBV","MA_QH","CLN")</f>
        <v>0</v>
      </c>
      <c r="L32" s="50">
        <f ca="1">+GETPIVOTDATA("XKL4",'kimlong (2016)'!$A$3,"MA_HT","DBV","MA_QH","RSX")</f>
        <v>0</v>
      </c>
      <c r="M32" s="50">
        <f ca="1">+GETPIVOTDATA("XKL4",'kimlong (2016)'!$A$3,"MA_HT","DBV","MA_QH","RPH")</f>
        <v>0</v>
      </c>
      <c r="N32" s="50">
        <f ca="1">+GETPIVOTDATA("XKL4",'kimlong (2016)'!$A$3,"MA_HT","DBV","MA_QH","RDD")</f>
        <v>0</v>
      </c>
      <c r="O32" s="50">
        <f ca="1">+GETPIVOTDATA("XKL4",'kimlong (2016)'!$A$3,"MA_HT","DBV","MA_QH","NTS")</f>
        <v>0</v>
      </c>
      <c r="P32" s="50">
        <f ca="1">+GETPIVOTDATA("XKL4",'kimlong (2016)'!$A$3,"MA_HT","DBV","MA_QH","LMU")</f>
        <v>0</v>
      </c>
      <c r="Q32" s="50">
        <f ca="1">+GETPIVOTDATA("XKL4",'kimlong (2016)'!$A$3,"MA_HT","DBV","MA_QH","NKH")</f>
        <v>0</v>
      </c>
      <c r="R32" s="48">
        <f ca="1" t="shared" si="20"/>
        <v>0</v>
      </c>
      <c r="S32" s="50">
        <f ca="1">+GETPIVOTDATA("XKL4",'kimlong (2016)'!$A$3,"MA_HT","DBV","MA_QH","CQP")</f>
        <v>0</v>
      </c>
      <c r="T32" s="50">
        <f ca="1">+GETPIVOTDATA("XKL4",'kimlong (2016)'!$A$3,"MA_HT","DBV","MA_QH","CAN")</f>
        <v>0</v>
      </c>
      <c r="U32" s="50">
        <f ca="1">+GETPIVOTDATA("XKL4",'kimlong (2016)'!$A$3,"MA_HT","DBV","MA_QH","SKK")</f>
        <v>0</v>
      </c>
      <c r="V32" s="50">
        <f ca="1">+GETPIVOTDATA("XKL4",'kimlong (2016)'!$A$3,"MA_HT","DBV","MA_QH","SKT")</f>
        <v>0</v>
      </c>
      <c r="W32" s="50">
        <f ca="1">+GETPIVOTDATA("XKL4",'kimlong (2016)'!$A$3,"MA_HT","DBV","MA_QH","SKN")</f>
        <v>0</v>
      </c>
      <c r="X32" s="50">
        <f ca="1">+GETPIVOTDATA("XKL4",'kimlong (2016)'!$A$3,"MA_HT","DBV","MA_QH","TMD")</f>
        <v>0</v>
      </c>
      <c r="Y32" s="50">
        <f ca="1">+GETPIVOTDATA("XKL4",'kimlong (2016)'!$A$3,"MA_HT","DBV","MA_QH","SKC")</f>
        <v>0</v>
      </c>
      <c r="Z32" s="50">
        <f ca="1">+GETPIVOTDATA("XKL4",'kimlong (2016)'!$A$3,"MA_HT","DBV","MA_QH","SKS")</f>
        <v>0</v>
      </c>
      <c r="AA32" s="52">
        <f ca="1">+SUM(AB32:AD32,AF32:AM32)</f>
        <v>0</v>
      </c>
      <c r="AB32" s="50">
        <f ca="1">+GETPIVOTDATA("XKL4",'kimlong (2016)'!$A$3,"MA_HT","DBV","MA_QH","DGT")</f>
        <v>0</v>
      </c>
      <c r="AC32" s="50">
        <f ca="1">+GETPIVOTDATA("XKL4",'kimlong (2016)'!$A$3,"MA_HT","DBV","MA_QH","DTL")</f>
        <v>0</v>
      </c>
      <c r="AD32" s="50">
        <f ca="1">+GETPIVOTDATA("XKL4",'kimlong (2016)'!$A$3,"MA_HT","DBV","MA_QH","DNL")</f>
        <v>0</v>
      </c>
      <c r="AE32" s="49" t="e">
        <f ca="1">$D32-$BF32</f>
        <v>#REF!</v>
      </c>
      <c r="AF32" s="50">
        <f ca="1">+GETPIVOTDATA("XKL4",'kimlong (2016)'!$A$3,"MA_HT","DBV","MA_QH","DVH")</f>
        <v>0</v>
      </c>
      <c r="AG32" s="50">
        <f ca="1">+GETPIVOTDATA("XKL4",'kimlong (2016)'!$A$3,"MA_HT","DBV","MA_QH","DYT")</f>
        <v>0</v>
      </c>
      <c r="AH32" s="50">
        <f ca="1">+GETPIVOTDATA("XKL4",'kimlong (2016)'!$A$3,"MA_HT","DBV","MA_QH","DGD")</f>
        <v>0</v>
      </c>
      <c r="AI32" s="50">
        <f ca="1">+GETPIVOTDATA("XKL4",'kimlong (2016)'!$A$3,"MA_HT","DBV","MA_QH","DTT")</f>
        <v>0</v>
      </c>
      <c r="AJ32" s="50">
        <f ca="1">+GETPIVOTDATA("XKL4",'kimlong (2016)'!$A$3,"MA_HT","DBV","MA_QH","NCK")</f>
        <v>0</v>
      </c>
      <c r="AK32" s="50">
        <f ca="1">+GETPIVOTDATA("XKL4",'kimlong (2016)'!$A$3,"MA_HT","DBV","MA_QH","DXH")</f>
        <v>0</v>
      </c>
      <c r="AL32" s="50">
        <f ca="1">+GETPIVOTDATA("XKL4",'kimlong (2016)'!$A$3,"MA_HT","DBV","MA_QH","DCH")</f>
        <v>0</v>
      </c>
      <c r="AM32" s="50">
        <f ca="1">+GETPIVOTDATA("XKL4",'kimlong (2016)'!$A$3,"MA_HT","DBV","MA_QH","DKG")</f>
        <v>0</v>
      </c>
      <c r="AN32" s="50">
        <f ca="1">+GETPIVOTDATA("XKL4",'kimlong (2016)'!$A$3,"MA_HT","DBV","MA_QH","DDT")</f>
        <v>0</v>
      </c>
      <c r="AO32" s="50">
        <f ca="1">+GETPIVOTDATA("XKL4",'kimlong (2016)'!$A$3,"MA_HT","DBV","MA_QH","DDL")</f>
        <v>0</v>
      </c>
      <c r="AP32" s="50">
        <f ca="1">+GETPIVOTDATA("XKL4",'kimlong (2016)'!$A$3,"MA_HT","DBV","MA_QH","DRA")</f>
        <v>0</v>
      </c>
      <c r="AQ32" s="50">
        <f ca="1">+GETPIVOTDATA("XKL4",'kimlong (2016)'!$A$3,"MA_HT","DBV","MA_QH","ONT")</f>
        <v>0</v>
      </c>
      <c r="AR32" s="50">
        <f ca="1">+GETPIVOTDATA("XKL4",'kimlong (2016)'!$A$3,"MA_HT","DBV","MA_QH","ODT")</f>
        <v>0</v>
      </c>
      <c r="AS32" s="50">
        <f ca="1">+GETPIVOTDATA("XKL4",'kimlong (2016)'!$A$3,"MA_HT","DBV","MA_QH","TSC")</f>
        <v>0</v>
      </c>
      <c r="AT32" s="50">
        <f ca="1">+GETPIVOTDATA("XKL4",'kimlong (2016)'!$A$3,"MA_HT","DBV","MA_QH","DTS")</f>
        <v>0</v>
      </c>
      <c r="AU32" s="50">
        <f ca="1">+GETPIVOTDATA("XKL4",'kimlong (2016)'!$A$3,"MA_HT","DBV","MA_QH","DNG")</f>
        <v>0</v>
      </c>
      <c r="AV32" s="50">
        <f ca="1">+GETPIVOTDATA("XKL4",'kimlong (2016)'!$A$3,"MA_HT","DBV","MA_QH","TON")</f>
        <v>0</v>
      </c>
      <c r="AW32" s="50">
        <f ca="1">+GETPIVOTDATA("XKL4",'kimlong (2016)'!$A$3,"MA_HT","DBV","MA_QH","NTD")</f>
        <v>0</v>
      </c>
      <c r="AX32" s="50">
        <f ca="1">+GETPIVOTDATA("XKL4",'kimlong (2016)'!$A$3,"MA_HT","DBV","MA_QH","SKX")</f>
        <v>0</v>
      </c>
      <c r="AY32" s="50">
        <f ca="1">+GETPIVOTDATA("XKL4",'kimlong (2016)'!$A$3,"MA_HT","DBV","MA_QH","DSH")</f>
        <v>0</v>
      </c>
      <c r="AZ32" s="50">
        <f ca="1">+GETPIVOTDATA("XKL4",'kimlong (2016)'!$A$3,"MA_HT","DBV","MA_QH","DKV")</f>
        <v>0</v>
      </c>
      <c r="BA32" s="88">
        <f ca="1">+GETPIVOTDATA("XKL4",'kimlong (2016)'!$A$3,"MA_HT","DBV","MA_QH","TIN")</f>
        <v>0</v>
      </c>
      <c r="BB32" s="50">
        <f ca="1">+GETPIVOTDATA("XKL4",'kimlong (2016)'!$A$3,"MA_HT","DBV","MA_QH","SON")</f>
        <v>0</v>
      </c>
      <c r="BC32" s="50">
        <f ca="1">+GETPIVOTDATA("XKL4",'kimlong (2016)'!$A$3,"MA_HT","DBV","MA_QH","MNC")</f>
        <v>0</v>
      </c>
      <c r="BD32" s="50">
        <f ca="1">+GETPIVOTDATA("XKL4",'kimlong (2016)'!$A$3,"MA_HT","DBV","MA_QH","PNK")</f>
        <v>0</v>
      </c>
      <c r="BE32" s="80">
        <f ca="1">+GETPIVOTDATA("XKL4",'kimlong (2016)'!$A$3,"MA_HT","DBV","MA_QH","CSD")</f>
        <v>0</v>
      </c>
      <c r="BF32" s="103">
        <f ca="1" t="shared" si="13"/>
        <v>0</v>
      </c>
      <c r="BG32" s="104">
        <f ca="1">AE$59-$BF32</f>
        <v>0</v>
      </c>
      <c r="BH32" s="47" t="e">
        <f ca="1" t="shared" si="14"/>
        <v>#REF!</v>
      </c>
      <c r="BI32" s="105"/>
      <c r="BJ32" s="105" t="e">
        <f>#REF!</f>
        <v>#REF!</v>
      </c>
      <c r="BK32" s="108" t="e">
        <f ca="1" t="shared" si="19"/>
        <v>#REF!</v>
      </c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</row>
    <row r="33" s="4" customFormat="1" ht="16.5" customHeight="1" spans="1:79">
      <c r="A33" s="45" t="s">
        <v>8384</v>
      </c>
      <c r="B33" s="45" t="s">
        <v>8385</v>
      </c>
      <c r="C33" s="46" t="s">
        <v>212</v>
      </c>
      <c r="D33" s="47" t="e">
        <f>+#REF!</f>
        <v>#REF!</v>
      </c>
      <c r="E33" s="42">
        <f ca="1" t="shared" si="15"/>
        <v>0</v>
      </c>
      <c r="F33" s="52">
        <f ca="1" t="shared" si="9"/>
        <v>0</v>
      </c>
      <c r="G33" s="50">
        <f ca="1">+GETPIVOTDATA("XKL4",'kimlong (2016)'!$A$3,"MA_HT","DVH","MA_QH","LUC")</f>
        <v>0</v>
      </c>
      <c r="H33" s="50">
        <f ca="1">+GETPIVOTDATA("XKL4",'kimlong (2016)'!$A$3,"MA_HT","DVH","MA_QH","LUK")</f>
        <v>0</v>
      </c>
      <c r="I33" s="50">
        <f ca="1">+GETPIVOTDATA("XKL4",'kimlong (2016)'!$A$3,"MA_HT","DVH","MA_QH","LUN")</f>
        <v>0</v>
      </c>
      <c r="J33" s="50">
        <f ca="1">+GETPIVOTDATA("XKL4",'kimlong (2016)'!$A$3,"MA_HT","DVH","MA_QH","HNK")</f>
        <v>0</v>
      </c>
      <c r="K33" s="50">
        <f ca="1">+GETPIVOTDATA("XKL4",'kimlong (2016)'!$A$3,"MA_HT","DVH","MA_QH","CLN")</f>
        <v>0</v>
      </c>
      <c r="L33" s="50">
        <f ca="1">+GETPIVOTDATA("XKL4",'kimlong (2016)'!$A$3,"MA_HT","DVH","MA_QH","RSX")</f>
        <v>0</v>
      </c>
      <c r="M33" s="50">
        <f ca="1">+GETPIVOTDATA("XKL4",'kimlong (2016)'!$A$3,"MA_HT","DVH","MA_QH","RPH")</f>
        <v>0</v>
      </c>
      <c r="N33" s="50">
        <f ca="1">+GETPIVOTDATA("XKL4",'kimlong (2016)'!$A$3,"MA_HT","DVH","MA_QH","RDD")</f>
        <v>0</v>
      </c>
      <c r="O33" s="50">
        <f ca="1">+GETPIVOTDATA("XKL4",'kimlong (2016)'!$A$3,"MA_HT","DVH","MA_QH","NTS")</f>
        <v>0</v>
      </c>
      <c r="P33" s="50">
        <f ca="1">+GETPIVOTDATA("XKL4",'kimlong (2016)'!$A$3,"MA_HT","DVH","MA_QH","LMU")</f>
        <v>0</v>
      </c>
      <c r="Q33" s="50">
        <f ca="1">+GETPIVOTDATA("XKL4",'kimlong (2016)'!$A$3,"MA_HT","DVH","MA_QH","NKH")</f>
        <v>0</v>
      </c>
      <c r="R33" s="48">
        <f ca="1" t="shared" si="20"/>
        <v>0</v>
      </c>
      <c r="S33" s="50">
        <f ca="1">+GETPIVOTDATA("XKL4",'kimlong (2016)'!$A$3,"MA_HT","DVH","MA_QH","CQP")</f>
        <v>0</v>
      </c>
      <c r="T33" s="50">
        <f ca="1">+GETPIVOTDATA("XKL4",'kimlong (2016)'!$A$3,"MA_HT","DVH","MA_QH","CAN")</f>
        <v>0</v>
      </c>
      <c r="U33" s="50">
        <f ca="1">+GETPIVOTDATA("XKL4",'kimlong (2016)'!$A$3,"MA_HT","DVH","MA_QH","SKK")</f>
        <v>0</v>
      </c>
      <c r="V33" s="50">
        <f ca="1">+GETPIVOTDATA("XKL4",'kimlong (2016)'!$A$3,"MA_HT","DVH","MA_QH","SKT")</f>
        <v>0</v>
      </c>
      <c r="W33" s="50">
        <f ca="1">+GETPIVOTDATA("XKL4",'kimlong (2016)'!$A$3,"MA_HT","DVH","MA_QH","SKN")</f>
        <v>0</v>
      </c>
      <c r="X33" s="50">
        <f ca="1">+GETPIVOTDATA("XKL4",'kimlong (2016)'!$A$3,"MA_HT","DVH","MA_QH","TMD")</f>
        <v>0</v>
      </c>
      <c r="Y33" s="50">
        <f ca="1">+GETPIVOTDATA("XKL4",'kimlong (2016)'!$A$3,"MA_HT","DVH","MA_QH","SKC")</f>
        <v>0</v>
      </c>
      <c r="Z33" s="50">
        <f ca="1">+GETPIVOTDATA("XKL4",'kimlong (2016)'!$A$3,"MA_HT","DVH","MA_QH","SKS")</f>
        <v>0</v>
      </c>
      <c r="AA33" s="52">
        <f ca="1">+SUM(AB33:AE33,AG33:AM33)</f>
        <v>0</v>
      </c>
      <c r="AB33" s="50">
        <f ca="1">+GETPIVOTDATA("XKL4",'kimlong (2016)'!$A$3,"MA_HT","DVH","MA_QH","DGT")</f>
        <v>0</v>
      </c>
      <c r="AC33" s="50">
        <f ca="1">+GETPIVOTDATA("XKL4",'kimlong (2016)'!$A$3,"MA_HT","DVH","MA_QH","DTL")</f>
        <v>0</v>
      </c>
      <c r="AD33" s="50">
        <f ca="1">+GETPIVOTDATA("XKL4",'kimlong (2016)'!$A$3,"MA_HT","DVH","MA_QH","DNL")</f>
        <v>0</v>
      </c>
      <c r="AE33" s="50">
        <f ca="1">+GETPIVOTDATA("XKL4",'kimlong (2016)'!$A$3,"MA_HT","DVH","MA_QH","DBV")</f>
        <v>0</v>
      </c>
      <c r="AF33" s="49" t="e">
        <f ca="1">$D33-$BF33</f>
        <v>#REF!</v>
      </c>
      <c r="AG33" s="50">
        <f ca="1">+GETPIVOTDATA("XKL4",'kimlong (2016)'!$A$3,"MA_HT","DVH","MA_QH","DYT")</f>
        <v>0</v>
      </c>
      <c r="AH33" s="50">
        <f ca="1">+GETPIVOTDATA("XKL4",'kimlong (2016)'!$A$3,"MA_HT","DVH","MA_QH","DGD")</f>
        <v>0</v>
      </c>
      <c r="AI33" s="50">
        <f ca="1">+GETPIVOTDATA("XKL4",'kimlong (2016)'!$A$3,"MA_HT","DVH","MA_QH","DTT")</f>
        <v>0</v>
      </c>
      <c r="AJ33" s="50">
        <f ca="1">+GETPIVOTDATA("XKL4",'kimlong (2016)'!$A$3,"MA_HT","DVH","MA_QH","NCK")</f>
        <v>0</v>
      </c>
      <c r="AK33" s="50">
        <f ca="1">+GETPIVOTDATA("XKL4",'kimlong (2016)'!$A$3,"MA_HT","DVH","MA_QH","DXH")</f>
        <v>0</v>
      </c>
      <c r="AL33" s="50">
        <f ca="1">+GETPIVOTDATA("XKL4",'kimlong (2016)'!$A$3,"MA_HT","DVH","MA_QH","DCH")</f>
        <v>0</v>
      </c>
      <c r="AM33" s="50">
        <f ca="1">+GETPIVOTDATA("XKL4",'kimlong (2016)'!$A$3,"MA_HT","DVH","MA_QH","DKG")</f>
        <v>0</v>
      </c>
      <c r="AN33" s="50">
        <f ca="1">+GETPIVOTDATA("XKL4",'kimlong (2016)'!$A$3,"MA_HT","DVH","MA_QH","DDT")</f>
        <v>0</v>
      </c>
      <c r="AO33" s="50">
        <f ca="1">+GETPIVOTDATA("XKL4",'kimlong (2016)'!$A$3,"MA_HT","DVH","MA_QH","DDL")</f>
        <v>0</v>
      </c>
      <c r="AP33" s="50">
        <f ca="1">+GETPIVOTDATA("XKL4",'kimlong (2016)'!$A$3,"MA_HT","DVH","MA_QH","DRA")</f>
        <v>0</v>
      </c>
      <c r="AQ33" s="50">
        <f ca="1">+GETPIVOTDATA("XKL4",'kimlong (2016)'!$A$3,"MA_HT","DVH","MA_QH","ONT")</f>
        <v>0</v>
      </c>
      <c r="AR33" s="50">
        <f ca="1">+GETPIVOTDATA("XKL4",'kimlong (2016)'!$A$3,"MA_HT","DVH","MA_QH","ODT")</f>
        <v>0</v>
      </c>
      <c r="AS33" s="50">
        <f ca="1">+GETPIVOTDATA("XKL4",'kimlong (2016)'!$A$3,"MA_HT","DVH","MA_QH","TSC")</f>
        <v>0</v>
      </c>
      <c r="AT33" s="50">
        <f ca="1">+GETPIVOTDATA("XKL4",'kimlong (2016)'!$A$3,"MA_HT","DVH","MA_QH","DTS")</f>
        <v>0</v>
      </c>
      <c r="AU33" s="50">
        <f ca="1">+GETPIVOTDATA("XKL4",'kimlong (2016)'!$A$3,"MA_HT","DVH","MA_QH","DNG")</f>
        <v>0</v>
      </c>
      <c r="AV33" s="50">
        <f ca="1">+GETPIVOTDATA("XKL4",'kimlong (2016)'!$A$3,"MA_HT","DVH","MA_QH","TON")</f>
        <v>0</v>
      </c>
      <c r="AW33" s="50">
        <f ca="1">+GETPIVOTDATA("XKL4",'kimlong (2016)'!$A$3,"MA_HT","DVH","MA_QH","NTD")</f>
        <v>0</v>
      </c>
      <c r="AX33" s="50">
        <f ca="1">+GETPIVOTDATA("XKL4",'kimlong (2016)'!$A$3,"MA_HT","DVH","MA_QH","SKX")</f>
        <v>0</v>
      </c>
      <c r="AY33" s="50">
        <f ca="1">+GETPIVOTDATA("XKL4",'kimlong (2016)'!$A$3,"MA_HT","DVH","MA_QH","DSH")</f>
        <v>0</v>
      </c>
      <c r="AZ33" s="50">
        <f ca="1">+GETPIVOTDATA("XKL4",'kimlong (2016)'!$A$3,"MA_HT","DVH","MA_QH","DKV")</f>
        <v>0</v>
      </c>
      <c r="BA33" s="88">
        <f ca="1">+GETPIVOTDATA("XKL4",'kimlong (2016)'!$A$3,"MA_HT","DVH","MA_QH","TIN")</f>
        <v>0</v>
      </c>
      <c r="BB33" s="50">
        <f ca="1">+GETPIVOTDATA("XKL4",'kimlong (2016)'!$A$3,"MA_HT","DVH","MA_QH","SON")</f>
        <v>0</v>
      </c>
      <c r="BC33" s="50">
        <f ca="1">+GETPIVOTDATA("XKL4",'kimlong (2016)'!$A$3,"MA_HT","DVH","MA_QH","MNC")</f>
        <v>0</v>
      </c>
      <c r="BD33" s="50">
        <f ca="1">+GETPIVOTDATA("XKL4",'kimlong (2016)'!$A$3,"MA_HT","DVH","MA_QH","PNK")</f>
        <v>0</v>
      </c>
      <c r="BE33" s="80">
        <f ca="1">+GETPIVOTDATA("XKL4",'kimlong (2016)'!$A$3,"MA_HT","DVH","MA_QH","CSD")</f>
        <v>0</v>
      </c>
      <c r="BF33" s="103">
        <f ca="1" t="shared" si="13"/>
        <v>0</v>
      </c>
      <c r="BG33" s="104">
        <f ca="1">AF$59-$BF33</f>
        <v>0</v>
      </c>
      <c r="BH33" s="47" t="e">
        <f ca="1" t="shared" si="14"/>
        <v>#REF!</v>
      </c>
      <c r="BI33" s="105"/>
      <c r="BJ33" s="105" t="e">
        <f>#REF!</f>
        <v>#REF!</v>
      </c>
      <c r="BK33" s="108" t="e">
        <f ca="1" t="shared" si="19"/>
        <v>#REF!</v>
      </c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</row>
    <row r="34" s="4" customFormat="1" ht="16.5" customHeight="1" spans="1:79">
      <c r="A34" s="45" t="s">
        <v>8386</v>
      </c>
      <c r="B34" s="45" t="s">
        <v>8387</v>
      </c>
      <c r="C34" s="46" t="s">
        <v>8296</v>
      </c>
      <c r="D34" s="47" t="e">
        <f>+#REF!</f>
        <v>#REF!</v>
      </c>
      <c r="E34" s="42">
        <f ca="1" t="shared" si="15"/>
        <v>0</v>
      </c>
      <c r="F34" s="52">
        <f ca="1" t="shared" si="9"/>
        <v>0</v>
      </c>
      <c r="G34" s="50">
        <f ca="1">+GETPIVOTDATA("XKL4",'kimlong (2016)'!$A$3,"MA_HT","DYT","MA_QH","LUC")</f>
        <v>0</v>
      </c>
      <c r="H34" s="50">
        <f ca="1">+GETPIVOTDATA("XKL4",'kimlong (2016)'!$A$3,"MA_HT","DYT","MA_QH","LUK")</f>
        <v>0</v>
      </c>
      <c r="I34" s="50">
        <f ca="1">+GETPIVOTDATA("XKL4",'kimlong (2016)'!$A$3,"MA_HT","DYT","MA_QH","LUN")</f>
        <v>0</v>
      </c>
      <c r="J34" s="50">
        <f ca="1">+GETPIVOTDATA("XKL4",'kimlong (2016)'!$A$3,"MA_HT","DYT","MA_QH","HNK")</f>
        <v>0</v>
      </c>
      <c r="K34" s="50">
        <f ca="1">+GETPIVOTDATA("XKL4",'kimlong (2016)'!$A$3,"MA_HT","DYT","MA_QH","CLN")</f>
        <v>0</v>
      </c>
      <c r="L34" s="50">
        <f ca="1">+GETPIVOTDATA("XKL4",'kimlong (2016)'!$A$3,"MA_HT","DYT","MA_QH","RSX")</f>
        <v>0</v>
      </c>
      <c r="M34" s="50">
        <f ca="1">+GETPIVOTDATA("XKL4",'kimlong (2016)'!$A$3,"MA_HT","DYT","MA_QH","RPH")</f>
        <v>0</v>
      </c>
      <c r="N34" s="50">
        <f ca="1">+GETPIVOTDATA("XKL4",'kimlong (2016)'!$A$3,"MA_HT","DYT","MA_QH","RDD")</f>
        <v>0</v>
      </c>
      <c r="O34" s="50">
        <f ca="1">+GETPIVOTDATA("XKL4",'kimlong (2016)'!$A$3,"MA_HT","DYT","MA_QH","NTS")</f>
        <v>0</v>
      </c>
      <c r="P34" s="50">
        <f ca="1">+GETPIVOTDATA("XKL4",'kimlong (2016)'!$A$3,"MA_HT","DYT","MA_QH","LMU")</f>
        <v>0</v>
      </c>
      <c r="Q34" s="50">
        <f ca="1">+GETPIVOTDATA("XKL4",'kimlong (2016)'!$A$3,"MA_HT","DYT","MA_QH","NKH")</f>
        <v>0</v>
      </c>
      <c r="R34" s="48">
        <f ca="1" t="shared" si="20"/>
        <v>0</v>
      </c>
      <c r="S34" s="50">
        <f ca="1">+GETPIVOTDATA("XKL4",'kimlong (2016)'!$A$3,"MA_HT","DYT","MA_QH","CQP")</f>
        <v>0</v>
      </c>
      <c r="T34" s="50">
        <f ca="1">+GETPIVOTDATA("XKL4",'kimlong (2016)'!$A$3,"MA_HT","DYT","MA_QH","CAN")</f>
        <v>0</v>
      </c>
      <c r="U34" s="50">
        <f ca="1">+GETPIVOTDATA("XKL4",'kimlong (2016)'!$A$3,"MA_HT","DYT","MA_QH","SKK")</f>
        <v>0</v>
      </c>
      <c r="V34" s="50">
        <f ca="1">+GETPIVOTDATA("XKL4",'kimlong (2016)'!$A$3,"MA_HT","DYT","MA_QH","SKT")</f>
        <v>0</v>
      </c>
      <c r="W34" s="50">
        <f ca="1">+GETPIVOTDATA("XKL4",'kimlong (2016)'!$A$3,"MA_HT","DYT","MA_QH","SKN")</f>
        <v>0</v>
      </c>
      <c r="X34" s="50">
        <f ca="1">+GETPIVOTDATA("XKL4",'kimlong (2016)'!$A$3,"MA_HT","DYT","MA_QH","TMD")</f>
        <v>0</v>
      </c>
      <c r="Y34" s="50">
        <f ca="1">+GETPIVOTDATA("XKL4",'kimlong (2016)'!$A$3,"MA_HT","DYT","MA_QH","SKC")</f>
        <v>0</v>
      </c>
      <c r="Z34" s="50">
        <f ca="1">+GETPIVOTDATA("XKL4",'kimlong (2016)'!$A$3,"MA_HT","DYT","MA_QH","SKS")</f>
        <v>0</v>
      </c>
      <c r="AA34" s="52">
        <f ca="1">+SUM(AB34:AF34,AH34:AM34)</f>
        <v>0</v>
      </c>
      <c r="AB34" s="50">
        <f ca="1">+GETPIVOTDATA("XKL4",'kimlong (2016)'!$A$3,"MA_HT","DYT","MA_QH","DGT")</f>
        <v>0</v>
      </c>
      <c r="AC34" s="50">
        <f ca="1">+GETPIVOTDATA("XKL4",'kimlong (2016)'!$A$3,"MA_HT","DYT","MA_QH","DTL")</f>
        <v>0</v>
      </c>
      <c r="AD34" s="50">
        <f ca="1">+GETPIVOTDATA("XKL4",'kimlong (2016)'!$A$3,"MA_HT","DYT","MA_QH","DNL")</f>
        <v>0</v>
      </c>
      <c r="AE34" s="50">
        <f ca="1">+GETPIVOTDATA("XKL4",'kimlong (2016)'!$A$3,"MA_HT","DYT","MA_QH","DBV")</f>
        <v>0</v>
      </c>
      <c r="AF34" s="50">
        <f ca="1">+GETPIVOTDATA("XKL4",'kimlong (2016)'!$A$3,"MA_HT","DYT","MA_QH","DVH")</f>
        <v>0</v>
      </c>
      <c r="AG34" s="49" t="e">
        <f ca="1">$D34-$BF34</f>
        <v>#REF!</v>
      </c>
      <c r="AH34" s="50">
        <f ca="1">+GETPIVOTDATA("XKL4",'kimlong (2016)'!$A$3,"MA_HT","DYT","MA_QH","DGD")</f>
        <v>0</v>
      </c>
      <c r="AI34" s="50">
        <f ca="1">+GETPIVOTDATA("XKL4",'kimlong (2016)'!$A$3,"MA_HT","DYT","MA_QH","DTT")</f>
        <v>0</v>
      </c>
      <c r="AJ34" s="50">
        <f ca="1">+GETPIVOTDATA("XKL4",'kimlong (2016)'!$A$3,"MA_HT","DYT","MA_QH","NCK")</f>
        <v>0</v>
      </c>
      <c r="AK34" s="50">
        <f ca="1">+GETPIVOTDATA("XKL4",'kimlong (2016)'!$A$3,"MA_HT","DYT","MA_QH","DXH")</f>
        <v>0</v>
      </c>
      <c r="AL34" s="50">
        <f ca="1">+GETPIVOTDATA("XKL4",'kimlong (2016)'!$A$3,"MA_HT","DYT","MA_QH","DCH")</f>
        <v>0</v>
      </c>
      <c r="AM34" s="50">
        <f ca="1">+GETPIVOTDATA("XKL4",'kimlong (2016)'!$A$3,"MA_HT","DYT","MA_QH","DKG")</f>
        <v>0</v>
      </c>
      <c r="AN34" s="50">
        <f ca="1">+GETPIVOTDATA("XKL4",'kimlong (2016)'!$A$3,"MA_HT","DYT","MA_QH","DDT")</f>
        <v>0</v>
      </c>
      <c r="AO34" s="50">
        <f ca="1">+GETPIVOTDATA("XKL4",'kimlong (2016)'!$A$3,"MA_HT","DYT","MA_QH","DDL")</f>
        <v>0</v>
      </c>
      <c r="AP34" s="50">
        <f ca="1">+GETPIVOTDATA("XKL4",'kimlong (2016)'!$A$3,"MA_HT","DYT","MA_QH","DRA")</f>
        <v>0</v>
      </c>
      <c r="AQ34" s="50">
        <f ca="1">+GETPIVOTDATA("XKL4",'kimlong (2016)'!$A$3,"MA_HT","DYT","MA_QH","ONT")</f>
        <v>0</v>
      </c>
      <c r="AR34" s="50">
        <f ca="1">+GETPIVOTDATA("XKL4",'kimlong (2016)'!$A$3,"MA_HT","DYT","MA_QH","ODT")</f>
        <v>0</v>
      </c>
      <c r="AS34" s="50">
        <f ca="1">+GETPIVOTDATA("XKL4",'kimlong (2016)'!$A$3,"MA_HT","DYT","MA_QH","TSC")</f>
        <v>0</v>
      </c>
      <c r="AT34" s="50">
        <f ca="1">+GETPIVOTDATA("XKL4",'kimlong (2016)'!$A$3,"MA_HT","DYT","MA_QH","DTS")</f>
        <v>0</v>
      </c>
      <c r="AU34" s="50">
        <f ca="1">+GETPIVOTDATA("XKL4",'kimlong (2016)'!$A$3,"MA_HT","DYT","MA_QH","DNG")</f>
        <v>0</v>
      </c>
      <c r="AV34" s="50">
        <f ca="1">+GETPIVOTDATA("XKL4",'kimlong (2016)'!$A$3,"MA_HT","DYT","MA_QH","TON")</f>
        <v>0</v>
      </c>
      <c r="AW34" s="50">
        <f ca="1">+GETPIVOTDATA("XKL4",'kimlong (2016)'!$A$3,"MA_HT","DYT","MA_QH","NTD")</f>
        <v>0</v>
      </c>
      <c r="AX34" s="50">
        <f ca="1">+GETPIVOTDATA("XKL4",'kimlong (2016)'!$A$3,"MA_HT","DYT","MA_QH","SKX")</f>
        <v>0</v>
      </c>
      <c r="AY34" s="50">
        <f ca="1">+GETPIVOTDATA("XKL4",'kimlong (2016)'!$A$3,"MA_HT","DYT","MA_QH","DSH")</f>
        <v>0</v>
      </c>
      <c r="AZ34" s="50">
        <f ca="1">+GETPIVOTDATA("XKL4",'kimlong (2016)'!$A$3,"MA_HT","DYT","MA_QH","DKV")</f>
        <v>0</v>
      </c>
      <c r="BA34" s="88">
        <f ca="1">+GETPIVOTDATA("XKL4",'kimlong (2016)'!$A$3,"MA_HT","DYT","MA_QH","TIN")</f>
        <v>0</v>
      </c>
      <c r="BB34" s="50">
        <f ca="1">+GETPIVOTDATA("XKL4",'kimlong (2016)'!$A$3,"MA_HT","DYT","MA_QH","SON")</f>
        <v>0</v>
      </c>
      <c r="BC34" s="50">
        <f ca="1">+GETPIVOTDATA("XKL4",'kimlong (2016)'!$A$3,"MA_HT","DYT","MA_QH","MNC")</f>
        <v>0</v>
      </c>
      <c r="BD34" s="50">
        <f ca="1">+GETPIVOTDATA("XKL4",'kimlong (2016)'!$A$3,"MA_HT","DYT","MA_QH","PNK")</f>
        <v>0</v>
      </c>
      <c r="BE34" s="80">
        <f ca="1">+GETPIVOTDATA("XKL4",'kimlong (2016)'!$A$3,"MA_HT","DYT","MA_QH","CSD")</f>
        <v>0</v>
      </c>
      <c r="BF34" s="103">
        <f ca="1" t="shared" si="13"/>
        <v>0</v>
      </c>
      <c r="BG34" s="104">
        <f ca="1">AG$59-$BF34</f>
        <v>0</v>
      </c>
      <c r="BH34" s="47" t="e">
        <f ca="1" t="shared" si="14"/>
        <v>#REF!</v>
      </c>
      <c r="BI34" s="105"/>
      <c r="BJ34" s="105" t="e">
        <f>#REF!</f>
        <v>#REF!</v>
      </c>
      <c r="BK34" s="108" t="e">
        <f ca="1" t="shared" si="19"/>
        <v>#REF!</v>
      </c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</row>
    <row r="35" s="4" customFormat="1" ht="16.5" customHeight="1" spans="1:79">
      <c r="A35" s="45" t="s">
        <v>8388</v>
      </c>
      <c r="B35" s="45" t="s">
        <v>8389</v>
      </c>
      <c r="C35" s="46" t="s">
        <v>165</v>
      </c>
      <c r="D35" s="47" t="e">
        <f>+#REF!</f>
        <v>#REF!</v>
      </c>
      <c r="E35" s="42">
        <f ca="1" t="shared" si="15"/>
        <v>0</v>
      </c>
      <c r="F35" s="52">
        <f ca="1" t="shared" si="9"/>
        <v>0</v>
      </c>
      <c r="G35" s="50">
        <f ca="1">+GETPIVOTDATA("XKL4",'kimlong (2016)'!$A$3,"MA_HT","DGD","MA_QH","LUC")</f>
        <v>0</v>
      </c>
      <c r="H35" s="50">
        <f ca="1">+GETPIVOTDATA("XKL4",'kimlong (2016)'!$A$3,"MA_HT","DGD","MA_QH","LUK")</f>
        <v>0</v>
      </c>
      <c r="I35" s="50">
        <f ca="1">+GETPIVOTDATA("XKL4",'kimlong (2016)'!$A$3,"MA_HT","DGD","MA_QH","LUN")</f>
        <v>0</v>
      </c>
      <c r="J35" s="50">
        <f ca="1">+GETPIVOTDATA("XKL4",'kimlong (2016)'!$A$3,"MA_HT","DGD","MA_QH","HNK")</f>
        <v>0</v>
      </c>
      <c r="K35" s="50">
        <f ca="1">+GETPIVOTDATA("XKL4",'kimlong (2016)'!$A$3,"MA_HT","DGD","MA_QH","CLN")</f>
        <v>0</v>
      </c>
      <c r="L35" s="50">
        <f ca="1">+GETPIVOTDATA("XKL4",'kimlong (2016)'!$A$3,"MA_HT","DGD","MA_QH","RSX")</f>
        <v>0</v>
      </c>
      <c r="M35" s="50">
        <f ca="1">+GETPIVOTDATA("XKL4",'kimlong (2016)'!$A$3,"MA_HT","DGD","MA_QH","RPH")</f>
        <v>0</v>
      </c>
      <c r="N35" s="50">
        <f ca="1">+GETPIVOTDATA("XKL4",'kimlong (2016)'!$A$3,"MA_HT","DGD","MA_QH","RDD")</f>
        <v>0</v>
      </c>
      <c r="O35" s="50">
        <f ca="1">+GETPIVOTDATA("XKL4",'kimlong (2016)'!$A$3,"MA_HT","DGD","MA_QH","NTS")</f>
        <v>0</v>
      </c>
      <c r="P35" s="50">
        <f ca="1">+GETPIVOTDATA("XKL4",'kimlong (2016)'!$A$3,"MA_HT","DGD","MA_QH","LMU")</f>
        <v>0</v>
      </c>
      <c r="Q35" s="50">
        <f ca="1">+GETPIVOTDATA("XKL4",'kimlong (2016)'!$A$3,"MA_HT","DGD","MA_QH","NKH")</f>
        <v>0</v>
      </c>
      <c r="R35" s="48">
        <f ca="1" t="shared" si="20"/>
        <v>0</v>
      </c>
      <c r="S35" s="50">
        <f ca="1">+GETPIVOTDATA("XKL4",'kimlong (2016)'!$A$3,"MA_HT","DGD","MA_QH","CQP")</f>
        <v>0</v>
      </c>
      <c r="T35" s="50">
        <f ca="1">+GETPIVOTDATA("XKL4",'kimlong (2016)'!$A$3,"MA_HT","DGD","MA_QH","CAN")</f>
        <v>0</v>
      </c>
      <c r="U35" s="50">
        <f ca="1">+GETPIVOTDATA("XKL4",'kimlong (2016)'!$A$3,"MA_HT","DGD","MA_QH","SKK")</f>
        <v>0</v>
      </c>
      <c r="V35" s="50">
        <f ca="1">+GETPIVOTDATA("XKL4",'kimlong (2016)'!$A$3,"MA_HT","DGD","MA_QH","SKT")</f>
        <v>0</v>
      </c>
      <c r="W35" s="50">
        <f ca="1">+GETPIVOTDATA("XKL4",'kimlong (2016)'!$A$3,"MA_HT","DGD","MA_QH","SKN")</f>
        <v>0</v>
      </c>
      <c r="X35" s="50">
        <f ca="1">+GETPIVOTDATA("XKL4",'kimlong (2016)'!$A$3,"MA_HT","DGD","MA_QH","TMD")</f>
        <v>0</v>
      </c>
      <c r="Y35" s="50">
        <f ca="1">+GETPIVOTDATA("XKL4",'kimlong (2016)'!$A$3,"MA_HT","DGD","MA_QH","SKC")</f>
        <v>0</v>
      </c>
      <c r="Z35" s="50">
        <f ca="1">+GETPIVOTDATA("XKL4",'kimlong (2016)'!$A$3,"MA_HT","DGD","MA_QH","SKS")</f>
        <v>0</v>
      </c>
      <c r="AA35" s="52">
        <f ca="1">+SUM(AB35:AG35,AI35:AM35)</f>
        <v>0</v>
      </c>
      <c r="AB35" s="50">
        <f ca="1">+GETPIVOTDATA("XKL4",'kimlong (2016)'!$A$3,"MA_HT","DGD","MA_QH","DGT")</f>
        <v>0</v>
      </c>
      <c r="AC35" s="50">
        <f ca="1">+GETPIVOTDATA("XKL4",'kimlong (2016)'!$A$3,"MA_HT","DGD","MA_QH","DTL")</f>
        <v>0</v>
      </c>
      <c r="AD35" s="50">
        <f ca="1">+GETPIVOTDATA("XKL4",'kimlong (2016)'!$A$3,"MA_HT","DGD","MA_QH","DNL")</f>
        <v>0</v>
      </c>
      <c r="AE35" s="50">
        <f ca="1">+GETPIVOTDATA("XKL4",'kimlong (2016)'!$A$3,"MA_HT","DGD","MA_QH","DBV")</f>
        <v>0</v>
      </c>
      <c r="AF35" s="50">
        <f ca="1">+GETPIVOTDATA("XKL4",'kimlong (2016)'!$A$3,"MA_HT","DGD","MA_QH","DVH")</f>
        <v>0</v>
      </c>
      <c r="AG35" s="50">
        <f ca="1">+GETPIVOTDATA("XKL4",'kimlong (2016)'!$A$3,"MA_HT","DGD","MA_QH","DYT")</f>
        <v>0</v>
      </c>
      <c r="AH35" s="49" t="e">
        <f ca="1">$D35-$BF35</f>
        <v>#REF!</v>
      </c>
      <c r="AI35" s="50">
        <f ca="1">+GETPIVOTDATA("XKL4",'kimlong (2016)'!$A$3,"MA_HT","DGD","MA_QH","DTT")</f>
        <v>0</v>
      </c>
      <c r="AJ35" s="50">
        <f ca="1">+GETPIVOTDATA("XKL4",'kimlong (2016)'!$A$3,"MA_HT","DGD","MA_QH","NCK")</f>
        <v>0</v>
      </c>
      <c r="AK35" s="50">
        <f ca="1">+GETPIVOTDATA("XKL4",'kimlong (2016)'!$A$3,"MA_HT","DGD","MA_QH","DXH")</f>
        <v>0</v>
      </c>
      <c r="AL35" s="50">
        <f ca="1">+GETPIVOTDATA("XKL4",'kimlong (2016)'!$A$3,"MA_HT","DGD","MA_QH","DCH")</f>
        <v>0</v>
      </c>
      <c r="AM35" s="50">
        <f ca="1">+GETPIVOTDATA("XKL4",'kimlong (2016)'!$A$3,"MA_HT","DGD","MA_QH","DKG")</f>
        <v>0</v>
      </c>
      <c r="AN35" s="50">
        <f ca="1">+GETPIVOTDATA("XKL4",'kimlong (2016)'!$A$3,"MA_HT","DGD","MA_QH","DDT")</f>
        <v>0</v>
      </c>
      <c r="AO35" s="50">
        <f ca="1">+GETPIVOTDATA("XKL4",'kimlong (2016)'!$A$3,"MA_HT","DGD","MA_QH","DDL")</f>
        <v>0</v>
      </c>
      <c r="AP35" s="50">
        <f ca="1">+GETPIVOTDATA("XKL4",'kimlong (2016)'!$A$3,"MA_HT","DGD","MA_QH","DRA")</f>
        <v>0</v>
      </c>
      <c r="AQ35" s="50">
        <f ca="1">+GETPIVOTDATA("XKL4",'kimlong (2016)'!$A$3,"MA_HT","DGD","MA_QH","ONT")</f>
        <v>0</v>
      </c>
      <c r="AR35" s="50">
        <f ca="1">+GETPIVOTDATA("XKL4",'kimlong (2016)'!$A$3,"MA_HT","DGD","MA_QH","ODT")</f>
        <v>0</v>
      </c>
      <c r="AS35" s="50">
        <f ca="1">+GETPIVOTDATA("XKL4",'kimlong (2016)'!$A$3,"MA_HT","DGD","MA_QH","TSC")</f>
        <v>0</v>
      </c>
      <c r="AT35" s="50">
        <f ca="1">+GETPIVOTDATA("XKL4",'kimlong (2016)'!$A$3,"MA_HT","DGD","MA_QH","DTS")</f>
        <v>0</v>
      </c>
      <c r="AU35" s="50">
        <f ca="1">+GETPIVOTDATA("XKL4",'kimlong (2016)'!$A$3,"MA_HT","DGD","MA_QH","DNG")</f>
        <v>0</v>
      </c>
      <c r="AV35" s="50">
        <f ca="1">+GETPIVOTDATA("XKL4",'kimlong (2016)'!$A$3,"MA_HT","DGD","MA_QH","TON")</f>
        <v>0</v>
      </c>
      <c r="AW35" s="50">
        <f ca="1">+GETPIVOTDATA("XKL4",'kimlong (2016)'!$A$3,"MA_HT","DGD","MA_QH","NTD")</f>
        <v>0</v>
      </c>
      <c r="AX35" s="50">
        <f ca="1">+GETPIVOTDATA("XKL4",'kimlong (2016)'!$A$3,"MA_HT","DGD","MA_QH","SKX")</f>
        <v>0</v>
      </c>
      <c r="AY35" s="50">
        <f ca="1">+GETPIVOTDATA("XKL4",'kimlong (2016)'!$A$3,"MA_HT","DGD","MA_QH","DSH")</f>
        <v>0</v>
      </c>
      <c r="AZ35" s="50">
        <f ca="1">+GETPIVOTDATA("XKL4",'kimlong (2016)'!$A$3,"MA_HT","DGD","MA_QH","DKV")</f>
        <v>0</v>
      </c>
      <c r="BA35" s="88">
        <f ca="1">+GETPIVOTDATA("XKL4",'kimlong (2016)'!$A$3,"MA_HT","DGD","MA_QH","TIN")</f>
        <v>0</v>
      </c>
      <c r="BB35" s="50">
        <f ca="1">+GETPIVOTDATA("XKL4",'kimlong (2016)'!$A$3,"MA_HT","DGD","MA_QH","SON")</f>
        <v>0</v>
      </c>
      <c r="BC35" s="50">
        <f ca="1">+GETPIVOTDATA("XKL4",'kimlong (2016)'!$A$3,"MA_HT","DGD","MA_QH","MNC")</f>
        <v>0</v>
      </c>
      <c r="BD35" s="50">
        <f ca="1">+GETPIVOTDATA("XKL4",'kimlong (2016)'!$A$3,"MA_HT","DGD","MA_QH","PNK")</f>
        <v>0</v>
      </c>
      <c r="BE35" s="80">
        <f ca="1">+GETPIVOTDATA("XKL4",'kimlong (2016)'!$A$3,"MA_HT","DGD","MA_QH","CSD")</f>
        <v>0</v>
      </c>
      <c r="BF35" s="103">
        <f ca="1" t="shared" si="13"/>
        <v>0</v>
      </c>
      <c r="BG35" s="104">
        <f ca="1">AH$59-$BF35</f>
        <v>0</v>
      </c>
      <c r="BH35" s="47" t="e">
        <f ca="1" t="shared" si="14"/>
        <v>#REF!</v>
      </c>
      <c r="BI35" s="105"/>
      <c r="BJ35" s="105" t="e">
        <f>#REF!</f>
        <v>#REF!</v>
      </c>
      <c r="BK35" s="108" t="e">
        <f ca="1" t="shared" si="19"/>
        <v>#REF!</v>
      </c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</row>
    <row r="36" s="4" customFormat="1" ht="16.5" customHeight="1" spans="1:79">
      <c r="A36" s="45" t="s">
        <v>8390</v>
      </c>
      <c r="B36" s="45" t="s">
        <v>8391</v>
      </c>
      <c r="C36" s="46" t="s">
        <v>8294</v>
      </c>
      <c r="D36" s="47" t="e">
        <f>+#REF!</f>
        <v>#REF!</v>
      </c>
      <c r="E36" s="42">
        <f ca="1" t="shared" si="15"/>
        <v>0</v>
      </c>
      <c r="F36" s="52">
        <f ca="1" t="shared" si="9"/>
        <v>0</v>
      </c>
      <c r="G36" s="50">
        <f ca="1">+GETPIVOTDATA("XKL4",'kimlong (2016)'!$A$3,"MA_HT","DTT","MA_QH","LUC")</f>
        <v>0</v>
      </c>
      <c r="H36" s="50">
        <f ca="1">+GETPIVOTDATA("XKL4",'kimlong (2016)'!$A$3,"MA_HT","DTT","MA_QH","LUK")</f>
        <v>0</v>
      </c>
      <c r="I36" s="50">
        <f ca="1">+GETPIVOTDATA("XKL4",'kimlong (2016)'!$A$3,"MA_HT","DTT","MA_QH","LUN")</f>
        <v>0</v>
      </c>
      <c r="J36" s="50">
        <f ca="1">+GETPIVOTDATA("XKL4",'kimlong (2016)'!$A$3,"MA_HT","DTT","MA_QH","HNK")</f>
        <v>0</v>
      </c>
      <c r="K36" s="50">
        <f ca="1">+GETPIVOTDATA("XKL4",'kimlong (2016)'!$A$3,"MA_HT","DTT","MA_QH","CLN")</f>
        <v>0</v>
      </c>
      <c r="L36" s="50">
        <f ca="1">+GETPIVOTDATA("XKL4",'kimlong (2016)'!$A$3,"MA_HT","DTT","MA_QH","RSX")</f>
        <v>0</v>
      </c>
      <c r="M36" s="50">
        <f ca="1">+GETPIVOTDATA("XKL4",'kimlong (2016)'!$A$3,"MA_HT","DTT","MA_QH","RPH")</f>
        <v>0</v>
      </c>
      <c r="N36" s="50">
        <f ca="1">+GETPIVOTDATA("XKL4",'kimlong (2016)'!$A$3,"MA_HT","DTT","MA_QH","RDD")</f>
        <v>0</v>
      </c>
      <c r="O36" s="50">
        <f ca="1">+GETPIVOTDATA("XKL4",'kimlong (2016)'!$A$3,"MA_HT","DTT","MA_QH","NTS")</f>
        <v>0</v>
      </c>
      <c r="P36" s="50">
        <f ca="1">+GETPIVOTDATA("XKL4",'kimlong (2016)'!$A$3,"MA_HT","DTT","MA_QH","LMU")</f>
        <v>0</v>
      </c>
      <c r="Q36" s="50">
        <f ca="1">+GETPIVOTDATA("XKL4",'kimlong (2016)'!$A$3,"MA_HT","DTT","MA_QH","NKH")</f>
        <v>0</v>
      </c>
      <c r="R36" s="48">
        <f ca="1" t="shared" si="20"/>
        <v>0</v>
      </c>
      <c r="S36" s="50">
        <f ca="1">+GETPIVOTDATA("XKL4",'kimlong (2016)'!$A$3,"MA_HT","DTT","MA_QH","CQP")</f>
        <v>0</v>
      </c>
      <c r="T36" s="50">
        <f ca="1">+GETPIVOTDATA("XKL4",'kimlong (2016)'!$A$3,"MA_HT","DTT","MA_QH","CAN")</f>
        <v>0</v>
      </c>
      <c r="U36" s="50">
        <f ca="1">+GETPIVOTDATA("XKL4",'kimlong (2016)'!$A$3,"MA_HT","DTT","MA_QH","SKK")</f>
        <v>0</v>
      </c>
      <c r="V36" s="50">
        <f ca="1">+GETPIVOTDATA("XKL4",'kimlong (2016)'!$A$3,"MA_HT","DTT","MA_QH","SKT")</f>
        <v>0</v>
      </c>
      <c r="W36" s="50">
        <f ca="1">+GETPIVOTDATA("XKL4",'kimlong (2016)'!$A$3,"MA_HT","DTT","MA_QH","SKN")</f>
        <v>0</v>
      </c>
      <c r="X36" s="50">
        <f ca="1">+GETPIVOTDATA("XKL4",'kimlong (2016)'!$A$3,"MA_HT","DTT","MA_QH","TMD")</f>
        <v>0</v>
      </c>
      <c r="Y36" s="50">
        <f ca="1">+GETPIVOTDATA("XKL4",'kimlong (2016)'!$A$3,"MA_HT","DTT","MA_QH","SKC")</f>
        <v>0</v>
      </c>
      <c r="Z36" s="50">
        <f ca="1">+GETPIVOTDATA("XKL4",'kimlong (2016)'!$A$3,"MA_HT","DTT","MA_QH","SKS")</f>
        <v>0</v>
      </c>
      <c r="AA36" s="52">
        <f ca="1">+SUM(AB36:AH36,AJ36:AM36)</f>
        <v>0</v>
      </c>
      <c r="AB36" s="50">
        <f ca="1">+GETPIVOTDATA("XKL4",'kimlong (2016)'!$A$3,"MA_HT","DTT","MA_QH","DGT")</f>
        <v>0</v>
      </c>
      <c r="AC36" s="50">
        <f ca="1">+GETPIVOTDATA("XKL4",'kimlong (2016)'!$A$3,"MA_HT","DTT","MA_QH","DTL")</f>
        <v>0</v>
      </c>
      <c r="AD36" s="50">
        <f ca="1">+GETPIVOTDATA("XKL4",'kimlong (2016)'!$A$3,"MA_HT","DTT","MA_QH","DNL")</f>
        <v>0</v>
      </c>
      <c r="AE36" s="50">
        <f ca="1">+GETPIVOTDATA("XKL4",'kimlong (2016)'!$A$3,"MA_HT","DTT","MA_QH","DBV")</f>
        <v>0</v>
      </c>
      <c r="AF36" s="50">
        <f ca="1">+GETPIVOTDATA("XKL4",'kimlong (2016)'!$A$3,"MA_HT","DTT","MA_QH","DVH")</f>
        <v>0</v>
      </c>
      <c r="AG36" s="50">
        <f ca="1">+GETPIVOTDATA("XKL4",'kimlong (2016)'!$A$3,"MA_HT","DTT","MA_QH","DYT")</f>
        <v>0</v>
      </c>
      <c r="AH36" s="50">
        <f ca="1">+GETPIVOTDATA("XKL4",'kimlong (2016)'!$A$3,"MA_HT","DTT","MA_QH","DGD")</f>
        <v>0</v>
      </c>
      <c r="AI36" s="49" t="e">
        <f ca="1">$D36-$BF36</f>
        <v>#REF!</v>
      </c>
      <c r="AJ36" s="50">
        <f ca="1">+GETPIVOTDATA("XKL4",'kimlong (2016)'!$A$3,"MA_HT","DTT","MA_QH","NCK")</f>
        <v>0</v>
      </c>
      <c r="AK36" s="50">
        <f ca="1">+GETPIVOTDATA("XKL4",'kimlong (2016)'!$A$3,"MA_HT","DTT","MA_QH","DXH")</f>
        <v>0</v>
      </c>
      <c r="AL36" s="50">
        <f ca="1">+GETPIVOTDATA("XKL4",'kimlong (2016)'!$A$3,"MA_HT","DTT","MA_QH","DCH")</f>
        <v>0</v>
      </c>
      <c r="AM36" s="50">
        <f ca="1">+GETPIVOTDATA("XKL4",'kimlong (2016)'!$A$3,"MA_HT","DTT","MA_QH","DKG")</f>
        <v>0</v>
      </c>
      <c r="AN36" s="50">
        <f ca="1">+GETPIVOTDATA("XKL4",'kimlong (2016)'!$A$3,"MA_HT","DTT","MA_QH","DDT")</f>
        <v>0</v>
      </c>
      <c r="AO36" s="50">
        <f ca="1">+GETPIVOTDATA("XKL4",'kimlong (2016)'!$A$3,"MA_HT","DTT","MA_QH","DDL")</f>
        <v>0</v>
      </c>
      <c r="AP36" s="50">
        <f ca="1">+GETPIVOTDATA("XKL4",'kimlong (2016)'!$A$3,"MA_HT","DTT","MA_QH","DRA")</f>
        <v>0</v>
      </c>
      <c r="AQ36" s="50">
        <f ca="1">+GETPIVOTDATA("XKL4",'kimlong (2016)'!$A$3,"MA_HT","DTT","MA_QH","ONT")</f>
        <v>0</v>
      </c>
      <c r="AR36" s="50">
        <f ca="1">+GETPIVOTDATA("XKL4",'kimlong (2016)'!$A$3,"MA_HT","DTT","MA_QH","ODT")</f>
        <v>0</v>
      </c>
      <c r="AS36" s="50">
        <f ca="1">+GETPIVOTDATA("XKL4",'kimlong (2016)'!$A$3,"MA_HT","DTT","MA_QH","TSC")</f>
        <v>0</v>
      </c>
      <c r="AT36" s="50">
        <f ca="1">+GETPIVOTDATA("XKL4",'kimlong (2016)'!$A$3,"MA_HT","DTT","MA_QH","DTS")</f>
        <v>0</v>
      </c>
      <c r="AU36" s="50">
        <f ca="1">+GETPIVOTDATA("XKL4",'kimlong (2016)'!$A$3,"MA_HT","DTT","MA_QH","DNG")</f>
        <v>0</v>
      </c>
      <c r="AV36" s="50">
        <f ca="1">+GETPIVOTDATA("XKL4",'kimlong (2016)'!$A$3,"MA_HT","DTT","MA_QH","TON")</f>
        <v>0</v>
      </c>
      <c r="AW36" s="50">
        <f ca="1">+GETPIVOTDATA("XKL4",'kimlong (2016)'!$A$3,"MA_HT","DTT","MA_QH","NTD")</f>
        <v>0</v>
      </c>
      <c r="AX36" s="50">
        <f ca="1">+GETPIVOTDATA("XKL4",'kimlong (2016)'!$A$3,"MA_HT","DTT","MA_QH","SKX")</f>
        <v>0</v>
      </c>
      <c r="AY36" s="50">
        <f ca="1">+GETPIVOTDATA("XKL4",'kimlong (2016)'!$A$3,"MA_HT","DTT","MA_QH","DSH")</f>
        <v>0</v>
      </c>
      <c r="AZ36" s="50">
        <f ca="1">+GETPIVOTDATA("XKL4",'kimlong (2016)'!$A$3,"MA_HT","DTT","MA_QH","DKV")</f>
        <v>0</v>
      </c>
      <c r="BA36" s="88">
        <f ca="1">+GETPIVOTDATA("XKL4",'kimlong (2016)'!$A$3,"MA_HT","DTT","MA_QH","TIN")</f>
        <v>0</v>
      </c>
      <c r="BB36" s="50">
        <f ca="1">+GETPIVOTDATA("XKL4",'kimlong (2016)'!$A$3,"MA_HT","DTT","MA_QH","SON")</f>
        <v>0</v>
      </c>
      <c r="BC36" s="50">
        <f ca="1">+GETPIVOTDATA("XKL4",'kimlong (2016)'!$A$3,"MA_HT","DTT","MA_QH","MNC")</f>
        <v>0</v>
      </c>
      <c r="BD36" s="50">
        <f ca="1">+GETPIVOTDATA("XKL4",'kimlong (2016)'!$A$3,"MA_HT","DTT","MA_QH","PNK")</f>
        <v>0</v>
      </c>
      <c r="BE36" s="80">
        <f ca="1">+GETPIVOTDATA("XKL4",'kimlong (2016)'!$A$3,"MA_HT","DTT","MA_QH","CSD")</f>
        <v>0</v>
      </c>
      <c r="BF36" s="103">
        <f ca="1" t="shared" si="13"/>
        <v>0</v>
      </c>
      <c r="BG36" s="104">
        <f ca="1">AI$59-$BF36</f>
        <v>0</v>
      </c>
      <c r="BH36" s="47" t="e">
        <f ca="1" t="shared" si="14"/>
        <v>#REF!</v>
      </c>
      <c r="BI36" s="105"/>
      <c r="BJ36" s="105" t="e">
        <f>#REF!</f>
        <v>#REF!</v>
      </c>
      <c r="BK36" s="108" t="e">
        <f ca="1" t="shared" si="19"/>
        <v>#REF!</v>
      </c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</row>
    <row r="37" s="4" customFormat="1" ht="16.5" customHeight="1" spans="1:79">
      <c r="A37" s="45" t="s">
        <v>8392</v>
      </c>
      <c r="B37" s="45" t="s">
        <v>8393</v>
      </c>
      <c r="C37" s="46" t="s">
        <v>8302</v>
      </c>
      <c r="D37" s="47" t="e">
        <f>+#REF!</f>
        <v>#REF!</v>
      </c>
      <c r="E37" s="42">
        <f ca="1" t="shared" si="15"/>
        <v>0</v>
      </c>
      <c r="F37" s="52">
        <f ca="1" t="shared" si="9"/>
        <v>0</v>
      </c>
      <c r="G37" s="50">
        <f ca="1">+GETPIVOTDATA("XKL4",'kimlong (2016)'!$A$3,"MA_HT","NCK","MA_QH","LUC")</f>
        <v>0</v>
      </c>
      <c r="H37" s="50">
        <f ca="1">+GETPIVOTDATA("XKL4",'kimlong (2016)'!$A$3,"MA_HT","NCK","MA_QH","LUK")</f>
        <v>0</v>
      </c>
      <c r="I37" s="50">
        <f ca="1">+GETPIVOTDATA("XKL4",'kimlong (2016)'!$A$3,"MA_HT","NCK","MA_QH","LUN")</f>
        <v>0</v>
      </c>
      <c r="J37" s="50">
        <f ca="1">+GETPIVOTDATA("XKL4",'kimlong (2016)'!$A$3,"MA_HT","NCK","MA_QH","HNK")</f>
        <v>0</v>
      </c>
      <c r="K37" s="50">
        <f ca="1">+GETPIVOTDATA("XKL4",'kimlong (2016)'!$A$3,"MA_HT","NCK","MA_QH","CLN")</f>
        <v>0</v>
      </c>
      <c r="L37" s="50">
        <f ca="1">+GETPIVOTDATA("XKL4",'kimlong (2016)'!$A$3,"MA_HT","NCK","MA_QH","RSX")</f>
        <v>0</v>
      </c>
      <c r="M37" s="50">
        <f ca="1">+GETPIVOTDATA("XKL4",'kimlong (2016)'!$A$3,"MA_HT","NCK","MA_QH","RPH")</f>
        <v>0</v>
      </c>
      <c r="N37" s="50">
        <f ca="1">+GETPIVOTDATA("XKL4",'kimlong (2016)'!$A$3,"MA_HT","NCK","MA_QH","RDD")</f>
        <v>0</v>
      </c>
      <c r="O37" s="50">
        <f ca="1">+GETPIVOTDATA("XKL4",'kimlong (2016)'!$A$3,"MA_HT","NCK","MA_QH","NTS")</f>
        <v>0</v>
      </c>
      <c r="P37" s="50">
        <f ca="1">+GETPIVOTDATA("XKL4",'kimlong (2016)'!$A$3,"MA_HT","NCK","MA_QH","LMU")</f>
        <v>0</v>
      </c>
      <c r="Q37" s="50">
        <f ca="1">+GETPIVOTDATA("XKL4",'kimlong (2016)'!$A$3,"MA_HT","NCK","MA_QH","NKH")</f>
        <v>0</v>
      </c>
      <c r="R37" s="48">
        <f ca="1" t="shared" si="20"/>
        <v>0</v>
      </c>
      <c r="S37" s="50">
        <f ca="1">+GETPIVOTDATA("XKL4",'kimlong (2016)'!$A$3,"MA_HT","NCK","MA_QH","CQP")</f>
        <v>0</v>
      </c>
      <c r="T37" s="50">
        <f ca="1">+GETPIVOTDATA("XKL4",'kimlong (2016)'!$A$3,"MA_HT","NCK","MA_QH","CAN")</f>
        <v>0</v>
      </c>
      <c r="U37" s="50">
        <f ca="1">+GETPIVOTDATA("XKL4",'kimlong (2016)'!$A$3,"MA_HT","NCK","MA_QH","SKK")</f>
        <v>0</v>
      </c>
      <c r="V37" s="50">
        <f ca="1">+GETPIVOTDATA("XKL4",'kimlong (2016)'!$A$3,"MA_HT","NCK","MA_QH","SKT")</f>
        <v>0</v>
      </c>
      <c r="W37" s="50">
        <f ca="1">+GETPIVOTDATA("XKL4",'kimlong (2016)'!$A$3,"MA_HT","NCK","MA_QH","SKN")</f>
        <v>0</v>
      </c>
      <c r="X37" s="50">
        <f ca="1">+GETPIVOTDATA("XKL4",'kimlong (2016)'!$A$3,"MA_HT","NCK","MA_QH","TMD")</f>
        <v>0</v>
      </c>
      <c r="Y37" s="50">
        <f ca="1">+GETPIVOTDATA("XKL4",'kimlong (2016)'!$A$3,"MA_HT","NCK","MA_QH","SKC")</f>
        <v>0</v>
      </c>
      <c r="Z37" s="50">
        <f ca="1">+GETPIVOTDATA("XKL4",'kimlong (2016)'!$A$3,"MA_HT","NCK","MA_QH","SKS")</f>
        <v>0</v>
      </c>
      <c r="AA37" s="52">
        <f ca="1">+SUM(AB37:AI37,AK37:AM37)</f>
        <v>0</v>
      </c>
      <c r="AB37" s="50">
        <f ca="1">+GETPIVOTDATA("XKL4",'kimlong (2016)'!$A$3,"MA_HT","NCK","MA_QH","DGT")</f>
        <v>0</v>
      </c>
      <c r="AC37" s="50">
        <f ca="1">+GETPIVOTDATA("XKL4",'kimlong (2016)'!$A$3,"MA_HT","NCK","MA_QH","DTL")</f>
        <v>0</v>
      </c>
      <c r="AD37" s="50">
        <f ca="1">+GETPIVOTDATA("XKL4",'kimlong (2016)'!$A$3,"MA_HT","NCK","MA_QH","DNL")</f>
        <v>0</v>
      </c>
      <c r="AE37" s="50">
        <f ca="1">+GETPIVOTDATA("XKL4",'kimlong (2016)'!$A$3,"MA_HT","NCK","MA_QH","DBV")</f>
        <v>0</v>
      </c>
      <c r="AF37" s="50">
        <f ca="1">+GETPIVOTDATA("XKL4",'kimlong (2016)'!$A$3,"MA_HT","NCK","MA_QH","DVH")</f>
        <v>0</v>
      </c>
      <c r="AG37" s="50">
        <f ca="1">+GETPIVOTDATA("XKL4",'kimlong (2016)'!$A$3,"MA_HT","NCK","MA_QH","DYT")</f>
        <v>0</v>
      </c>
      <c r="AH37" s="50">
        <f ca="1">+GETPIVOTDATA("XKL4",'kimlong (2016)'!$A$3,"MA_HT","NCK","MA_QH","DGD")</f>
        <v>0</v>
      </c>
      <c r="AI37" s="50">
        <f ca="1">+GETPIVOTDATA("XKL4",'kimlong (2016)'!$A$3,"MA_HT","NCK","MA_QH","DTT")</f>
        <v>0</v>
      </c>
      <c r="AJ37" s="49" t="e">
        <f ca="1">$D37-$BF37</f>
        <v>#REF!</v>
      </c>
      <c r="AK37" s="50">
        <f ca="1">+GETPIVOTDATA("XKL4",'kimlong (2016)'!$A$3,"MA_HT","NCK","MA_QH","DXH")</f>
        <v>0</v>
      </c>
      <c r="AL37" s="50">
        <f ca="1">+GETPIVOTDATA("XKL4",'kimlong (2016)'!$A$3,"MA_HT","NCK","MA_QH","DCH")</f>
        <v>0</v>
      </c>
      <c r="AM37" s="50">
        <f ca="1">+GETPIVOTDATA("XKL4",'kimlong (2016)'!$A$3,"MA_HT","NCK","MA_QH","DKG")</f>
        <v>0</v>
      </c>
      <c r="AN37" s="50">
        <f ca="1">+GETPIVOTDATA("XKL4",'kimlong (2016)'!$A$3,"MA_HT","NCK","MA_QH","DDT")</f>
        <v>0</v>
      </c>
      <c r="AO37" s="50">
        <f ca="1">+GETPIVOTDATA("XKL4",'kimlong (2016)'!$A$3,"MA_HT","NCK","MA_QH","DDL")</f>
        <v>0</v>
      </c>
      <c r="AP37" s="50">
        <f ca="1">+GETPIVOTDATA("XKL4",'kimlong (2016)'!$A$3,"MA_HT","NCK","MA_QH","DRA")</f>
        <v>0</v>
      </c>
      <c r="AQ37" s="50">
        <f ca="1">+GETPIVOTDATA("XKL4",'kimlong (2016)'!$A$3,"MA_HT","NCK","MA_QH","ONT")</f>
        <v>0</v>
      </c>
      <c r="AR37" s="50">
        <f ca="1">+GETPIVOTDATA("XKL4",'kimlong (2016)'!$A$3,"MA_HT","NCK","MA_QH","ODT")</f>
        <v>0</v>
      </c>
      <c r="AS37" s="50">
        <f ca="1">+GETPIVOTDATA("XKL4",'kimlong (2016)'!$A$3,"MA_HT","NCK","MA_QH","TSC")</f>
        <v>0</v>
      </c>
      <c r="AT37" s="50">
        <f ca="1">+GETPIVOTDATA("XKL4",'kimlong (2016)'!$A$3,"MA_HT","NCK","MA_QH","DTS")</f>
        <v>0</v>
      </c>
      <c r="AU37" s="50">
        <f ca="1">+GETPIVOTDATA("XKL4",'kimlong (2016)'!$A$3,"MA_HT","NCK","MA_QH","DNG")</f>
        <v>0</v>
      </c>
      <c r="AV37" s="50">
        <f ca="1">+GETPIVOTDATA("XKL4",'kimlong (2016)'!$A$3,"MA_HT","NCK","MA_QH","TON")</f>
        <v>0</v>
      </c>
      <c r="AW37" s="50">
        <f ca="1">+GETPIVOTDATA("XKL4",'kimlong (2016)'!$A$3,"MA_HT","NCK","MA_QH","NTD")</f>
        <v>0</v>
      </c>
      <c r="AX37" s="50">
        <f ca="1">+GETPIVOTDATA("XKL4",'kimlong (2016)'!$A$3,"MA_HT","NCK","MA_QH","SKX")</f>
        <v>0</v>
      </c>
      <c r="AY37" s="50">
        <f ca="1">+GETPIVOTDATA("XKL4",'kimlong (2016)'!$A$3,"MA_HT","NCK","MA_QH","DSH")</f>
        <v>0</v>
      </c>
      <c r="AZ37" s="50">
        <f ca="1">+GETPIVOTDATA("XKL4",'kimlong (2016)'!$A$3,"MA_HT","NCK","MA_QH","DKV")</f>
        <v>0</v>
      </c>
      <c r="BA37" s="88">
        <f ca="1">+GETPIVOTDATA("XKL4",'kimlong (2016)'!$A$3,"MA_HT","NCK","MA_QH","TIN")</f>
        <v>0</v>
      </c>
      <c r="BB37" s="50">
        <f ca="1">+GETPIVOTDATA("XKL4",'kimlong (2016)'!$A$3,"MA_HT","NCK","MA_QH","SON")</f>
        <v>0</v>
      </c>
      <c r="BC37" s="50">
        <f ca="1">+GETPIVOTDATA("XKL4",'kimlong (2016)'!$A$3,"MA_HT","NCK","MA_QH","MNC")</f>
        <v>0</v>
      </c>
      <c r="BD37" s="50">
        <f ca="1">+GETPIVOTDATA("XKL4",'kimlong (2016)'!$A$3,"MA_HT","NCK","MA_QH","PNK")</f>
        <v>0</v>
      </c>
      <c r="BE37" s="80">
        <f ca="1">+GETPIVOTDATA("XKL4",'kimlong (2016)'!$A$3,"MA_HT","NCK","MA_QH","CSD")</f>
        <v>0</v>
      </c>
      <c r="BF37" s="103">
        <f ca="1" t="shared" si="13"/>
        <v>0</v>
      </c>
      <c r="BG37" s="104">
        <f ca="1">AJ$59-$BF37</f>
        <v>0</v>
      </c>
      <c r="BH37" s="47" t="e">
        <f ca="1" t="shared" si="14"/>
        <v>#REF!</v>
      </c>
      <c r="BI37" s="105"/>
      <c r="BJ37" s="105" t="e">
        <f>#REF!</f>
        <v>#REF!</v>
      </c>
      <c r="BK37" s="108" t="e">
        <f ca="1" t="shared" si="19"/>
        <v>#REF!</v>
      </c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</row>
    <row r="38" s="4" customFormat="1" ht="16.5" customHeight="1" spans="1:79">
      <c r="A38" s="45" t="s">
        <v>8394</v>
      </c>
      <c r="B38" s="45" t="s">
        <v>8395</v>
      </c>
      <c r="C38" s="46" t="s">
        <v>8295</v>
      </c>
      <c r="D38" s="47" t="e">
        <f>+#REF!</f>
        <v>#REF!</v>
      </c>
      <c r="E38" s="42">
        <f ca="1" t="shared" si="15"/>
        <v>0</v>
      </c>
      <c r="F38" s="52">
        <f ca="1" t="shared" si="9"/>
        <v>0</v>
      </c>
      <c r="G38" s="50">
        <f ca="1">+GETPIVOTDATA("XKL4",'kimlong (2016)'!$A$3,"MA_HT","DXH","MA_QH","LUC")</f>
        <v>0</v>
      </c>
      <c r="H38" s="50">
        <f ca="1">+GETPIVOTDATA("XKL4",'kimlong (2016)'!$A$3,"MA_HT","DXH","MA_QH","LUK")</f>
        <v>0</v>
      </c>
      <c r="I38" s="50">
        <f ca="1">+GETPIVOTDATA("XKL4",'kimlong (2016)'!$A$3,"MA_HT","DXH","MA_QH","LUN")</f>
        <v>0</v>
      </c>
      <c r="J38" s="50">
        <f ca="1">+GETPIVOTDATA("XKL4",'kimlong (2016)'!$A$3,"MA_HT","DXH","MA_QH","HNK")</f>
        <v>0</v>
      </c>
      <c r="K38" s="50">
        <f ca="1">+GETPIVOTDATA("XKL4",'kimlong (2016)'!$A$3,"MA_HT","DXH","MA_QH","CLN")</f>
        <v>0</v>
      </c>
      <c r="L38" s="50">
        <f ca="1">+GETPIVOTDATA("XKL4",'kimlong (2016)'!$A$3,"MA_HT","DXH","MA_QH","RSX")</f>
        <v>0</v>
      </c>
      <c r="M38" s="50">
        <f ca="1">+GETPIVOTDATA("XKL4",'kimlong (2016)'!$A$3,"MA_HT","DXH","MA_QH","RPH")</f>
        <v>0</v>
      </c>
      <c r="N38" s="50">
        <f ca="1">+GETPIVOTDATA("XKL4",'kimlong (2016)'!$A$3,"MA_HT","DXH","MA_QH","RDD")</f>
        <v>0</v>
      </c>
      <c r="O38" s="50">
        <f ca="1">+GETPIVOTDATA("XKL4",'kimlong (2016)'!$A$3,"MA_HT","DXH","MA_QH","NTS")</f>
        <v>0</v>
      </c>
      <c r="P38" s="50">
        <f ca="1">+GETPIVOTDATA("XKL4",'kimlong (2016)'!$A$3,"MA_HT","DXH","MA_QH","LMU")</f>
        <v>0</v>
      </c>
      <c r="Q38" s="50">
        <f ca="1">+GETPIVOTDATA("XKL4",'kimlong (2016)'!$A$3,"MA_HT","DXH","MA_QH","NKH")</f>
        <v>0</v>
      </c>
      <c r="R38" s="48">
        <f ca="1" t="shared" si="20"/>
        <v>0</v>
      </c>
      <c r="S38" s="50">
        <f ca="1">+GETPIVOTDATA("XKL4",'kimlong (2016)'!$A$3,"MA_HT","DXH","MA_QH","CQP")</f>
        <v>0</v>
      </c>
      <c r="T38" s="50">
        <f ca="1">+GETPIVOTDATA("XKL4",'kimlong (2016)'!$A$3,"MA_HT","DXH","MA_QH","CAN")</f>
        <v>0</v>
      </c>
      <c r="U38" s="50">
        <f ca="1">+GETPIVOTDATA("XKL4",'kimlong (2016)'!$A$3,"MA_HT","DXH","MA_QH","SKK")</f>
        <v>0</v>
      </c>
      <c r="V38" s="50">
        <f ca="1">+GETPIVOTDATA("XKL4",'kimlong (2016)'!$A$3,"MA_HT","DXH","MA_QH","SKT")</f>
        <v>0</v>
      </c>
      <c r="W38" s="50">
        <f ca="1">+GETPIVOTDATA("XKL4",'kimlong (2016)'!$A$3,"MA_HT","DXH","MA_QH","SKN")</f>
        <v>0</v>
      </c>
      <c r="X38" s="50">
        <f ca="1">+GETPIVOTDATA("XKL4",'kimlong (2016)'!$A$3,"MA_HT","DXH","MA_QH","TMD")</f>
        <v>0</v>
      </c>
      <c r="Y38" s="50">
        <f ca="1">+GETPIVOTDATA("XKL4",'kimlong (2016)'!$A$3,"MA_HT","DXH","MA_QH","SKC")</f>
        <v>0</v>
      </c>
      <c r="Z38" s="50">
        <f ca="1">+GETPIVOTDATA("XKL4",'kimlong (2016)'!$A$3,"MA_HT","DXH","MA_QH","SKS")</f>
        <v>0</v>
      </c>
      <c r="AA38" s="52">
        <f ca="1">+SUM(AB38:AJ38,AL38:AM38)</f>
        <v>0</v>
      </c>
      <c r="AB38" s="50">
        <f ca="1">+GETPIVOTDATA("XKL4",'kimlong (2016)'!$A$3,"MA_HT","DXH","MA_QH","DGT")</f>
        <v>0</v>
      </c>
      <c r="AC38" s="50">
        <f ca="1">+GETPIVOTDATA("XKL4",'kimlong (2016)'!$A$3,"MA_HT","DXH","MA_QH","DTL")</f>
        <v>0</v>
      </c>
      <c r="AD38" s="50">
        <f ca="1">+GETPIVOTDATA("XKL4",'kimlong (2016)'!$A$3,"MA_HT","DXH","MA_QH","DNL")</f>
        <v>0</v>
      </c>
      <c r="AE38" s="50">
        <f ca="1">+GETPIVOTDATA("XKL4",'kimlong (2016)'!$A$3,"MA_HT","DXH","MA_QH","DBV")</f>
        <v>0</v>
      </c>
      <c r="AF38" s="50">
        <f ca="1">+GETPIVOTDATA("XKL4",'kimlong (2016)'!$A$3,"MA_HT","DXH","MA_QH","DVH")</f>
        <v>0</v>
      </c>
      <c r="AG38" s="50">
        <f ca="1">+GETPIVOTDATA("XKL4",'kimlong (2016)'!$A$3,"MA_HT","DXH","MA_QH","DYT")</f>
        <v>0</v>
      </c>
      <c r="AH38" s="50">
        <f ca="1">+GETPIVOTDATA("XKL4",'kimlong (2016)'!$A$3,"MA_HT","DXH","MA_QH","DGD")</f>
        <v>0</v>
      </c>
      <c r="AI38" s="50">
        <f ca="1">+GETPIVOTDATA("XKL4",'kimlong (2016)'!$A$3,"MA_HT","DXH","MA_QH","DTT")</f>
        <v>0</v>
      </c>
      <c r="AJ38" s="50">
        <f ca="1">+GETPIVOTDATA("XKL4",'kimlong (2016)'!$A$3,"MA_HT","DXH","MA_QH","NCK")</f>
        <v>0</v>
      </c>
      <c r="AK38" s="49" t="e">
        <f ca="1">$D38-$BF38</f>
        <v>#REF!</v>
      </c>
      <c r="AL38" s="50">
        <f ca="1">+GETPIVOTDATA("XKL4",'kimlong (2016)'!$A$3,"MA_HT","DXH","MA_QH","DCH")</f>
        <v>0</v>
      </c>
      <c r="AM38" s="50">
        <f ca="1">+GETPIVOTDATA("XKL4",'kimlong (2016)'!$A$3,"MA_HT","DXH","MA_QH","DKG")</f>
        <v>0</v>
      </c>
      <c r="AN38" s="50">
        <f ca="1">+GETPIVOTDATA("XKL4",'kimlong (2016)'!$A$3,"MA_HT","DXH","MA_QH","DDT")</f>
        <v>0</v>
      </c>
      <c r="AO38" s="50">
        <f ca="1">+GETPIVOTDATA("XKL4",'kimlong (2016)'!$A$3,"MA_HT","DXH","MA_QH","DDL")</f>
        <v>0</v>
      </c>
      <c r="AP38" s="50">
        <f ca="1">+GETPIVOTDATA("XKL4",'kimlong (2016)'!$A$3,"MA_HT","DXH","MA_QH","DRA")</f>
        <v>0</v>
      </c>
      <c r="AQ38" s="50">
        <f ca="1">+GETPIVOTDATA("XKL4",'kimlong (2016)'!$A$3,"MA_HT","DXH","MA_QH","ONT")</f>
        <v>0</v>
      </c>
      <c r="AR38" s="50">
        <f ca="1">+GETPIVOTDATA("XKL4",'kimlong (2016)'!$A$3,"MA_HT","DXH","MA_QH","ODT")</f>
        <v>0</v>
      </c>
      <c r="AS38" s="50">
        <f ca="1">+GETPIVOTDATA("XKL4",'kimlong (2016)'!$A$3,"MA_HT","DXH","MA_QH","TSC")</f>
        <v>0</v>
      </c>
      <c r="AT38" s="50">
        <f ca="1">+GETPIVOTDATA("XKL4",'kimlong (2016)'!$A$3,"MA_HT","DXH","MA_QH","DTS")</f>
        <v>0</v>
      </c>
      <c r="AU38" s="50">
        <f ca="1">+GETPIVOTDATA("XKL4",'kimlong (2016)'!$A$3,"MA_HT","DXH","MA_QH","DNG")</f>
        <v>0</v>
      </c>
      <c r="AV38" s="50">
        <f ca="1">+GETPIVOTDATA("XKL4",'kimlong (2016)'!$A$3,"MA_HT","DXH","MA_QH","TON")</f>
        <v>0</v>
      </c>
      <c r="AW38" s="50">
        <f ca="1">+GETPIVOTDATA("XKL4",'kimlong (2016)'!$A$3,"MA_HT","DXH","MA_QH","NTD")</f>
        <v>0</v>
      </c>
      <c r="AX38" s="50">
        <f ca="1">+GETPIVOTDATA("XKL4",'kimlong (2016)'!$A$3,"MA_HT","DXH","MA_QH","SKX")</f>
        <v>0</v>
      </c>
      <c r="AY38" s="50">
        <f ca="1">+GETPIVOTDATA("XKL4",'kimlong (2016)'!$A$3,"MA_HT","DXH","MA_QH","DSH")</f>
        <v>0</v>
      </c>
      <c r="AZ38" s="50">
        <f ca="1">+GETPIVOTDATA("XKL4",'kimlong (2016)'!$A$3,"MA_HT","DXH","MA_QH","DKV")</f>
        <v>0</v>
      </c>
      <c r="BA38" s="88">
        <f ca="1">+GETPIVOTDATA("XKL4",'kimlong (2016)'!$A$3,"MA_HT","DXH","MA_QH","TIN")</f>
        <v>0</v>
      </c>
      <c r="BB38" s="50">
        <f ca="1">+GETPIVOTDATA("XKL4",'kimlong (2016)'!$A$3,"MA_HT","DXH","MA_QH","SON")</f>
        <v>0</v>
      </c>
      <c r="BC38" s="50">
        <f ca="1">+GETPIVOTDATA("XKL4",'kimlong (2016)'!$A$3,"MA_HT","DXH","MA_QH","MNC")</f>
        <v>0</v>
      </c>
      <c r="BD38" s="50">
        <f ca="1">+GETPIVOTDATA("XKL4",'kimlong (2016)'!$A$3,"MA_HT","DXH","MA_QH","PNK")</f>
        <v>0</v>
      </c>
      <c r="BE38" s="80">
        <f ca="1">+GETPIVOTDATA("XKL4",'kimlong (2016)'!$A$3,"MA_HT","DXH","MA_QH","CSD")</f>
        <v>0</v>
      </c>
      <c r="BF38" s="103">
        <f ca="1" t="shared" si="13"/>
        <v>0</v>
      </c>
      <c r="BG38" s="104">
        <f ca="1">AK$59-$BF38</f>
        <v>0</v>
      </c>
      <c r="BH38" s="47" t="e">
        <f ca="1" t="shared" si="14"/>
        <v>#REF!</v>
      </c>
      <c r="BI38" s="105"/>
      <c r="BJ38" s="105" t="e">
        <f>#REF!</f>
        <v>#REF!</v>
      </c>
      <c r="BK38" s="108" t="e">
        <f ca="1" t="shared" si="19"/>
        <v>#REF!</v>
      </c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</row>
    <row r="39" s="5" customFormat="1" ht="16.5" customHeight="1" spans="1:79">
      <c r="A39" s="45" t="s">
        <v>8396</v>
      </c>
      <c r="B39" s="45" t="s">
        <v>8397</v>
      </c>
      <c r="C39" s="46" t="s">
        <v>178</v>
      </c>
      <c r="D39" s="47" t="e">
        <f>+#REF!</f>
        <v>#REF!</v>
      </c>
      <c r="E39" s="42">
        <f ca="1" t="shared" si="15"/>
        <v>0</v>
      </c>
      <c r="F39" s="52">
        <f ca="1" t="shared" si="9"/>
        <v>0</v>
      </c>
      <c r="G39" s="50">
        <f ca="1">+GETPIVOTDATA("XKL4",'kimlong (2016)'!$A$3,"MA_HT","DCH","MA_QH","LUC")</f>
        <v>0</v>
      </c>
      <c r="H39" s="50">
        <f ca="1">+GETPIVOTDATA("XKL4",'kimlong (2016)'!$A$3,"MA_HT","DCH","MA_QH","LUK")</f>
        <v>0</v>
      </c>
      <c r="I39" s="50">
        <f ca="1">+GETPIVOTDATA("XKL4",'kimlong (2016)'!$A$3,"MA_HT","DCH","MA_QH","LUN")</f>
        <v>0</v>
      </c>
      <c r="J39" s="50">
        <f ca="1">+GETPIVOTDATA("XKL4",'kimlong (2016)'!$A$3,"MA_HT","DCH","MA_QH","HNK")</f>
        <v>0</v>
      </c>
      <c r="K39" s="50">
        <f ca="1">+GETPIVOTDATA("XKL4",'kimlong (2016)'!$A$3,"MA_HT","DCH","MA_QH","CLN")</f>
        <v>0</v>
      </c>
      <c r="L39" s="50">
        <f ca="1">+GETPIVOTDATA("XKL4",'kimlong (2016)'!$A$3,"MA_HT","DCH","MA_QH","RSX")</f>
        <v>0</v>
      </c>
      <c r="M39" s="50">
        <f ca="1">+GETPIVOTDATA("XKL4",'kimlong (2016)'!$A$3,"MA_HT","DCH","MA_QH","RPH")</f>
        <v>0</v>
      </c>
      <c r="N39" s="50">
        <f ca="1">+GETPIVOTDATA("XKL4",'kimlong (2016)'!$A$3,"MA_HT","DCH","MA_QH","RDD")</f>
        <v>0</v>
      </c>
      <c r="O39" s="50">
        <f ca="1">+GETPIVOTDATA("XKL4",'kimlong (2016)'!$A$3,"MA_HT","DCH","MA_QH","NTS")</f>
        <v>0</v>
      </c>
      <c r="P39" s="50">
        <f ca="1">+GETPIVOTDATA("XKL4",'kimlong (2016)'!$A$3,"MA_HT","DCH","MA_QH","LMU")</f>
        <v>0</v>
      </c>
      <c r="Q39" s="50">
        <f ca="1">+GETPIVOTDATA("XKL4",'kimlong (2016)'!$A$3,"MA_HT","DCH","MA_QH","NKH")</f>
        <v>0</v>
      </c>
      <c r="R39" s="48">
        <f ca="1" t="shared" si="20"/>
        <v>0</v>
      </c>
      <c r="S39" s="50">
        <f ca="1">+GETPIVOTDATA("XKL4",'kimlong (2016)'!$A$3,"MA_HT","DCH","MA_QH","CQP")</f>
        <v>0</v>
      </c>
      <c r="T39" s="50">
        <f ca="1">+GETPIVOTDATA("XKL4",'kimlong (2016)'!$A$3,"MA_HT","DCH","MA_QH","CAN")</f>
        <v>0</v>
      </c>
      <c r="U39" s="50">
        <f ca="1">+GETPIVOTDATA("XKL4",'kimlong (2016)'!$A$3,"MA_HT","DCH","MA_QH","SKK")</f>
        <v>0</v>
      </c>
      <c r="V39" s="50">
        <f ca="1">+GETPIVOTDATA("XKL4",'kimlong (2016)'!$A$3,"MA_HT","DCH","MA_QH","SKT")</f>
        <v>0</v>
      </c>
      <c r="W39" s="50">
        <f ca="1">+GETPIVOTDATA("XKL4",'kimlong (2016)'!$A$3,"MA_HT","DCH","MA_QH","SKN")</f>
        <v>0</v>
      </c>
      <c r="X39" s="50">
        <f ca="1">+GETPIVOTDATA("XKL4",'kimlong (2016)'!$A$3,"MA_HT","DCH","MA_QH","TMD")</f>
        <v>0</v>
      </c>
      <c r="Y39" s="50">
        <f ca="1">+GETPIVOTDATA("XKL4",'kimlong (2016)'!$A$3,"MA_HT","DCH","MA_QH","SKC")</f>
        <v>0</v>
      </c>
      <c r="Z39" s="50">
        <f ca="1">+GETPIVOTDATA("XKL4",'kimlong (2016)'!$A$3,"MA_HT","DCH","MA_QH","SKS")</f>
        <v>0</v>
      </c>
      <c r="AA39" s="52">
        <f ca="1">+SUM(AB39:AK39,AM39)</f>
        <v>0</v>
      </c>
      <c r="AB39" s="50">
        <f ca="1">+GETPIVOTDATA("XKL4",'kimlong (2016)'!$A$3,"MA_HT","DCH","MA_QH","DGT")</f>
        <v>0</v>
      </c>
      <c r="AC39" s="50">
        <f ca="1">+GETPIVOTDATA("XKL4",'kimlong (2016)'!$A$3,"MA_HT","DCH","MA_QH","DTL")</f>
        <v>0</v>
      </c>
      <c r="AD39" s="50">
        <f ca="1">+GETPIVOTDATA("XKL4",'kimlong (2016)'!$A$3,"MA_HT","DCH","MA_QH","DNL")</f>
        <v>0</v>
      </c>
      <c r="AE39" s="50">
        <f ca="1">+GETPIVOTDATA("XKL4",'kimlong (2016)'!$A$3,"MA_HT","DCH","MA_QH","DBV")</f>
        <v>0</v>
      </c>
      <c r="AF39" s="50">
        <f ca="1">+GETPIVOTDATA("XKL4",'kimlong (2016)'!$A$3,"MA_HT","DCH","MA_QH","DVH")</f>
        <v>0</v>
      </c>
      <c r="AG39" s="50">
        <f ca="1">+GETPIVOTDATA("XKL4",'kimlong (2016)'!$A$3,"MA_HT","DCH","MA_QH","DYT")</f>
        <v>0</v>
      </c>
      <c r="AH39" s="50">
        <f ca="1">+GETPIVOTDATA("XKL4",'kimlong (2016)'!$A$3,"MA_HT","DCH","MA_QH","DGD")</f>
        <v>0</v>
      </c>
      <c r="AI39" s="50">
        <f ca="1">+GETPIVOTDATA("XKL4",'kimlong (2016)'!$A$3,"MA_HT","DCH","MA_QH","DTT")</f>
        <v>0</v>
      </c>
      <c r="AJ39" s="50">
        <f ca="1">+GETPIVOTDATA("XKL4",'kimlong (2016)'!$A$3,"MA_HT","DCH","MA_QH","NCK")</f>
        <v>0</v>
      </c>
      <c r="AK39" s="50">
        <f ca="1">+GETPIVOTDATA("XKL4",'kimlong (2016)'!$A$3,"MA_HT","DCH","MA_QH","DXH")</f>
        <v>0</v>
      </c>
      <c r="AL39" s="49" t="e">
        <f ca="1">$D39-$BF39</f>
        <v>#REF!</v>
      </c>
      <c r="AM39" s="50">
        <f ca="1">+GETPIVOTDATA("XKL4",'kimlong (2016)'!$A$3,"MA_HT","DXH","MA_QH","DKG")</f>
        <v>0</v>
      </c>
      <c r="AN39" s="50">
        <f ca="1">+GETPIVOTDATA("XKL4",'kimlong (2016)'!$A$3,"MA_HT","DCH","MA_QH","DDT")</f>
        <v>0</v>
      </c>
      <c r="AO39" s="50">
        <f ca="1">+GETPIVOTDATA("XKL4",'kimlong (2016)'!$A$3,"MA_HT","DCH","MA_QH","DDL")</f>
        <v>0</v>
      </c>
      <c r="AP39" s="50">
        <f ca="1">+GETPIVOTDATA("XKL4",'kimlong (2016)'!$A$3,"MA_HT","DCH","MA_QH","DRA")</f>
        <v>0</v>
      </c>
      <c r="AQ39" s="50">
        <f ca="1">+GETPIVOTDATA("XKL4",'kimlong (2016)'!$A$3,"MA_HT","DCH","MA_QH","ONT")</f>
        <v>0</v>
      </c>
      <c r="AR39" s="50">
        <f ca="1">+GETPIVOTDATA("XKL4",'kimlong (2016)'!$A$3,"MA_HT","DCH","MA_QH","ODT")</f>
        <v>0</v>
      </c>
      <c r="AS39" s="50">
        <f ca="1">+GETPIVOTDATA("XKL4",'kimlong (2016)'!$A$3,"MA_HT","DCH","MA_QH","TSC")</f>
        <v>0</v>
      </c>
      <c r="AT39" s="50">
        <f ca="1">+GETPIVOTDATA("XKL4",'kimlong (2016)'!$A$3,"MA_HT","DCH","MA_QH","DTS")</f>
        <v>0</v>
      </c>
      <c r="AU39" s="50">
        <f ca="1">+GETPIVOTDATA("XKL4",'kimlong (2016)'!$A$3,"MA_HT","DCH","MA_QH","DNG")</f>
        <v>0</v>
      </c>
      <c r="AV39" s="50">
        <f ca="1">+GETPIVOTDATA("XKL4",'kimlong (2016)'!$A$3,"MA_HT","DCH","MA_QH","TON")</f>
        <v>0</v>
      </c>
      <c r="AW39" s="50">
        <f ca="1">+GETPIVOTDATA("XKL4",'kimlong (2016)'!$A$3,"MA_HT","DCH","MA_QH","NTD")</f>
        <v>0</v>
      </c>
      <c r="AX39" s="50">
        <f ca="1">+GETPIVOTDATA("XKL4",'kimlong (2016)'!$A$3,"MA_HT","DCH","MA_QH","SKX")</f>
        <v>0</v>
      </c>
      <c r="AY39" s="50">
        <f ca="1">+GETPIVOTDATA("XKL4",'kimlong (2016)'!$A$3,"MA_HT","DCH","MA_QH","DSH")</f>
        <v>0</v>
      </c>
      <c r="AZ39" s="50">
        <f ca="1">+GETPIVOTDATA("XKL4",'kimlong (2016)'!$A$3,"MA_HT","DCH","MA_QH","DKV")</f>
        <v>0</v>
      </c>
      <c r="BA39" s="88">
        <f ca="1">+GETPIVOTDATA("XKL4",'kimlong (2016)'!$A$3,"MA_HT","DCH","MA_QH","TIN")</f>
        <v>0</v>
      </c>
      <c r="BB39" s="50">
        <f ca="1">+GETPIVOTDATA("XKL4",'kimlong (2016)'!$A$3,"MA_HT","DCH","MA_QH","SON")</f>
        <v>0</v>
      </c>
      <c r="BC39" s="50">
        <f ca="1">+GETPIVOTDATA("XKL4",'kimlong (2016)'!$A$3,"MA_HT","DCH","MA_QH","MNC")</f>
        <v>0</v>
      </c>
      <c r="BD39" s="50">
        <f ca="1">+GETPIVOTDATA("XKL4",'kimlong (2016)'!$A$3,"MA_HT","DCH","MA_QH","PNK")</f>
        <v>0</v>
      </c>
      <c r="BE39" s="80">
        <f ca="1">+GETPIVOTDATA("XKL4",'kimlong (2016)'!$A$3,"MA_HT","DCH","MA_QH","CSD")</f>
        <v>0</v>
      </c>
      <c r="BF39" s="103">
        <f ca="1" t="shared" si="13"/>
        <v>0</v>
      </c>
      <c r="BG39" s="104">
        <f ca="1">AL$59-$BF39</f>
        <v>0</v>
      </c>
      <c r="BH39" s="47" t="e">
        <f ca="1" t="shared" si="14"/>
        <v>#REF!</v>
      </c>
      <c r="BI39" s="109"/>
      <c r="BJ39" s="109" t="e">
        <f>#REF!</f>
        <v>#REF!</v>
      </c>
      <c r="BK39" s="110" t="e">
        <f ca="1" t="shared" si="19"/>
        <v>#REF!</v>
      </c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</row>
    <row r="40" s="5" customFormat="1" ht="16.5" customHeight="1" spans="1:79">
      <c r="A40" s="45" t="s">
        <v>8398</v>
      </c>
      <c r="B40" s="45" t="s">
        <v>8399</v>
      </c>
      <c r="C40" s="46" t="s">
        <v>8312</v>
      </c>
      <c r="D40" s="47" t="e">
        <f>+#REF!</f>
        <v>#REF!</v>
      </c>
      <c r="E40" s="42">
        <f ca="1" t="shared" si="15"/>
        <v>0</v>
      </c>
      <c r="F40" s="52">
        <f ca="1" t="shared" si="9"/>
        <v>0</v>
      </c>
      <c r="G40" s="50">
        <f ca="1">+GETPIVOTDATA("XKL4",'kimlong (2016)'!$A$3,"MA_HT","DKG","MA_QH","LUC")</f>
        <v>0</v>
      </c>
      <c r="H40" s="50">
        <f ca="1">+GETPIVOTDATA("XKL4",'kimlong (2016)'!$A$3,"MA_HT","DKG","MA_QH","LUK")</f>
        <v>0</v>
      </c>
      <c r="I40" s="50">
        <f ca="1">+GETPIVOTDATA("XKL4",'kimlong (2016)'!$A$3,"MA_HT","DKG","MA_QH","LUN")</f>
        <v>0</v>
      </c>
      <c r="J40" s="50">
        <f ca="1">+GETPIVOTDATA("XKL4",'kimlong (2016)'!$A$3,"MA_HT","DKG","MA_QH","HNK")</f>
        <v>0</v>
      </c>
      <c r="K40" s="50">
        <f ca="1">+GETPIVOTDATA("XKL4",'kimlong (2016)'!$A$3,"MA_HT","DKG","MA_QH","CLN")</f>
        <v>0</v>
      </c>
      <c r="L40" s="50">
        <f ca="1">+GETPIVOTDATA("XKL4",'kimlong (2016)'!$A$3,"MA_HT","DKG","MA_QH","RSX")</f>
        <v>0</v>
      </c>
      <c r="M40" s="50">
        <f ca="1">+GETPIVOTDATA("XKL4",'kimlong (2016)'!$A$3,"MA_HT","DKG","MA_QH","RPH")</f>
        <v>0</v>
      </c>
      <c r="N40" s="50">
        <f ca="1">+GETPIVOTDATA("XKL4",'kimlong (2016)'!$A$3,"MA_HT","DKG","MA_QH","RDD")</f>
        <v>0</v>
      </c>
      <c r="O40" s="50">
        <f ca="1">+GETPIVOTDATA("XKL4",'kimlong (2016)'!$A$3,"MA_HT","DKG","MA_QH","NTS")</f>
        <v>0</v>
      </c>
      <c r="P40" s="50">
        <f ca="1">+GETPIVOTDATA("XKL4",'kimlong (2016)'!$A$3,"MA_HT","DKG","MA_QH","LMU")</f>
        <v>0</v>
      </c>
      <c r="Q40" s="50">
        <f ca="1">+GETPIVOTDATA("XKL4",'kimlong (2016)'!$A$3,"MA_HT","DKG","MA_QH","NKH")</f>
        <v>0</v>
      </c>
      <c r="R40" s="48">
        <f ca="1" t="shared" si="20"/>
        <v>0</v>
      </c>
      <c r="S40" s="50">
        <f ca="1">+GETPIVOTDATA("XKL4",'kimlong (2016)'!$A$3,"MA_HT","DKG","MA_QH","CQP")</f>
        <v>0</v>
      </c>
      <c r="T40" s="50">
        <f ca="1">+GETPIVOTDATA("XKL4",'kimlong (2016)'!$A$3,"MA_HT","DKG","MA_QH","CAN")</f>
        <v>0</v>
      </c>
      <c r="U40" s="50">
        <f ca="1">+GETPIVOTDATA("XKL4",'kimlong (2016)'!$A$3,"MA_HT","DKG","MA_QH","SKK")</f>
        <v>0</v>
      </c>
      <c r="V40" s="50">
        <f ca="1">+GETPIVOTDATA("XKL4",'kimlong (2016)'!$A$3,"MA_HT","DKG","MA_QH","SKT")</f>
        <v>0</v>
      </c>
      <c r="W40" s="50">
        <f ca="1">+GETPIVOTDATA("XKL4",'kimlong (2016)'!$A$3,"MA_HT","DKG","MA_QH","SKN")</f>
        <v>0</v>
      </c>
      <c r="X40" s="50">
        <f ca="1">+GETPIVOTDATA("XKL4",'kimlong (2016)'!$A$3,"MA_HT","DKG","MA_QH","TMD")</f>
        <v>0</v>
      </c>
      <c r="Y40" s="50">
        <f ca="1">+GETPIVOTDATA("XKL4",'kimlong (2016)'!$A$3,"MA_HT","DKG","MA_QH","SKC")</f>
        <v>0</v>
      </c>
      <c r="Z40" s="50">
        <f ca="1">+GETPIVOTDATA("XKL4",'kimlong (2016)'!$A$3,"MA_HT","DKG","MA_QH","SKS")</f>
        <v>0</v>
      </c>
      <c r="AA40" s="52">
        <f ca="1">+SUM(AB40:AL40)</f>
        <v>0</v>
      </c>
      <c r="AB40" s="50">
        <f ca="1">+GETPIVOTDATA("XKL4",'kimlong (2016)'!$A$3,"MA_HT","DKG","MA_QH","DGT")</f>
        <v>0</v>
      </c>
      <c r="AC40" s="50">
        <f ca="1">+GETPIVOTDATA("XKL4",'kimlong (2016)'!$A$3,"MA_HT","DKG","MA_QH","DTL")</f>
        <v>0</v>
      </c>
      <c r="AD40" s="50">
        <f ca="1">+GETPIVOTDATA("XKL4",'kimlong (2016)'!$A$3,"MA_HT","DKG","MA_QH","DNL")</f>
        <v>0</v>
      </c>
      <c r="AE40" s="50">
        <f ca="1">+GETPIVOTDATA("XKL4",'kimlong (2016)'!$A$3,"MA_HT","DKG","MA_QH","DBV")</f>
        <v>0</v>
      </c>
      <c r="AF40" s="50">
        <f ca="1">+GETPIVOTDATA("XKL4",'kimlong (2016)'!$A$3,"MA_HT","DKG","MA_QH","DVH")</f>
        <v>0</v>
      </c>
      <c r="AG40" s="50">
        <f ca="1">+GETPIVOTDATA("XKL4",'kimlong (2016)'!$A$3,"MA_HT","DKG","MA_QH","DYT")</f>
        <v>0</v>
      </c>
      <c r="AH40" s="50">
        <f ca="1">+GETPIVOTDATA("XKL4",'kimlong (2016)'!$A$3,"MA_HT","DKG","MA_QH","DGD")</f>
        <v>0</v>
      </c>
      <c r="AI40" s="50">
        <f ca="1">+GETPIVOTDATA("XKL4",'kimlong (2016)'!$A$3,"MA_HT","DKG","MA_QH","DTT")</f>
        <v>0</v>
      </c>
      <c r="AJ40" s="50">
        <f ca="1">+GETPIVOTDATA("XKL4",'kimlong (2016)'!$A$3,"MA_HT","DKG","MA_QH","NCK")</f>
        <v>0</v>
      </c>
      <c r="AK40" s="50">
        <f ca="1">+GETPIVOTDATA("XKL4",'kimlong (2016)'!$A$3,"MA_HT","DKG","MA_QH","DXH")</f>
        <v>0</v>
      </c>
      <c r="AL40" s="60">
        <f ca="1">+GETPIVOTDATA("XKL4",'kimlong (2016)'!$A$3,"MA_HT","DDT","MA_QH","DKG")</f>
        <v>0</v>
      </c>
      <c r="AM40" s="49" t="e">
        <f ca="1">$D40-$BF40</f>
        <v>#REF!</v>
      </c>
      <c r="AN40" s="50">
        <f ca="1">+GETPIVOTDATA("XKL4",'kimlong (2016)'!$A$3,"MA_HT","DKG","MA_QH","DDT")</f>
        <v>0</v>
      </c>
      <c r="AO40" s="50">
        <f ca="1">+GETPIVOTDATA("XKL4",'kimlong (2016)'!$A$3,"MA_HT","DKG","MA_QH","DDL")</f>
        <v>0</v>
      </c>
      <c r="AP40" s="50">
        <f ca="1">+GETPIVOTDATA("XKL4",'kimlong (2016)'!$A$3,"MA_HT","DKG","MA_QH","DRA")</f>
        <v>0</v>
      </c>
      <c r="AQ40" s="50">
        <f ca="1">+GETPIVOTDATA("XKL4",'kimlong (2016)'!$A$3,"MA_HT","DKG","MA_QH","ONT")</f>
        <v>0</v>
      </c>
      <c r="AR40" s="50">
        <f ca="1">+GETPIVOTDATA("XKL4",'kimlong (2016)'!$A$3,"MA_HT","DKG","MA_QH","ODT")</f>
        <v>0</v>
      </c>
      <c r="AS40" s="50">
        <f ca="1">+GETPIVOTDATA("XKL4",'kimlong (2016)'!$A$3,"MA_HT","DKG","MA_QH","TSC")</f>
        <v>0</v>
      </c>
      <c r="AT40" s="50">
        <f ca="1">+GETPIVOTDATA("XKL4",'kimlong (2016)'!$A$3,"MA_HT","DKG","MA_QH","DTS")</f>
        <v>0</v>
      </c>
      <c r="AU40" s="50">
        <f ca="1">+GETPIVOTDATA("XKL4",'kimlong (2016)'!$A$3,"MA_HT","DKG","MA_QH","DNG")</f>
        <v>0</v>
      </c>
      <c r="AV40" s="50">
        <f ca="1">+GETPIVOTDATA("XKL4",'kimlong (2016)'!$A$3,"MA_HT","DKG","MA_QH","TON")</f>
        <v>0</v>
      </c>
      <c r="AW40" s="50">
        <f ca="1">+GETPIVOTDATA("XKL4",'kimlong (2016)'!$A$3,"MA_HT","DKG","MA_QH","NTD")</f>
        <v>0</v>
      </c>
      <c r="AX40" s="50">
        <f ca="1">+GETPIVOTDATA("XKL4",'kimlong (2016)'!$A$3,"MA_HT","DKG","MA_QH","SKX")</f>
        <v>0</v>
      </c>
      <c r="AY40" s="50">
        <f ca="1">+GETPIVOTDATA("XKL4",'kimlong (2016)'!$A$3,"MA_HT","DKG","MA_QH","DSH")</f>
        <v>0</v>
      </c>
      <c r="AZ40" s="50">
        <f ca="1">+GETPIVOTDATA("XKL4",'kimlong (2016)'!$A$3,"MA_HT","DKG","MA_QH","DKV")</f>
        <v>0</v>
      </c>
      <c r="BA40" s="88">
        <f ca="1">+GETPIVOTDATA("XKL4",'kimlong (2016)'!$A$3,"MA_HT","DKG","MA_QH","TIN")</f>
        <v>0</v>
      </c>
      <c r="BB40" s="50">
        <f ca="1">+GETPIVOTDATA("XKL4",'kimlong (2016)'!$A$3,"MA_HT","DKG","MA_QH","SON")</f>
        <v>0</v>
      </c>
      <c r="BC40" s="50">
        <f ca="1">+GETPIVOTDATA("XKL4",'kimlong (2016)'!$A$3,"MA_HT","DKG","MA_QH","MNC")</f>
        <v>0</v>
      </c>
      <c r="BD40" s="50">
        <f ca="1">+GETPIVOTDATA("XKL4",'kimlong (2016)'!$A$3,"MA_HT","DKG","MA_QH","PNK")</f>
        <v>0</v>
      </c>
      <c r="BE40" s="80">
        <f ca="1">+GETPIVOTDATA("XKL4",'kimlong (2016)'!$A$3,"MA_HT","DKG","MA_QH","CSD")</f>
        <v>0</v>
      </c>
      <c r="BF40" s="103">
        <f ca="1" t="shared" si="13"/>
        <v>0</v>
      </c>
      <c r="BG40" s="104">
        <f ca="1">AM$59-$BF40</f>
        <v>0</v>
      </c>
      <c r="BH40" s="47" t="e">
        <f ca="1" t="shared" si="14"/>
        <v>#REF!</v>
      </c>
      <c r="BI40" s="109"/>
      <c r="BJ40" s="109" t="e">
        <f>#REF!</f>
        <v>#REF!</v>
      </c>
      <c r="BK40" s="110" t="e">
        <f ca="1" t="shared" si="19"/>
        <v>#REF!</v>
      </c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</row>
    <row r="41" s="6" customFormat="1" ht="15.75" customHeight="1" spans="1:79">
      <c r="A41" s="54" t="s">
        <v>8400</v>
      </c>
      <c r="B41" s="55" t="s">
        <v>8401</v>
      </c>
      <c r="C41" s="56" t="s">
        <v>8287</v>
      </c>
      <c r="D41" s="57" t="e">
        <f>+#REF!</f>
        <v>#REF!</v>
      </c>
      <c r="E41" s="58">
        <f ca="1" t="shared" si="15"/>
        <v>0</v>
      </c>
      <c r="F41" s="59">
        <f ca="1" t="shared" si="9"/>
        <v>0</v>
      </c>
      <c r="G41" s="60">
        <f ca="1">+GETPIVOTDATA("XKL4",'kimlong (2016)'!$A$3,"MA_HT","DDT","MA_QH","LUC")</f>
        <v>0</v>
      </c>
      <c r="H41" s="60">
        <f ca="1">+GETPIVOTDATA("XKL4",'kimlong (2016)'!$A$3,"MA_HT","DDT","MA_QH","LUK")</f>
        <v>0</v>
      </c>
      <c r="I41" s="60">
        <f ca="1">+GETPIVOTDATA("XKL4",'kimlong (2016)'!$A$3,"MA_HT","DDT","MA_QH","LUN")</f>
        <v>0</v>
      </c>
      <c r="J41" s="60">
        <f ca="1">+GETPIVOTDATA("XKL4",'kimlong (2016)'!$A$3,"MA_HT","DDT","MA_QH","HNK")</f>
        <v>0</v>
      </c>
      <c r="K41" s="60">
        <f ca="1">+GETPIVOTDATA("XKL4",'kimlong (2016)'!$A$3,"MA_HT","DDT","MA_QH","CLN")</f>
        <v>0</v>
      </c>
      <c r="L41" s="60">
        <f ca="1">+GETPIVOTDATA("XKL4",'kimlong (2016)'!$A$3,"MA_HT","DDT","MA_QH","RSX")</f>
        <v>0</v>
      </c>
      <c r="M41" s="60">
        <f ca="1">+GETPIVOTDATA("XKL4",'kimlong (2016)'!$A$3,"MA_HT","DDT","MA_QH","RPH")</f>
        <v>0</v>
      </c>
      <c r="N41" s="60">
        <f ca="1">+GETPIVOTDATA("XKL4",'kimlong (2016)'!$A$3,"MA_HT","DDT","MA_QH","RDD")</f>
        <v>0</v>
      </c>
      <c r="O41" s="60">
        <f ca="1">+GETPIVOTDATA("XKL4",'kimlong (2016)'!$A$3,"MA_HT","DDT","MA_QH","NTS")</f>
        <v>0</v>
      </c>
      <c r="P41" s="60">
        <f ca="1">+GETPIVOTDATA("XKL4",'kimlong (2016)'!$A$3,"MA_HT","DDT","MA_QH","LMU")</f>
        <v>0</v>
      </c>
      <c r="Q41" s="60">
        <f ca="1">+GETPIVOTDATA("XKL4",'kimlong (2016)'!$A$3,"MA_HT","DDT","MA_QH","NKH")</f>
        <v>0</v>
      </c>
      <c r="R41" s="78">
        <f ca="1">SUM(S41:AA41,AO41:BD41)</f>
        <v>0</v>
      </c>
      <c r="S41" s="60">
        <f ca="1">+GETPIVOTDATA("XKL4",'kimlong (2016)'!$A$3,"MA_HT","DDT","MA_QH","CQP")</f>
        <v>0</v>
      </c>
      <c r="T41" s="60">
        <f ca="1">+GETPIVOTDATA("XKL4",'kimlong (2016)'!$A$3,"MA_HT","DDT","MA_QH","CAN")</f>
        <v>0</v>
      </c>
      <c r="U41" s="60">
        <f ca="1">+GETPIVOTDATA("XKL4",'kimlong (2016)'!$A$3,"MA_HT","DDT","MA_QH","SKK")</f>
        <v>0</v>
      </c>
      <c r="V41" s="60">
        <f ca="1">+GETPIVOTDATA("XKL4",'kimlong (2016)'!$A$3,"MA_HT","DDT","MA_QH","SKT")</f>
        <v>0</v>
      </c>
      <c r="W41" s="60">
        <f ca="1">+GETPIVOTDATA("XKL4",'kimlong (2016)'!$A$3,"MA_HT","DDT","MA_QH","SKN")</f>
        <v>0</v>
      </c>
      <c r="X41" s="60">
        <f ca="1">+GETPIVOTDATA("XKL4",'kimlong (2016)'!$A$3,"MA_HT","DDT","MA_QH","TMD")</f>
        <v>0</v>
      </c>
      <c r="Y41" s="60">
        <f ca="1">+GETPIVOTDATA("XKL4",'kimlong (2016)'!$A$3,"MA_HT","DDT","MA_QH","SKC")</f>
        <v>0</v>
      </c>
      <c r="Z41" s="60">
        <f ca="1">+GETPIVOTDATA("XKL4",'kimlong (2016)'!$A$3,"MA_HT","DDT","MA_QH","SKS")</f>
        <v>0</v>
      </c>
      <c r="AA41" s="59">
        <f ca="1" t="shared" ref="AA41:AA58" si="21">+SUM(AB41:AM41)</f>
        <v>0</v>
      </c>
      <c r="AB41" s="60">
        <f ca="1">+GETPIVOTDATA("XKL4",'kimlong (2016)'!$A$3,"MA_HT","DDT","MA_QH","DGT")</f>
        <v>0</v>
      </c>
      <c r="AC41" s="60">
        <f ca="1">+GETPIVOTDATA("XKL4",'kimlong (2016)'!$A$3,"MA_HT","DDT","MA_QH","DTL")</f>
        <v>0</v>
      </c>
      <c r="AD41" s="60">
        <f ca="1">+GETPIVOTDATA("XKL4",'kimlong (2016)'!$A$3,"MA_HT","DDT","MA_QH","DNL")</f>
        <v>0</v>
      </c>
      <c r="AE41" s="60">
        <f ca="1">+GETPIVOTDATA("XKL4",'kimlong (2016)'!$A$3,"MA_HT","DDT","MA_QH","DBV")</f>
        <v>0</v>
      </c>
      <c r="AF41" s="60">
        <f ca="1">+GETPIVOTDATA("XKL4",'kimlong (2016)'!$A$3,"MA_HT","DDT","MA_QH","DVH")</f>
        <v>0</v>
      </c>
      <c r="AG41" s="60">
        <f ca="1">+GETPIVOTDATA("XKL4",'kimlong (2016)'!$A$3,"MA_HT","DDT","MA_QH","DYT")</f>
        <v>0</v>
      </c>
      <c r="AH41" s="60">
        <f ca="1">+GETPIVOTDATA("XKL4",'kimlong (2016)'!$A$3,"MA_HT","DDT","MA_QH","DGD")</f>
        <v>0</v>
      </c>
      <c r="AI41" s="60">
        <f ca="1">+GETPIVOTDATA("XKL4",'kimlong (2016)'!$A$3,"MA_HT","DDT","MA_QH","DTT")</f>
        <v>0</v>
      </c>
      <c r="AJ41" s="60">
        <f ca="1">+GETPIVOTDATA("XKL4",'kimlong (2016)'!$A$3,"MA_HT","DDT","MA_QH","NCK")</f>
        <v>0</v>
      </c>
      <c r="AK41" s="60">
        <f ca="1">+GETPIVOTDATA("XKL4",'kimlong (2016)'!$A$3,"MA_HT","DDT","MA_QH","DXH")</f>
        <v>0</v>
      </c>
      <c r="AL41" s="60">
        <f ca="1">+GETPIVOTDATA("XKL4",'kimlong (2016)'!$A$3,"MA_HT","DDT","MA_QH","DCH")</f>
        <v>0</v>
      </c>
      <c r="AM41" s="60">
        <f ca="1">+GETPIVOTDATA("XKL4",'kimlong (2016)'!$A$3,"MA_HT","DDT","MA_QH","DKG")</f>
        <v>0</v>
      </c>
      <c r="AN41" s="81" t="e">
        <f ca="1">$D41-$BF41</f>
        <v>#REF!</v>
      </c>
      <c r="AO41" s="60">
        <f ca="1">+GETPIVOTDATA("XKL4",'kimlong (2016)'!$A$3,"MA_HT","DDT","MA_QH","DDL")</f>
        <v>0</v>
      </c>
      <c r="AP41" s="60">
        <f ca="1">+GETPIVOTDATA("XKL4",'kimlong (2016)'!$A$3,"MA_HT","DDT","MA_QH","DRA")</f>
        <v>0</v>
      </c>
      <c r="AQ41" s="60">
        <f ca="1">+GETPIVOTDATA("XKL4",'kimlong (2016)'!$A$3,"MA_HT","DDT","MA_QH","ONT")</f>
        <v>0</v>
      </c>
      <c r="AR41" s="60">
        <f ca="1">+GETPIVOTDATA("XKL4",'kimlong (2016)'!$A$3,"MA_HT","DDT","MA_QH","ODT")</f>
        <v>0</v>
      </c>
      <c r="AS41" s="60">
        <f ca="1">+GETPIVOTDATA("XKL4",'kimlong (2016)'!$A$3,"MA_HT","DDT","MA_QH","TSC")</f>
        <v>0</v>
      </c>
      <c r="AT41" s="60">
        <f ca="1">+GETPIVOTDATA("XKL4",'kimlong (2016)'!$A$3,"MA_HT","DDT","MA_QH","DTS")</f>
        <v>0</v>
      </c>
      <c r="AU41" s="60">
        <f ca="1">+GETPIVOTDATA("XKL4",'kimlong (2016)'!$A$3,"MA_HT","DDT","MA_QH","DNG")</f>
        <v>0</v>
      </c>
      <c r="AV41" s="60">
        <f ca="1">+GETPIVOTDATA("XKL4",'kimlong (2016)'!$A$3,"MA_HT","DDT","MA_QH","TON")</f>
        <v>0</v>
      </c>
      <c r="AW41" s="60">
        <f ca="1">+GETPIVOTDATA("XKL4",'kimlong (2016)'!$A$3,"MA_HT","DDT","MA_QH","NTD")</f>
        <v>0</v>
      </c>
      <c r="AX41" s="60">
        <f ca="1">+GETPIVOTDATA("XKL4",'kimlong (2016)'!$A$3,"MA_HT","DDT","MA_QH","SKX")</f>
        <v>0</v>
      </c>
      <c r="AY41" s="60">
        <f ca="1">+GETPIVOTDATA("XKL4",'kimlong (2016)'!$A$3,"MA_HT","DDT","MA_QH","DSH")</f>
        <v>0</v>
      </c>
      <c r="AZ41" s="60">
        <f ca="1">+GETPIVOTDATA("XKL4",'kimlong (2016)'!$A$3,"MA_HT","DDT","MA_QH","DKV")</f>
        <v>0</v>
      </c>
      <c r="BA41" s="90">
        <f ca="1">+GETPIVOTDATA("XKL4",'kimlong (2016)'!$A$3,"MA_HT","DDT","MA_QH","TIN")</f>
        <v>0</v>
      </c>
      <c r="BB41" s="91">
        <f ca="1">+GETPIVOTDATA("XKL4",'kimlong (2016)'!$A$3,"MA_HT","DDT","MA_QH","SON")</f>
        <v>0</v>
      </c>
      <c r="BC41" s="91">
        <f ca="1">+GETPIVOTDATA("XKL4",'kimlong (2016)'!$A$3,"MA_HT","DDT","MA_QH","MNC")</f>
        <v>0</v>
      </c>
      <c r="BD41" s="60">
        <f ca="1">+GETPIVOTDATA("XKL4",'kimlong (2016)'!$A$3,"MA_HT","DDT","MA_QH","PNK")</f>
        <v>0</v>
      </c>
      <c r="BE41" s="111">
        <f ca="1">+GETPIVOTDATA("XKL4",'kimlong (2016)'!$A$3,"MA_HT","DDT","MA_QH","CSD")</f>
        <v>0</v>
      </c>
      <c r="BF41" s="112">
        <f ca="1" t="shared" si="13"/>
        <v>0</v>
      </c>
      <c r="BG41" s="113">
        <f ca="1">AN$59-$BF41</f>
        <v>0</v>
      </c>
      <c r="BH41" s="57" t="e">
        <f ca="1" t="shared" si="14"/>
        <v>#REF!</v>
      </c>
      <c r="BI41" s="114"/>
      <c r="BJ41" s="115"/>
      <c r="BK41" s="115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</row>
    <row r="42" s="2" customFormat="1" ht="15.75" customHeight="1" spans="1:79">
      <c r="A42" s="39" t="s">
        <v>8402</v>
      </c>
      <c r="B42" s="53" t="s">
        <v>8403</v>
      </c>
      <c r="C42" s="40" t="s">
        <v>8286</v>
      </c>
      <c r="D42" s="41" t="e">
        <f>+#REF!</f>
        <v>#REF!</v>
      </c>
      <c r="E42" s="42">
        <f ca="1" t="shared" si="15"/>
        <v>0</v>
      </c>
      <c r="F42" s="52">
        <f ca="1" t="shared" si="9"/>
        <v>0</v>
      </c>
      <c r="G42" s="22">
        <f ca="1">+GETPIVOTDATA("XKL4",'kimlong (2016)'!$A$3,"MA_HT","DDL","MA_QH","LUC")</f>
        <v>0</v>
      </c>
      <c r="H42" s="22">
        <f ca="1">+GETPIVOTDATA("XKL4",'kimlong (2016)'!$A$3,"MA_HT","DDL","MA_QH","LUK")</f>
        <v>0</v>
      </c>
      <c r="I42" s="22">
        <f ca="1">+GETPIVOTDATA("XKL4",'kimlong (2016)'!$A$3,"MA_HT","DDL","MA_QH","LUN")</f>
        <v>0</v>
      </c>
      <c r="J42" s="22">
        <f ca="1">+GETPIVOTDATA("XKL4",'kimlong (2016)'!$A$3,"MA_HT","DDL","MA_QH","HNK")</f>
        <v>0</v>
      </c>
      <c r="K42" s="22">
        <f ca="1">+GETPIVOTDATA("XKL4",'kimlong (2016)'!$A$3,"MA_HT","DDL","MA_QH","CLN")</f>
        <v>0</v>
      </c>
      <c r="L42" s="22">
        <f ca="1">+GETPIVOTDATA("XKL4",'kimlong (2016)'!$A$3,"MA_HT","DDL","MA_QH","RSX")</f>
        <v>0</v>
      </c>
      <c r="M42" s="22">
        <f ca="1">+GETPIVOTDATA("XKL4",'kimlong (2016)'!$A$3,"MA_HT","DDL","MA_QH","RPH")</f>
        <v>0</v>
      </c>
      <c r="N42" s="22">
        <f ca="1">+GETPIVOTDATA("XKL4",'kimlong (2016)'!$A$3,"MA_HT","DDL","MA_QH","RDD")</f>
        <v>0</v>
      </c>
      <c r="O42" s="22">
        <f ca="1">+GETPIVOTDATA("XKL4",'kimlong (2016)'!$A$3,"MA_HT","DDL","MA_QH","NTS")</f>
        <v>0</v>
      </c>
      <c r="P42" s="22">
        <f ca="1">+GETPIVOTDATA("XKL4",'kimlong (2016)'!$A$3,"MA_HT","DDL","MA_QH","LMU")</f>
        <v>0</v>
      </c>
      <c r="Q42" s="22">
        <f ca="1">+GETPIVOTDATA("XKL4",'kimlong (2016)'!$A$3,"MA_HT","DDL","MA_QH","NKH")</f>
        <v>0</v>
      </c>
      <c r="R42" s="79">
        <f ca="1">SUM(S42:AA42,AN42,AP42:BD42)</f>
        <v>0</v>
      </c>
      <c r="S42" s="22">
        <f ca="1">+GETPIVOTDATA("XKL4",'kimlong (2016)'!$A$3,"MA_HT","DDL","MA_QH","CQP")</f>
        <v>0</v>
      </c>
      <c r="T42" s="22">
        <f ca="1">+GETPIVOTDATA("XKL4",'kimlong (2016)'!$A$3,"MA_HT","DDL","MA_QH","CAN")</f>
        <v>0</v>
      </c>
      <c r="U42" s="22">
        <f ca="1">+GETPIVOTDATA("XKL4",'kimlong (2016)'!$A$3,"MA_HT","DDL","MA_QH","SKK")</f>
        <v>0</v>
      </c>
      <c r="V42" s="22">
        <f ca="1">+GETPIVOTDATA("XKL4",'kimlong (2016)'!$A$3,"MA_HT","DDL","MA_QH","SKT")</f>
        <v>0</v>
      </c>
      <c r="W42" s="22">
        <f ca="1">+GETPIVOTDATA("XKL4",'kimlong (2016)'!$A$3,"MA_HT","DDL","MA_QH","SKN")</f>
        <v>0</v>
      </c>
      <c r="X42" s="22">
        <f ca="1">+GETPIVOTDATA("XKL4",'kimlong (2016)'!$A$3,"MA_HT","DDL","MA_QH","TMD")</f>
        <v>0</v>
      </c>
      <c r="Y42" s="22">
        <f ca="1">+GETPIVOTDATA("XKL4",'kimlong (2016)'!$A$3,"MA_HT","DDL","MA_QH","SKC")</f>
        <v>0</v>
      </c>
      <c r="Z42" s="22">
        <f ca="1">+GETPIVOTDATA("XKL4",'kimlong (2016)'!$A$3,"MA_HT","DDL","MA_QH","SKS")</f>
        <v>0</v>
      </c>
      <c r="AA42" s="52">
        <f ca="1" t="shared" si="21"/>
        <v>0</v>
      </c>
      <c r="AB42" s="22">
        <f ca="1">+GETPIVOTDATA("XKL4",'kimlong (2016)'!$A$3,"MA_HT","DDL","MA_QH","DGT")</f>
        <v>0</v>
      </c>
      <c r="AC42" s="22">
        <f ca="1">+GETPIVOTDATA("XKL4",'kimlong (2016)'!$A$3,"MA_HT","DDL","MA_QH","DTL")</f>
        <v>0</v>
      </c>
      <c r="AD42" s="22">
        <f ca="1">+GETPIVOTDATA("XKL4",'kimlong (2016)'!$A$3,"MA_HT","DDL","MA_QH","DNL")</f>
        <v>0</v>
      </c>
      <c r="AE42" s="22">
        <f ca="1">+GETPIVOTDATA("XKL4",'kimlong (2016)'!$A$3,"MA_HT","DDL","MA_QH","DBV")</f>
        <v>0</v>
      </c>
      <c r="AF42" s="22">
        <f ca="1">+GETPIVOTDATA("XKL4",'kimlong (2016)'!$A$3,"MA_HT","DDL","MA_QH","DVH")</f>
        <v>0</v>
      </c>
      <c r="AG42" s="22">
        <f ca="1">+GETPIVOTDATA("XKL4",'kimlong (2016)'!$A$3,"MA_HT","DDL","MA_QH","DYT")</f>
        <v>0</v>
      </c>
      <c r="AH42" s="22">
        <f ca="1">+GETPIVOTDATA("XKL4",'kimlong (2016)'!$A$3,"MA_HT","DDL","MA_QH","DGD")</f>
        <v>0</v>
      </c>
      <c r="AI42" s="22">
        <f ca="1">+GETPIVOTDATA("XKL4",'kimlong (2016)'!$A$3,"MA_HT","DDL","MA_QH","DTT")</f>
        <v>0</v>
      </c>
      <c r="AJ42" s="22">
        <f ca="1">+GETPIVOTDATA("XKL4",'kimlong (2016)'!$A$3,"MA_HT","DDL","MA_QH","NCK")</f>
        <v>0</v>
      </c>
      <c r="AK42" s="22">
        <f ca="1">+GETPIVOTDATA("XKL4",'kimlong (2016)'!$A$3,"MA_HT","DDL","MA_QH","DXH")</f>
        <v>0</v>
      </c>
      <c r="AL42" s="22">
        <f ca="1">+GETPIVOTDATA("XKL4",'kimlong (2016)'!$A$3,"MA_HT","DDL","MA_QH","DCH")</f>
        <v>0</v>
      </c>
      <c r="AM42" s="22">
        <f ca="1">+GETPIVOTDATA("XKL4",'kimlong (2016)'!$A$3,"MA_HT","DDL","MA_QH","DKG")</f>
        <v>0</v>
      </c>
      <c r="AN42" s="22">
        <f ca="1">+GETPIVOTDATA("XKL4",'kimlong (2016)'!$A$3,"MA_HT","DDL","MA_QH","DDT")</f>
        <v>0</v>
      </c>
      <c r="AO42" s="43" t="e">
        <f ca="1">$D42-$BF42</f>
        <v>#REF!</v>
      </c>
      <c r="AP42" s="22">
        <f ca="1">+GETPIVOTDATA("XKL4",'kimlong (2016)'!$A$3,"MA_HT","DDL","MA_QH","DRA")</f>
        <v>0</v>
      </c>
      <c r="AQ42" s="22">
        <f ca="1">+GETPIVOTDATA("XKL4",'kimlong (2016)'!$A$3,"MA_HT","DDL","MA_QH","ONT")</f>
        <v>0</v>
      </c>
      <c r="AR42" s="22">
        <f ca="1">+GETPIVOTDATA("XKL4",'kimlong (2016)'!$A$3,"MA_HT","DDL","MA_QH","ODT")</f>
        <v>0</v>
      </c>
      <c r="AS42" s="22">
        <f ca="1">+GETPIVOTDATA("XKL4",'kimlong (2016)'!$A$3,"MA_HT","DDL","MA_QH","TSC")</f>
        <v>0</v>
      </c>
      <c r="AT42" s="22">
        <f ca="1">+GETPIVOTDATA("XKL4",'kimlong (2016)'!$A$3,"MA_HT","DDL","MA_QH","DTS")</f>
        <v>0</v>
      </c>
      <c r="AU42" s="22">
        <f ca="1">+GETPIVOTDATA("XKL4",'kimlong (2016)'!$A$3,"MA_HT","DDL","MA_QH","DNG")</f>
        <v>0</v>
      </c>
      <c r="AV42" s="22">
        <f ca="1">+GETPIVOTDATA("XKL4",'kimlong (2016)'!$A$3,"MA_HT","DDL","MA_QH","TON")</f>
        <v>0</v>
      </c>
      <c r="AW42" s="22">
        <f ca="1">+GETPIVOTDATA("XKL4",'kimlong (2016)'!$A$3,"MA_HT","DDL","MA_QH","NTD")</f>
        <v>0</v>
      </c>
      <c r="AX42" s="22">
        <f ca="1">+GETPIVOTDATA("XKL4",'kimlong (2016)'!$A$3,"MA_HT","DDL","MA_QH","SKX")</f>
        <v>0</v>
      </c>
      <c r="AY42" s="22">
        <f ca="1">+GETPIVOTDATA("XKL4",'kimlong (2016)'!$A$3,"MA_HT","DDL","MA_QH","DSH")</f>
        <v>0</v>
      </c>
      <c r="AZ42" s="22">
        <f ca="1">+GETPIVOTDATA("XKL4",'kimlong (2016)'!$A$3,"MA_HT","DDL","MA_QH","DKV")</f>
        <v>0</v>
      </c>
      <c r="BA42" s="89">
        <f ca="1">+GETPIVOTDATA("XKL4",'kimlong (2016)'!$A$3,"MA_HT","DDL","MA_QH","TIN")</f>
        <v>0</v>
      </c>
      <c r="BB42" s="50">
        <f ca="1">+GETPIVOTDATA("XKL4",'kimlong (2016)'!$A$3,"MA_HT","DDL","MA_QH","SON")</f>
        <v>0</v>
      </c>
      <c r="BC42" s="50">
        <f ca="1">+GETPIVOTDATA("XKL4",'kimlong (2016)'!$A$3,"MA_HT","DDL","MA_QH","MNC")</f>
        <v>0</v>
      </c>
      <c r="BD42" s="22">
        <f ca="1">+GETPIVOTDATA("XKL4",'kimlong (2016)'!$A$3,"MA_HT","DDL","MA_QH","PNK")</f>
        <v>0</v>
      </c>
      <c r="BE42" s="71">
        <f ca="1">+GETPIVOTDATA("XKL4",'kimlong (2016)'!$A$3,"MA_HT","DDL","MA_QH","CSD")</f>
        <v>0</v>
      </c>
      <c r="BF42" s="74">
        <f ca="1" t="shared" si="13"/>
        <v>0</v>
      </c>
      <c r="BG42" s="101">
        <f ca="1">AO$59-$BF42</f>
        <v>0</v>
      </c>
      <c r="BH42" s="41" t="e">
        <f ca="1" t="shared" si="14"/>
        <v>#REF!</v>
      </c>
      <c r="BI42" s="98"/>
      <c r="BJ42" s="107"/>
      <c r="BK42" s="10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</row>
    <row r="43" s="2" customFormat="1" ht="15.75" customHeight="1" spans="1:79">
      <c r="A43" s="39" t="s">
        <v>8404</v>
      </c>
      <c r="B43" s="53" t="s">
        <v>8405</v>
      </c>
      <c r="C43" s="40" t="s">
        <v>8291</v>
      </c>
      <c r="D43" s="41" t="e">
        <f>+#REF!</f>
        <v>#REF!</v>
      </c>
      <c r="E43" s="42">
        <f ca="1" t="shared" si="15"/>
        <v>0</v>
      </c>
      <c r="F43" s="52">
        <f ca="1" t="shared" si="9"/>
        <v>0</v>
      </c>
      <c r="G43" s="22">
        <f ca="1">+GETPIVOTDATA("XKL4",'kimlong (2016)'!$A$3,"MA_HT","DRA","MA_QH","LUC")</f>
        <v>0</v>
      </c>
      <c r="H43" s="22">
        <f ca="1">+GETPIVOTDATA("XKL4",'kimlong (2016)'!$A$3,"MA_HT","DRA","MA_QH","LUK")</f>
        <v>0</v>
      </c>
      <c r="I43" s="22">
        <f ca="1">+GETPIVOTDATA("XKL4",'kimlong (2016)'!$A$3,"MA_HT","DRA","MA_QH","LUN")</f>
        <v>0</v>
      </c>
      <c r="J43" s="22">
        <f ca="1">+GETPIVOTDATA("XKL4",'kimlong (2016)'!$A$3,"MA_HT","DRA","MA_QH","HNK")</f>
        <v>0</v>
      </c>
      <c r="K43" s="22">
        <f ca="1">+GETPIVOTDATA("XKL4",'kimlong (2016)'!$A$3,"MA_HT","DRA","MA_QH","CLN")</f>
        <v>0</v>
      </c>
      <c r="L43" s="22">
        <f ca="1">+GETPIVOTDATA("XKL4",'kimlong (2016)'!$A$3,"MA_HT","DRA","MA_QH","RSX")</f>
        <v>0</v>
      </c>
      <c r="M43" s="22">
        <f ca="1">+GETPIVOTDATA("XKL4",'kimlong (2016)'!$A$3,"MA_HT","DRA","MA_QH","RPH")</f>
        <v>0</v>
      </c>
      <c r="N43" s="22">
        <f ca="1">+GETPIVOTDATA("XKL4",'kimlong (2016)'!$A$3,"MA_HT","DRA","MA_QH","RDD")</f>
        <v>0</v>
      </c>
      <c r="O43" s="22">
        <f ca="1">+GETPIVOTDATA("XKL4",'kimlong (2016)'!$A$3,"MA_HT","DRA","MA_QH","NTS")</f>
        <v>0</v>
      </c>
      <c r="P43" s="22">
        <f ca="1">+GETPIVOTDATA("XKL4",'kimlong (2016)'!$A$3,"MA_HT","DRA","MA_QH","LMU")</f>
        <v>0</v>
      </c>
      <c r="Q43" s="22">
        <f ca="1">+GETPIVOTDATA("XKL4",'kimlong (2016)'!$A$3,"MA_HT","DRA","MA_QH","NKH")</f>
        <v>0</v>
      </c>
      <c r="R43" s="79">
        <f ca="1">SUM(S43:AA43,AN43:AO43,AQ43:BD43)</f>
        <v>0</v>
      </c>
      <c r="S43" s="22">
        <f ca="1">+GETPIVOTDATA("XKL4",'kimlong (2016)'!$A$3,"MA_HT","DRA","MA_QH","CQP")</f>
        <v>0</v>
      </c>
      <c r="T43" s="22">
        <f ca="1">+GETPIVOTDATA("XKL4",'kimlong (2016)'!$A$3,"MA_HT","DRA","MA_QH","CAN")</f>
        <v>0</v>
      </c>
      <c r="U43" s="22">
        <f ca="1">+GETPIVOTDATA("XKL4",'kimlong (2016)'!$A$3,"MA_HT","DRA","MA_QH","SKK")</f>
        <v>0</v>
      </c>
      <c r="V43" s="22">
        <f ca="1">+GETPIVOTDATA("XKL4",'kimlong (2016)'!$A$3,"MA_HT","DRA","MA_QH","SKT")</f>
        <v>0</v>
      </c>
      <c r="W43" s="22">
        <f ca="1">+GETPIVOTDATA("XKL4",'kimlong (2016)'!$A$3,"MA_HT","DRA","MA_QH","SKN")</f>
        <v>0</v>
      </c>
      <c r="X43" s="22">
        <f ca="1">+GETPIVOTDATA("XKL4",'kimlong (2016)'!$A$3,"MA_HT","DRA","MA_QH","TMD")</f>
        <v>0</v>
      </c>
      <c r="Y43" s="22">
        <f ca="1">+GETPIVOTDATA("XKL4",'kimlong (2016)'!$A$3,"MA_HT","DRA","MA_QH","SKC")</f>
        <v>0</v>
      </c>
      <c r="Z43" s="22">
        <f ca="1">+GETPIVOTDATA("XKL4",'kimlong (2016)'!$A$3,"MA_HT","DRA","MA_QH","SKS")</f>
        <v>0</v>
      </c>
      <c r="AA43" s="52">
        <f ca="1" t="shared" si="21"/>
        <v>0</v>
      </c>
      <c r="AB43" s="22">
        <f ca="1">+GETPIVOTDATA("XKL4",'kimlong (2016)'!$A$3,"MA_HT","DRA","MA_QH","DGT")</f>
        <v>0</v>
      </c>
      <c r="AC43" s="22">
        <f ca="1">+GETPIVOTDATA("XKL4",'kimlong (2016)'!$A$3,"MA_HT","DRA","MA_QH","DTL")</f>
        <v>0</v>
      </c>
      <c r="AD43" s="22">
        <f ca="1">+GETPIVOTDATA("XKL4",'kimlong (2016)'!$A$3,"MA_HT","DRA","MA_QH","DNL")</f>
        <v>0</v>
      </c>
      <c r="AE43" s="22">
        <f ca="1">+GETPIVOTDATA("XKL4",'kimlong (2016)'!$A$3,"MA_HT","DRA","MA_QH","DBV")</f>
        <v>0</v>
      </c>
      <c r="AF43" s="22">
        <f ca="1">+GETPIVOTDATA("XKL4",'kimlong (2016)'!$A$3,"MA_HT","DRA","MA_QH","DVH")</f>
        <v>0</v>
      </c>
      <c r="AG43" s="22">
        <f ca="1">+GETPIVOTDATA("XKL4",'kimlong (2016)'!$A$3,"MA_HT","DRA","MA_QH","DYT")</f>
        <v>0</v>
      </c>
      <c r="AH43" s="22">
        <f ca="1">+GETPIVOTDATA("XKL4",'kimlong (2016)'!$A$3,"MA_HT","DRA","MA_QH","DGD")</f>
        <v>0</v>
      </c>
      <c r="AI43" s="22">
        <f ca="1">+GETPIVOTDATA("XKL4",'kimlong (2016)'!$A$3,"MA_HT","DRA","MA_QH","DTT")</f>
        <v>0</v>
      </c>
      <c r="AJ43" s="22">
        <f ca="1">+GETPIVOTDATA("XKL4",'kimlong (2016)'!$A$3,"MA_HT","DRA","MA_QH","NCK")</f>
        <v>0</v>
      </c>
      <c r="AK43" s="22">
        <f ca="1">+GETPIVOTDATA("XKL4",'kimlong (2016)'!$A$3,"MA_HT","DRA","MA_QH","DXH")</f>
        <v>0</v>
      </c>
      <c r="AL43" s="22">
        <f ca="1">+GETPIVOTDATA("XKL4",'kimlong (2016)'!$A$3,"MA_HT","DRA","MA_QH","DCH")</f>
        <v>0</v>
      </c>
      <c r="AM43" s="22">
        <f ca="1">+GETPIVOTDATA("XKL4",'kimlong (2016)'!$A$3,"MA_HT","DRA","MA_QH","DKG")</f>
        <v>0</v>
      </c>
      <c r="AN43" s="22">
        <f ca="1">+GETPIVOTDATA("XKL4",'kimlong (2016)'!$A$3,"MA_HT","DRA","MA_QH","DDT")</f>
        <v>0</v>
      </c>
      <c r="AO43" s="22">
        <f ca="1">+GETPIVOTDATA("XKL4",'kimlong (2016)'!$A$3,"MA_HT","DRA","MA_QH","DDL")</f>
        <v>0</v>
      </c>
      <c r="AP43" s="43" t="e">
        <f ca="1">$D43-$BF43</f>
        <v>#REF!</v>
      </c>
      <c r="AQ43" s="22">
        <f ca="1">+GETPIVOTDATA("XKL4",'kimlong (2016)'!$A$3,"MA_HT","DRA","MA_QH","ONT")</f>
        <v>0</v>
      </c>
      <c r="AR43" s="22">
        <f ca="1">+GETPIVOTDATA("XKL4",'kimlong (2016)'!$A$3,"MA_HT","DRA","MA_QH","ODT")</f>
        <v>0</v>
      </c>
      <c r="AS43" s="22">
        <f ca="1">+GETPIVOTDATA("XKL4",'kimlong (2016)'!$A$3,"MA_HT","DRA","MA_QH","TSC")</f>
        <v>0</v>
      </c>
      <c r="AT43" s="22">
        <f ca="1">+GETPIVOTDATA("XKL4",'kimlong (2016)'!$A$3,"MA_HT","DRA","MA_QH","DTS")</f>
        <v>0</v>
      </c>
      <c r="AU43" s="22">
        <f ca="1">+GETPIVOTDATA("XKL4",'kimlong (2016)'!$A$3,"MA_HT","DRA","MA_QH","DNG")</f>
        <v>0</v>
      </c>
      <c r="AV43" s="22">
        <f ca="1">+GETPIVOTDATA("XKL4",'kimlong (2016)'!$A$3,"MA_HT","DRA","MA_QH","TON")</f>
        <v>0</v>
      </c>
      <c r="AW43" s="22">
        <f ca="1">+GETPIVOTDATA("XKL4",'kimlong (2016)'!$A$3,"MA_HT","DRA","MA_QH","NTD")</f>
        <v>0</v>
      </c>
      <c r="AX43" s="22">
        <f ca="1">+GETPIVOTDATA("XKL4",'kimlong (2016)'!$A$3,"MA_HT","DRA","MA_QH","SKX")</f>
        <v>0</v>
      </c>
      <c r="AY43" s="22">
        <f ca="1">+GETPIVOTDATA("XKL4",'kimlong (2016)'!$A$3,"MA_HT","DRA","MA_QH","DSH")</f>
        <v>0</v>
      </c>
      <c r="AZ43" s="22">
        <f ca="1">+GETPIVOTDATA("XKL4",'kimlong (2016)'!$A$3,"MA_HT","DRA","MA_QH","DKV")</f>
        <v>0</v>
      </c>
      <c r="BA43" s="89">
        <f ca="1">+GETPIVOTDATA("XKL4",'kimlong (2016)'!$A$3,"MA_HT","DRA","MA_QH","TIN")</f>
        <v>0</v>
      </c>
      <c r="BB43" s="50">
        <f ca="1">+GETPIVOTDATA("XKL4",'kimlong (2016)'!$A$3,"MA_HT","DRA","MA_QH","SON")</f>
        <v>0</v>
      </c>
      <c r="BC43" s="50">
        <f ca="1">+GETPIVOTDATA("XKL4",'kimlong (2016)'!$A$3,"MA_HT","DRA","MA_QH","MNC")</f>
        <v>0</v>
      </c>
      <c r="BD43" s="22">
        <f ca="1">+GETPIVOTDATA("XKL4",'kimlong (2016)'!$A$3,"MA_HT","DRA","MA_QH","PNK")</f>
        <v>0</v>
      </c>
      <c r="BE43" s="71">
        <f ca="1">+GETPIVOTDATA("XKL4",'kimlong (2016)'!$A$3,"MA_HT","DRA","MA_QH","CSD")</f>
        <v>0</v>
      </c>
      <c r="BF43" s="74">
        <f ca="1" t="shared" si="13"/>
        <v>0</v>
      </c>
      <c r="BG43" s="101">
        <f ca="1">AP$59-$BF43</f>
        <v>0</v>
      </c>
      <c r="BH43" s="41" t="e">
        <f ca="1" t="shared" si="14"/>
        <v>#REF!</v>
      </c>
      <c r="BI43" s="98"/>
      <c r="BJ43" s="107" t="e">
        <f>#REF!</f>
        <v>#REF!</v>
      </c>
      <c r="BK43" s="107" t="e">
        <f ca="1">BH43-BJ43</f>
        <v>#REF!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</row>
    <row r="44" s="2" customFormat="1" ht="15.75" customHeight="1" spans="1:79">
      <c r="A44" s="39" t="s">
        <v>8406</v>
      </c>
      <c r="B44" s="53" t="s">
        <v>8407</v>
      </c>
      <c r="C44" s="40" t="s">
        <v>188</v>
      </c>
      <c r="D44" s="41" t="e">
        <f>+#REF!</f>
        <v>#REF!</v>
      </c>
      <c r="E44" s="42">
        <f ca="1" t="shared" si="15"/>
        <v>0</v>
      </c>
      <c r="F44" s="52">
        <f ca="1" t="shared" si="9"/>
        <v>0</v>
      </c>
      <c r="G44" s="22">
        <f ca="1">+GETPIVOTDATA("XKL4",'kimlong (2016)'!$A$3,"MA_HT","ONT","MA_QH","LUC")</f>
        <v>0</v>
      </c>
      <c r="H44" s="22">
        <f ca="1">+GETPIVOTDATA("XKL4",'kimlong (2016)'!$A$3,"MA_HT","ONT","MA_QH","LUK")</f>
        <v>0</v>
      </c>
      <c r="I44" s="22">
        <f ca="1">+GETPIVOTDATA("XKL4",'kimlong (2016)'!$A$3,"MA_HT","ONT","MA_QH","LUN")</f>
        <v>0</v>
      </c>
      <c r="J44" s="22">
        <f ca="1">+GETPIVOTDATA("XKL4",'kimlong (2016)'!$A$3,"MA_HT","ONT","MA_QH","HNK")</f>
        <v>0</v>
      </c>
      <c r="K44" s="22">
        <f ca="1">+GETPIVOTDATA("XKL4",'kimlong (2016)'!$A$3,"MA_HT","ONT","MA_QH","CLN")</f>
        <v>0</v>
      </c>
      <c r="L44" s="22">
        <f ca="1">+GETPIVOTDATA("XKL4",'kimlong (2016)'!$A$3,"MA_HT","ONT","MA_QH","RSX")</f>
        <v>0</v>
      </c>
      <c r="M44" s="22">
        <f ca="1">+GETPIVOTDATA("XKL4",'kimlong (2016)'!$A$3,"MA_HT","ONT","MA_QH","RPH")</f>
        <v>0</v>
      </c>
      <c r="N44" s="22">
        <f ca="1">+GETPIVOTDATA("XKL4",'kimlong (2016)'!$A$3,"MA_HT","ONT","MA_QH","RDD")</f>
        <v>0</v>
      </c>
      <c r="O44" s="22">
        <f ca="1">+GETPIVOTDATA("XKL4",'kimlong (2016)'!$A$3,"MA_HT","ONT","MA_QH","NTS")</f>
        <v>0</v>
      </c>
      <c r="P44" s="22">
        <f ca="1">+GETPIVOTDATA("XKL4",'kimlong (2016)'!$A$3,"MA_HT","ONT","MA_QH","LMU")</f>
        <v>0</v>
      </c>
      <c r="Q44" s="22">
        <f ca="1">+GETPIVOTDATA("XKL4",'kimlong (2016)'!$A$3,"MA_HT","ONT","MA_QH","NKH")</f>
        <v>0</v>
      </c>
      <c r="R44" s="79">
        <f ca="1">SUM(S44:AA44,AN44:AP44,AR44:BD44)</f>
        <v>0</v>
      </c>
      <c r="S44" s="22">
        <f ca="1">+GETPIVOTDATA("XKL4",'kimlong (2016)'!$A$3,"MA_HT","ONT","MA_QH","CQP")</f>
        <v>0</v>
      </c>
      <c r="T44" s="22">
        <f ca="1">+GETPIVOTDATA("XKL4",'kimlong (2016)'!$A$3,"MA_HT","ONT","MA_QH","CAN")</f>
        <v>0</v>
      </c>
      <c r="U44" s="22">
        <f ca="1">+GETPIVOTDATA("XKL4",'kimlong (2016)'!$A$3,"MA_HT","ONT","MA_QH","SKK")</f>
        <v>0</v>
      </c>
      <c r="V44" s="22">
        <f ca="1">+GETPIVOTDATA("XKL4",'kimlong (2016)'!$A$3,"MA_HT","ONT","MA_QH","SKT")</f>
        <v>0</v>
      </c>
      <c r="W44" s="22">
        <f ca="1">+GETPIVOTDATA("XKL4",'kimlong (2016)'!$A$3,"MA_HT","ONT","MA_QH","SKN")</f>
        <v>0</v>
      </c>
      <c r="X44" s="22">
        <f ca="1">+GETPIVOTDATA("XKL4",'kimlong (2016)'!$A$3,"MA_HT","ONT","MA_QH","TMD")</f>
        <v>0</v>
      </c>
      <c r="Y44" s="22">
        <f ca="1">+GETPIVOTDATA("XKL4",'kimlong (2016)'!$A$3,"MA_HT","ONT","MA_QH","SKC")</f>
        <v>0</v>
      </c>
      <c r="Z44" s="22">
        <f ca="1">+GETPIVOTDATA("XKL4",'kimlong (2016)'!$A$3,"MA_HT","ONT","MA_QH","SKS")</f>
        <v>0</v>
      </c>
      <c r="AA44" s="52">
        <f ca="1" t="shared" si="21"/>
        <v>0</v>
      </c>
      <c r="AB44" s="22">
        <f ca="1">+GETPIVOTDATA("XKL4",'kimlong (2016)'!$A$3,"MA_HT","ONT","MA_QH","DGT")</f>
        <v>0</v>
      </c>
      <c r="AC44" s="22">
        <f ca="1">+GETPIVOTDATA("XKL4",'kimlong (2016)'!$A$3,"MA_HT","ONT","MA_QH","DTL")</f>
        <v>0</v>
      </c>
      <c r="AD44" s="22">
        <f ca="1">+GETPIVOTDATA("XKL4",'kimlong (2016)'!$A$3,"MA_HT","ONT","MA_QH","DNL")</f>
        <v>0</v>
      </c>
      <c r="AE44" s="22">
        <f ca="1">+GETPIVOTDATA("XKL4",'kimlong (2016)'!$A$3,"MA_HT","ONT","MA_QH","DBV")</f>
        <v>0</v>
      </c>
      <c r="AF44" s="22">
        <f ca="1">+GETPIVOTDATA("XKL4",'kimlong (2016)'!$A$3,"MA_HT","ONT","MA_QH","DVH")</f>
        <v>0</v>
      </c>
      <c r="AG44" s="22">
        <f ca="1">+GETPIVOTDATA("XKL4",'kimlong (2016)'!$A$3,"MA_HT","ONT","MA_QH","DYT")</f>
        <v>0</v>
      </c>
      <c r="AH44" s="22">
        <f ca="1">+GETPIVOTDATA("XKL4",'kimlong (2016)'!$A$3,"MA_HT","ONT","MA_QH","DGD")</f>
        <v>0</v>
      </c>
      <c r="AI44" s="22">
        <f ca="1">+GETPIVOTDATA("XKL4",'kimlong (2016)'!$A$3,"MA_HT","ONT","MA_QH","DTT")</f>
        <v>0</v>
      </c>
      <c r="AJ44" s="22">
        <f ca="1">+GETPIVOTDATA("XKL4",'kimlong (2016)'!$A$3,"MA_HT","ONT","MA_QH","NCK")</f>
        <v>0</v>
      </c>
      <c r="AK44" s="22">
        <f ca="1">+GETPIVOTDATA("XKL4",'kimlong (2016)'!$A$3,"MA_HT","ONT","MA_QH","DXH")</f>
        <v>0</v>
      </c>
      <c r="AL44" s="22">
        <f ca="1">+GETPIVOTDATA("XKL4",'kimlong (2016)'!$A$3,"MA_HT","ONT","MA_QH","DCH")</f>
        <v>0</v>
      </c>
      <c r="AM44" s="22">
        <f ca="1">+GETPIVOTDATA("XKL4",'kimlong (2016)'!$A$3,"MA_HT","ONT","MA_QH","DKG")</f>
        <v>0</v>
      </c>
      <c r="AN44" s="22">
        <f ca="1">+GETPIVOTDATA("XKL4",'kimlong (2016)'!$A$3,"MA_HT","ONT","MA_QH","DDT")</f>
        <v>0</v>
      </c>
      <c r="AO44" s="22">
        <f ca="1">+GETPIVOTDATA("XKL4",'kimlong (2016)'!$A$3,"MA_HT","ONT","MA_QH","DDL")</f>
        <v>0</v>
      </c>
      <c r="AP44" s="22">
        <f ca="1">+GETPIVOTDATA("XKL4",'kimlong (2016)'!$A$3,"MA_HT","ONT","MA_QH","DRA")</f>
        <v>0</v>
      </c>
      <c r="AQ44" s="43" t="e">
        <f ca="1">$D44-$BF44</f>
        <v>#REF!</v>
      </c>
      <c r="AR44" s="22">
        <f ca="1">+GETPIVOTDATA("XKL4",'kimlong (2016)'!$A$3,"MA_HT","ONT","MA_QH","ODT")</f>
        <v>0</v>
      </c>
      <c r="AS44" s="22">
        <f ca="1">+GETPIVOTDATA("XKL4",'kimlong (2016)'!$A$3,"MA_HT","ONT","MA_QH","TSC")</f>
        <v>0</v>
      </c>
      <c r="AT44" s="22">
        <f ca="1">+GETPIVOTDATA("XKL4",'kimlong (2016)'!$A$3,"MA_HT","ONT","MA_QH","DTS")</f>
        <v>0</v>
      </c>
      <c r="AU44" s="22">
        <f ca="1">+GETPIVOTDATA("XKL4",'kimlong (2016)'!$A$3,"MA_HT","ONT","MA_QH","DNG")</f>
        <v>0</v>
      </c>
      <c r="AV44" s="22">
        <f ca="1">+GETPIVOTDATA("XKL4",'kimlong (2016)'!$A$3,"MA_HT","ONT","MA_QH","TON")</f>
        <v>0</v>
      </c>
      <c r="AW44" s="22">
        <f ca="1">+GETPIVOTDATA("XKL4",'kimlong (2016)'!$A$3,"MA_HT","ONT","MA_QH","NTD")</f>
        <v>0</v>
      </c>
      <c r="AX44" s="22">
        <f ca="1">+GETPIVOTDATA("XKL4",'kimlong (2016)'!$A$3,"MA_HT","ONT","MA_QH","SKX")</f>
        <v>0</v>
      </c>
      <c r="AY44" s="22">
        <f ca="1">+GETPIVOTDATA("XKL4",'kimlong (2016)'!$A$3,"MA_HT","ONT","MA_QH","DSH")</f>
        <v>0</v>
      </c>
      <c r="AZ44" s="22">
        <f ca="1">+GETPIVOTDATA("XKL4",'kimlong (2016)'!$A$3,"MA_HT","ONT","MA_QH","DKV")</f>
        <v>0</v>
      </c>
      <c r="BA44" s="89">
        <f ca="1">+GETPIVOTDATA("XKL4",'kimlong (2016)'!$A$3,"MA_HT","ONT","MA_QH","TIN")</f>
        <v>0</v>
      </c>
      <c r="BB44" s="50">
        <f ca="1">+GETPIVOTDATA("XKL4",'kimlong (2016)'!$A$3,"MA_HT","ONT","MA_QH","SON")</f>
        <v>0</v>
      </c>
      <c r="BC44" s="50">
        <f ca="1">+GETPIVOTDATA("XKL4",'kimlong (2016)'!$A$3,"MA_HT","ONT","MA_QH","MNC")</f>
        <v>0</v>
      </c>
      <c r="BD44" s="22">
        <f ca="1">+GETPIVOTDATA("XKL4",'kimlong (2016)'!$A$3,"MA_HT","ONT","MA_QH","PNK")</f>
        <v>0</v>
      </c>
      <c r="BE44" s="71">
        <f ca="1">+GETPIVOTDATA("XKL4",'kimlong (2016)'!$A$3,"MA_HT","ONT","MA_QH","CSD")</f>
        <v>0</v>
      </c>
      <c r="BF44" s="74">
        <f ca="1" t="shared" si="13"/>
        <v>0</v>
      </c>
      <c r="BG44" s="101">
        <f ca="1">AQ$59-$BF44</f>
        <v>0</v>
      </c>
      <c r="BH44" s="41" t="e">
        <f ca="1" t="shared" si="14"/>
        <v>#REF!</v>
      </c>
      <c r="BI44" s="98"/>
      <c r="BJ44" s="107" t="e">
        <f>#REF!</f>
        <v>#REF!</v>
      </c>
      <c r="BK44" s="107" t="e">
        <f ca="1">BH44-BJ44</f>
        <v>#REF!</v>
      </c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</row>
    <row r="45" s="2" customFormat="1" ht="15.75" customHeight="1" spans="1:79">
      <c r="A45" s="61" t="s">
        <v>8408</v>
      </c>
      <c r="B45" s="62" t="s">
        <v>8409</v>
      </c>
      <c r="C45" s="63" t="s">
        <v>201</v>
      </c>
      <c r="D45" s="64" t="e">
        <f>+#REF!</f>
        <v>#REF!</v>
      </c>
      <c r="E45" s="65">
        <f ca="1" t="shared" si="15"/>
        <v>0</v>
      </c>
      <c r="F45" s="66">
        <f ca="1" t="shared" si="9"/>
        <v>0</v>
      </c>
      <c r="G45" s="67">
        <f ca="1">+GETPIVOTDATA("XKL4",'kimlong (2016)'!$A$3,"MA_HT","ODT","MA_QH","LUC")</f>
        <v>0</v>
      </c>
      <c r="H45" s="67">
        <f ca="1">+GETPIVOTDATA("XKL4",'kimlong (2016)'!$A$3,"MA_HT","ODT","MA_QH","LUK")</f>
        <v>0</v>
      </c>
      <c r="I45" s="67">
        <f ca="1">+GETPIVOTDATA("XKL4",'kimlong (2016)'!$A$3,"MA_HT","ODT","MA_QH","LUN")</f>
        <v>0</v>
      </c>
      <c r="J45" s="67">
        <f ca="1">+GETPIVOTDATA("XKL4",'kimlong (2016)'!$A$3,"MA_HT","ODT","MA_QH","HNK")</f>
        <v>0</v>
      </c>
      <c r="K45" s="67">
        <f ca="1">+GETPIVOTDATA("XKL4",'kimlong (2016)'!$A$3,"MA_HT","ODT","MA_QH","CLN")</f>
        <v>0</v>
      </c>
      <c r="L45" s="67">
        <f ca="1">+GETPIVOTDATA("XKL4",'kimlong (2016)'!$A$3,"MA_HT","ODT","MA_QH","RSX")</f>
        <v>0</v>
      </c>
      <c r="M45" s="67">
        <f ca="1">+GETPIVOTDATA("XKL4",'kimlong (2016)'!$A$3,"MA_HT","ODT","MA_QH","RPH")</f>
        <v>0</v>
      </c>
      <c r="N45" s="67">
        <f ca="1">+GETPIVOTDATA("XKL4",'kimlong (2016)'!$A$3,"MA_HT","ODT","MA_QH","RDD")</f>
        <v>0</v>
      </c>
      <c r="O45" s="67">
        <f ca="1">+GETPIVOTDATA("XKL4",'kimlong (2016)'!$A$3,"MA_HT","ODT","MA_QH","NTS")</f>
        <v>0</v>
      </c>
      <c r="P45" s="67">
        <f ca="1">+GETPIVOTDATA("XKL4",'kimlong (2016)'!$A$3,"MA_HT","ODT","MA_QH","LMU")</f>
        <v>0</v>
      </c>
      <c r="Q45" s="67">
        <f ca="1">+GETPIVOTDATA("XKL4",'kimlong (2016)'!$A$3,"MA_HT","ODT","MA_QH","NKH")</f>
        <v>0</v>
      </c>
      <c r="R45" s="79">
        <f ca="1">SUM(S45:AA45,AN45:AQ45,AS45:BD45)</f>
        <v>0</v>
      </c>
      <c r="S45" s="67">
        <f ca="1">+GETPIVOTDATA("XKL4",'kimlong (2016)'!$A$3,"MA_HT","ODT","MA_QH","CQP")</f>
        <v>0</v>
      </c>
      <c r="T45" s="67">
        <f ca="1">+GETPIVOTDATA("XKL4",'kimlong (2016)'!$A$3,"MA_HT","ODT","MA_QH","CAN")</f>
        <v>0</v>
      </c>
      <c r="U45" s="67">
        <f ca="1">+GETPIVOTDATA("XKL4",'kimlong (2016)'!$A$3,"MA_HT","ODT","MA_QH","SKK")</f>
        <v>0</v>
      </c>
      <c r="V45" s="67">
        <f ca="1">+GETPIVOTDATA("XKL4",'kimlong (2016)'!$A$3,"MA_HT","ODT","MA_QH","SKT")</f>
        <v>0</v>
      </c>
      <c r="W45" s="67">
        <f ca="1">+GETPIVOTDATA("XKL4",'kimlong (2016)'!$A$3,"MA_HT","ODT","MA_QH","SKN")</f>
        <v>0</v>
      </c>
      <c r="X45" s="67">
        <f ca="1">+GETPIVOTDATA("XKL4",'kimlong (2016)'!$A$3,"MA_HT","ODT","MA_QH","TMD")</f>
        <v>0</v>
      </c>
      <c r="Y45" s="67">
        <f ca="1">+GETPIVOTDATA("XKL4",'kimlong (2016)'!$A$3,"MA_HT","ODT","MA_QH","SKC")</f>
        <v>0</v>
      </c>
      <c r="Z45" s="67">
        <f ca="1">+GETPIVOTDATA("XKL4",'kimlong (2016)'!$A$3,"MA_HT","ODT","MA_QH","SKS")</f>
        <v>0</v>
      </c>
      <c r="AA45" s="66">
        <f ca="1" t="shared" si="21"/>
        <v>0</v>
      </c>
      <c r="AB45" s="67">
        <f ca="1">+GETPIVOTDATA("XKL4",'kimlong (2016)'!$A$3,"MA_HT","ODT","MA_QH","DGT")</f>
        <v>0</v>
      </c>
      <c r="AC45" s="67">
        <f ca="1">+GETPIVOTDATA("XKL4",'kimlong (2016)'!$A$3,"MA_HT","ODT","MA_QH","DTL")</f>
        <v>0</v>
      </c>
      <c r="AD45" s="67">
        <f ca="1">+GETPIVOTDATA("XKL4",'kimlong (2016)'!$A$3,"MA_HT","ODT","MA_QH","DNL")</f>
        <v>0</v>
      </c>
      <c r="AE45" s="67">
        <f ca="1">+GETPIVOTDATA("XKL4",'kimlong (2016)'!$A$3,"MA_HT","ODT","MA_QH","DBV")</f>
        <v>0</v>
      </c>
      <c r="AF45" s="67">
        <f ca="1">+GETPIVOTDATA("XKL4",'kimlong (2016)'!$A$3,"MA_HT","ODT","MA_QH","DVH")</f>
        <v>0</v>
      </c>
      <c r="AG45" s="67">
        <f ca="1">+GETPIVOTDATA("XKL4",'kimlong (2016)'!$A$3,"MA_HT","ODT","MA_QH","DYT")</f>
        <v>0</v>
      </c>
      <c r="AH45" s="67">
        <f ca="1">+GETPIVOTDATA("XKL4",'kimlong (2016)'!$A$3,"MA_HT","ODT","MA_QH","DGD")</f>
        <v>0</v>
      </c>
      <c r="AI45" s="67">
        <f ca="1">+GETPIVOTDATA("XKL4",'kimlong (2016)'!$A$3,"MA_HT","ODT","MA_QH","DTT")</f>
        <v>0</v>
      </c>
      <c r="AJ45" s="67">
        <f ca="1">+GETPIVOTDATA("XKL4",'kimlong (2016)'!$A$3,"MA_HT","ODT","MA_QH","NCK")</f>
        <v>0</v>
      </c>
      <c r="AK45" s="67">
        <f ca="1">+GETPIVOTDATA("XKL4",'kimlong (2016)'!$A$3,"MA_HT","ODT","MA_QH","DXH")</f>
        <v>0</v>
      </c>
      <c r="AL45" s="67">
        <f ca="1">+GETPIVOTDATA("XKL4",'kimlong (2016)'!$A$3,"MA_HT","ODT","MA_QH","DCH")</f>
        <v>0</v>
      </c>
      <c r="AM45" s="67">
        <f ca="1">+GETPIVOTDATA("XKL4",'kimlong (2016)'!$A$3,"MA_HT","ODT","MA_QH","DKG")</f>
        <v>0</v>
      </c>
      <c r="AN45" s="67">
        <f ca="1">+GETPIVOTDATA("XKL4",'kimlong (2016)'!$A$3,"MA_HT","ODT","MA_QH","DDT")</f>
        <v>0</v>
      </c>
      <c r="AO45" s="67">
        <f ca="1">+GETPIVOTDATA("XKL4",'kimlong (2016)'!$A$3,"MA_HT","ODT","MA_QH","DDL")</f>
        <v>0</v>
      </c>
      <c r="AP45" s="67">
        <f ca="1">+GETPIVOTDATA("XKL4",'kimlong (2016)'!$A$3,"MA_HT","ODT","MA_QH","DRA")</f>
        <v>0</v>
      </c>
      <c r="AQ45" s="67">
        <f ca="1">+GETPIVOTDATA("XKL4",'kimlong (2016)'!$A$3,"MA_HT","ODT","MA_QH","ONT")</f>
        <v>0</v>
      </c>
      <c r="AR45" s="82" t="e">
        <f ca="1">$D45-$BF45</f>
        <v>#REF!</v>
      </c>
      <c r="AS45" s="67">
        <f ca="1">+GETPIVOTDATA("XKL4",'kimlong (2016)'!$A$3,"MA_HT","ODT","MA_QH","TSC")</f>
        <v>0</v>
      </c>
      <c r="AT45" s="67">
        <f ca="1">+GETPIVOTDATA("XKL4",'kimlong (2016)'!$A$3,"MA_HT","ODT","MA_QH","DTS")</f>
        <v>0</v>
      </c>
      <c r="AU45" s="67">
        <f ca="1">+GETPIVOTDATA("XKL4",'kimlong (2016)'!$A$3,"MA_HT","ODT","MA_QH","DNG")</f>
        <v>0</v>
      </c>
      <c r="AV45" s="67">
        <f ca="1">+GETPIVOTDATA("XKL4",'kimlong (2016)'!$A$3,"MA_HT","ODT","MA_QH","TON")</f>
        <v>0</v>
      </c>
      <c r="AW45" s="67">
        <f ca="1">+GETPIVOTDATA("XKL4",'kimlong (2016)'!$A$3,"MA_HT","ODT","MA_QH","NTD")</f>
        <v>0</v>
      </c>
      <c r="AX45" s="67">
        <f ca="1">+GETPIVOTDATA("XKL4",'kimlong (2016)'!$A$3,"MA_HT","ODT","MA_QH","SKX")</f>
        <v>0</v>
      </c>
      <c r="AY45" s="67">
        <f ca="1">+GETPIVOTDATA("XKL4",'kimlong (2016)'!$A$3,"MA_HT","ODT","MA_QH","DSH")</f>
        <v>0</v>
      </c>
      <c r="AZ45" s="67">
        <f ca="1">+GETPIVOTDATA("XKL4",'kimlong (2016)'!$A$3,"MA_HT","ODT","MA_QH","DKV")</f>
        <v>0</v>
      </c>
      <c r="BA45" s="92">
        <f ca="1">+GETPIVOTDATA("XKL4",'kimlong (2016)'!$A$3,"MA_HT","ODT","MA_QH","TIN")</f>
        <v>0</v>
      </c>
      <c r="BB45" s="93">
        <f ca="1">+GETPIVOTDATA("XKL4",'kimlong (2016)'!$A$3,"MA_HT","ODT","MA_QH","SON")</f>
        <v>0</v>
      </c>
      <c r="BC45" s="93">
        <f ca="1">+GETPIVOTDATA("XKL4",'kimlong (2016)'!$A$3,"MA_HT","ODT","MA_QH","MNC")</f>
        <v>0</v>
      </c>
      <c r="BD45" s="67">
        <f ca="1">+GETPIVOTDATA("XKL4",'kimlong (2016)'!$A$3,"MA_HT","ODT","MA_QH","PNK")</f>
        <v>0</v>
      </c>
      <c r="BE45" s="116">
        <f ca="1">+GETPIVOTDATA("XKL4",'kimlong (2016)'!$A$3,"MA_HT","ODT","MA_QH","CSD")</f>
        <v>0</v>
      </c>
      <c r="BF45" s="117">
        <f ca="1" t="shared" si="13"/>
        <v>0</v>
      </c>
      <c r="BG45" s="118">
        <f ca="1">AR$59-$BF45</f>
        <v>0</v>
      </c>
      <c r="BH45" s="64" t="e">
        <f ca="1" t="shared" si="14"/>
        <v>#REF!</v>
      </c>
      <c r="BI45" s="98"/>
      <c r="BJ45" s="107" t="e">
        <f>#REF!</f>
        <v>#REF!</v>
      </c>
      <c r="BK45" s="107" t="e">
        <f ca="1">BH45-BJ45</f>
        <v>#REF!</v>
      </c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</row>
    <row r="46" s="6" customFormat="1" ht="15.75" customHeight="1" spans="1:79">
      <c r="A46" s="39" t="s">
        <v>8410</v>
      </c>
      <c r="B46" s="53" t="s">
        <v>8411</v>
      </c>
      <c r="C46" s="40" t="s">
        <v>336</v>
      </c>
      <c r="D46" s="41" t="e">
        <f>+#REF!</f>
        <v>#REF!</v>
      </c>
      <c r="E46" s="42">
        <f ca="1" t="shared" si="15"/>
        <v>0</v>
      </c>
      <c r="F46" s="52">
        <f ca="1" t="shared" si="9"/>
        <v>0</v>
      </c>
      <c r="G46" s="22">
        <f ca="1">+GETPIVOTDATA("XKL4",'kimlong (2016)'!$A$3,"MA_HT","TSC","MA_QH","LUC")</f>
        <v>0</v>
      </c>
      <c r="H46" s="22">
        <f ca="1">+GETPIVOTDATA("XKL4",'kimlong (2016)'!$A$3,"MA_HT","TSC","MA_QH","LUK")</f>
        <v>0</v>
      </c>
      <c r="I46" s="22">
        <f ca="1">+GETPIVOTDATA("XKL4",'kimlong (2016)'!$A$3,"MA_HT","TSC","MA_QH","LUN")</f>
        <v>0</v>
      </c>
      <c r="J46" s="22">
        <f ca="1">+GETPIVOTDATA("XKL4",'kimlong (2016)'!$A$3,"MA_HT","TSC","MA_QH","HNK")</f>
        <v>0</v>
      </c>
      <c r="K46" s="22">
        <f ca="1">+GETPIVOTDATA("XKL4",'kimlong (2016)'!$A$3,"MA_HT","TSC","MA_QH","CLN")</f>
        <v>0</v>
      </c>
      <c r="L46" s="22">
        <f ca="1">+GETPIVOTDATA("XKL4",'kimlong (2016)'!$A$3,"MA_HT","TSC","MA_QH","RSX")</f>
        <v>0</v>
      </c>
      <c r="M46" s="22">
        <f ca="1">+GETPIVOTDATA("XKL4",'kimlong (2016)'!$A$3,"MA_HT","TSC","MA_QH","RPH")</f>
        <v>0</v>
      </c>
      <c r="N46" s="22">
        <f ca="1">+GETPIVOTDATA("XKL4",'kimlong (2016)'!$A$3,"MA_HT","TSC","MA_QH","RDD")</f>
        <v>0</v>
      </c>
      <c r="O46" s="22">
        <f ca="1">+GETPIVOTDATA("XKL4",'kimlong (2016)'!$A$3,"MA_HT","TSC","MA_QH","NTS")</f>
        <v>0</v>
      </c>
      <c r="P46" s="22">
        <f ca="1">+GETPIVOTDATA("XKL4",'kimlong (2016)'!$A$3,"MA_HT","TSC","MA_QH","LMU")</f>
        <v>0</v>
      </c>
      <c r="Q46" s="22">
        <f ca="1">+GETPIVOTDATA("XKL4",'kimlong (2016)'!$A$3,"MA_HT","TSC","MA_QH","NKH")</f>
        <v>0</v>
      </c>
      <c r="R46" s="48">
        <f ca="1">SUM(S46:AA46,AN46:AR46,AT46:BD46)</f>
        <v>0</v>
      </c>
      <c r="S46" s="22">
        <f ca="1">+GETPIVOTDATA("XKL4",'kimlong (2016)'!$A$3,"MA_HT","TSC","MA_QH","CQP")</f>
        <v>0</v>
      </c>
      <c r="T46" s="22">
        <f ca="1">+GETPIVOTDATA("XKL4",'kimlong (2016)'!$A$3,"MA_HT","TSC","MA_QH","CAN")</f>
        <v>0</v>
      </c>
      <c r="U46" s="22">
        <f ca="1">+GETPIVOTDATA("XKL4",'kimlong (2016)'!$A$3,"MA_HT","TSC","MA_QH","SKK")</f>
        <v>0</v>
      </c>
      <c r="V46" s="22">
        <f ca="1">+GETPIVOTDATA("XKL4",'kimlong (2016)'!$A$3,"MA_HT","TSC","MA_QH","SKT")</f>
        <v>0</v>
      </c>
      <c r="W46" s="22">
        <f ca="1">+GETPIVOTDATA("XKL4",'kimlong (2016)'!$A$3,"MA_HT","TSC","MA_QH","SKN")</f>
        <v>0</v>
      </c>
      <c r="X46" s="22">
        <f ca="1">+GETPIVOTDATA("XKL4",'kimlong (2016)'!$A$3,"MA_HT","TSC","MA_QH","TMD")</f>
        <v>0</v>
      </c>
      <c r="Y46" s="22">
        <f ca="1">+GETPIVOTDATA("XKL4",'kimlong (2016)'!$A$3,"MA_HT","TSC","MA_QH","SKC")</f>
        <v>0</v>
      </c>
      <c r="Z46" s="22">
        <f ca="1">+GETPIVOTDATA("XKL4",'kimlong (2016)'!$A$3,"MA_HT","TSC","MA_QH","SKS")</f>
        <v>0</v>
      </c>
      <c r="AA46" s="52">
        <f ca="1" t="shared" si="21"/>
        <v>0</v>
      </c>
      <c r="AB46" s="22">
        <f ca="1">+GETPIVOTDATA("XKL4",'kimlong (2016)'!$A$3,"MA_HT","TSC","MA_QH","DGT")</f>
        <v>0</v>
      </c>
      <c r="AC46" s="22">
        <f ca="1">+GETPIVOTDATA("XKL4",'kimlong (2016)'!$A$3,"MA_HT","TSC","MA_QH","DTL")</f>
        <v>0</v>
      </c>
      <c r="AD46" s="22">
        <f ca="1">+GETPIVOTDATA("XKL4",'kimlong (2016)'!$A$3,"MA_HT","TSC","MA_QH","DNL")</f>
        <v>0</v>
      </c>
      <c r="AE46" s="22">
        <f ca="1">+GETPIVOTDATA("XKL4",'kimlong (2016)'!$A$3,"MA_HT","TSC","MA_QH","DBV")</f>
        <v>0</v>
      </c>
      <c r="AF46" s="22">
        <f ca="1">+GETPIVOTDATA("XKL4",'kimlong (2016)'!$A$3,"MA_HT","TSC","MA_QH","DVH")</f>
        <v>0</v>
      </c>
      <c r="AG46" s="22">
        <f ca="1">+GETPIVOTDATA("XKL4",'kimlong (2016)'!$A$3,"MA_HT","TSC","MA_QH","DYT")</f>
        <v>0</v>
      </c>
      <c r="AH46" s="22">
        <f ca="1">+GETPIVOTDATA("XKL4",'kimlong (2016)'!$A$3,"MA_HT","TSC","MA_QH","DGD")</f>
        <v>0</v>
      </c>
      <c r="AI46" s="22">
        <f ca="1">+GETPIVOTDATA("XKL4",'kimlong (2016)'!$A$3,"MA_HT","TSC","MA_QH","DTT")</f>
        <v>0</v>
      </c>
      <c r="AJ46" s="22">
        <f ca="1">+GETPIVOTDATA("XKL4",'kimlong (2016)'!$A$3,"MA_HT","TSC","MA_QH","NCK")</f>
        <v>0</v>
      </c>
      <c r="AK46" s="22">
        <f ca="1">+GETPIVOTDATA("XKL4",'kimlong (2016)'!$A$3,"MA_HT","TSC","MA_QH","DXH")</f>
        <v>0</v>
      </c>
      <c r="AL46" s="22">
        <f ca="1">+GETPIVOTDATA("XKL4",'kimlong (2016)'!$A$3,"MA_HT","TSC","MA_QH","DCH")</f>
        <v>0</v>
      </c>
      <c r="AM46" s="22">
        <f ca="1">+GETPIVOTDATA("XKL4",'kimlong (2016)'!$A$3,"MA_HT","TSC","MA_QH","DKG")</f>
        <v>0</v>
      </c>
      <c r="AN46" s="22">
        <f ca="1">+GETPIVOTDATA("XKL4",'kimlong (2016)'!$A$3,"MA_HT","TSC","MA_QH","DDT")</f>
        <v>0</v>
      </c>
      <c r="AO46" s="22">
        <f ca="1">+GETPIVOTDATA("XKL4",'kimlong (2016)'!$A$3,"MA_HT","TSC","MA_QH","DDL")</f>
        <v>0</v>
      </c>
      <c r="AP46" s="22">
        <f ca="1">+GETPIVOTDATA("XKL4",'kimlong (2016)'!$A$3,"MA_HT","TSC","MA_QH","DRA")</f>
        <v>0</v>
      </c>
      <c r="AQ46" s="22">
        <f ca="1">+GETPIVOTDATA("XKL4",'kimlong (2016)'!$A$3,"MA_HT","TSC","MA_QH","ONT")</f>
        <v>0</v>
      </c>
      <c r="AR46" s="22">
        <f ca="1">+GETPIVOTDATA("XKL4",'kimlong (2016)'!$A$3,"MA_HT","TSC","MA_QH","ODT")</f>
        <v>0</v>
      </c>
      <c r="AS46" s="43" t="e">
        <f ca="1">$D46-$BF46</f>
        <v>#REF!</v>
      </c>
      <c r="AT46" s="22">
        <f ca="1">+GETPIVOTDATA("XKL4",'kimlong (2016)'!$A$3,"MA_HT","TSC","MA_QH","DTS")</f>
        <v>0</v>
      </c>
      <c r="AU46" s="22">
        <f ca="1">+GETPIVOTDATA("XKL4",'kimlong (2016)'!$A$3,"MA_HT","TSC","MA_QH","DNG")</f>
        <v>0</v>
      </c>
      <c r="AV46" s="22">
        <f ca="1">+GETPIVOTDATA("XKL4",'kimlong (2016)'!$A$3,"MA_HT","TSC","MA_QH","TON")</f>
        <v>0</v>
      </c>
      <c r="AW46" s="22">
        <f ca="1">+GETPIVOTDATA("XKL4",'kimlong (2016)'!$A$3,"MA_HT","TSC","MA_QH","NTD")</f>
        <v>0</v>
      </c>
      <c r="AX46" s="22">
        <f ca="1">+GETPIVOTDATA("XKL4",'kimlong (2016)'!$A$3,"MA_HT","TSC","MA_QH","SKX")</f>
        <v>0</v>
      </c>
      <c r="AY46" s="22">
        <f ca="1">+GETPIVOTDATA("XKL4",'kimlong (2016)'!$A$3,"MA_HT","TSC","MA_QH","DSH")</f>
        <v>0</v>
      </c>
      <c r="AZ46" s="22">
        <f ca="1">+GETPIVOTDATA("XKL4",'kimlong (2016)'!$A$3,"MA_HT","TSC","MA_QH","DKV")</f>
        <v>0</v>
      </c>
      <c r="BA46" s="89">
        <f ca="1">+GETPIVOTDATA("XKL4",'kimlong (2016)'!$A$3,"MA_HT","TSC","MA_QH","TIN")</f>
        <v>0</v>
      </c>
      <c r="BB46" s="50">
        <f ca="1">+GETPIVOTDATA("XKL4",'kimlong (2016)'!$A$3,"MA_HT","TSC","MA_QH","SON")</f>
        <v>0</v>
      </c>
      <c r="BC46" s="50">
        <f ca="1">+GETPIVOTDATA("XKL4",'kimlong (2016)'!$A$3,"MA_HT","TSC","MA_QH","MNC")</f>
        <v>0</v>
      </c>
      <c r="BD46" s="22">
        <f ca="1">+GETPIVOTDATA("XKL4",'kimlong (2016)'!$A$3,"MA_HT","TSC","MA_QH","PNK")</f>
        <v>0</v>
      </c>
      <c r="BE46" s="71">
        <f ca="1">+GETPIVOTDATA("XKL4",'kimlong (2016)'!$A$3,"MA_HT","TSC","MA_QH","CSD")</f>
        <v>0</v>
      </c>
      <c r="BF46" s="74">
        <f ca="1" t="shared" si="13"/>
        <v>0</v>
      </c>
      <c r="BG46" s="101">
        <f ca="1">AS$59-$BF46</f>
        <v>0</v>
      </c>
      <c r="BH46" s="41" t="e">
        <f ca="1" t="shared" si="14"/>
        <v>#REF!</v>
      </c>
      <c r="BI46" s="114"/>
      <c r="BJ46" s="114" t="e">
        <f>#REF!</f>
        <v>#REF!</v>
      </c>
      <c r="BK46" s="115" t="e">
        <f ca="1">BH46-BJ46</f>
        <v>#REF!</v>
      </c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</row>
    <row r="47" s="2" customFormat="1" ht="15.75" customHeight="1" spans="1:79">
      <c r="A47" s="54" t="s">
        <v>8412</v>
      </c>
      <c r="B47" s="55" t="s">
        <v>8413</v>
      </c>
      <c r="C47" s="56" t="s">
        <v>8293</v>
      </c>
      <c r="D47" s="57" t="e">
        <f>+#REF!</f>
        <v>#REF!</v>
      </c>
      <c r="E47" s="58">
        <f ca="1" t="shared" si="15"/>
        <v>0</v>
      </c>
      <c r="F47" s="59">
        <f ca="1" t="shared" si="9"/>
        <v>0</v>
      </c>
      <c r="G47" s="60">
        <f ca="1">+GETPIVOTDATA("XKL4",'kimlong (2016)'!$A$3,"MA_HT","DTS","MA_QH","LUC")</f>
        <v>0</v>
      </c>
      <c r="H47" s="60">
        <f ca="1">+GETPIVOTDATA("XKL4",'kimlong (2016)'!$A$3,"MA_HT","DTS","MA_QH","LUK")</f>
        <v>0</v>
      </c>
      <c r="I47" s="60">
        <f ca="1">+GETPIVOTDATA("XKL4",'kimlong (2016)'!$A$3,"MA_HT","DTS","MA_QH","LUN")</f>
        <v>0</v>
      </c>
      <c r="J47" s="60">
        <f ca="1">+GETPIVOTDATA("XKL4",'kimlong (2016)'!$A$3,"MA_HT","DTS","MA_QH","HNK")</f>
        <v>0</v>
      </c>
      <c r="K47" s="60">
        <f ca="1">+GETPIVOTDATA("XKL4",'kimlong (2016)'!$A$3,"MA_HT","DTS","MA_QH","CLN")</f>
        <v>0</v>
      </c>
      <c r="L47" s="60">
        <f ca="1">+GETPIVOTDATA("XKL4",'kimlong (2016)'!$A$3,"MA_HT","DTS","MA_QH","RSX")</f>
        <v>0</v>
      </c>
      <c r="M47" s="60">
        <f ca="1">+GETPIVOTDATA("XKL4",'kimlong (2016)'!$A$3,"MA_HT","DTS","MA_QH","RPH")</f>
        <v>0</v>
      </c>
      <c r="N47" s="60">
        <f ca="1">+GETPIVOTDATA("XKL4",'kimlong (2016)'!$A$3,"MA_HT","DTS","MA_QH","RDD")</f>
        <v>0</v>
      </c>
      <c r="O47" s="60">
        <f ca="1">+GETPIVOTDATA("XKL4",'kimlong (2016)'!$A$3,"MA_HT","DTS","MA_QH","NTS")</f>
        <v>0</v>
      </c>
      <c r="P47" s="60">
        <f ca="1">+GETPIVOTDATA("XKL4",'kimlong (2016)'!$A$3,"MA_HT","DTS","MA_QH","LMU")</f>
        <v>0</v>
      </c>
      <c r="Q47" s="60">
        <f ca="1">+GETPIVOTDATA("XKL4",'kimlong (2016)'!$A$3,"MA_HT","DTS","MA_QH","NKH")</f>
        <v>0</v>
      </c>
      <c r="R47" s="78">
        <f ca="1">SUM(S47:AA47,AN47:AS47,AU47:BD47)</f>
        <v>0</v>
      </c>
      <c r="S47" s="60">
        <f ca="1">+GETPIVOTDATA("XKL4",'kimlong (2016)'!$A$3,"MA_HT","DTS","MA_QH","CQP")</f>
        <v>0</v>
      </c>
      <c r="T47" s="60">
        <f ca="1">+GETPIVOTDATA("XKL4",'kimlong (2016)'!$A$3,"MA_HT","DTS","MA_QH","CAN")</f>
        <v>0</v>
      </c>
      <c r="U47" s="60">
        <f ca="1">+GETPIVOTDATA("XKL4",'kimlong (2016)'!$A$3,"MA_HT","DTS","MA_QH","SKK")</f>
        <v>0</v>
      </c>
      <c r="V47" s="60">
        <f ca="1">+GETPIVOTDATA("XKL4",'kimlong (2016)'!$A$3,"MA_HT","DTS","MA_QH","SKT")</f>
        <v>0</v>
      </c>
      <c r="W47" s="60">
        <f ca="1">+GETPIVOTDATA("XKL4",'kimlong (2016)'!$A$3,"MA_HT","DTS","MA_QH","SKN")</f>
        <v>0</v>
      </c>
      <c r="X47" s="60">
        <f ca="1">+GETPIVOTDATA("XKL4",'kimlong (2016)'!$A$3,"MA_HT","DTS","MA_QH","TMD")</f>
        <v>0</v>
      </c>
      <c r="Y47" s="60">
        <f ca="1">+GETPIVOTDATA("XKL4",'kimlong (2016)'!$A$3,"MA_HT","DTS","MA_QH","SKC")</f>
        <v>0</v>
      </c>
      <c r="Z47" s="60">
        <f ca="1">+GETPIVOTDATA("XKL4",'kimlong (2016)'!$A$3,"MA_HT","DTS","MA_QH","SKS")</f>
        <v>0</v>
      </c>
      <c r="AA47" s="59">
        <f ca="1" t="shared" si="21"/>
        <v>0</v>
      </c>
      <c r="AB47" s="60">
        <f ca="1">+GETPIVOTDATA("XKL4",'kimlong (2016)'!$A$3,"MA_HT","DTS","MA_QH","DGT")</f>
        <v>0</v>
      </c>
      <c r="AC47" s="60">
        <f ca="1">+GETPIVOTDATA("XKL4",'kimlong (2016)'!$A$3,"MA_HT","DTS","MA_QH","DTL")</f>
        <v>0</v>
      </c>
      <c r="AD47" s="60">
        <f ca="1">+GETPIVOTDATA("XKL4",'kimlong (2016)'!$A$3,"MA_HT","DTS","MA_QH","DNL")</f>
        <v>0</v>
      </c>
      <c r="AE47" s="60">
        <f ca="1">+GETPIVOTDATA("XKL4",'kimlong (2016)'!$A$3,"MA_HT","DTS","MA_QH","DBV")</f>
        <v>0</v>
      </c>
      <c r="AF47" s="60">
        <f ca="1">+GETPIVOTDATA("XKL4",'kimlong (2016)'!$A$3,"MA_HT","DTS","MA_QH","DVH")</f>
        <v>0</v>
      </c>
      <c r="AG47" s="60">
        <f ca="1">+GETPIVOTDATA("XKL4",'kimlong (2016)'!$A$3,"MA_HT","DTS","MA_QH","DYT")</f>
        <v>0</v>
      </c>
      <c r="AH47" s="60">
        <f ca="1">+GETPIVOTDATA("XKL4",'kimlong (2016)'!$A$3,"MA_HT","DTS","MA_QH","DGD")</f>
        <v>0</v>
      </c>
      <c r="AI47" s="60">
        <f ca="1">+GETPIVOTDATA("XKL4",'kimlong (2016)'!$A$3,"MA_HT","DTS","MA_QH","DTT")</f>
        <v>0</v>
      </c>
      <c r="AJ47" s="60">
        <f ca="1">+GETPIVOTDATA("XKL4",'kimlong (2016)'!$A$3,"MA_HT","DTS","MA_QH","NCK")</f>
        <v>0</v>
      </c>
      <c r="AK47" s="60">
        <f ca="1">+GETPIVOTDATA("XKL4",'kimlong (2016)'!$A$3,"MA_HT","DTS","MA_QH","DXH")</f>
        <v>0</v>
      </c>
      <c r="AL47" s="60">
        <f ca="1">+GETPIVOTDATA("XKL4",'kimlong (2016)'!$A$3,"MA_HT","DTS","MA_QH","DCH")</f>
        <v>0</v>
      </c>
      <c r="AM47" s="60">
        <f ca="1">+GETPIVOTDATA("XKL4",'kimlong (2016)'!$A$3,"MA_HT","DTS","MA_QH","DKG")</f>
        <v>0</v>
      </c>
      <c r="AN47" s="60">
        <f ca="1">+GETPIVOTDATA("XKL4",'kimlong (2016)'!$A$3,"MA_HT","DTS","MA_QH","DDT")</f>
        <v>0</v>
      </c>
      <c r="AO47" s="60">
        <f ca="1">+GETPIVOTDATA("XKL4",'kimlong (2016)'!$A$3,"MA_HT","DTS","MA_QH","DDL")</f>
        <v>0</v>
      </c>
      <c r="AP47" s="60">
        <f ca="1">+GETPIVOTDATA("XKL4",'kimlong (2016)'!$A$3,"MA_HT","DTS","MA_QH","DRA")</f>
        <v>0</v>
      </c>
      <c r="AQ47" s="60">
        <f ca="1">+GETPIVOTDATA("XKL4",'kimlong (2016)'!$A$3,"MA_HT","DTS","MA_QH","ONT")</f>
        <v>0</v>
      </c>
      <c r="AR47" s="60">
        <f ca="1">+GETPIVOTDATA("XKL4",'kimlong (2016)'!$A$3,"MA_HT","DTS","MA_QH","ODT")</f>
        <v>0</v>
      </c>
      <c r="AS47" s="60">
        <f ca="1">+GETPIVOTDATA("XKL4",'kimlong (2016)'!$A$3,"MA_HT","DTS","MA_QH","TSC")</f>
        <v>0</v>
      </c>
      <c r="AT47" s="81" t="e">
        <f ca="1">$D47-$BF47</f>
        <v>#REF!</v>
      </c>
      <c r="AU47" s="60">
        <f ca="1">+GETPIVOTDATA("XKL4",'kimlong (2016)'!$A$3,"MA_HT","DTS","MA_QH","DNG")</f>
        <v>0</v>
      </c>
      <c r="AV47" s="60">
        <f ca="1">+GETPIVOTDATA("XKL4",'kimlong (2016)'!$A$3,"MA_HT","DTS","MA_QH","TON")</f>
        <v>0</v>
      </c>
      <c r="AW47" s="60">
        <f ca="1">+GETPIVOTDATA("XKL4",'kimlong (2016)'!$A$3,"MA_HT","DTS","MA_QH","NTD")</f>
        <v>0</v>
      </c>
      <c r="AX47" s="60">
        <f ca="1">+GETPIVOTDATA("XKL4",'kimlong (2016)'!$A$3,"MA_HT","DTS","MA_QH","SKX")</f>
        <v>0</v>
      </c>
      <c r="AY47" s="60">
        <f ca="1">+GETPIVOTDATA("XKL4",'kimlong (2016)'!$A$3,"MA_HT","DTS","MA_QH","DSH")</f>
        <v>0</v>
      </c>
      <c r="AZ47" s="60">
        <f ca="1">+GETPIVOTDATA("XKL4",'kimlong (2016)'!$A$3,"MA_HT","DTS","MA_QH","DKV")</f>
        <v>0</v>
      </c>
      <c r="BA47" s="90">
        <f ca="1">+GETPIVOTDATA("XKL4",'kimlong (2016)'!$A$3,"MA_HT","DTS","MA_QH","TIN")</f>
        <v>0</v>
      </c>
      <c r="BB47" s="91">
        <f ca="1">+GETPIVOTDATA("XKL4",'kimlong (2016)'!$A$3,"MA_HT","DTS","MA_QH","SON")</f>
        <v>0</v>
      </c>
      <c r="BC47" s="91">
        <f ca="1">+GETPIVOTDATA("XKL4",'kimlong (2016)'!$A$3,"MA_HT","DTS","MA_QH","MNC")</f>
        <v>0</v>
      </c>
      <c r="BD47" s="60">
        <f ca="1">+GETPIVOTDATA("XKL4",'kimlong (2016)'!$A$3,"MA_HT","DTS","MA_QH","PNK")</f>
        <v>0</v>
      </c>
      <c r="BE47" s="111">
        <f ca="1">+GETPIVOTDATA("XKL4",'kimlong (2016)'!$A$3,"MA_HT","DTS","MA_QH","CSD")</f>
        <v>0</v>
      </c>
      <c r="BF47" s="112">
        <f ca="1" t="shared" si="13"/>
        <v>0</v>
      </c>
      <c r="BG47" s="113">
        <f ca="1">AT$59-$BF47</f>
        <v>0</v>
      </c>
      <c r="BH47" s="57" t="e">
        <f ca="1" t="shared" si="14"/>
        <v>#REF!</v>
      </c>
      <c r="BI47" s="98"/>
      <c r="BJ47" s="98"/>
      <c r="BK47" s="107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</row>
    <row r="48" s="2" customFormat="1" ht="15.75" customHeight="1" spans="1:79">
      <c r="A48" s="39" t="s">
        <v>8414</v>
      </c>
      <c r="B48" s="53" t="s">
        <v>8415</v>
      </c>
      <c r="C48" s="40" t="s">
        <v>8290</v>
      </c>
      <c r="D48" s="41" t="e">
        <f>+#REF!</f>
        <v>#REF!</v>
      </c>
      <c r="E48" s="42">
        <f ca="1" t="shared" si="15"/>
        <v>0</v>
      </c>
      <c r="F48" s="52">
        <f ca="1" t="shared" si="9"/>
        <v>0</v>
      </c>
      <c r="G48" s="22">
        <f ca="1">+GETPIVOTDATA("XKL4",'kimlong (2016)'!$A$3,"MA_HT","DNG","MA_QH","LUC")</f>
        <v>0</v>
      </c>
      <c r="H48" s="22">
        <f ca="1">+GETPIVOTDATA("XKL4",'kimlong (2016)'!$A$3,"MA_HT","DNG","MA_QH","LUK")</f>
        <v>0</v>
      </c>
      <c r="I48" s="22">
        <f ca="1">+GETPIVOTDATA("XKL4",'kimlong (2016)'!$A$3,"MA_HT","DNG","MA_QH","LUN")</f>
        <v>0</v>
      </c>
      <c r="J48" s="22">
        <f ca="1">+GETPIVOTDATA("XKL4",'kimlong (2016)'!$A$3,"MA_HT","DNG","MA_QH","HNK")</f>
        <v>0</v>
      </c>
      <c r="K48" s="22">
        <f ca="1">+GETPIVOTDATA("XKL4",'kimlong (2016)'!$A$3,"MA_HT","DNG","MA_QH","CLN")</f>
        <v>0</v>
      </c>
      <c r="L48" s="22">
        <f ca="1">+GETPIVOTDATA("XKL4",'kimlong (2016)'!$A$3,"MA_HT","DNG","MA_QH","RSX")</f>
        <v>0</v>
      </c>
      <c r="M48" s="22">
        <f ca="1">+GETPIVOTDATA("XKL4",'kimlong (2016)'!$A$3,"MA_HT","DNG","MA_QH","RPH")</f>
        <v>0</v>
      </c>
      <c r="N48" s="22">
        <f ca="1">+GETPIVOTDATA("XKL4",'kimlong (2016)'!$A$3,"MA_HT","DNG","MA_QH","RDD")</f>
        <v>0</v>
      </c>
      <c r="O48" s="22">
        <f ca="1">+GETPIVOTDATA("XKL4",'kimlong (2016)'!$A$3,"MA_HT","DNG","MA_QH","NTS")</f>
        <v>0</v>
      </c>
      <c r="P48" s="22">
        <f ca="1">+GETPIVOTDATA("XKL4",'kimlong (2016)'!$A$3,"MA_HT","DNG","MA_QH","LMU")</f>
        <v>0</v>
      </c>
      <c r="Q48" s="22">
        <f ca="1">+GETPIVOTDATA("XKL4",'kimlong (2016)'!$A$3,"MA_HT","DNG","MA_QH","NKH")</f>
        <v>0</v>
      </c>
      <c r="R48" s="79">
        <f ca="1">SUM(S48:AA48,AN48:AT48,AV48:BD48)</f>
        <v>0</v>
      </c>
      <c r="S48" s="22">
        <f ca="1">+GETPIVOTDATA("XKL4",'kimlong (2016)'!$A$3,"MA_HT","DNG","MA_QH","CQP")</f>
        <v>0</v>
      </c>
      <c r="T48" s="22">
        <f ca="1">+GETPIVOTDATA("XKL4",'kimlong (2016)'!$A$3,"MA_HT","DNG","MA_QH","CAN")</f>
        <v>0</v>
      </c>
      <c r="U48" s="22">
        <f ca="1">+GETPIVOTDATA("XKL4",'kimlong (2016)'!$A$3,"MA_HT","DNG","MA_QH","SKK")</f>
        <v>0</v>
      </c>
      <c r="V48" s="22">
        <f ca="1">+GETPIVOTDATA("XKL4",'kimlong (2016)'!$A$3,"MA_HT","DNG","MA_QH","SKT")</f>
        <v>0</v>
      </c>
      <c r="W48" s="22">
        <f ca="1">+GETPIVOTDATA("XKL4",'kimlong (2016)'!$A$3,"MA_HT","DNG","MA_QH","SKN")</f>
        <v>0</v>
      </c>
      <c r="X48" s="22">
        <f ca="1">+GETPIVOTDATA("XKL4",'kimlong (2016)'!$A$3,"MA_HT","DNG","MA_QH","TMD")</f>
        <v>0</v>
      </c>
      <c r="Y48" s="22">
        <f ca="1">+GETPIVOTDATA("XKL4",'kimlong (2016)'!$A$3,"MA_HT","DNG","MA_QH","SKC")</f>
        <v>0</v>
      </c>
      <c r="Z48" s="22">
        <f ca="1">+GETPIVOTDATA("XKL4",'kimlong (2016)'!$A$3,"MA_HT","DNG","MA_QH","SKS")</f>
        <v>0</v>
      </c>
      <c r="AA48" s="52">
        <f ca="1" t="shared" si="21"/>
        <v>0</v>
      </c>
      <c r="AB48" s="22">
        <f ca="1">+GETPIVOTDATA("XKL4",'kimlong (2016)'!$A$3,"MA_HT","DNG","MA_QH","DGT")</f>
        <v>0</v>
      </c>
      <c r="AC48" s="22">
        <f ca="1">+GETPIVOTDATA("XKL4",'kimlong (2016)'!$A$3,"MA_HT","DNG","MA_QH","DTL")</f>
        <v>0</v>
      </c>
      <c r="AD48" s="22">
        <f ca="1">+GETPIVOTDATA("XKL4",'kimlong (2016)'!$A$3,"MA_HT","DNG","MA_QH","DNL")</f>
        <v>0</v>
      </c>
      <c r="AE48" s="22">
        <f ca="1">+GETPIVOTDATA("XKL4",'kimlong (2016)'!$A$3,"MA_HT","DNG","MA_QH","DBV")</f>
        <v>0</v>
      </c>
      <c r="AF48" s="22">
        <f ca="1">+GETPIVOTDATA("XKL4",'kimlong (2016)'!$A$3,"MA_HT","DNG","MA_QH","DVH")</f>
        <v>0</v>
      </c>
      <c r="AG48" s="22">
        <f ca="1">+GETPIVOTDATA("XKL4",'kimlong (2016)'!$A$3,"MA_HT","DNG","MA_QH","DYT")</f>
        <v>0</v>
      </c>
      <c r="AH48" s="22">
        <f ca="1">+GETPIVOTDATA("XKL4",'kimlong (2016)'!$A$3,"MA_HT","DNG","MA_QH","DGD")</f>
        <v>0</v>
      </c>
      <c r="AI48" s="22">
        <f ca="1">+GETPIVOTDATA("XKL4",'kimlong (2016)'!$A$3,"MA_HT","DNG","MA_QH","DTT")</f>
        <v>0</v>
      </c>
      <c r="AJ48" s="22">
        <f ca="1">+GETPIVOTDATA("XKL4",'kimlong (2016)'!$A$3,"MA_HT","DNG","MA_QH","NCK")</f>
        <v>0</v>
      </c>
      <c r="AK48" s="22">
        <f ca="1">+GETPIVOTDATA("XKL4",'kimlong (2016)'!$A$3,"MA_HT","DNG","MA_QH","DXH")</f>
        <v>0</v>
      </c>
      <c r="AL48" s="22">
        <f ca="1">+GETPIVOTDATA("XKL4",'kimlong (2016)'!$A$3,"MA_HT","DNG","MA_QH","DCH")</f>
        <v>0</v>
      </c>
      <c r="AM48" s="22">
        <f ca="1">+GETPIVOTDATA("XKL4",'kimlong (2016)'!$A$3,"MA_HT","DNG","MA_QH","DKG")</f>
        <v>0</v>
      </c>
      <c r="AN48" s="22">
        <f ca="1">+GETPIVOTDATA("XKL4",'kimlong (2016)'!$A$3,"MA_HT","DNG","MA_QH","DDT")</f>
        <v>0</v>
      </c>
      <c r="AO48" s="22">
        <f ca="1">+GETPIVOTDATA("XKL4",'kimlong (2016)'!$A$3,"MA_HT","DNG","MA_QH","DDL")</f>
        <v>0</v>
      </c>
      <c r="AP48" s="22">
        <f ca="1">+GETPIVOTDATA("XKL4",'kimlong (2016)'!$A$3,"MA_HT","DNG","MA_QH","DRA")</f>
        <v>0</v>
      </c>
      <c r="AQ48" s="22">
        <f ca="1">+GETPIVOTDATA("XKL4",'kimlong (2016)'!$A$3,"MA_HT","DNG","MA_QH","ONT")</f>
        <v>0</v>
      </c>
      <c r="AR48" s="22">
        <f ca="1">+GETPIVOTDATA("XKL4",'kimlong (2016)'!$A$3,"MA_HT","DNG","MA_QH","ODT")</f>
        <v>0</v>
      </c>
      <c r="AS48" s="22">
        <f ca="1">+GETPIVOTDATA("XKL4",'kimlong (2016)'!$A$3,"MA_HT","DNG","MA_QH","TSC")</f>
        <v>0</v>
      </c>
      <c r="AT48" s="22">
        <f ca="1">+GETPIVOTDATA("XKL4",'kimlong (2016)'!$A$3,"MA_HT","DNG","MA_QH","DTS")</f>
        <v>0</v>
      </c>
      <c r="AU48" s="43" t="e">
        <f ca="1">$D48-$BF48</f>
        <v>#REF!</v>
      </c>
      <c r="AV48" s="22">
        <f ca="1">+GETPIVOTDATA("XKL4",'kimlong (2016)'!$A$3,"MA_HT","DNG","MA_QH","TON")</f>
        <v>0</v>
      </c>
      <c r="AW48" s="22">
        <f ca="1">+GETPIVOTDATA("XKL4",'kimlong (2016)'!$A$3,"MA_HT","DNG","MA_QH","NTD")</f>
        <v>0</v>
      </c>
      <c r="AX48" s="22">
        <f ca="1">+GETPIVOTDATA("XKL4",'kimlong (2016)'!$A$3,"MA_HT","DNG","MA_QH","SKX")</f>
        <v>0</v>
      </c>
      <c r="AY48" s="22">
        <f ca="1">+GETPIVOTDATA("XKL4",'kimlong (2016)'!$A$3,"MA_HT","DNG","MA_QH","DSH")</f>
        <v>0</v>
      </c>
      <c r="AZ48" s="22">
        <f ca="1">+GETPIVOTDATA("XKL4",'kimlong (2016)'!$A$3,"MA_HT","DNG","MA_QH","DKV")</f>
        <v>0</v>
      </c>
      <c r="BA48" s="89">
        <f ca="1">+GETPIVOTDATA("XKL4",'kimlong (2016)'!$A$3,"MA_HT","DNG","MA_QH","TIN")</f>
        <v>0</v>
      </c>
      <c r="BB48" s="50">
        <f ca="1">+GETPIVOTDATA("XKL4",'kimlong (2016)'!$A$3,"MA_HT","DNG","MA_QH","SON")</f>
        <v>0</v>
      </c>
      <c r="BC48" s="50">
        <f ca="1">+GETPIVOTDATA("XKL4",'kimlong (2016)'!$A$3,"MA_HT","DNG","MA_QH","MNC")</f>
        <v>0</v>
      </c>
      <c r="BD48" s="22">
        <f ca="1">+GETPIVOTDATA("XKL4",'kimlong (2016)'!$A$3,"MA_HT","DNG","MA_QH","PNK")</f>
        <v>0</v>
      </c>
      <c r="BE48" s="71">
        <f ca="1">+GETPIVOTDATA("XKL4",'kimlong (2016)'!$A$3,"MA_HT","DNG","MA_QH","CSD")</f>
        <v>0</v>
      </c>
      <c r="BF48" s="74">
        <f ca="1" t="shared" si="13"/>
        <v>0</v>
      </c>
      <c r="BG48" s="101">
        <f ca="1">AU$59-$BF48</f>
        <v>0</v>
      </c>
      <c r="BH48" s="41" t="e">
        <f ca="1" t="shared" si="14"/>
        <v>#REF!</v>
      </c>
      <c r="BI48" s="98"/>
      <c r="BJ48" s="98" t="e">
        <f>#REF!</f>
        <v>#REF!</v>
      </c>
      <c r="BK48" s="107" t="e">
        <f ca="1">BH48-BJ48</f>
        <v>#REF!</v>
      </c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</row>
    <row r="49" s="2" customFormat="1" ht="15.75" customHeight="1" spans="1:79">
      <c r="A49" s="39" t="s">
        <v>8416</v>
      </c>
      <c r="B49" s="53" t="s">
        <v>8417</v>
      </c>
      <c r="C49" s="40" t="s">
        <v>324</v>
      </c>
      <c r="D49" s="41" t="e">
        <f>+#REF!</f>
        <v>#REF!</v>
      </c>
      <c r="E49" s="42">
        <f ca="1" t="shared" si="15"/>
        <v>0</v>
      </c>
      <c r="F49" s="52">
        <f ca="1" t="shared" si="9"/>
        <v>0</v>
      </c>
      <c r="G49" s="22">
        <f ca="1">+GETPIVOTDATA("XKL4",'kimlong (2016)'!$A$3,"MA_HT","TON","MA_QH","LUC")</f>
        <v>0</v>
      </c>
      <c r="H49" s="22">
        <f ca="1">+GETPIVOTDATA("XKL4",'kimlong (2016)'!$A$3,"MA_HT","TON","MA_QH","LUK")</f>
        <v>0</v>
      </c>
      <c r="I49" s="22">
        <f ca="1">+GETPIVOTDATA("XKL4",'kimlong (2016)'!$A$3,"MA_HT","TON","MA_QH","LUN")</f>
        <v>0</v>
      </c>
      <c r="J49" s="22">
        <f ca="1">+GETPIVOTDATA("XKL4",'kimlong (2016)'!$A$3,"MA_HT","TON","MA_QH","HNK")</f>
        <v>0</v>
      </c>
      <c r="K49" s="22">
        <f ca="1">+GETPIVOTDATA("XKL4",'kimlong (2016)'!$A$3,"MA_HT","TON","MA_QH","CLN")</f>
        <v>0</v>
      </c>
      <c r="L49" s="22">
        <f ca="1">+GETPIVOTDATA("XKL4",'kimlong (2016)'!$A$3,"MA_HT","TON","MA_QH","RSX")</f>
        <v>0</v>
      </c>
      <c r="M49" s="22">
        <f ca="1">+GETPIVOTDATA("XKL4",'kimlong (2016)'!$A$3,"MA_HT","TON","MA_QH","RPH")</f>
        <v>0</v>
      </c>
      <c r="N49" s="22">
        <f ca="1">+GETPIVOTDATA("XKL4",'kimlong (2016)'!$A$3,"MA_HT","TON","MA_QH","RDD")</f>
        <v>0</v>
      </c>
      <c r="O49" s="22">
        <f ca="1">+GETPIVOTDATA("XKL4",'kimlong (2016)'!$A$3,"MA_HT","TON","MA_QH","NTS")</f>
        <v>0</v>
      </c>
      <c r="P49" s="22">
        <f ca="1">+GETPIVOTDATA("XKL4",'kimlong (2016)'!$A$3,"MA_HT","TON","MA_QH","LMU")</f>
        <v>0</v>
      </c>
      <c r="Q49" s="22">
        <f ca="1">+GETPIVOTDATA("XKL4",'kimlong (2016)'!$A$3,"MA_HT","TON","MA_QH","NKH")</f>
        <v>0</v>
      </c>
      <c r="R49" s="79">
        <f ca="1">SUM(S49:AA49,AN49:AU49,AW49:BD49)</f>
        <v>0</v>
      </c>
      <c r="S49" s="22">
        <f ca="1">+GETPIVOTDATA("XKL4",'kimlong (2016)'!$A$3,"MA_HT","TON","MA_QH","CQP")</f>
        <v>0</v>
      </c>
      <c r="T49" s="22">
        <f ca="1">+GETPIVOTDATA("XKL4",'kimlong (2016)'!$A$3,"MA_HT","TON","MA_QH","CAN")</f>
        <v>0</v>
      </c>
      <c r="U49" s="22">
        <f ca="1">+GETPIVOTDATA("XKL4",'kimlong (2016)'!$A$3,"MA_HT","TON","MA_QH","SKK")</f>
        <v>0</v>
      </c>
      <c r="V49" s="22">
        <f ca="1">+GETPIVOTDATA("XKL4",'kimlong (2016)'!$A$3,"MA_HT","TON","MA_QH","SKT")</f>
        <v>0</v>
      </c>
      <c r="W49" s="22">
        <f ca="1">+GETPIVOTDATA("XKL4",'kimlong (2016)'!$A$3,"MA_HT","TON","MA_QH","SKN")</f>
        <v>0</v>
      </c>
      <c r="X49" s="22">
        <f ca="1">+GETPIVOTDATA("XKL4",'kimlong (2016)'!$A$3,"MA_HT","TON","MA_QH","TMD")</f>
        <v>0</v>
      </c>
      <c r="Y49" s="22">
        <f ca="1">+GETPIVOTDATA("XKL4",'kimlong (2016)'!$A$3,"MA_HT","TON","MA_QH","SKC")</f>
        <v>0</v>
      </c>
      <c r="Z49" s="22">
        <f ca="1">+GETPIVOTDATA("XKL4",'kimlong (2016)'!$A$3,"MA_HT","TON","MA_QH","SKS")</f>
        <v>0</v>
      </c>
      <c r="AA49" s="52">
        <f ca="1" t="shared" si="21"/>
        <v>0</v>
      </c>
      <c r="AB49" s="22">
        <f ca="1">+GETPIVOTDATA("XKL4",'kimlong (2016)'!$A$3,"MA_HT","TON","MA_QH","DGT")</f>
        <v>0</v>
      </c>
      <c r="AC49" s="22">
        <f ca="1">+GETPIVOTDATA("XKL4",'kimlong (2016)'!$A$3,"MA_HT","TON","MA_QH","DTL")</f>
        <v>0</v>
      </c>
      <c r="AD49" s="22">
        <f ca="1">+GETPIVOTDATA("XKL4",'kimlong (2016)'!$A$3,"MA_HT","TON","MA_QH","DNL")</f>
        <v>0</v>
      </c>
      <c r="AE49" s="22">
        <f ca="1">+GETPIVOTDATA("XKL4",'kimlong (2016)'!$A$3,"MA_HT","TON","MA_QH","DBV")</f>
        <v>0</v>
      </c>
      <c r="AF49" s="22">
        <f ca="1">+GETPIVOTDATA("XKL4",'kimlong (2016)'!$A$3,"MA_HT","TON","MA_QH","DVH")</f>
        <v>0</v>
      </c>
      <c r="AG49" s="22">
        <f ca="1">+GETPIVOTDATA("XKL4",'kimlong (2016)'!$A$3,"MA_HT","TON","MA_QH","DYT")</f>
        <v>0</v>
      </c>
      <c r="AH49" s="22">
        <f ca="1">+GETPIVOTDATA("XKL4",'kimlong (2016)'!$A$3,"MA_HT","TON","MA_QH","DGD")</f>
        <v>0</v>
      </c>
      <c r="AI49" s="22">
        <f ca="1">+GETPIVOTDATA("XKL4",'kimlong (2016)'!$A$3,"MA_HT","TON","MA_QH","DTT")</f>
        <v>0</v>
      </c>
      <c r="AJ49" s="22">
        <f ca="1">+GETPIVOTDATA("XKL4",'kimlong (2016)'!$A$3,"MA_HT","TON","MA_QH","NCK")</f>
        <v>0</v>
      </c>
      <c r="AK49" s="22">
        <f ca="1">+GETPIVOTDATA("XKL4",'kimlong (2016)'!$A$3,"MA_HT","TON","MA_QH","DXH")</f>
        <v>0</v>
      </c>
      <c r="AL49" s="22">
        <f ca="1">+GETPIVOTDATA("XKL4",'kimlong (2016)'!$A$3,"MA_HT","TON","MA_QH","DCH")</f>
        <v>0</v>
      </c>
      <c r="AM49" s="22">
        <f ca="1">+GETPIVOTDATA("XKL4",'kimlong (2016)'!$A$3,"MA_HT","TON","MA_QH","DKG")</f>
        <v>0</v>
      </c>
      <c r="AN49" s="22">
        <f ca="1">+GETPIVOTDATA("XKL4",'kimlong (2016)'!$A$3,"MA_HT","TON","MA_QH","DDT")</f>
        <v>0</v>
      </c>
      <c r="AO49" s="22">
        <f ca="1">+GETPIVOTDATA("XKL4",'kimlong (2016)'!$A$3,"MA_HT","TON","MA_QH","DDL")</f>
        <v>0</v>
      </c>
      <c r="AP49" s="22">
        <f ca="1">+GETPIVOTDATA("XKL4",'kimlong (2016)'!$A$3,"MA_HT","TON","MA_QH","DRA")</f>
        <v>0</v>
      </c>
      <c r="AQ49" s="22">
        <f ca="1">+GETPIVOTDATA("XKL4",'kimlong (2016)'!$A$3,"MA_HT","TON","MA_QH","ONT")</f>
        <v>0</v>
      </c>
      <c r="AR49" s="22">
        <f ca="1">+GETPIVOTDATA("XKL4",'kimlong (2016)'!$A$3,"MA_HT","TON","MA_QH","ODT")</f>
        <v>0</v>
      </c>
      <c r="AS49" s="22">
        <f ca="1">+GETPIVOTDATA("XKL4",'kimlong (2016)'!$A$3,"MA_HT","TON","MA_QH","TSC")</f>
        <v>0</v>
      </c>
      <c r="AT49" s="22">
        <f ca="1">+GETPIVOTDATA("XKL4",'kimlong (2016)'!$A$3,"MA_HT","TON","MA_QH","DTS")</f>
        <v>0</v>
      </c>
      <c r="AU49" s="22">
        <f ca="1">+GETPIVOTDATA("XKL4",'kimlong (2016)'!$A$3,"MA_HT","TON","MA_QH","DNG")</f>
        <v>0</v>
      </c>
      <c r="AV49" s="43" t="e">
        <f ca="1">$D49-$BF49</f>
        <v>#REF!</v>
      </c>
      <c r="AW49" s="22">
        <f ca="1">+GETPIVOTDATA("XKL4",'kimlong (2016)'!$A$3,"MA_HT","TON","MA_QH","NTD")</f>
        <v>0</v>
      </c>
      <c r="AX49" s="22">
        <f ca="1">+GETPIVOTDATA("XKL4",'kimlong (2016)'!$A$3,"MA_HT","TON","MA_QH","SKX")</f>
        <v>0</v>
      </c>
      <c r="AY49" s="22">
        <f ca="1">+GETPIVOTDATA("XKL4",'kimlong (2016)'!$A$3,"MA_HT","TON","MA_QH","DSH")</f>
        <v>0</v>
      </c>
      <c r="AZ49" s="22">
        <f ca="1">+GETPIVOTDATA("XKL4",'kimlong (2016)'!$A$3,"MA_HT","TON","MA_QH","DKV")</f>
        <v>0</v>
      </c>
      <c r="BA49" s="89">
        <f ca="1">+GETPIVOTDATA("XKL4",'kimlong (2016)'!$A$3,"MA_HT","TON","MA_QH","TIN")</f>
        <v>0</v>
      </c>
      <c r="BB49" s="50">
        <f ca="1">+GETPIVOTDATA("XKL4",'kimlong (2016)'!$A$3,"MA_HT","TON","MA_QH","SON")</f>
        <v>0</v>
      </c>
      <c r="BC49" s="50">
        <f ca="1">+GETPIVOTDATA("XKL4",'kimlong (2016)'!$A$3,"MA_HT","TON","MA_QH","MNC")</f>
        <v>0</v>
      </c>
      <c r="BD49" s="22">
        <f ca="1">+GETPIVOTDATA("XKL4",'kimlong (2016)'!$A$3,"MA_HT","TON","MA_QH","PNK")</f>
        <v>0</v>
      </c>
      <c r="BE49" s="71">
        <f ca="1">+GETPIVOTDATA("XKL4",'kimlong (2016)'!$A$3,"MA_HT","TON","MA_QH","CSD")</f>
        <v>0</v>
      </c>
      <c r="BF49" s="74">
        <f ca="1" t="shared" si="13"/>
        <v>0</v>
      </c>
      <c r="BG49" s="101">
        <f ca="1">AV$59-$BF49</f>
        <v>0</v>
      </c>
      <c r="BH49" s="41" t="e">
        <f ca="1" t="shared" si="14"/>
        <v>#REF!</v>
      </c>
      <c r="BI49" s="98"/>
      <c r="BJ49" s="98" t="e">
        <f>#REF!</f>
        <v>#REF!</v>
      </c>
      <c r="BK49" s="107" t="e">
        <f ca="1">BH49-BJ49</f>
        <v>#REF!</v>
      </c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</row>
    <row r="50" s="2" customFormat="1" ht="15.75" customHeight="1" spans="1:79">
      <c r="A50" s="39" t="s">
        <v>8418</v>
      </c>
      <c r="B50" s="53" t="s">
        <v>8419</v>
      </c>
      <c r="C50" s="40" t="s">
        <v>182</v>
      </c>
      <c r="D50" s="41" t="e">
        <f>+#REF!</f>
        <v>#REF!</v>
      </c>
      <c r="E50" s="42">
        <f ca="1" t="shared" si="15"/>
        <v>0</v>
      </c>
      <c r="F50" s="52">
        <f ca="1" t="shared" si="9"/>
        <v>0</v>
      </c>
      <c r="G50" s="22">
        <f ca="1">+GETPIVOTDATA("XKL4",'kimlong (2016)'!$A$3,"MA_HT","NTD","MA_QH","LUC")</f>
        <v>0</v>
      </c>
      <c r="H50" s="22">
        <f ca="1">+GETPIVOTDATA("XKL4",'kimlong (2016)'!$A$3,"MA_HT","NTD","MA_QH","LUK")</f>
        <v>0</v>
      </c>
      <c r="I50" s="22">
        <f ca="1">+GETPIVOTDATA("XKL4",'kimlong (2016)'!$A$3,"MA_HT","NTD","MA_QH","LUN")</f>
        <v>0</v>
      </c>
      <c r="J50" s="22">
        <f ca="1">+GETPIVOTDATA("XKL4",'kimlong (2016)'!$A$3,"MA_HT","NTD","MA_QH","HNK")</f>
        <v>0</v>
      </c>
      <c r="K50" s="22">
        <f ca="1">+GETPIVOTDATA("XKL4",'kimlong (2016)'!$A$3,"MA_HT","NTD","MA_QH","CLN")</f>
        <v>0</v>
      </c>
      <c r="L50" s="22">
        <f ca="1">+GETPIVOTDATA("XKL4",'kimlong (2016)'!$A$3,"MA_HT","NTD","MA_QH","RSX")</f>
        <v>0</v>
      </c>
      <c r="M50" s="22">
        <f ca="1">+GETPIVOTDATA("XKL4",'kimlong (2016)'!$A$3,"MA_HT","NTD","MA_QH","RPH")</f>
        <v>0</v>
      </c>
      <c r="N50" s="22">
        <f ca="1">+GETPIVOTDATA("XKL4",'kimlong (2016)'!$A$3,"MA_HT","NTD","MA_QH","RDD")</f>
        <v>0</v>
      </c>
      <c r="O50" s="22">
        <f ca="1">+GETPIVOTDATA("XKL4",'kimlong (2016)'!$A$3,"MA_HT","NTD","MA_QH","NTS")</f>
        <v>0</v>
      </c>
      <c r="P50" s="22">
        <f ca="1">+GETPIVOTDATA("XKL4",'kimlong (2016)'!$A$3,"MA_HT","NTD","MA_QH","LMU")</f>
        <v>0</v>
      </c>
      <c r="Q50" s="22">
        <f ca="1">+GETPIVOTDATA("XKL4",'kimlong (2016)'!$A$3,"MA_HT","NTD","MA_QH","NKH")</f>
        <v>0</v>
      </c>
      <c r="R50" s="79">
        <f ca="1">SUM(S50:AA50,AN50:AV50,AX50:BD50)</f>
        <v>0</v>
      </c>
      <c r="S50" s="22">
        <f ca="1">+GETPIVOTDATA("XKL4",'kimlong (2016)'!$A$3,"MA_HT","NTD","MA_QH","CQP")</f>
        <v>0</v>
      </c>
      <c r="T50" s="22">
        <f ca="1">+GETPIVOTDATA("XKL4",'kimlong (2016)'!$A$3,"MA_HT","NTD","MA_QH","CAN")</f>
        <v>0</v>
      </c>
      <c r="U50" s="22">
        <f ca="1">+GETPIVOTDATA("XKL4",'kimlong (2016)'!$A$3,"MA_HT","NTD","MA_QH","SKK")</f>
        <v>0</v>
      </c>
      <c r="V50" s="22">
        <f ca="1">+GETPIVOTDATA("XKL4",'kimlong (2016)'!$A$3,"MA_HT","NTD","MA_QH","SKT")</f>
        <v>0</v>
      </c>
      <c r="W50" s="22">
        <f ca="1">+GETPIVOTDATA("XKL4",'kimlong (2016)'!$A$3,"MA_HT","NTD","MA_QH","SKN")</f>
        <v>0</v>
      </c>
      <c r="X50" s="22">
        <f ca="1">+GETPIVOTDATA("XKL4",'kimlong (2016)'!$A$3,"MA_HT","NTD","MA_QH","TMD")</f>
        <v>0</v>
      </c>
      <c r="Y50" s="22">
        <f ca="1">+GETPIVOTDATA("XKL4",'kimlong (2016)'!$A$3,"MA_HT","NTD","MA_QH","SKC")</f>
        <v>0</v>
      </c>
      <c r="Z50" s="22">
        <f ca="1">+GETPIVOTDATA("XKL4",'kimlong (2016)'!$A$3,"MA_HT","NTD","MA_QH","SKS")</f>
        <v>0</v>
      </c>
      <c r="AA50" s="52">
        <f ca="1" t="shared" si="21"/>
        <v>0</v>
      </c>
      <c r="AB50" s="22">
        <f ca="1">+GETPIVOTDATA("XKL4",'kimlong (2016)'!$A$3,"MA_HT","NTD","MA_QH","DGT")</f>
        <v>0</v>
      </c>
      <c r="AC50" s="22">
        <f ca="1">+GETPIVOTDATA("XKL4",'kimlong (2016)'!$A$3,"MA_HT","NTD","MA_QH","DTL")</f>
        <v>0</v>
      </c>
      <c r="AD50" s="22">
        <f ca="1">+GETPIVOTDATA("XKL4",'kimlong (2016)'!$A$3,"MA_HT","NTD","MA_QH","DNL")</f>
        <v>0</v>
      </c>
      <c r="AE50" s="22">
        <f ca="1">+GETPIVOTDATA("XKL4",'kimlong (2016)'!$A$3,"MA_HT","NTD","MA_QH","DBV")</f>
        <v>0</v>
      </c>
      <c r="AF50" s="22">
        <f ca="1">+GETPIVOTDATA("XKL4",'kimlong (2016)'!$A$3,"MA_HT","NTD","MA_QH","DVH")</f>
        <v>0</v>
      </c>
      <c r="AG50" s="22">
        <f ca="1">+GETPIVOTDATA("XKL4",'kimlong (2016)'!$A$3,"MA_HT","NTD","MA_QH","DYT")</f>
        <v>0</v>
      </c>
      <c r="AH50" s="22">
        <f ca="1">+GETPIVOTDATA("XKL4",'kimlong (2016)'!$A$3,"MA_HT","NTD","MA_QH","DGD")</f>
        <v>0</v>
      </c>
      <c r="AI50" s="22">
        <f ca="1">+GETPIVOTDATA("XKL4",'kimlong (2016)'!$A$3,"MA_HT","NTD","MA_QH","DTT")</f>
        <v>0</v>
      </c>
      <c r="AJ50" s="22">
        <f ca="1">+GETPIVOTDATA("XKL4",'kimlong (2016)'!$A$3,"MA_HT","NTD","MA_QH","NCK")</f>
        <v>0</v>
      </c>
      <c r="AK50" s="22">
        <f ca="1">+GETPIVOTDATA("XKL4",'kimlong (2016)'!$A$3,"MA_HT","NTD","MA_QH","DXH")</f>
        <v>0</v>
      </c>
      <c r="AL50" s="22">
        <f ca="1">+GETPIVOTDATA("XKL4",'kimlong (2016)'!$A$3,"MA_HT","NTD","MA_QH","DCH")</f>
        <v>0</v>
      </c>
      <c r="AM50" s="22">
        <f ca="1">+GETPIVOTDATA("XKL4",'kimlong (2016)'!$A$3,"MA_HT","NTD","MA_QH","DKG")</f>
        <v>0</v>
      </c>
      <c r="AN50" s="22">
        <f ca="1">+GETPIVOTDATA("XKL4",'kimlong (2016)'!$A$3,"MA_HT","NTD","MA_QH","DDT")</f>
        <v>0</v>
      </c>
      <c r="AO50" s="22">
        <f ca="1">+GETPIVOTDATA("XKL4",'kimlong (2016)'!$A$3,"MA_HT","NTD","MA_QH","DDL")</f>
        <v>0</v>
      </c>
      <c r="AP50" s="22">
        <f ca="1">+GETPIVOTDATA("XKL4",'kimlong (2016)'!$A$3,"MA_HT","NTD","MA_QH","DRA")</f>
        <v>0</v>
      </c>
      <c r="AQ50" s="22">
        <f ca="1">+GETPIVOTDATA("XKL4",'kimlong (2016)'!$A$3,"MA_HT","NTD","MA_QH","ONT")</f>
        <v>0</v>
      </c>
      <c r="AR50" s="22">
        <f ca="1">+GETPIVOTDATA("XKL4",'kimlong (2016)'!$A$3,"MA_HT","NTD","MA_QH","ODT")</f>
        <v>0</v>
      </c>
      <c r="AS50" s="22">
        <f ca="1">+GETPIVOTDATA("XKL4",'kimlong (2016)'!$A$3,"MA_HT","NTD","MA_QH","TSC")</f>
        <v>0</v>
      </c>
      <c r="AT50" s="22">
        <f ca="1">+GETPIVOTDATA("XKL4",'kimlong (2016)'!$A$3,"MA_HT","NTD","MA_QH","DTS")</f>
        <v>0</v>
      </c>
      <c r="AU50" s="22">
        <f ca="1">+GETPIVOTDATA("XKL4",'kimlong (2016)'!$A$3,"MA_HT","NTD","MA_QH","DNG")</f>
        <v>0</v>
      </c>
      <c r="AV50" s="22">
        <f ca="1">+GETPIVOTDATA("XKL4",'kimlong (2016)'!$A$3,"MA_HT","NTD","MA_QH","TON")</f>
        <v>0</v>
      </c>
      <c r="AW50" s="43" t="e">
        <f ca="1">$D50-$BF50</f>
        <v>#REF!</v>
      </c>
      <c r="AX50" s="22">
        <f ca="1">+GETPIVOTDATA("XKL4",'kimlong (2016)'!$A$3,"MA_HT","NTD","MA_QH","SKX")</f>
        <v>0</v>
      </c>
      <c r="AY50" s="22">
        <f ca="1">+GETPIVOTDATA("XKL4",'kimlong (2016)'!$A$3,"MA_HT","NTD","MA_QH","DSH")</f>
        <v>0</v>
      </c>
      <c r="AZ50" s="22">
        <f ca="1">+GETPIVOTDATA("XKL4",'kimlong (2016)'!$A$3,"MA_HT","NTD","MA_QH","DKV")</f>
        <v>0</v>
      </c>
      <c r="BA50" s="89">
        <f ca="1">+GETPIVOTDATA("XKL4",'kimlong (2016)'!$A$3,"MA_HT","NTD","MA_QH","TIN")</f>
        <v>0</v>
      </c>
      <c r="BB50" s="50">
        <f ca="1">+GETPIVOTDATA("XKL4",'kimlong (2016)'!$A$3,"MA_HT","NTD","MA_QH","SON")</f>
        <v>0</v>
      </c>
      <c r="BC50" s="50">
        <f ca="1">+GETPIVOTDATA("XKL4",'kimlong (2016)'!$A$3,"MA_HT","NTD","MA_QH","MNC")</f>
        <v>0</v>
      </c>
      <c r="BD50" s="22">
        <f ca="1">+GETPIVOTDATA("XKL4",'kimlong (2016)'!$A$3,"MA_HT","NTD","MA_QH","PNK")</f>
        <v>0</v>
      </c>
      <c r="BE50" s="71">
        <f ca="1">+GETPIVOTDATA("XKL4",'kimlong (2016)'!$A$3,"MA_HT","NTD","MA_QH","CSD")</f>
        <v>0</v>
      </c>
      <c r="BF50" s="74">
        <f ca="1" t="shared" si="13"/>
        <v>0</v>
      </c>
      <c r="BG50" s="101">
        <f ca="1">AW$59-$BF50</f>
        <v>0</v>
      </c>
      <c r="BH50" s="41" t="e">
        <f ca="1" t="shared" si="14"/>
        <v>#REF!</v>
      </c>
      <c r="BI50" s="98"/>
      <c r="BJ50" s="98"/>
      <c r="BK50" s="107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</row>
    <row r="51" s="2" customFormat="1" ht="15.75" customHeight="1" spans="1:79">
      <c r="A51" s="39" t="s">
        <v>8420</v>
      </c>
      <c r="B51" s="39" t="s">
        <v>8421</v>
      </c>
      <c r="C51" s="40" t="s">
        <v>236</v>
      </c>
      <c r="D51" s="41" t="e">
        <f>+#REF!</f>
        <v>#REF!</v>
      </c>
      <c r="E51" s="42">
        <f ca="1" t="shared" si="15"/>
        <v>0</v>
      </c>
      <c r="F51" s="52">
        <f ca="1" t="shared" si="9"/>
        <v>0</v>
      </c>
      <c r="G51" s="22">
        <f ca="1">+GETPIVOTDATA("XKL4",'kimlong (2016)'!$A$3,"MA_HT","SKX","MA_QH","LUC")</f>
        <v>0</v>
      </c>
      <c r="H51" s="22">
        <f ca="1">+GETPIVOTDATA("XKL4",'kimlong (2016)'!$A$3,"MA_HT","SKX","MA_QH","LUK")</f>
        <v>0</v>
      </c>
      <c r="I51" s="22">
        <f ca="1">+GETPIVOTDATA("XKL4",'kimlong (2016)'!$A$3,"MA_HT","SKX","MA_QH","LUN")</f>
        <v>0</v>
      </c>
      <c r="J51" s="22">
        <f ca="1">+GETPIVOTDATA("XKL4",'kimlong (2016)'!$A$3,"MA_HT","SKX","MA_QH","HNK")</f>
        <v>0</v>
      </c>
      <c r="K51" s="22">
        <f ca="1">+GETPIVOTDATA("XKL4",'kimlong (2016)'!$A$3,"MA_HT","SKX","MA_QH","CLN")</f>
        <v>0</v>
      </c>
      <c r="L51" s="22">
        <f ca="1">+GETPIVOTDATA("XKL4",'kimlong (2016)'!$A$3,"MA_HT","SKX","MA_QH","RSX")</f>
        <v>0</v>
      </c>
      <c r="M51" s="22">
        <f ca="1">+GETPIVOTDATA("XKL4",'kimlong (2016)'!$A$3,"MA_HT","SKX","MA_QH","RPH")</f>
        <v>0</v>
      </c>
      <c r="N51" s="22">
        <f ca="1">+GETPIVOTDATA("XKL4",'kimlong (2016)'!$A$3,"MA_HT","SKX","MA_QH","RDD")</f>
        <v>0</v>
      </c>
      <c r="O51" s="22">
        <f ca="1">+GETPIVOTDATA("XKL4",'kimlong (2016)'!$A$3,"MA_HT","SKX","MA_QH","NTS")</f>
        <v>0</v>
      </c>
      <c r="P51" s="22">
        <f ca="1">+GETPIVOTDATA("XKL4",'kimlong (2016)'!$A$3,"MA_HT","SKX","MA_QH","LMU")</f>
        <v>0</v>
      </c>
      <c r="Q51" s="22">
        <f ca="1">+GETPIVOTDATA("XKL4",'kimlong (2016)'!$A$3,"MA_HT","SKX","MA_QH","NKH")</f>
        <v>0</v>
      </c>
      <c r="R51" s="79">
        <f ca="1">SUM(S51:AA51,AN51:AW51,AY51:BD51)</f>
        <v>0</v>
      </c>
      <c r="S51" s="22">
        <f ca="1">+GETPIVOTDATA("XKL4",'kimlong (2016)'!$A$3,"MA_HT","SKX","MA_QH","CQP")</f>
        <v>0</v>
      </c>
      <c r="T51" s="22">
        <f ca="1">+GETPIVOTDATA("XKL4",'kimlong (2016)'!$A$3,"MA_HT","SKX","MA_QH","CAN")</f>
        <v>0</v>
      </c>
      <c r="U51" s="22">
        <f ca="1">+GETPIVOTDATA("XKL4",'kimlong (2016)'!$A$3,"MA_HT","SKX","MA_QH","SKK")</f>
        <v>0</v>
      </c>
      <c r="V51" s="22">
        <f ca="1">+GETPIVOTDATA("XKL4",'kimlong (2016)'!$A$3,"MA_HT","SKX","MA_QH","SKT")</f>
        <v>0</v>
      </c>
      <c r="W51" s="22">
        <f ca="1">+GETPIVOTDATA("XKL4",'kimlong (2016)'!$A$3,"MA_HT","SKX","MA_QH","SKN")</f>
        <v>0</v>
      </c>
      <c r="X51" s="22">
        <f ca="1">+GETPIVOTDATA("XKL4",'kimlong (2016)'!$A$3,"MA_HT","SKX","MA_QH","TMD")</f>
        <v>0</v>
      </c>
      <c r="Y51" s="22">
        <f ca="1">+GETPIVOTDATA("XKL4",'kimlong (2016)'!$A$3,"MA_HT","SKX","MA_QH","SKC")</f>
        <v>0</v>
      </c>
      <c r="Z51" s="22">
        <f ca="1">+GETPIVOTDATA("XKL4",'kimlong (2016)'!$A$3,"MA_HT","SKX","MA_QH","SKS")</f>
        <v>0</v>
      </c>
      <c r="AA51" s="52">
        <f ca="1" t="shared" si="21"/>
        <v>0</v>
      </c>
      <c r="AB51" s="22">
        <f ca="1">+GETPIVOTDATA("XKL4",'kimlong (2016)'!$A$3,"MA_HT","SKX","MA_QH","DGT")</f>
        <v>0</v>
      </c>
      <c r="AC51" s="22">
        <f ca="1">+GETPIVOTDATA("XKL4",'kimlong (2016)'!$A$3,"MA_HT","SKX","MA_QH","DTL")</f>
        <v>0</v>
      </c>
      <c r="AD51" s="22">
        <f ca="1">+GETPIVOTDATA("XKL4",'kimlong (2016)'!$A$3,"MA_HT","SKX","MA_QH","DNL")</f>
        <v>0</v>
      </c>
      <c r="AE51" s="22">
        <f ca="1">+GETPIVOTDATA("XKL4",'kimlong (2016)'!$A$3,"MA_HT","SKX","MA_QH","DBV")</f>
        <v>0</v>
      </c>
      <c r="AF51" s="22">
        <f ca="1">+GETPIVOTDATA("XKL4",'kimlong (2016)'!$A$3,"MA_HT","SKX","MA_QH","DVH")</f>
        <v>0</v>
      </c>
      <c r="AG51" s="22">
        <f ca="1">+GETPIVOTDATA("XKL4",'kimlong (2016)'!$A$3,"MA_HT","SKX","MA_QH","DYT")</f>
        <v>0</v>
      </c>
      <c r="AH51" s="22">
        <f ca="1">+GETPIVOTDATA("XKL4",'kimlong (2016)'!$A$3,"MA_HT","SKX","MA_QH","DGD")</f>
        <v>0</v>
      </c>
      <c r="AI51" s="22">
        <f ca="1">+GETPIVOTDATA("XKL4",'kimlong (2016)'!$A$3,"MA_HT","SKX","MA_QH","DTT")</f>
        <v>0</v>
      </c>
      <c r="AJ51" s="22">
        <f ca="1">+GETPIVOTDATA("XKL4",'kimlong (2016)'!$A$3,"MA_HT","SKX","MA_QH","NCK")</f>
        <v>0</v>
      </c>
      <c r="AK51" s="22">
        <f ca="1">+GETPIVOTDATA("XKL4",'kimlong (2016)'!$A$3,"MA_HT","SKX","MA_QH","DXH")</f>
        <v>0</v>
      </c>
      <c r="AL51" s="22">
        <f ca="1">+GETPIVOTDATA("XKL4",'kimlong (2016)'!$A$3,"MA_HT","SKX","MA_QH","DCH")</f>
        <v>0</v>
      </c>
      <c r="AM51" s="22">
        <f ca="1">+GETPIVOTDATA("XKL4",'kimlong (2016)'!$A$3,"MA_HT","SKX","MA_QH","DKG")</f>
        <v>0</v>
      </c>
      <c r="AN51" s="22">
        <f ca="1">+GETPIVOTDATA("XKL4",'kimlong (2016)'!$A$3,"MA_HT","SKX","MA_QH","DDT")</f>
        <v>0</v>
      </c>
      <c r="AO51" s="22">
        <f ca="1">+GETPIVOTDATA("XKL4",'kimlong (2016)'!$A$3,"MA_HT","SKX","MA_QH","DDL")</f>
        <v>0</v>
      </c>
      <c r="AP51" s="22">
        <f ca="1">+GETPIVOTDATA("XKL4",'kimlong (2016)'!$A$3,"MA_HT","SKX","MA_QH","DRA")</f>
        <v>0</v>
      </c>
      <c r="AQ51" s="22">
        <f ca="1">+GETPIVOTDATA("XKL4",'kimlong (2016)'!$A$3,"MA_HT","SKX","MA_QH","ONT")</f>
        <v>0</v>
      </c>
      <c r="AR51" s="22">
        <f ca="1">+GETPIVOTDATA("XKL4",'kimlong (2016)'!$A$3,"MA_HT","SKX","MA_QH","ODT")</f>
        <v>0</v>
      </c>
      <c r="AS51" s="22">
        <f ca="1">+GETPIVOTDATA("XKL4",'kimlong (2016)'!$A$3,"MA_HT","SKX","MA_QH","TSC")</f>
        <v>0</v>
      </c>
      <c r="AT51" s="22">
        <f ca="1">+GETPIVOTDATA("XKL4",'kimlong (2016)'!$A$3,"MA_HT","SKX","MA_QH","DTS")</f>
        <v>0</v>
      </c>
      <c r="AU51" s="22">
        <f ca="1">+GETPIVOTDATA("XKL4",'kimlong (2016)'!$A$3,"MA_HT","SKX","MA_QH","DNG")</f>
        <v>0</v>
      </c>
      <c r="AV51" s="22">
        <f ca="1">+GETPIVOTDATA("XKL4",'kimlong (2016)'!$A$3,"MA_HT","SKX","MA_QH","TON")</f>
        <v>0</v>
      </c>
      <c r="AW51" s="22">
        <f ca="1">+GETPIVOTDATA("XKL4",'kimlong (2016)'!$A$3,"MA_HT","SKX","MA_QH","NTD")</f>
        <v>0</v>
      </c>
      <c r="AX51" s="43" t="e">
        <f ca="1">$D51-$BF51</f>
        <v>#REF!</v>
      </c>
      <c r="AY51" s="22">
        <f ca="1">+GETPIVOTDATA("XKL4",'kimlong (2016)'!$A$3,"MA_HT","SKX","MA_QH","DSH")</f>
        <v>0</v>
      </c>
      <c r="AZ51" s="22">
        <f ca="1">+GETPIVOTDATA("XKL4",'kimlong (2016)'!$A$3,"MA_HT","SKX","MA_QH","DKV")</f>
        <v>0</v>
      </c>
      <c r="BA51" s="89">
        <f ca="1">+GETPIVOTDATA("XKL4",'kimlong (2016)'!$A$3,"MA_HT","SKX","MA_QH","TIN")</f>
        <v>0</v>
      </c>
      <c r="BB51" s="50">
        <f ca="1">+GETPIVOTDATA("XKL4",'kimlong (2016)'!$A$3,"MA_HT","SKX","MA_QH","SON")</f>
        <v>0</v>
      </c>
      <c r="BC51" s="50">
        <f ca="1">+GETPIVOTDATA("XKL4",'kimlong (2016)'!$A$3,"MA_HT","SKX","MA_QH","MNC")</f>
        <v>0</v>
      </c>
      <c r="BD51" s="22">
        <f ca="1">+GETPIVOTDATA("XKL4",'kimlong (2016)'!$A$3,"MA_HT","SKX","MA_QH","PNK")</f>
        <v>0</v>
      </c>
      <c r="BE51" s="71">
        <f ca="1">+GETPIVOTDATA("XKL4",'kimlong (2016)'!$A$3,"MA_HT","SKX","MA_QH","CSD")</f>
        <v>0</v>
      </c>
      <c r="BF51" s="74">
        <f ca="1" t="shared" si="13"/>
        <v>0</v>
      </c>
      <c r="BG51" s="101">
        <f ca="1">AX$59-$BF51</f>
        <v>0</v>
      </c>
      <c r="BH51" s="41" t="e">
        <f ca="1" t="shared" si="14"/>
        <v>#REF!</v>
      </c>
      <c r="BI51" s="98"/>
      <c r="BJ51" s="98" t="e">
        <f>#REF!</f>
        <v>#REF!</v>
      </c>
      <c r="BK51" s="107" t="e">
        <f ca="1">BH51-BJ51</f>
        <v>#REF!</v>
      </c>
      <c r="BL51" s="98"/>
      <c r="BM51" s="122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</row>
    <row r="52" s="2" customFormat="1" ht="15.75" customHeight="1" spans="1:79">
      <c r="A52" s="39" t="s">
        <v>8422</v>
      </c>
      <c r="B52" s="39" t="s">
        <v>8423</v>
      </c>
      <c r="C52" s="40" t="s">
        <v>8292</v>
      </c>
      <c r="D52" s="41" t="e">
        <f>+#REF!</f>
        <v>#REF!</v>
      </c>
      <c r="E52" s="42">
        <f ca="1" t="shared" si="15"/>
        <v>0</v>
      </c>
      <c r="F52" s="52">
        <f ca="1" t="shared" si="9"/>
        <v>0</v>
      </c>
      <c r="G52" s="22">
        <f ca="1">+GETPIVOTDATA("XKL4",'kimlong (2016)'!$A$3,"MA_HT","DSH","MA_QH","LUC")</f>
        <v>0</v>
      </c>
      <c r="H52" s="22">
        <f ca="1">+GETPIVOTDATA("XKL4",'kimlong (2016)'!$A$3,"MA_HT","DSH","MA_QH","LUK")</f>
        <v>0</v>
      </c>
      <c r="I52" s="22">
        <f ca="1">+GETPIVOTDATA("XKL4",'kimlong (2016)'!$A$3,"MA_HT","DSH","MA_QH","LUN")</f>
        <v>0</v>
      </c>
      <c r="J52" s="22">
        <f ca="1">+GETPIVOTDATA("XKL4",'kimlong (2016)'!$A$3,"MA_HT","DSH","MA_QH","HNK")</f>
        <v>0</v>
      </c>
      <c r="K52" s="22">
        <f ca="1">+GETPIVOTDATA("XKL4",'kimlong (2016)'!$A$3,"MA_HT","DSH","MA_QH","CLN")</f>
        <v>0</v>
      </c>
      <c r="L52" s="22">
        <f ca="1">+GETPIVOTDATA("XKL4",'kimlong (2016)'!$A$3,"MA_HT","DSH","MA_QH","RSX")</f>
        <v>0</v>
      </c>
      <c r="M52" s="22">
        <f ca="1">+GETPIVOTDATA("XKL4",'kimlong (2016)'!$A$3,"MA_HT","DSH","MA_QH","RPH")</f>
        <v>0</v>
      </c>
      <c r="N52" s="22">
        <f ca="1">+GETPIVOTDATA("XKL4",'kimlong (2016)'!$A$3,"MA_HT","DSH","MA_QH","RDD")</f>
        <v>0</v>
      </c>
      <c r="O52" s="22">
        <f ca="1">+GETPIVOTDATA("XKL4",'kimlong (2016)'!$A$3,"MA_HT","DSH","MA_QH","NTS")</f>
        <v>0</v>
      </c>
      <c r="P52" s="22">
        <f ca="1">+GETPIVOTDATA("XKL4",'kimlong (2016)'!$A$3,"MA_HT","DSH","MA_QH","LMU")</f>
        <v>0</v>
      </c>
      <c r="Q52" s="22">
        <f ca="1">+GETPIVOTDATA("XKL4",'kimlong (2016)'!$A$3,"MA_HT","DSH","MA_QH","NKH")</f>
        <v>0</v>
      </c>
      <c r="R52" s="79">
        <f ca="1">SUM(S52:AA52,AN52:AX52,AZ52:BD52)</f>
        <v>0</v>
      </c>
      <c r="S52" s="22">
        <f ca="1">+GETPIVOTDATA("XKL4",'kimlong (2016)'!$A$3,"MA_HT","DSH","MA_QH","CQP")</f>
        <v>0</v>
      </c>
      <c r="T52" s="22">
        <f ca="1">+GETPIVOTDATA("XKL4",'kimlong (2016)'!$A$3,"MA_HT","DSH","MA_QH","CAN")</f>
        <v>0</v>
      </c>
      <c r="U52" s="22">
        <f ca="1">+GETPIVOTDATA("XKL4",'kimlong (2016)'!$A$3,"MA_HT","DSH","MA_QH","SKK")</f>
        <v>0</v>
      </c>
      <c r="V52" s="22">
        <f ca="1">+GETPIVOTDATA("XKL4",'kimlong (2016)'!$A$3,"MA_HT","DSH","MA_QH","SKT")</f>
        <v>0</v>
      </c>
      <c r="W52" s="22">
        <f ca="1">+GETPIVOTDATA("XKL4",'kimlong (2016)'!$A$3,"MA_HT","DSH","MA_QH","SKN")</f>
        <v>0</v>
      </c>
      <c r="X52" s="22">
        <f ca="1">+GETPIVOTDATA("XKL4",'kimlong (2016)'!$A$3,"MA_HT","DSH","MA_QH","TMD")</f>
        <v>0</v>
      </c>
      <c r="Y52" s="22">
        <f ca="1">+GETPIVOTDATA("XKL4",'kimlong (2016)'!$A$3,"MA_HT","DSH","MA_QH","SKC")</f>
        <v>0</v>
      </c>
      <c r="Z52" s="22">
        <f ca="1">+GETPIVOTDATA("XKL4",'kimlong (2016)'!$A$3,"MA_HT","DSH","MA_QH","SKS")</f>
        <v>0</v>
      </c>
      <c r="AA52" s="52">
        <f ca="1" t="shared" si="21"/>
        <v>0</v>
      </c>
      <c r="AB52" s="22">
        <f ca="1">+GETPIVOTDATA("XKL4",'kimlong (2016)'!$A$3,"MA_HT","DSH","MA_QH","DGT")</f>
        <v>0</v>
      </c>
      <c r="AC52" s="22">
        <f ca="1">+GETPIVOTDATA("XKL4",'kimlong (2016)'!$A$3,"MA_HT","DSH","MA_QH","DTL")</f>
        <v>0</v>
      </c>
      <c r="AD52" s="22">
        <f ca="1">+GETPIVOTDATA("XKL4",'kimlong (2016)'!$A$3,"MA_HT","DSH","MA_QH","DNL")</f>
        <v>0</v>
      </c>
      <c r="AE52" s="22">
        <f ca="1">+GETPIVOTDATA("XKL4",'kimlong (2016)'!$A$3,"MA_HT","DSH","MA_QH","DBV")</f>
        <v>0</v>
      </c>
      <c r="AF52" s="22">
        <f ca="1">+GETPIVOTDATA("XKL4",'kimlong (2016)'!$A$3,"MA_HT","DSH","MA_QH","DVH")</f>
        <v>0</v>
      </c>
      <c r="AG52" s="22">
        <f ca="1">+GETPIVOTDATA("XKL4",'kimlong (2016)'!$A$3,"MA_HT","DSH","MA_QH","DYT")</f>
        <v>0</v>
      </c>
      <c r="AH52" s="22">
        <f ca="1">+GETPIVOTDATA("XKL4",'kimlong (2016)'!$A$3,"MA_HT","DSH","MA_QH","DGD")</f>
        <v>0</v>
      </c>
      <c r="AI52" s="22">
        <f ca="1">+GETPIVOTDATA("XKL4",'kimlong (2016)'!$A$3,"MA_HT","DSH","MA_QH","DTT")</f>
        <v>0</v>
      </c>
      <c r="AJ52" s="22">
        <f ca="1">+GETPIVOTDATA("XKL4",'kimlong (2016)'!$A$3,"MA_HT","DSH","MA_QH","NCK")</f>
        <v>0</v>
      </c>
      <c r="AK52" s="22">
        <f ca="1">+GETPIVOTDATA("XKL4",'kimlong (2016)'!$A$3,"MA_HT","DSH","MA_QH","DXH")</f>
        <v>0</v>
      </c>
      <c r="AL52" s="22">
        <f ca="1">+GETPIVOTDATA("XKL4",'kimlong (2016)'!$A$3,"MA_HT","DSH","MA_QH","DCH")</f>
        <v>0</v>
      </c>
      <c r="AM52" s="22">
        <f ca="1">+GETPIVOTDATA("XKL4",'kimlong (2016)'!$A$3,"MA_HT","DSH","MA_QH","DKG")</f>
        <v>0</v>
      </c>
      <c r="AN52" s="22">
        <f ca="1">+GETPIVOTDATA("XKL4",'kimlong (2016)'!$A$3,"MA_HT","DSH","MA_QH","DDT")</f>
        <v>0</v>
      </c>
      <c r="AO52" s="22">
        <f ca="1">+GETPIVOTDATA("XKL4",'kimlong (2016)'!$A$3,"MA_HT","DSH","MA_QH","DDL")</f>
        <v>0</v>
      </c>
      <c r="AP52" s="22">
        <f ca="1">+GETPIVOTDATA("XKL4",'kimlong (2016)'!$A$3,"MA_HT","DSH","MA_QH","DRA")</f>
        <v>0</v>
      </c>
      <c r="AQ52" s="22">
        <f ca="1">+GETPIVOTDATA("XKL4",'kimlong (2016)'!$A$3,"MA_HT","DSH","MA_QH","ONT")</f>
        <v>0</v>
      </c>
      <c r="AR52" s="22">
        <f ca="1">+GETPIVOTDATA("XKL4",'kimlong (2016)'!$A$3,"MA_HT","DSH","MA_QH","ODT")</f>
        <v>0</v>
      </c>
      <c r="AS52" s="22">
        <f ca="1">+GETPIVOTDATA("XKL4",'kimlong (2016)'!$A$3,"MA_HT","DSH","MA_QH","TSC")</f>
        <v>0</v>
      </c>
      <c r="AT52" s="22">
        <f ca="1">+GETPIVOTDATA("XKL4",'kimlong (2016)'!$A$3,"MA_HT","DSH","MA_QH","DTS")</f>
        <v>0</v>
      </c>
      <c r="AU52" s="22">
        <f ca="1">+GETPIVOTDATA("XKL4",'kimlong (2016)'!$A$3,"MA_HT","DSH","MA_QH","DNG")</f>
        <v>0</v>
      </c>
      <c r="AV52" s="22">
        <f ca="1">+GETPIVOTDATA("XKL4",'kimlong (2016)'!$A$3,"MA_HT","DSH","MA_QH","TON")</f>
        <v>0</v>
      </c>
      <c r="AW52" s="22">
        <f ca="1">+GETPIVOTDATA("XKL4",'kimlong (2016)'!$A$3,"MA_HT","DSH","MA_QH","NTD")</f>
        <v>0</v>
      </c>
      <c r="AX52" s="22">
        <f ca="1">+GETPIVOTDATA("XKL4",'kimlong (2016)'!$A$3,"MA_HT","DSH","MA_QH","SKX")</f>
        <v>0</v>
      </c>
      <c r="AY52" s="43" t="e">
        <f ca="1">$D52-$BF52</f>
        <v>#REF!</v>
      </c>
      <c r="AZ52" s="22">
        <f ca="1">+GETPIVOTDATA("XKL4",'kimlong (2016)'!$A$3,"MA_HT","DSH","MA_QH","DKV")</f>
        <v>0</v>
      </c>
      <c r="BA52" s="89">
        <f ca="1">+GETPIVOTDATA("XKL4",'kimlong (2016)'!$A$3,"MA_HT","DSH","MA_QH","TIN")</f>
        <v>0</v>
      </c>
      <c r="BB52" s="50">
        <f ca="1">+GETPIVOTDATA("XKL4",'kimlong (2016)'!$A$3,"MA_HT","DSH","MA_QH","SON")</f>
        <v>0</v>
      </c>
      <c r="BC52" s="50">
        <f ca="1">+GETPIVOTDATA("XKL4",'kimlong (2016)'!$A$3,"MA_HT","DSH","MA_QH","MNC")</f>
        <v>0</v>
      </c>
      <c r="BD52" s="22">
        <f ca="1">+GETPIVOTDATA("XKL4",'kimlong (2016)'!$A$3,"MA_HT","DSH","MA_QH","PNK")</f>
        <v>0</v>
      </c>
      <c r="BE52" s="71">
        <f ca="1">+GETPIVOTDATA("XKL4",'kimlong (2016)'!$A$3,"MA_HT","DSH","MA_QH","CSD")</f>
        <v>0</v>
      </c>
      <c r="BF52" s="74">
        <f ca="1" t="shared" si="13"/>
        <v>0</v>
      </c>
      <c r="BG52" s="101">
        <f ca="1">AY$59-$BF52</f>
        <v>0</v>
      </c>
      <c r="BH52" s="41" t="e">
        <f ca="1" t="shared" si="14"/>
        <v>#REF!</v>
      </c>
      <c r="BI52" s="98"/>
      <c r="BJ52" s="98" t="e">
        <f>#REF!</f>
        <v>#REF!</v>
      </c>
      <c r="BK52" s="107" t="e">
        <f ca="1">BH52-BJ52</f>
        <v>#REF!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</row>
    <row r="53" s="2" customFormat="1" ht="15.75" customHeight="1" spans="1:79">
      <c r="A53" s="39" t="s">
        <v>8424</v>
      </c>
      <c r="B53" s="39" t="s">
        <v>8425</v>
      </c>
      <c r="C53" s="40" t="s">
        <v>8289</v>
      </c>
      <c r="D53" s="41" t="e">
        <f>+#REF!</f>
        <v>#REF!</v>
      </c>
      <c r="E53" s="42">
        <f ca="1" t="shared" si="15"/>
        <v>0</v>
      </c>
      <c r="F53" s="52">
        <f ca="1" t="shared" si="9"/>
        <v>0</v>
      </c>
      <c r="G53" s="22">
        <f ca="1">+GETPIVOTDATA("XKL4",'kimlong (2016)'!$A$3,"MA_HT","DKV","MA_QH","LUC")</f>
        <v>0</v>
      </c>
      <c r="H53" s="22">
        <f ca="1">+GETPIVOTDATA("XKL4",'kimlong (2016)'!$A$3,"MA_HT","DKV","MA_QH","LUK")</f>
        <v>0</v>
      </c>
      <c r="I53" s="22">
        <f ca="1">+GETPIVOTDATA("XKL4",'kimlong (2016)'!$A$3,"MA_HT","DKV","MA_QH","LUN")</f>
        <v>0</v>
      </c>
      <c r="J53" s="22">
        <f ca="1">+GETPIVOTDATA("XKL4",'kimlong (2016)'!$A$3,"MA_HT","DKV","MA_QH","HNK")</f>
        <v>0</v>
      </c>
      <c r="K53" s="22">
        <f ca="1">+GETPIVOTDATA("XKL4",'kimlong (2016)'!$A$3,"MA_HT","DKV","MA_QH","CLN")</f>
        <v>0</v>
      </c>
      <c r="L53" s="22">
        <f ca="1">+GETPIVOTDATA("XKL4",'kimlong (2016)'!$A$3,"MA_HT","DKV","MA_QH","RSX")</f>
        <v>0</v>
      </c>
      <c r="M53" s="22">
        <f ca="1">+GETPIVOTDATA("XKL4",'kimlong (2016)'!$A$3,"MA_HT","DKV","MA_QH","RPH")</f>
        <v>0</v>
      </c>
      <c r="N53" s="22">
        <f ca="1">+GETPIVOTDATA("XKL4",'kimlong (2016)'!$A$3,"MA_HT","DKV","MA_QH","RDD")</f>
        <v>0</v>
      </c>
      <c r="O53" s="22">
        <f ca="1">+GETPIVOTDATA("XKL4",'kimlong (2016)'!$A$3,"MA_HT","DKV","MA_QH","NTS")</f>
        <v>0</v>
      </c>
      <c r="P53" s="22">
        <f ca="1">+GETPIVOTDATA("XKL4",'kimlong (2016)'!$A$3,"MA_HT","DKV","MA_QH","LMU")</f>
        <v>0</v>
      </c>
      <c r="Q53" s="22">
        <f ca="1">+GETPIVOTDATA("XKL4",'kimlong (2016)'!$A$3,"MA_HT","DKV","MA_QH","NKH")</f>
        <v>0</v>
      </c>
      <c r="R53" s="79">
        <f ca="1">SUM(S53:AA53,AN53:AY53,BB53:BD53)</f>
        <v>0</v>
      </c>
      <c r="S53" s="22">
        <f ca="1">+GETPIVOTDATA("XKL4",'kimlong (2016)'!$A$3,"MA_HT","DKV","MA_QH","CQP")</f>
        <v>0</v>
      </c>
      <c r="T53" s="22">
        <f ca="1">+GETPIVOTDATA("XKL4",'kimlong (2016)'!$A$3,"MA_HT","DKV","MA_QH","CAN")</f>
        <v>0</v>
      </c>
      <c r="U53" s="22">
        <f ca="1">+GETPIVOTDATA("XKL4",'kimlong (2016)'!$A$3,"MA_HT","DKV","MA_QH","SKK")</f>
        <v>0</v>
      </c>
      <c r="V53" s="22">
        <f ca="1">+GETPIVOTDATA("XKL4",'kimlong (2016)'!$A$3,"MA_HT","DKV","MA_QH","SKT")</f>
        <v>0</v>
      </c>
      <c r="W53" s="22">
        <f ca="1">+GETPIVOTDATA("XKL4",'kimlong (2016)'!$A$3,"MA_HT","DKV","MA_QH","SKN")</f>
        <v>0</v>
      </c>
      <c r="X53" s="22">
        <f ca="1">+GETPIVOTDATA("XKL4",'kimlong (2016)'!$A$3,"MA_HT","DKV","MA_QH","TMD")</f>
        <v>0</v>
      </c>
      <c r="Y53" s="22">
        <f ca="1">+GETPIVOTDATA("XKL4",'kimlong (2016)'!$A$3,"MA_HT","DKV","MA_QH","SKC")</f>
        <v>0</v>
      </c>
      <c r="Z53" s="22">
        <f ca="1">+GETPIVOTDATA("XKL4",'kimlong (2016)'!$A$3,"MA_HT","DKV","MA_QH","SKS")</f>
        <v>0</v>
      </c>
      <c r="AA53" s="52">
        <f ca="1" t="shared" si="21"/>
        <v>0</v>
      </c>
      <c r="AB53" s="22">
        <f ca="1">+GETPIVOTDATA("XKL4",'kimlong (2016)'!$A$3,"MA_HT","DKV","MA_QH","DGT")</f>
        <v>0</v>
      </c>
      <c r="AC53" s="22">
        <f ca="1">+GETPIVOTDATA("XKL4",'kimlong (2016)'!$A$3,"MA_HT","DKV","MA_QH","DTL")</f>
        <v>0</v>
      </c>
      <c r="AD53" s="22">
        <f ca="1">+GETPIVOTDATA("XKL4",'kimlong (2016)'!$A$3,"MA_HT","DKV","MA_QH","DNL")</f>
        <v>0</v>
      </c>
      <c r="AE53" s="22">
        <f ca="1">+GETPIVOTDATA("XKL4",'kimlong (2016)'!$A$3,"MA_HT","DKV","MA_QH","DBV")</f>
        <v>0</v>
      </c>
      <c r="AF53" s="22">
        <f ca="1">+GETPIVOTDATA("XKL4",'kimlong (2016)'!$A$3,"MA_HT","DKV","MA_QH","DVH")</f>
        <v>0</v>
      </c>
      <c r="AG53" s="22">
        <f ca="1">+GETPIVOTDATA("XKL4",'kimlong (2016)'!$A$3,"MA_HT","DKV","MA_QH","DYT")</f>
        <v>0</v>
      </c>
      <c r="AH53" s="22">
        <f ca="1">+GETPIVOTDATA("XKL4",'kimlong (2016)'!$A$3,"MA_HT","DKV","MA_QH","DGD")</f>
        <v>0</v>
      </c>
      <c r="AI53" s="22">
        <f ca="1">+GETPIVOTDATA("XKL4",'kimlong (2016)'!$A$3,"MA_HT","DKV","MA_QH","DTT")</f>
        <v>0</v>
      </c>
      <c r="AJ53" s="22">
        <f ca="1">+GETPIVOTDATA("XKL4",'kimlong (2016)'!$A$3,"MA_HT","DKV","MA_QH","NCK")</f>
        <v>0</v>
      </c>
      <c r="AK53" s="22">
        <f ca="1">+GETPIVOTDATA("XKL4",'kimlong (2016)'!$A$3,"MA_HT","DKV","MA_QH","DXH")</f>
        <v>0</v>
      </c>
      <c r="AL53" s="22">
        <f ca="1">+GETPIVOTDATA("XKL4",'kimlong (2016)'!$A$3,"MA_HT","DKV","MA_QH","DCH")</f>
        <v>0</v>
      </c>
      <c r="AM53" s="22">
        <f ca="1">+GETPIVOTDATA("XKL4",'kimlong (2016)'!$A$3,"MA_HT","DKV","MA_QH","DKG")</f>
        <v>0</v>
      </c>
      <c r="AN53" s="22">
        <f ca="1">+GETPIVOTDATA("XKL4",'kimlong (2016)'!$A$3,"MA_HT","DKV","MA_QH","DDT")</f>
        <v>0</v>
      </c>
      <c r="AO53" s="22">
        <f ca="1">+GETPIVOTDATA("XKL4",'kimlong (2016)'!$A$3,"MA_HT","DKV","MA_QH","DDL")</f>
        <v>0</v>
      </c>
      <c r="AP53" s="22">
        <f ca="1">+GETPIVOTDATA("XKL4",'kimlong (2016)'!$A$3,"MA_HT","DKV","MA_QH","DRA")</f>
        <v>0</v>
      </c>
      <c r="AQ53" s="22">
        <f ca="1">+GETPIVOTDATA("XKL4",'kimlong (2016)'!$A$3,"MA_HT","DKV","MA_QH","ONT")</f>
        <v>0</v>
      </c>
      <c r="AR53" s="22">
        <f ca="1">+GETPIVOTDATA("XKL4",'kimlong (2016)'!$A$3,"MA_HT","DKV","MA_QH","ODT")</f>
        <v>0</v>
      </c>
      <c r="AS53" s="22">
        <f ca="1">+GETPIVOTDATA("XKL4",'kimlong (2016)'!$A$3,"MA_HT","DKV","MA_QH","TSC")</f>
        <v>0</v>
      </c>
      <c r="AT53" s="22">
        <f ca="1">+GETPIVOTDATA("XKL4",'kimlong (2016)'!$A$3,"MA_HT","DKV","MA_QH","DTS")</f>
        <v>0</v>
      </c>
      <c r="AU53" s="22">
        <f ca="1">+GETPIVOTDATA("XKL4",'kimlong (2016)'!$A$3,"MA_HT","DKV","MA_QH","DNG")</f>
        <v>0</v>
      </c>
      <c r="AV53" s="22">
        <f ca="1">+GETPIVOTDATA("XKL4",'kimlong (2016)'!$A$3,"MA_HT","DKV","MA_QH","TON")</f>
        <v>0</v>
      </c>
      <c r="AW53" s="22">
        <f ca="1">+GETPIVOTDATA("XKL4",'kimlong (2016)'!$A$3,"MA_HT","DKV","MA_QH","NTD")</f>
        <v>0</v>
      </c>
      <c r="AX53" s="22">
        <f ca="1">+GETPIVOTDATA("XKL4",'kimlong (2016)'!$A$3,"MA_HT","DKV","MA_QH","SKX")</f>
        <v>0</v>
      </c>
      <c r="AY53" s="22">
        <f ca="1">+GETPIVOTDATA("XKL4",'kimlong (2016)'!$A$3,"MA_HT","DKV","MA_QH","DSH")</f>
        <v>0</v>
      </c>
      <c r="AZ53" s="43" t="e">
        <f ca="1">$D53-$BF53</f>
        <v>#REF!</v>
      </c>
      <c r="BA53" s="89">
        <f ca="1">+GETPIVOTDATA("XKL4",'kimlong (2016)'!$A$3,"MA_HT","DKV","MA_QH","TIN")</f>
        <v>0</v>
      </c>
      <c r="BB53" s="50">
        <f ca="1">+GETPIVOTDATA("XKL4",'kimlong (2016)'!$A$3,"MA_HT","DKV","MA_QH","SON")</f>
        <v>0</v>
      </c>
      <c r="BC53" s="50">
        <f ca="1">+GETPIVOTDATA("XKL4",'kimlong (2016)'!$A$3,"MA_HT","DKV","MA_QH","MNC")</f>
        <v>0</v>
      </c>
      <c r="BD53" s="22">
        <f ca="1">+GETPIVOTDATA("XKL4",'kimlong (2016)'!$A$3,"MA_HT","DKV","MA_QH","PNK")</f>
        <v>0</v>
      </c>
      <c r="BE53" s="71">
        <f ca="1">+GETPIVOTDATA("XKL4",'kimlong (2016)'!$A$3,"MA_HT","DKV","MA_QH","CSD")</f>
        <v>0</v>
      </c>
      <c r="BF53" s="74">
        <f ca="1" t="shared" si="13"/>
        <v>0</v>
      </c>
      <c r="BG53" s="101">
        <f ca="1">AZ$59-$BF53</f>
        <v>0</v>
      </c>
      <c r="BH53" s="41" t="e">
        <f ca="1" t="shared" si="14"/>
        <v>#REF!</v>
      </c>
      <c r="BI53" s="98"/>
      <c r="BJ53" s="98" t="e">
        <f>#REF!</f>
        <v>#REF!</v>
      </c>
      <c r="BK53" s="107" t="e">
        <f ca="1">BH53-BJ53</f>
        <v>#REF!</v>
      </c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</row>
    <row r="54" s="2" customFormat="1" ht="15.75" customHeight="1" spans="1:75">
      <c r="A54" s="39" t="s">
        <v>8426</v>
      </c>
      <c r="B54" s="39" t="s">
        <v>8427</v>
      </c>
      <c r="C54" s="40" t="s">
        <v>8310</v>
      </c>
      <c r="D54" s="41" t="e">
        <f>+#REF!</f>
        <v>#REF!</v>
      </c>
      <c r="E54" s="33">
        <f ca="1">SUM(E29:E39)</f>
        <v>0</v>
      </c>
      <c r="F54" s="52">
        <f ca="1">SUM(F29:F39)</f>
        <v>0</v>
      </c>
      <c r="G54" s="22">
        <f ca="1">+GETPIVOTDATA("XKL4",'kimlong (2016)'!$A$3,"MA_HT","TIN","MA_QH","LUC")</f>
        <v>0</v>
      </c>
      <c r="H54" s="22">
        <f ca="1">+GETPIVOTDATA("XKL4",'kimlong (2016)'!$A$3,"MA_HT","TIN","MA_QH","LUK")</f>
        <v>0</v>
      </c>
      <c r="I54" s="22">
        <f ca="1">+GETPIVOTDATA("XKL4",'kimlong (2016)'!$A$3,"MA_HT","TIN","MA_QH","LUN")</f>
        <v>0</v>
      </c>
      <c r="J54" s="22">
        <f ca="1">+GETPIVOTDATA("XKL4",'kimlong (2016)'!$A$3,"MA_HT","TIN","MA_QH","HNK")</f>
        <v>0</v>
      </c>
      <c r="K54" s="22">
        <f ca="1">+GETPIVOTDATA("XKL4",'kimlong (2016)'!$A$3,"MA_HT","TIN","MA_QH","CLN")</f>
        <v>0</v>
      </c>
      <c r="L54" s="22">
        <f ca="1">+GETPIVOTDATA("XKL4",'kimlong (2016)'!$A$3,"MA_HT","TIN","MA_QH","RSX")</f>
        <v>0</v>
      </c>
      <c r="M54" s="22">
        <f ca="1">+GETPIVOTDATA("XKL4",'kimlong (2016)'!$A$3,"MA_HT","TIN","MA_QH","RPH")</f>
        <v>0</v>
      </c>
      <c r="N54" s="22">
        <f ca="1">+GETPIVOTDATA("XKL4",'kimlong (2016)'!$A$3,"MA_HT","TIN","MA_QH","RDD")</f>
        <v>0</v>
      </c>
      <c r="O54" s="22">
        <f ca="1">+GETPIVOTDATA("XKL4",'kimlong (2016)'!$A$3,"MA_HT","TIN","MA_QH","NTS")</f>
        <v>0</v>
      </c>
      <c r="P54" s="22">
        <f ca="1">+GETPIVOTDATA("XKL4",'kimlong (2016)'!$A$3,"MA_HT","TIN","MA_QH","LMU")</f>
        <v>0</v>
      </c>
      <c r="Q54" s="22">
        <f ca="1">+GETPIVOTDATA("XKL4",'kimlong (2016)'!$A$3,"MA_HT","TIN","MA_QH","NKH")</f>
        <v>0</v>
      </c>
      <c r="R54" s="79">
        <f ca="1">SUM(S54:AA54,AN54:AZ54,BB54:BD54)</f>
        <v>0</v>
      </c>
      <c r="S54" s="22">
        <f ca="1">+GETPIVOTDATA("XKL4",'kimlong (2016)'!$A$3,"MA_HT","TIN","MA_QH","CQP")</f>
        <v>0</v>
      </c>
      <c r="T54" s="22">
        <f ca="1">+GETPIVOTDATA("XKL4",'kimlong (2016)'!$A$3,"MA_HT","TIN","MA_QH","CAN")</f>
        <v>0</v>
      </c>
      <c r="U54" s="22">
        <f ca="1">+GETPIVOTDATA("XKL4",'kimlong (2016)'!$A$3,"MA_HT","TIN","MA_QH","SKK")</f>
        <v>0</v>
      </c>
      <c r="V54" s="22">
        <f ca="1">+GETPIVOTDATA("XKL4",'kimlong (2016)'!$A$3,"MA_HT","TIN","MA_QH","SKT")</f>
        <v>0</v>
      </c>
      <c r="W54" s="22">
        <f ca="1">+GETPIVOTDATA("XKL4",'kimlong (2016)'!$A$3,"MA_HT","TIN","MA_QH","SKN")</f>
        <v>0</v>
      </c>
      <c r="X54" s="22">
        <f ca="1">+GETPIVOTDATA("XKL4",'kimlong (2016)'!$A$3,"MA_HT","TIN","MA_QH","TMD")</f>
        <v>0</v>
      </c>
      <c r="Y54" s="22">
        <f ca="1">+GETPIVOTDATA("XKL4",'kimlong (2016)'!$A$3,"MA_HT","TIN","MA_QH","SKC")</f>
        <v>0</v>
      </c>
      <c r="Z54" s="22">
        <f ca="1">+GETPIVOTDATA("XKL4",'kimlong (2016)'!$A$3,"MA_HT","TIN","MA_QH","SKS")</f>
        <v>0</v>
      </c>
      <c r="AA54" s="52">
        <f ca="1" t="shared" si="21"/>
        <v>0</v>
      </c>
      <c r="AB54" s="22">
        <f ca="1">+GETPIVOTDATA("XKL4",'kimlong (2016)'!$A$3,"MA_HT","TIN","MA_QH","DGT")</f>
        <v>0</v>
      </c>
      <c r="AC54" s="22">
        <f ca="1">+GETPIVOTDATA("XKL4",'kimlong (2016)'!$A$3,"MA_HT","TIN","MA_QH","DTL")</f>
        <v>0</v>
      </c>
      <c r="AD54" s="22">
        <f ca="1">+GETPIVOTDATA("XKL4",'kimlong (2016)'!$A$3,"MA_HT","TIN","MA_QH","DNL")</f>
        <v>0</v>
      </c>
      <c r="AE54" s="22">
        <f ca="1">+GETPIVOTDATA("XKL4",'kimlong (2016)'!$A$3,"MA_HT","TIN","MA_QH","DBV")</f>
        <v>0</v>
      </c>
      <c r="AF54" s="22">
        <f ca="1">+GETPIVOTDATA("XKL4",'kimlong (2016)'!$A$3,"MA_HT","TIN","MA_QH","DVH")</f>
        <v>0</v>
      </c>
      <c r="AG54" s="22">
        <f ca="1">+GETPIVOTDATA("XKL4",'kimlong (2016)'!$A$3,"MA_HT","TIN","MA_QH","DYT")</f>
        <v>0</v>
      </c>
      <c r="AH54" s="22">
        <f ca="1">+GETPIVOTDATA("XKL4",'kimlong (2016)'!$A$3,"MA_HT","TIN","MA_QH","DGD")</f>
        <v>0</v>
      </c>
      <c r="AI54" s="22">
        <f ca="1">+GETPIVOTDATA("XKL4",'kimlong (2016)'!$A$3,"MA_HT","TIN","MA_QH","DTT")</f>
        <v>0</v>
      </c>
      <c r="AJ54" s="22">
        <f ca="1">+GETPIVOTDATA("XKL4",'kimlong (2016)'!$A$3,"MA_HT","TIN","MA_QH","NCK")</f>
        <v>0</v>
      </c>
      <c r="AK54" s="22">
        <f ca="1">+GETPIVOTDATA("XKL4",'kimlong (2016)'!$A$3,"MA_HT","TIN","MA_QH","DXH")</f>
        <v>0</v>
      </c>
      <c r="AL54" s="22">
        <f ca="1">+GETPIVOTDATA("XKL4",'kimlong (2016)'!$A$3,"MA_HT","TIN","MA_QH","DCH")</f>
        <v>0</v>
      </c>
      <c r="AM54" s="22">
        <f ca="1">+GETPIVOTDATA("XKL4",'kimlong (2016)'!$A$3,"MA_HT","TIN","MA_QH","DKG")</f>
        <v>0</v>
      </c>
      <c r="AN54" s="22">
        <f ca="1">+GETPIVOTDATA("XKL4",'kimlong (2016)'!$A$3,"MA_HT","TIN","MA_QH","DDT")</f>
        <v>0</v>
      </c>
      <c r="AO54" s="22">
        <f ca="1">+GETPIVOTDATA("XKL4",'kimlong (2016)'!$A$3,"MA_HT","TIN","MA_QH","DDL")</f>
        <v>0</v>
      </c>
      <c r="AP54" s="22">
        <f ca="1">+GETPIVOTDATA("XKL4",'kimlong (2016)'!$A$3,"MA_HT","TIN","MA_QH","DRA")</f>
        <v>0</v>
      </c>
      <c r="AQ54" s="22">
        <f ca="1">+GETPIVOTDATA("XKL4",'kimlong (2016)'!$A$3,"MA_HT","TIN","MA_QH","ONT")</f>
        <v>0</v>
      </c>
      <c r="AR54" s="22">
        <f ca="1">+GETPIVOTDATA("XKL4",'kimlong (2016)'!$A$3,"MA_HT","TIN","MA_QH","ODT")</f>
        <v>0</v>
      </c>
      <c r="AS54" s="22">
        <f ca="1">+GETPIVOTDATA("XKL4",'kimlong (2016)'!$A$3,"MA_HT","TIN","MA_QH","TSC")</f>
        <v>0</v>
      </c>
      <c r="AT54" s="22">
        <f ca="1">+GETPIVOTDATA("XKL4",'kimlong (2016)'!$A$3,"MA_HT","TIN","MA_QH","DTS")</f>
        <v>0</v>
      </c>
      <c r="AU54" s="22">
        <f ca="1">+GETPIVOTDATA("XKL4",'kimlong (2016)'!$A$3,"MA_HT","TIN","MA_QH","DNG")</f>
        <v>0</v>
      </c>
      <c r="AV54" s="22">
        <f ca="1">+GETPIVOTDATA("XKL4",'kimlong (2016)'!$A$3,"MA_HT","TIN","MA_QH","TON")</f>
        <v>0</v>
      </c>
      <c r="AW54" s="22">
        <f ca="1">+GETPIVOTDATA("XKL4",'kimlong (2016)'!$A$3,"MA_HT","TIN","MA_QH","NTD")</f>
        <v>0</v>
      </c>
      <c r="AX54" s="22">
        <f ca="1">+GETPIVOTDATA("XKL4",'kimlong (2016)'!$A$3,"MA_HT","TIN","MA_QH","SKX")</f>
        <v>0</v>
      </c>
      <c r="AY54" s="22">
        <f ca="1">+GETPIVOTDATA("XKL4",'kimlong (2016)'!$A$3,"MA_HT","TIN","MA_QH","DSH")</f>
        <v>0</v>
      </c>
      <c r="AZ54" s="22">
        <f ca="1">+GETPIVOTDATA("XKL4",'kimlong (2016)'!$A$3,"MA_HT","TIN","MA_QH","DKV")</f>
        <v>0</v>
      </c>
      <c r="BA54" s="43" t="e">
        <f ca="1">$D54-$BF54</f>
        <v>#REF!</v>
      </c>
      <c r="BB54" s="22">
        <f ca="1">+GETPIVOTDATA("XKL4",'kimlong (2016)'!$A$3,"MA_HT","TIN","MA_QH","SON")</f>
        <v>0</v>
      </c>
      <c r="BC54" s="22">
        <f ca="1">+GETPIVOTDATA("XKL4",'kimlong (2016)'!$A$3,"MA_HT","TIN","MA_QH","MNC")</f>
        <v>0</v>
      </c>
      <c r="BD54" s="22">
        <f ca="1">+GETPIVOTDATA("XKL4",'kimlong (2016)'!$A$3,"MA_HT","TIN","MA_QH","PNK")</f>
        <v>0</v>
      </c>
      <c r="BE54" s="71">
        <f ca="1">+GETPIVOTDATA("XKL4",'kimlong (2016)'!$A$3,"MA_HT","TIN","MA_QH","CSD")</f>
        <v>0</v>
      </c>
      <c r="BF54" s="74">
        <f ca="1" t="shared" si="13"/>
        <v>0</v>
      </c>
      <c r="BG54" s="101">
        <f ca="1">BA59-BF54</f>
        <v>0</v>
      </c>
      <c r="BH54" s="41" t="e">
        <f ca="1" t="shared" si="14"/>
        <v>#REF!</v>
      </c>
      <c r="BI54" s="98"/>
      <c r="BJ54" s="39" t="e">
        <f>SUM(BJ29:BJ39)</f>
        <v>#REF!</v>
      </c>
      <c r="BK54" s="107" t="e">
        <f ca="1">BH54-BJ54</f>
        <v>#REF!</v>
      </c>
      <c r="BL54" s="107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</row>
    <row r="55" s="2" customFormat="1" ht="15.75" customHeight="1" spans="1:79">
      <c r="A55" s="68" t="s">
        <v>8428</v>
      </c>
      <c r="B55" s="69" t="s">
        <v>8429</v>
      </c>
      <c r="C55" s="40" t="s">
        <v>8309</v>
      </c>
      <c r="D55" s="41" t="e">
        <f>+#REF!</f>
        <v>#REF!</v>
      </c>
      <c r="E55" s="42">
        <f ca="1" t="shared" si="15"/>
        <v>0</v>
      </c>
      <c r="F55" s="52">
        <f ca="1" t="shared" si="9"/>
        <v>0</v>
      </c>
      <c r="G55" s="22">
        <f ca="1">+GETPIVOTDATA("XKL4",'kimlong (2016)'!$A$3,"MA_HT","SON","MA_QH","LUC")</f>
        <v>0</v>
      </c>
      <c r="H55" s="22">
        <f ca="1">+GETPIVOTDATA("XKL4",'kimlong (2016)'!$A$3,"MA_HT","SON","MA_QH","LUK")</f>
        <v>0</v>
      </c>
      <c r="I55" s="22">
        <f ca="1">+GETPIVOTDATA("XKL4",'kimlong (2016)'!$A$3,"MA_HT","SON","MA_QH","LUN")</f>
        <v>0</v>
      </c>
      <c r="J55" s="22">
        <f ca="1">+GETPIVOTDATA("XKL4",'kimlong (2016)'!$A$3,"MA_HT","SON","MA_QH","HNK")</f>
        <v>0</v>
      </c>
      <c r="K55" s="22">
        <f ca="1">+GETPIVOTDATA("XKL4",'kimlong (2016)'!$A$3,"MA_HT","SON","MA_QH","CLN")</f>
        <v>0</v>
      </c>
      <c r="L55" s="22">
        <f ca="1">+GETPIVOTDATA("XKL4",'kimlong (2016)'!$A$3,"MA_HT","SON","MA_QH","RSX")</f>
        <v>0</v>
      </c>
      <c r="M55" s="22">
        <f ca="1">+GETPIVOTDATA("XKL4",'kimlong (2016)'!$A$3,"MA_HT","SON","MA_QH","RPH")</f>
        <v>0</v>
      </c>
      <c r="N55" s="22">
        <f ca="1">+GETPIVOTDATA("XKL4",'kimlong (2016)'!$A$3,"MA_HT","SON","MA_QH","RDD")</f>
        <v>0</v>
      </c>
      <c r="O55" s="22">
        <f ca="1">+GETPIVOTDATA("XKL4",'kimlong (2016)'!$A$3,"MA_HT","SON","MA_QH","NTS")</f>
        <v>0</v>
      </c>
      <c r="P55" s="22">
        <f ca="1">+GETPIVOTDATA("XKL4",'kimlong (2016)'!$A$3,"MA_HT","SON","MA_QH","LMU")</f>
        <v>0</v>
      </c>
      <c r="Q55" s="22">
        <f ca="1">+GETPIVOTDATA("XKL4",'kimlong (2016)'!$A$3,"MA_HT","SON","MA_QH","NKH")</f>
        <v>0</v>
      </c>
      <c r="R55" s="79">
        <f ca="1">SUM(S55:AA55,AN55:AZ55,BC55:BD55)</f>
        <v>0</v>
      </c>
      <c r="S55" s="22">
        <f ca="1">+GETPIVOTDATA("XKL4",'kimlong (2016)'!$A$3,"MA_HT","SON","MA_QH","CQP")</f>
        <v>0</v>
      </c>
      <c r="T55" s="22">
        <f ca="1">+GETPIVOTDATA("XKL4",'kimlong (2016)'!$A$3,"MA_HT","SON","MA_QH","CAN")</f>
        <v>0</v>
      </c>
      <c r="U55" s="22">
        <f ca="1">+GETPIVOTDATA("XKL4",'kimlong (2016)'!$A$3,"MA_HT","SON","MA_QH","SKK")</f>
        <v>0</v>
      </c>
      <c r="V55" s="22">
        <f ca="1">+GETPIVOTDATA("XKL4",'kimlong (2016)'!$A$3,"MA_HT","SON","MA_QH","SKT")</f>
        <v>0</v>
      </c>
      <c r="W55" s="22">
        <f ca="1">+GETPIVOTDATA("XKL4",'kimlong (2016)'!$A$3,"MA_HT","SON","MA_QH","SKN")</f>
        <v>0</v>
      </c>
      <c r="X55" s="22">
        <f ca="1">+GETPIVOTDATA("XKL4",'kimlong (2016)'!$A$3,"MA_HT","SON","MA_QH","TMD")</f>
        <v>0</v>
      </c>
      <c r="Y55" s="22">
        <f ca="1">+GETPIVOTDATA("XKL4",'kimlong (2016)'!$A$3,"MA_HT","SON","MA_QH","SKC")</f>
        <v>0</v>
      </c>
      <c r="Z55" s="22">
        <f ca="1">+GETPIVOTDATA("XKL4",'kimlong (2016)'!$A$3,"MA_HT","SON","MA_QH","SKS")</f>
        <v>0</v>
      </c>
      <c r="AA55" s="52">
        <f ca="1" t="shared" si="21"/>
        <v>0</v>
      </c>
      <c r="AB55" s="22">
        <f ca="1">+GETPIVOTDATA("XKL4",'kimlong (2016)'!$A$3,"MA_HT","SON","MA_QH","DGT")</f>
        <v>0</v>
      </c>
      <c r="AC55" s="22">
        <f ca="1">+GETPIVOTDATA("XKL4",'kimlong (2016)'!$A$3,"MA_HT","SON","MA_QH","DTL")</f>
        <v>0</v>
      </c>
      <c r="AD55" s="22">
        <f ca="1">+GETPIVOTDATA("XKL4",'kimlong (2016)'!$A$3,"MA_HT","SON","MA_QH","DNL")</f>
        <v>0</v>
      </c>
      <c r="AE55" s="22">
        <f ca="1">+GETPIVOTDATA("XKL4",'kimlong (2016)'!$A$3,"MA_HT","SON","MA_QH","DBV")</f>
        <v>0</v>
      </c>
      <c r="AF55" s="22">
        <f ca="1">+GETPIVOTDATA("XKL4",'kimlong (2016)'!$A$3,"MA_HT","SON","MA_QH","DVH")</f>
        <v>0</v>
      </c>
      <c r="AG55" s="22">
        <f ca="1">+GETPIVOTDATA("XKL4",'kimlong (2016)'!$A$3,"MA_HT","SON","MA_QH","DYT")</f>
        <v>0</v>
      </c>
      <c r="AH55" s="22">
        <f ca="1">+GETPIVOTDATA("XKL4",'kimlong (2016)'!$A$3,"MA_HT","SON","MA_QH","DGD")</f>
        <v>0</v>
      </c>
      <c r="AI55" s="22">
        <f ca="1">+GETPIVOTDATA("XKL4",'kimlong (2016)'!$A$3,"MA_HT","SON","MA_QH","DTT")</f>
        <v>0</v>
      </c>
      <c r="AJ55" s="22">
        <f ca="1">+GETPIVOTDATA("XKL4",'kimlong (2016)'!$A$3,"MA_HT","SON","MA_QH","NCK")</f>
        <v>0</v>
      </c>
      <c r="AK55" s="22">
        <f ca="1">+GETPIVOTDATA("XKL4",'kimlong (2016)'!$A$3,"MA_HT","SON","MA_QH","DXH")</f>
        <v>0</v>
      </c>
      <c r="AL55" s="22">
        <f ca="1">+GETPIVOTDATA("XKL4",'kimlong (2016)'!$A$3,"MA_HT","SON","MA_QH","DCH")</f>
        <v>0</v>
      </c>
      <c r="AM55" s="22">
        <f ca="1">+GETPIVOTDATA("XKL4",'kimlong (2016)'!$A$3,"MA_HT","SON","MA_QH","DKG")</f>
        <v>0</v>
      </c>
      <c r="AN55" s="22">
        <f ca="1">+GETPIVOTDATA("XKL4",'kimlong (2016)'!$A$3,"MA_HT","SON","MA_QH","DDT")</f>
        <v>0</v>
      </c>
      <c r="AO55" s="22">
        <f ca="1">+GETPIVOTDATA("XKL4",'kimlong (2016)'!$A$3,"MA_HT","SON","MA_QH","DDL")</f>
        <v>0</v>
      </c>
      <c r="AP55" s="22">
        <f ca="1">+GETPIVOTDATA("XKL4",'kimlong (2016)'!$A$3,"MA_HT","SON","MA_QH","DRA")</f>
        <v>0</v>
      </c>
      <c r="AQ55" s="22">
        <f ca="1">+GETPIVOTDATA("XKL4",'kimlong (2016)'!$A$3,"MA_HT","SON","MA_QH","ONT")</f>
        <v>0</v>
      </c>
      <c r="AR55" s="22">
        <f ca="1">+GETPIVOTDATA("XKL4",'kimlong (2016)'!$A$3,"MA_HT","SON","MA_QH","ODT")</f>
        <v>0</v>
      </c>
      <c r="AS55" s="22">
        <f ca="1">+GETPIVOTDATA("XKL4",'kimlong (2016)'!$A$3,"MA_HT","SON","MA_QH","TSC")</f>
        <v>0</v>
      </c>
      <c r="AT55" s="22">
        <f ca="1">+GETPIVOTDATA("XKL4",'kimlong (2016)'!$A$3,"MA_HT","SON","MA_QH","DTS")</f>
        <v>0</v>
      </c>
      <c r="AU55" s="22">
        <f ca="1">+GETPIVOTDATA("XKL4",'kimlong (2016)'!$A$3,"MA_HT","SON","MA_QH","DNG")</f>
        <v>0</v>
      </c>
      <c r="AV55" s="22">
        <f ca="1">+GETPIVOTDATA("XKL4",'kimlong (2016)'!$A$3,"MA_HT","SON","MA_QH","TON")</f>
        <v>0</v>
      </c>
      <c r="AW55" s="22">
        <f ca="1">+GETPIVOTDATA("XKL4",'kimlong (2016)'!$A$3,"MA_HT","SON","MA_QH","NTD")</f>
        <v>0</v>
      </c>
      <c r="AX55" s="22">
        <f ca="1">+GETPIVOTDATA("XKL4",'kimlong (2016)'!$A$3,"MA_HT","SON","MA_QH","SKX")</f>
        <v>0</v>
      </c>
      <c r="AY55" s="22">
        <f ca="1">+GETPIVOTDATA("XKL4",'kimlong (2016)'!$A$3,"MA_HT","SON","MA_QH","DSH")</f>
        <v>0</v>
      </c>
      <c r="AZ55" s="22">
        <f ca="1">+GETPIVOTDATA("XKL4",'kimlong (2016)'!$A$3,"MA_HT","SON","MA_QH","DKV")</f>
        <v>0</v>
      </c>
      <c r="BA55" s="89">
        <f ca="1">+GETPIVOTDATA("XKL4",'kimlong (2016)'!$A$3,"MA_HT","SON","MA_QH","TIN")</f>
        <v>0</v>
      </c>
      <c r="BB55" s="43" t="e">
        <f ca="1">$D55-$BF55</f>
        <v>#REF!</v>
      </c>
      <c r="BC55" s="50">
        <f ca="1">+GETPIVOTDATA("XKL4",'kimlong (2016)'!$A$3,"MA_HT","SON","MA_QH","MNC")</f>
        <v>0</v>
      </c>
      <c r="BD55" s="22">
        <f ca="1">+GETPIVOTDATA("XKL4",'kimlong (2016)'!$A$3,"MA_HT","SON","MA_QH","PNK")</f>
        <v>0</v>
      </c>
      <c r="BE55" s="71">
        <f ca="1">+GETPIVOTDATA("XKL4",'kimlong (2016)'!$A$3,"MA_HT","SON","MA_QH","CSD")</f>
        <v>0</v>
      </c>
      <c r="BF55" s="74">
        <f ca="1" t="shared" si="13"/>
        <v>0</v>
      </c>
      <c r="BG55" s="101">
        <f ca="1">BB$59-$BF55</f>
        <v>0</v>
      </c>
      <c r="BH55" s="41" t="e">
        <f ca="1" t="shared" si="14"/>
        <v>#REF!</v>
      </c>
      <c r="BI55" s="98"/>
      <c r="BJ55" s="98"/>
      <c r="BK55" s="107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</row>
    <row r="56" s="2" customFormat="1" ht="15.75" customHeight="1" spans="1:79">
      <c r="A56" s="68" t="s">
        <v>8430</v>
      </c>
      <c r="B56" s="69" t="s">
        <v>8431</v>
      </c>
      <c r="C56" s="40" t="s">
        <v>8301</v>
      </c>
      <c r="D56" s="41" t="e">
        <f>+#REF!</f>
        <v>#REF!</v>
      </c>
      <c r="E56" s="42">
        <f ca="1" t="shared" si="15"/>
        <v>0</v>
      </c>
      <c r="F56" s="52">
        <f ca="1" t="shared" si="9"/>
        <v>0</v>
      </c>
      <c r="G56" s="22">
        <f ca="1">+GETPIVOTDATA("XKL4",'kimlong (2016)'!$A$3,"MA_HT","MNC","MA_QH","LUC")</f>
        <v>0</v>
      </c>
      <c r="H56" s="22">
        <f ca="1">+GETPIVOTDATA("XKL4",'kimlong (2016)'!$A$3,"MA_HT","MNC","MA_QH","LUK")</f>
        <v>0</v>
      </c>
      <c r="I56" s="22">
        <f ca="1">+GETPIVOTDATA("XKL4",'kimlong (2016)'!$A$3,"MA_HT","MNC","MA_QH","LUN")</f>
        <v>0</v>
      </c>
      <c r="J56" s="22">
        <f ca="1">+GETPIVOTDATA("XKL4",'kimlong (2016)'!$A$3,"MA_HT","MNC","MA_QH","HNK")</f>
        <v>0</v>
      </c>
      <c r="K56" s="22">
        <f ca="1">+GETPIVOTDATA("XKL4",'kimlong (2016)'!$A$3,"MA_HT","MNC","MA_QH","CLN")</f>
        <v>0</v>
      </c>
      <c r="L56" s="22">
        <f ca="1">+GETPIVOTDATA("XKL4",'kimlong (2016)'!$A$3,"MA_HT","MNC","MA_QH","RSX")</f>
        <v>0</v>
      </c>
      <c r="M56" s="22">
        <f ca="1">+GETPIVOTDATA("XKL4",'kimlong (2016)'!$A$3,"MA_HT","MNC","MA_QH","RPH")</f>
        <v>0</v>
      </c>
      <c r="N56" s="22">
        <f ca="1">+GETPIVOTDATA("XKL4",'kimlong (2016)'!$A$3,"MA_HT","MNC","MA_QH","RDD")</f>
        <v>0</v>
      </c>
      <c r="O56" s="22">
        <f ca="1">+GETPIVOTDATA("XKL4",'kimlong (2016)'!$A$3,"MA_HT","MNC","MA_QH","NTS")</f>
        <v>0</v>
      </c>
      <c r="P56" s="22">
        <f ca="1">+GETPIVOTDATA("XKL4",'kimlong (2016)'!$A$3,"MA_HT","MNC","MA_QH","LMU")</f>
        <v>0</v>
      </c>
      <c r="Q56" s="22">
        <f ca="1">+GETPIVOTDATA("XKL4",'kimlong (2016)'!$A$3,"MA_HT","MNC","MA_QH","NKH")</f>
        <v>0</v>
      </c>
      <c r="R56" s="79">
        <f ca="1">SUM(S56:AA56,AN56:BB56,BD56)</f>
        <v>0</v>
      </c>
      <c r="S56" s="22">
        <f ca="1">+GETPIVOTDATA("XKL4",'kimlong (2016)'!$A$3,"MA_HT","MNC","MA_QH","CQP")</f>
        <v>0</v>
      </c>
      <c r="T56" s="22">
        <f ca="1">+GETPIVOTDATA("XKL4",'kimlong (2016)'!$A$3,"MA_HT","MNC","MA_QH","CAN")</f>
        <v>0</v>
      </c>
      <c r="U56" s="22">
        <f ca="1">+GETPIVOTDATA("XKL4",'kimlong (2016)'!$A$3,"MA_HT","MNC","MA_QH","SKK")</f>
        <v>0</v>
      </c>
      <c r="V56" s="22">
        <f ca="1">+GETPIVOTDATA("XKL4",'kimlong (2016)'!$A$3,"MA_HT","MNC","MA_QH","SKT")</f>
        <v>0</v>
      </c>
      <c r="W56" s="22">
        <f ca="1">+GETPIVOTDATA("XKL4",'kimlong (2016)'!$A$3,"MA_HT","MNC","MA_QH","SKN")</f>
        <v>0</v>
      </c>
      <c r="X56" s="22">
        <f ca="1">+GETPIVOTDATA("XKL4",'kimlong (2016)'!$A$3,"MA_HT","MNC","MA_QH","TMD")</f>
        <v>0</v>
      </c>
      <c r="Y56" s="22">
        <f ca="1">+GETPIVOTDATA("XKL4",'kimlong (2016)'!$A$3,"MA_HT","MNC","MA_QH","SKC")</f>
        <v>0</v>
      </c>
      <c r="Z56" s="22">
        <f ca="1">+GETPIVOTDATA("XKL4",'kimlong (2016)'!$A$3,"MA_HT","MNC","MA_QH","SKS")</f>
        <v>0</v>
      </c>
      <c r="AA56" s="52">
        <f ca="1" t="shared" si="21"/>
        <v>0</v>
      </c>
      <c r="AB56" s="22">
        <f ca="1">+GETPIVOTDATA("XKL4",'kimlong (2016)'!$A$3,"MA_HT","MNC","MA_QH","DGT")</f>
        <v>0</v>
      </c>
      <c r="AC56" s="22">
        <f ca="1">+GETPIVOTDATA("XKL4",'kimlong (2016)'!$A$3,"MA_HT","MNC","MA_QH","DTL")</f>
        <v>0</v>
      </c>
      <c r="AD56" s="22">
        <f ca="1">+GETPIVOTDATA("XKL4",'kimlong (2016)'!$A$3,"MA_HT","MNC","MA_QH","DNL")</f>
        <v>0</v>
      </c>
      <c r="AE56" s="22">
        <f ca="1">+GETPIVOTDATA("XKL4",'kimlong (2016)'!$A$3,"MA_HT","MNC","MA_QH","DBV")</f>
        <v>0</v>
      </c>
      <c r="AF56" s="22">
        <f ca="1">+GETPIVOTDATA("XKL4",'kimlong (2016)'!$A$3,"MA_HT","MNC","MA_QH","DVH")</f>
        <v>0</v>
      </c>
      <c r="AG56" s="22">
        <f ca="1">+GETPIVOTDATA("XKL4",'kimlong (2016)'!$A$3,"MA_HT","MNC","MA_QH","DYT")</f>
        <v>0</v>
      </c>
      <c r="AH56" s="22">
        <f ca="1">+GETPIVOTDATA("XKL4",'kimlong (2016)'!$A$3,"MA_HT","MNC","MA_QH","DGD")</f>
        <v>0</v>
      </c>
      <c r="AI56" s="22">
        <f ca="1">+GETPIVOTDATA("XKL4",'kimlong (2016)'!$A$3,"MA_HT","MNC","MA_QH","DTT")</f>
        <v>0</v>
      </c>
      <c r="AJ56" s="22">
        <f ca="1">+GETPIVOTDATA("XKL4",'kimlong (2016)'!$A$3,"MA_HT","MNC","MA_QH","NCK")</f>
        <v>0</v>
      </c>
      <c r="AK56" s="22">
        <f ca="1">+GETPIVOTDATA("XKL4",'kimlong (2016)'!$A$3,"MA_HT","MNC","MA_QH","DXH")</f>
        <v>0</v>
      </c>
      <c r="AL56" s="22">
        <f ca="1">+GETPIVOTDATA("XKL4",'kimlong (2016)'!$A$3,"MA_HT","MNC","MA_QH","DCH")</f>
        <v>0</v>
      </c>
      <c r="AM56" s="22">
        <f ca="1">+GETPIVOTDATA("XKL4",'kimlong (2016)'!$A$3,"MA_HT","MNC","MA_QH","DKG")</f>
        <v>0</v>
      </c>
      <c r="AN56" s="22">
        <f ca="1">+GETPIVOTDATA("XKL4",'kimlong (2016)'!$A$3,"MA_HT","MNC","MA_QH","DDT")</f>
        <v>0</v>
      </c>
      <c r="AO56" s="22">
        <f ca="1">+GETPIVOTDATA("XKL4",'kimlong (2016)'!$A$3,"MA_HT","MNC","MA_QH","DDL")</f>
        <v>0</v>
      </c>
      <c r="AP56" s="22">
        <f ca="1">+GETPIVOTDATA("XKL4",'kimlong (2016)'!$A$3,"MA_HT","MNC","MA_QH","DRA")</f>
        <v>0</v>
      </c>
      <c r="AQ56" s="22">
        <f ca="1">+GETPIVOTDATA("XKL4",'kimlong (2016)'!$A$3,"MA_HT","MNC","MA_QH","ONT")</f>
        <v>0</v>
      </c>
      <c r="AR56" s="22">
        <f ca="1">+GETPIVOTDATA("XKL4",'kimlong (2016)'!$A$3,"MA_HT","MNC","MA_QH","ODT")</f>
        <v>0</v>
      </c>
      <c r="AS56" s="22">
        <f ca="1">+GETPIVOTDATA("XKL4",'kimlong (2016)'!$A$3,"MA_HT","MNC","MA_QH","TSC")</f>
        <v>0</v>
      </c>
      <c r="AT56" s="22">
        <f ca="1">+GETPIVOTDATA("XKL4",'kimlong (2016)'!$A$3,"MA_HT","MNC","MA_QH","DTS")</f>
        <v>0</v>
      </c>
      <c r="AU56" s="22">
        <f ca="1">+GETPIVOTDATA("XKL4",'kimlong (2016)'!$A$3,"MA_HT","MNC","MA_QH","DNG")</f>
        <v>0</v>
      </c>
      <c r="AV56" s="22">
        <f ca="1">+GETPIVOTDATA("XKL4",'kimlong (2016)'!$A$3,"MA_HT","MNC","MA_QH","TON")</f>
        <v>0</v>
      </c>
      <c r="AW56" s="22">
        <f ca="1">+GETPIVOTDATA("XKL4",'kimlong (2016)'!$A$3,"MA_HT","MNC","MA_QH","NTD")</f>
        <v>0</v>
      </c>
      <c r="AX56" s="22">
        <f ca="1">+GETPIVOTDATA("XKL4",'kimlong (2016)'!$A$3,"MA_HT","MNC","MA_QH","SKX")</f>
        <v>0</v>
      </c>
      <c r="AY56" s="22">
        <f ca="1">+GETPIVOTDATA("XKL4",'kimlong (2016)'!$A$3,"MA_HT","MNC","MA_QH","DSH")</f>
        <v>0</v>
      </c>
      <c r="AZ56" s="22">
        <f ca="1">+GETPIVOTDATA("XKL4",'kimlong (2016)'!$A$3,"MA_HT","MNC","MA_QH","DKV")</f>
        <v>0</v>
      </c>
      <c r="BA56" s="89">
        <f ca="1">+GETPIVOTDATA("XKL4",'kimlong (2016)'!$A$3,"MA_HT","MNC","MA_QH","TIN")</f>
        <v>0</v>
      </c>
      <c r="BB56" s="50">
        <f ca="1">+GETPIVOTDATA("XKL4",'kimlong (2016)'!$A$3,"MA_HT","MNC","MA_QH","SON")</f>
        <v>0</v>
      </c>
      <c r="BC56" s="43" t="e">
        <f ca="1">$D56-$BF56</f>
        <v>#REF!</v>
      </c>
      <c r="BD56" s="22">
        <f ca="1">+GETPIVOTDATA("XKL4",'kimlong (2016)'!$A$3,"MA_HT","MNC","MA_QH","PNK")</f>
        <v>0</v>
      </c>
      <c r="BE56" s="71">
        <f ca="1">+GETPIVOTDATA("XKL4",'kimlong (2016)'!$A$3,"MA_HT","MNC","MA_QH","CSD")</f>
        <v>0</v>
      </c>
      <c r="BF56" s="74">
        <f ca="1" t="shared" si="13"/>
        <v>0</v>
      </c>
      <c r="BG56" s="101">
        <f ca="1">BC$59-$BF56</f>
        <v>0</v>
      </c>
      <c r="BH56" s="41" t="e">
        <f ca="1" t="shared" si="14"/>
        <v>#REF!</v>
      </c>
      <c r="BI56" s="98"/>
      <c r="BJ56" s="98"/>
      <c r="BK56" s="107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</row>
    <row r="57" s="2" customFormat="1" ht="15.75" customHeight="1" spans="1:79">
      <c r="A57" s="68" t="s">
        <v>8432</v>
      </c>
      <c r="B57" s="69" t="s">
        <v>8433</v>
      </c>
      <c r="C57" s="40" t="s">
        <v>59</v>
      </c>
      <c r="D57" s="41" t="e">
        <f>+#REF!</f>
        <v>#REF!</v>
      </c>
      <c r="E57" s="42">
        <f ca="1" t="shared" si="15"/>
        <v>0</v>
      </c>
      <c r="F57" s="52">
        <f ca="1" t="shared" si="9"/>
        <v>0</v>
      </c>
      <c r="G57" s="22">
        <f ca="1">+GETPIVOTDATA("XKL4",'kimlong (2016)'!$A$3,"MA_HT","PNK","MA_QH","LUC")</f>
        <v>0</v>
      </c>
      <c r="H57" s="22">
        <f ca="1">+GETPIVOTDATA("XKL4",'kimlong (2016)'!$A$3,"MA_HT","PNK","MA_QH","LUK")</f>
        <v>0</v>
      </c>
      <c r="I57" s="22">
        <f ca="1">+GETPIVOTDATA("XKL4",'kimlong (2016)'!$A$3,"MA_HT","PNK","MA_QH","LUN")</f>
        <v>0</v>
      </c>
      <c r="J57" s="22">
        <f ca="1">+GETPIVOTDATA("XKL4",'kimlong (2016)'!$A$3,"MA_HT","PNK","MA_QH","HNK")</f>
        <v>0</v>
      </c>
      <c r="K57" s="22">
        <f ca="1">+GETPIVOTDATA("XKL4",'kimlong (2016)'!$A$3,"MA_HT","PNK","MA_QH","CLN")</f>
        <v>0</v>
      </c>
      <c r="L57" s="22">
        <f ca="1">+GETPIVOTDATA("XKL4",'kimlong (2016)'!$A$3,"MA_HT","PNK","MA_QH","RSX")</f>
        <v>0</v>
      </c>
      <c r="M57" s="22">
        <f ca="1">+GETPIVOTDATA("XKL4",'kimlong (2016)'!$A$3,"MA_HT","PNK","MA_QH","RPH")</f>
        <v>0</v>
      </c>
      <c r="N57" s="22">
        <f ca="1">+GETPIVOTDATA("XKL4",'kimlong (2016)'!$A$3,"MA_HT","PNK","MA_QH","RDD")</f>
        <v>0</v>
      </c>
      <c r="O57" s="22">
        <f ca="1">+GETPIVOTDATA("XKL4",'kimlong (2016)'!$A$3,"MA_HT","PNK","MA_QH","NTS")</f>
        <v>0</v>
      </c>
      <c r="P57" s="22">
        <f ca="1">+GETPIVOTDATA("XKL4",'kimlong (2016)'!$A$3,"MA_HT","PNK","MA_QH","LMU")</f>
        <v>0</v>
      </c>
      <c r="Q57" s="22">
        <f ca="1">+GETPIVOTDATA("XKL4",'kimlong (2016)'!$A$3,"MA_HT","PNK","MA_QH","NKH")</f>
        <v>0</v>
      </c>
      <c r="R57" s="79">
        <f ca="1">SUM(S57:AA57,AN57:BC57)</f>
        <v>0</v>
      </c>
      <c r="S57" s="22">
        <f ca="1">+GETPIVOTDATA("XKL4",'kimlong (2016)'!$A$3,"MA_HT","PNK","MA_QH","CQP")</f>
        <v>0</v>
      </c>
      <c r="T57" s="22">
        <f ca="1">+GETPIVOTDATA("XKL4",'kimlong (2016)'!$A$3,"MA_HT","PNK","MA_QH","CAN")</f>
        <v>0</v>
      </c>
      <c r="U57" s="22">
        <f ca="1">+GETPIVOTDATA("XKL4",'kimlong (2016)'!$A$3,"MA_HT","PNK","MA_QH","SKK")</f>
        <v>0</v>
      </c>
      <c r="V57" s="22">
        <f ca="1">+GETPIVOTDATA("XKL4",'kimlong (2016)'!$A$3,"MA_HT","PNK","MA_QH","SKT")</f>
        <v>0</v>
      </c>
      <c r="W57" s="22">
        <f ca="1">+GETPIVOTDATA("XKL4",'kimlong (2016)'!$A$3,"MA_HT","PNK","MA_QH","SKN")</f>
        <v>0</v>
      </c>
      <c r="X57" s="22">
        <f ca="1">+GETPIVOTDATA("XKL4",'kimlong (2016)'!$A$3,"MA_HT","PNK","MA_QH","TMD")</f>
        <v>0</v>
      </c>
      <c r="Y57" s="22">
        <f ca="1">+GETPIVOTDATA("XKL4",'kimlong (2016)'!$A$3,"MA_HT","PNK","MA_QH","SKC")</f>
        <v>0</v>
      </c>
      <c r="Z57" s="22">
        <f ca="1">+GETPIVOTDATA("XKL4",'kimlong (2016)'!$A$3,"MA_HT","PNK","MA_QH","SKS")</f>
        <v>0</v>
      </c>
      <c r="AA57" s="52">
        <f ca="1" t="shared" si="21"/>
        <v>0</v>
      </c>
      <c r="AB57" s="22">
        <f ca="1">+GETPIVOTDATA("XKL4",'kimlong (2016)'!$A$3,"MA_HT","PNK","MA_QH","DGT")</f>
        <v>0</v>
      </c>
      <c r="AC57" s="22">
        <f ca="1">+GETPIVOTDATA("XKL4",'kimlong (2016)'!$A$3,"MA_HT","PNK","MA_QH","DTL")</f>
        <v>0</v>
      </c>
      <c r="AD57" s="22">
        <f ca="1">+GETPIVOTDATA("XKL4",'kimlong (2016)'!$A$3,"MA_HT","PNK","MA_QH","DNL")</f>
        <v>0</v>
      </c>
      <c r="AE57" s="22">
        <f ca="1">+GETPIVOTDATA("XKL4",'kimlong (2016)'!$A$3,"MA_HT","PNK","MA_QH","DBV")</f>
        <v>0</v>
      </c>
      <c r="AF57" s="22">
        <f ca="1">+GETPIVOTDATA("XKL4",'kimlong (2016)'!$A$3,"MA_HT","PNK","MA_QH","DVH")</f>
        <v>0</v>
      </c>
      <c r="AG57" s="22">
        <f ca="1">+GETPIVOTDATA("XKL4",'kimlong (2016)'!$A$3,"MA_HT","PNK","MA_QH","DYT")</f>
        <v>0</v>
      </c>
      <c r="AH57" s="22">
        <f ca="1">+GETPIVOTDATA("XKL4",'kimlong (2016)'!$A$3,"MA_HT","PNK","MA_QH","DGD")</f>
        <v>0</v>
      </c>
      <c r="AI57" s="22">
        <f ca="1">+GETPIVOTDATA("XKL4",'kimlong (2016)'!$A$3,"MA_HT","PNK","MA_QH","DTT")</f>
        <v>0</v>
      </c>
      <c r="AJ57" s="22">
        <f ca="1">+GETPIVOTDATA("XKL4",'kimlong (2016)'!$A$3,"MA_HT","PNK","MA_QH","NCK")</f>
        <v>0</v>
      </c>
      <c r="AK57" s="22">
        <f ca="1">+GETPIVOTDATA("XKL4",'kimlong (2016)'!$A$3,"MA_HT","PNK","MA_QH","DXH")</f>
        <v>0</v>
      </c>
      <c r="AL57" s="22">
        <f ca="1">+GETPIVOTDATA("XKL4",'kimlong (2016)'!$A$3,"MA_HT","PNK","MA_QH","DCH")</f>
        <v>0</v>
      </c>
      <c r="AM57" s="22">
        <f ca="1">+GETPIVOTDATA("XKL4",'kimlong (2016)'!$A$3,"MA_HT","PNK","MA_QH","DKG")</f>
        <v>0</v>
      </c>
      <c r="AN57" s="22">
        <f ca="1">+GETPIVOTDATA("XKL4",'kimlong (2016)'!$A$3,"MA_HT","PNK","MA_QH","DDT")</f>
        <v>0</v>
      </c>
      <c r="AO57" s="22">
        <f ca="1">+GETPIVOTDATA("XKL4",'kimlong (2016)'!$A$3,"MA_HT","PNK","MA_QH","DDL")</f>
        <v>0</v>
      </c>
      <c r="AP57" s="22">
        <f ca="1">+GETPIVOTDATA("XKL4",'kimlong (2016)'!$A$3,"MA_HT","PNK","MA_QH","DRA")</f>
        <v>0</v>
      </c>
      <c r="AQ57" s="22">
        <f ca="1">+GETPIVOTDATA("XKL4",'kimlong (2016)'!$A$3,"MA_HT","PNK","MA_QH","ONT")</f>
        <v>0</v>
      </c>
      <c r="AR57" s="22">
        <f ca="1">+GETPIVOTDATA("XKL4",'kimlong (2016)'!$A$3,"MA_HT","PNK","MA_QH","ODT")</f>
        <v>0</v>
      </c>
      <c r="AS57" s="22">
        <f ca="1">+GETPIVOTDATA("XKL4",'kimlong (2016)'!$A$3,"MA_HT","PNK","MA_QH","TSC")</f>
        <v>0</v>
      </c>
      <c r="AT57" s="22">
        <f ca="1">+GETPIVOTDATA("XKL4",'kimlong (2016)'!$A$3,"MA_HT","PNK","MA_QH","DTS")</f>
        <v>0</v>
      </c>
      <c r="AU57" s="22">
        <f ca="1">+GETPIVOTDATA("XKL4",'kimlong (2016)'!$A$3,"MA_HT","PNK","MA_QH","DNG")</f>
        <v>0</v>
      </c>
      <c r="AV57" s="22">
        <f ca="1">+GETPIVOTDATA("XKL4",'kimlong (2016)'!$A$3,"MA_HT","PNK","MA_QH","TON")</f>
        <v>0</v>
      </c>
      <c r="AW57" s="22">
        <f ca="1">+GETPIVOTDATA("XKL4",'kimlong (2016)'!$A$3,"MA_HT","PNK","MA_QH","NTD")</f>
        <v>0</v>
      </c>
      <c r="AX57" s="22">
        <f ca="1">+GETPIVOTDATA("XKL4",'kimlong (2016)'!$A$3,"MA_HT","PNK","MA_QH","SKX")</f>
        <v>0</v>
      </c>
      <c r="AY57" s="22">
        <f ca="1">+GETPIVOTDATA("XKL4",'kimlong (2016)'!$A$3,"MA_HT","PNK","MA_QH","DSH")</f>
        <v>0</v>
      </c>
      <c r="AZ57" s="22">
        <f ca="1">+GETPIVOTDATA("XKL4",'kimlong (2016)'!$A$3,"MA_HT","PNK","MA_QH","DKV")</f>
        <v>0</v>
      </c>
      <c r="BA57" s="89">
        <f ca="1">+GETPIVOTDATA("XKL4",'kimlong (2016)'!$A$3,"MA_HT","PNK","MA_QH","TIN")</f>
        <v>0</v>
      </c>
      <c r="BB57" s="50">
        <f ca="1">+GETPIVOTDATA("XKL4",'kimlong (2016)'!$A$3,"MA_HT","PNK","MA_QH","SON")</f>
        <v>0</v>
      </c>
      <c r="BC57" s="50">
        <f ca="1">+GETPIVOTDATA("XKL4",'kimlong (2016)'!$A$3,"MA_HT","PNK","MA_QH","MNC")</f>
        <v>0</v>
      </c>
      <c r="BD57" s="43" t="e">
        <f ca="1">$D57-$BF57</f>
        <v>#REF!</v>
      </c>
      <c r="BE57" s="71">
        <f ca="1">+GETPIVOTDATA("XKL4",'kimlong (2016)'!$A$3,"MA_HT","PNK","MA_QH","CSD")</f>
        <v>0</v>
      </c>
      <c r="BF57" s="74">
        <f ca="1" t="shared" si="13"/>
        <v>0</v>
      </c>
      <c r="BG57" s="101">
        <f ca="1">BD$59-$BF57</f>
        <v>0</v>
      </c>
      <c r="BH57" s="41" t="e">
        <f ca="1" t="shared" si="14"/>
        <v>#REF!</v>
      </c>
      <c r="BI57" s="98"/>
      <c r="BJ57" s="98" t="e">
        <f>#REF!</f>
        <v>#REF!</v>
      </c>
      <c r="BK57" s="107" t="e">
        <f ca="1">BH57-BJ57</f>
        <v>#REF!</v>
      </c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</row>
    <row r="58" s="3" customFormat="1" ht="15.75" customHeight="1" spans="1:79">
      <c r="A58" s="70" t="s">
        <v>8434</v>
      </c>
      <c r="B58" s="36" t="s">
        <v>8435</v>
      </c>
      <c r="C58" s="37" t="s">
        <v>8284</v>
      </c>
      <c r="D58" s="32" t="e">
        <f>+#REF!</f>
        <v>#REF!</v>
      </c>
      <c r="E58" s="42">
        <f ca="1" t="shared" si="15"/>
        <v>0</v>
      </c>
      <c r="F58" s="33">
        <f ca="1" t="shared" si="9"/>
        <v>0</v>
      </c>
      <c r="G58" s="71">
        <f ca="1">+GETPIVOTDATA("XKL4",'kimlong (2016)'!$A$3,"MA_HT","CSD","MA_QH","LUC")</f>
        <v>0</v>
      </c>
      <c r="H58" s="71">
        <f ca="1">+GETPIVOTDATA("XKL4",'kimlong (2016)'!$A$3,"MA_HT","CSD","MA_QH","LUK")</f>
        <v>0</v>
      </c>
      <c r="I58" s="71">
        <f ca="1">+GETPIVOTDATA("XKL4",'kimlong (2016)'!$A$3,"MA_HT","CSD","MA_QH","LUN")</f>
        <v>0</v>
      </c>
      <c r="J58" s="71">
        <f ca="1">+GETPIVOTDATA("XKL4",'kimlong (2016)'!$A$3,"MA_HT","CSD","MA_QH","HNK")</f>
        <v>0</v>
      </c>
      <c r="K58" s="71">
        <f ca="1">+GETPIVOTDATA("XKL4",'kimlong (2016)'!$A$3,"MA_HT","CSD","MA_QH","CLN")</f>
        <v>0</v>
      </c>
      <c r="L58" s="71">
        <f ca="1">+GETPIVOTDATA("XKL4",'kimlong (2016)'!$A$3,"MA_HT","CSD","MA_QH","RSX")</f>
        <v>0</v>
      </c>
      <c r="M58" s="71">
        <f ca="1">+GETPIVOTDATA("XKL4",'kimlong (2016)'!$A$3,"MA_HT","CSD","MA_QH","RPH")</f>
        <v>0</v>
      </c>
      <c r="N58" s="71">
        <f ca="1">+GETPIVOTDATA("XKL4",'kimlong (2016)'!$A$3,"MA_HT","CSD","MA_QH","RDD")</f>
        <v>0</v>
      </c>
      <c r="O58" s="71">
        <f ca="1">+GETPIVOTDATA("XKL4",'kimlong (2016)'!$A$3,"MA_HT","CSD","MA_QH","NTS")</f>
        <v>0</v>
      </c>
      <c r="P58" s="71">
        <f ca="1">+GETPIVOTDATA("XKL4",'kimlong (2016)'!$A$3,"MA_HT","CSD","MA_QH","LMU")</f>
        <v>0</v>
      </c>
      <c r="Q58" s="71">
        <f ca="1">+GETPIVOTDATA("XKL4",'kimlong (2016)'!$A$3,"MA_HT","CSD","MA_QH","NKH")</f>
        <v>0</v>
      </c>
      <c r="R58" s="79">
        <f ca="1">SUM(S58:AA58,AN58:BD58)</f>
        <v>0</v>
      </c>
      <c r="S58" s="80">
        <f ca="1">+GETPIVOTDATA("XKL4",'kimlong (2016)'!$A$3,"MA_HT","CSD","MA_QH","CQP")</f>
        <v>0</v>
      </c>
      <c r="T58" s="80">
        <f ca="1">+GETPIVOTDATA("XKL4",'kimlong (2016)'!$A$3,"MA_HT","CSD","MA_QH","CAN")</f>
        <v>0</v>
      </c>
      <c r="U58" s="71">
        <f ca="1">+GETPIVOTDATA("XKL4",'kimlong (2016)'!$A$3,"MA_HT","CSD","MA_QH","SKK")</f>
        <v>0</v>
      </c>
      <c r="V58" s="71">
        <f ca="1">+GETPIVOTDATA("XKL4",'kimlong (2016)'!$A$3,"MA_HT","CSD","MA_QH","SKT")</f>
        <v>0</v>
      </c>
      <c r="W58" s="71">
        <f ca="1">+GETPIVOTDATA("XKL4",'kimlong (2016)'!$A$3,"MA_HT","CSD","MA_QH","SKN")</f>
        <v>0</v>
      </c>
      <c r="X58" s="71">
        <f ca="1">+GETPIVOTDATA("XKL4",'kimlong (2016)'!$A$3,"MA_HT","CSD","MA_QH","TMD")</f>
        <v>0</v>
      </c>
      <c r="Y58" s="71">
        <f ca="1">+GETPIVOTDATA("XKL4",'kimlong (2016)'!$A$3,"MA_HT","CSD","MA_QH","SKC")</f>
        <v>0</v>
      </c>
      <c r="Z58" s="71">
        <f ca="1">+GETPIVOTDATA("XKL4",'kimlong (2016)'!$A$3,"MA_HT","CSD","MA_QH","SKS")</f>
        <v>0</v>
      </c>
      <c r="AA58" s="52">
        <f ca="1" t="shared" si="21"/>
        <v>0</v>
      </c>
      <c r="AB58" s="80">
        <f ca="1">+GETPIVOTDATA("XKL4",'kimlong (2016)'!$A$3,"MA_HT","CSD","MA_QH","DGT")</f>
        <v>0</v>
      </c>
      <c r="AC58" s="80">
        <f ca="1">+GETPIVOTDATA("XKL4",'kimlong (2016)'!$A$3,"MA_HT","CSD","MA_QH","DTL")</f>
        <v>0</v>
      </c>
      <c r="AD58" s="80">
        <f ca="1">+GETPIVOTDATA("XKL4",'kimlong (2016)'!$A$3,"MA_HT","CSD","MA_QH","DNL")</f>
        <v>0</v>
      </c>
      <c r="AE58" s="80">
        <f ca="1">+GETPIVOTDATA("XKL4",'kimlong (2016)'!$A$3,"MA_HT","CSD","MA_QH","DBV")</f>
        <v>0</v>
      </c>
      <c r="AF58" s="80">
        <f ca="1">+GETPIVOTDATA("XKL4",'kimlong (2016)'!$A$3,"MA_HT","CSD","MA_QH","DVH")</f>
        <v>0</v>
      </c>
      <c r="AG58" s="80">
        <f ca="1">+GETPIVOTDATA("XKL4",'kimlong (2016)'!$A$3,"MA_HT","CSD","MA_QH","DYT")</f>
        <v>0</v>
      </c>
      <c r="AH58" s="80">
        <f ca="1">+GETPIVOTDATA("XKL4",'kimlong (2016)'!$A$3,"MA_HT","CSD","MA_QH","DGD")</f>
        <v>0</v>
      </c>
      <c r="AI58" s="80">
        <f ca="1">+GETPIVOTDATA("XKL4",'kimlong (2016)'!$A$3,"MA_HT","CSD","MA_QH","DTT")</f>
        <v>0</v>
      </c>
      <c r="AJ58" s="80">
        <f ca="1">+GETPIVOTDATA("XKL4",'kimlong (2016)'!$A$3,"MA_HT","CSD","MA_QH","NCK")</f>
        <v>0</v>
      </c>
      <c r="AK58" s="80">
        <f ca="1">+GETPIVOTDATA("XKL4",'kimlong (2016)'!$A$3,"MA_HT","CSD","MA_QH","DXH")</f>
        <v>0</v>
      </c>
      <c r="AL58" s="80">
        <f ca="1">+GETPIVOTDATA("XKL4",'kimlong (2016)'!$A$3,"MA_HT","CSD","MA_QH","DCH")</f>
        <v>0</v>
      </c>
      <c r="AM58" s="80">
        <f ca="1">+GETPIVOTDATA("XKL4",'kimlong (2016)'!$A$3,"MA_HT","CSD","MA_QH","DKG")</f>
        <v>0</v>
      </c>
      <c r="AN58" s="71">
        <f ca="1">+GETPIVOTDATA("XKL4",'kimlong (2016)'!$A$3,"MA_HT","CSD","MA_QH","DDT")</f>
        <v>0</v>
      </c>
      <c r="AO58" s="71">
        <f ca="1">+GETPIVOTDATA("XKL4",'kimlong (2016)'!$A$3,"MA_HT","CSD","MA_QH","DDL")</f>
        <v>0</v>
      </c>
      <c r="AP58" s="71">
        <f ca="1">+GETPIVOTDATA("XKL4",'kimlong (2016)'!$A$3,"MA_HT","CSD","MA_QH","DRA")</f>
        <v>0</v>
      </c>
      <c r="AQ58" s="71">
        <f ca="1">+GETPIVOTDATA("XKL4",'kimlong (2016)'!$A$3,"MA_HT","CSD","MA_QH","ONT")</f>
        <v>0</v>
      </c>
      <c r="AR58" s="71">
        <f ca="1">+GETPIVOTDATA("XKL4",'kimlong (2016)'!$A$3,"MA_HT","CSD","MA_QH","ODT")</f>
        <v>0</v>
      </c>
      <c r="AS58" s="71">
        <f ca="1">+GETPIVOTDATA("XKL4",'kimlong (2016)'!$A$3,"MA_HT","CSD","MA_QH","TSC")</f>
        <v>0</v>
      </c>
      <c r="AT58" s="71">
        <f ca="1">+GETPIVOTDATA("XKL4",'kimlong (2016)'!$A$3,"MA_HT","CSD","MA_QH","DTS")</f>
        <v>0</v>
      </c>
      <c r="AU58" s="71">
        <f ca="1">+GETPIVOTDATA("XKL4",'kimlong (2016)'!$A$3,"MA_HT","CSD","MA_QH","DNG")</f>
        <v>0</v>
      </c>
      <c r="AV58" s="71">
        <f ca="1">+GETPIVOTDATA("XKL4",'kimlong (2016)'!$A$3,"MA_HT","CSD","MA_QH","TON")</f>
        <v>0</v>
      </c>
      <c r="AW58" s="71">
        <f ca="1">+GETPIVOTDATA("XKL4",'kimlong (2016)'!$A$3,"MA_HT","CSD","MA_QH","NTD")</f>
        <v>0</v>
      </c>
      <c r="AX58" s="71">
        <f ca="1">+GETPIVOTDATA("XKL4",'kimlong (2016)'!$A$3,"MA_HT","CSD","MA_QH","SKX")</f>
        <v>0</v>
      </c>
      <c r="AY58" s="71">
        <f ca="1">+GETPIVOTDATA("XKL4",'kimlong (2016)'!$A$3,"MA_HT","CSD","MA_QH","DSH")</f>
        <v>0</v>
      </c>
      <c r="AZ58" s="71">
        <f ca="1">+GETPIVOTDATA("XKL4",'kimlong (2016)'!$A$3,"MA_HT","CSD","MA_QH","DKV")</f>
        <v>0</v>
      </c>
      <c r="BA58" s="89">
        <f ca="1">+GETPIVOTDATA("XKL4",'kimlong (2016)'!$A$3,"MA_HT","CSD","MA_QH","TIN")</f>
        <v>0</v>
      </c>
      <c r="BB58" s="80">
        <f ca="1">+GETPIVOTDATA("XKL4",'kimlong (2016)'!$A$3,"MA_HT","CSD","MA_QH","SON")</f>
        <v>0</v>
      </c>
      <c r="BC58" s="80">
        <f ca="1">+GETPIVOTDATA("XKL4",'kimlong (2016)'!$A$3,"MA_HT","CSD","MA_QH","MNC")</f>
        <v>0</v>
      </c>
      <c r="BD58" s="71">
        <f ca="1">+GETPIVOTDATA("XKL4",'kimlong (2016)'!$A$3,"MA_HT","CSD","MA_QH","PNK")</f>
        <v>0</v>
      </c>
      <c r="BE58" s="38" t="e">
        <f ca="1">$D58-$BF58</f>
        <v>#REF!</v>
      </c>
      <c r="BF58" s="74">
        <f ca="1">R58+E58</f>
        <v>0</v>
      </c>
      <c r="BG58" s="119">
        <f ca="1">BE$59-$BF58</f>
        <v>0</v>
      </c>
      <c r="BH58" s="41" t="e">
        <f ca="1" t="shared" si="14"/>
        <v>#REF!</v>
      </c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</row>
    <row r="59" s="2" customFormat="1" ht="13.5" spans="1:246">
      <c r="A59" s="72"/>
      <c r="B59" s="72" t="s">
        <v>8436</v>
      </c>
      <c r="C59" s="73"/>
      <c r="D59" s="74"/>
      <c r="E59" s="75">
        <f ca="1">E58+E19</f>
        <v>0</v>
      </c>
      <c r="F59" s="74">
        <f ca="1" t="shared" ref="F59:Q59" si="22">F58+F19+F6</f>
        <v>0</v>
      </c>
      <c r="G59" s="74">
        <f ca="1" t="shared" si="22"/>
        <v>0</v>
      </c>
      <c r="H59" s="74">
        <f ca="1" t="shared" si="22"/>
        <v>0</v>
      </c>
      <c r="I59" s="74">
        <f ca="1" t="shared" si="22"/>
        <v>0</v>
      </c>
      <c r="J59" s="74">
        <f ca="1" t="shared" si="22"/>
        <v>0</v>
      </c>
      <c r="K59" s="74">
        <f ca="1" t="shared" si="22"/>
        <v>0</v>
      </c>
      <c r="L59" s="74">
        <f ca="1" t="shared" si="22"/>
        <v>0</v>
      </c>
      <c r="M59" s="74">
        <f ca="1" t="shared" si="22"/>
        <v>0</v>
      </c>
      <c r="N59" s="74">
        <f ca="1" t="shared" si="22"/>
        <v>0</v>
      </c>
      <c r="O59" s="74">
        <f ca="1" t="shared" si="22"/>
        <v>0</v>
      </c>
      <c r="P59" s="74">
        <f ca="1" t="shared" si="22"/>
        <v>0</v>
      </c>
      <c r="Q59" s="74">
        <f ca="1" t="shared" si="22"/>
        <v>0</v>
      </c>
      <c r="R59" s="75">
        <f ca="1">+R58+R6</f>
        <v>0</v>
      </c>
      <c r="S59" s="74">
        <f ca="1" t="shared" ref="S59:BD59" si="23">S58+S19+S6</f>
        <v>0</v>
      </c>
      <c r="T59" s="74">
        <f ca="1" t="shared" si="23"/>
        <v>0</v>
      </c>
      <c r="U59" s="74">
        <f ca="1" t="shared" si="23"/>
        <v>0</v>
      </c>
      <c r="V59" s="74">
        <f ca="1" t="shared" si="23"/>
        <v>0</v>
      </c>
      <c r="W59" s="74">
        <f ca="1" t="shared" si="23"/>
        <v>0</v>
      </c>
      <c r="X59" s="74">
        <f ca="1" t="shared" si="23"/>
        <v>0</v>
      </c>
      <c r="Y59" s="74">
        <f ca="1" t="shared" si="23"/>
        <v>0</v>
      </c>
      <c r="Z59" s="74">
        <f ca="1" t="shared" si="23"/>
        <v>0</v>
      </c>
      <c r="AA59" s="74">
        <f ca="1" t="shared" si="23"/>
        <v>0</v>
      </c>
      <c r="AB59" s="74">
        <f ca="1" t="shared" si="23"/>
        <v>0</v>
      </c>
      <c r="AC59" s="74">
        <f ca="1" t="shared" si="23"/>
        <v>0</v>
      </c>
      <c r="AD59" s="74">
        <f ca="1" t="shared" si="23"/>
        <v>0</v>
      </c>
      <c r="AE59" s="74">
        <f ca="1" t="shared" si="23"/>
        <v>0</v>
      </c>
      <c r="AF59" s="74">
        <f ca="1" t="shared" si="23"/>
        <v>0</v>
      </c>
      <c r="AG59" s="74">
        <f ca="1" t="shared" si="23"/>
        <v>0</v>
      </c>
      <c r="AH59" s="74">
        <f ca="1" t="shared" si="23"/>
        <v>0</v>
      </c>
      <c r="AI59" s="74">
        <f ca="1" t="shared" si="23"/>
        <v>0</v>
      </c>
      <c r="AJ59" s="74">
        <f ca="1" t="shared" si="23"/>
        <v>0</v>
      </c>
      <c r="AK59" s="74">
        <f ca="1" t="shared" si="23"/>
        <v>0</v>
      </c>
      <c r="AL59" s="74">
        <f ca="1" t="shared" si="23"/>
        <v>0</v>
      </c>
      <c r="AM59" s="74">
        <f ca="1" t="shared" si="23"/>
        <v>0</v>
      </c>
      <c r="AN59" s="74">
        <f ca="1" t="shared" si="23"/>
        <v>0</v>
      </c>
      <c r="AO59" s="74">
        <f ca="1" t="shared" si="23"/>
        <v>0</v>
      </c>
      <c r="AP59" s="74">
        <f ca="1" t="shared" si="23"/>
        <v>0</v>
      </c>
      <c r="AQ59" s="74">
        <f ca="1" t="shared" si="23"/>
        <v>0</v>
      </c>
      <c r="AR59" s="74">
        <f ca="1" t="shared" si="23"/>
        <v>0</v>
      </c>
      <c r="AS59" s="74">
        <f ca="1" t="shared" si="23"/>
        <v>0</v>
      </c>
      <c r="AT59" s="74">
        <f ca="1" t="shared" si="23"/>
        <v>0</v>
      </c>
      <c r="AU59" s="74">
        <f ca="1" t="shared" si="23"/>
        <v>0</v>
      </c>
      <c r="AV59" s="74">
        <f ca="1" t="shared" si="23"/>
        <v>0</v>
      </c>
      <c r="AW59" s="74">
        <f ca="1" t="shared" si="23"/>
        <v>0</v>
      </c>
      <c r="AX59" s="74">
        <f ca="1" t="shared" si="23"/>
        <v>0</v>
      </c>
      <c r="AY59" s="74">
        <f ca="1" t="shared" si="23"/>
        <v>0</v>
      </c>
      <c r="AZ59" s="74">
        <f ca="1" t="shared" si="23"/>
        <v>0</v>
      </c>
      <c r="BA59" s="75">
        <f ca="1" t="shared" si="23"/>
        <v>0</v>
      </c>
      <c r="BB59" s="74">
        <f ca="1" t="shared" si="23"/>
        <v>0</v>
      </c>
      <c r="BC59" s="74">
        <f ca="1" t="shared" si="23"/>
        <v>0</v>
      </c>
      <c r="BD59" s="74">
        <f ca="1" t="shared" si="23"/>
        <v>0</v>
      </c>
      <c r="BE59" s="120">
        <f ca="1">BE19+BE6</f>
        <v>0</v>
      </c>
      <c r="BF59" s="74"/>
      <c r="BG59" s="74"/>
      <c r="BH59" s="74"/>
      <c r="BI59" s="121"/>
      <c r="BJ59" s="121"/>
      <c r="BK59" s="121"/>
      <c r="BL59" s="1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3"/>
      <c r="CB59" s="123"/>
      <c r="CC59" s="124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</row>
    <row r="61" spans="61:76"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</row>
  </sheetData>
  <mergeCells count="3">
    <mergeCell ref="A3:A4"/>
    <mergeCell ref="B3:B4"/>
    <mergeCell ref="C3:C4"/>
  </mergeCells>
  <pageMargins left="0.65" right="0" top="0.5" bottom="0.25" header="0.5" footer="0.5"/>
  <pageSetup paperSize="8" orientation="landscape" horizontalDpi="360" verticalDpi="36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7">
    <tabColor rgb="FFFF0000"/>
  </sheetPr>
  <dimension ref="A1:IL61"/>
  <sheetViews>
    <sheetView workbookViewId="0">
      <selection activeCell="A1" sqref="A1"/>
    </sheetView>
  </sheetViews>
  <sheetFormatPr defaultColWidth="9" defaultRowHeight="15"/>
  <cols>
    <col min="1" max="1" width="6.375" style="7" customWidth="1"/>
    <col min="2" max="2" width="29.125" style="7" customWidth="1"/>
    <col min="3" max="3" width="6" style="7" customWidth="1"/>
    <col min="4" max="4" width="9.75" style="8" customWidth="1"/>
    <col min="5" max="5" width="9.375" style="9" customWidth="1"/>
    <col min="6" max="6" width="7" style="8" customWidth="1"/>
    <col min="7" max="7" width="7.75" style="8" customWidth="1"/>
    <col min="8" max="8" width="7" style="8" customWidth="1"/>
    <col min="9" max="9" width="6.875" style="8" customWidth="1"/>
    <col min="10" max="10" width="7.625" style="8" customWidth="1"/>
    <col min="11" max="11" width="9.125" style="8" customWidth="1"/>
    <col min="12" max="12" width="8.25" style="8" customWidth="1"/>
    <col min="13" max="13" width="6" style="8" customWidth="1"/>
    <col min="14" max="14" width="6.25" style="8" customWidth="1"/>
    <col min="15" max="15" width="5.875" style="8" customWidth="1"/>
    <col min="16" max="16" width="5.75" style="8" customWidth="1"/>
    <col min="17" max="17" width="6.25" style="8" customWidth="1"/>
    <col min="18" max="18" width="8.75" style="10" customWidth="1"/>
    <col min="19" max="19" width="7.125" style="8" customWidth="1"/>
    <col min="20" max="20" width="7.75" style="8" customWidth="1"/>
    <col min="21" max="23" width="6.125" style="8" customWidth="1"/>
    <col min="24" max="24" width="7.125" style="8" customWidth="1"/>
    <col min="25" max="25" width="7.75" style="8" customWidth="1"/>
    <col min="26" max="26" width="6.875" style="8" customWidth="1"/>
    <col min="27" max="27" width="7.375" style="8" customWidth="1"/>
    <col min="28" max="28" width="9" style="8"/>
    <col min="29" max="29" width="7.25" style="8" customWidth="1"/>
    <col min="30" max="30" width="7" style="8" customWidth="1"/>
    <col min="31" max="31" width="6.125" style="8" customWidth="1"/>
    <col min="32" max="33" width="6.625" style="8" customWidth="1"/>
    <col min="34" max="34" width="6.125" style="8" customWidth="1"/>
    <col min="35" max="35" width="8.5" style="8" customWidth="1"/>
    <col min="36" max="36" width="8.875" style="8" customWidth="1"/>
    <col min="37" max="37" width="8.75" style="8" customWidth="1"/>
    <col min="38" max="39" width="6.625" style="8" customWidth="1"/>
    <col min="40" max="41" width="6.875" style="8" customWidth="1"/>
    <col min="42" max="42" width="6.75" style="8" customWidth="1"/>
    <col min="43" max="43" width="6.375" style="8" customWidth="1"/>
    <col min="44" max="44" width="6.125" style="8" customWidth="1"/>
    <col min="45" max="46" width="5.75" style="8" customWidth="1"/>
    <col min="47" max="47" width="6.5" style="8" customWidth="1"/>
    <col min="48" max="49" width="5.625" style="8" customWidth="1"/>
    <col min="50" max="51" width="6.125" style="8" customWidth="1"/>
    <col min="52" max="52" width="7.625" style="8" customWidth="1"/>
    <col min="53" max="53" width="9.375" style="11" customWidth="1"/>
    <col min="54" max="54" width="6.625" style="12" customWidth="1"/>
    <col min="55" max="55" width="6.25" style="12" customWidth="1"/>
    <col min="56" max="56" width="7.125" style="8" customWidth="1"/>
    <col min="57" max="57" width="6.25" style="9" customWidth="1"/>
    <col min="58" max="58" width="7.25" style="11" customWidth="1"/>
    <col min="59" max="59" width="8.25" style="11" customWidth="1"/>
    <col min="60" max="60" width="10.125" style="11" customWidth="1"/>
    <col min="61" max="61" width="5.125" style="7" customWidth="1"/>
    <col min="62" max="62" width="8.375" style="7" hidden="1" customWidth="1"/>
    <col min="63" max="63" width="9" style="7" hidden="1" customWidth="1"/>
    <col min="64" max="64" width="4.875" style="7" customWidth="1"/>
    <col min="65" max="65" width="6.25" style="7" customWidth="1"/>
    <col min="66" max="66" width="5" style="7" customWidth="1"/>
    <col min="67" max="67" width="4.25" style="7" customWidth="1"/>
    <col min="68" max="68" width="5.375" style="7" customWidth="1"/>
    <col min="69" max="69" width="5.125" style="7" customWidth="1"/>
    <col min="70" max="70" width="4.625" style="7" customWidth="1"/>
    <col min="71" max="71" width="5.625" style="7" customWidth="1"/>
    <col min="72" max="72" width="5.875" style="7" customWidth="1"/>
    <col min="73" max="73" width="5" style="7" customWidth="1"/>
    <col min="74" max="74" width="3.875" style="7" customWidth="1"/>
    <col min="75" max="75" width="4.625" style="7" customWidth="1"/>
    <col min="76" max="76" width="5.5" style="7" customWidth="1"/>
    <col min="77" max="77" width="7.625" style="13" customWidth="1"/>
    <col min="78" max="79" width="8.375" style="13" customWidth="1"/>
    <col min="80" max="80" width="7.5" style="7" customWidth="1"/>
    <col min="81" max="16384" width="9" style="7"/>
  </cols>
  <sheetData>
    <row r="1" ht="21" customHeight="1" spans="1:82">
      <c r="A1" s="14" t="s">
        <v>8330</v>
      </c>
      <c r="B1" s="15"/>
      <c r="C1" s="16" t="e">
        <f>+"CHU CHUYỂN ĐẤT ĐAI TRONG KẾ HOẠCH SỬ DỤNG ĐẤT NĂM 2015 CỦA "&amp;#REF!</f>
        <v>#REF!</v>
      </c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83"/>
      <c r="BC1" s="83"/>
      <c r="BD1" s="18"/>
      <c r="BE1" s="18"/>
      <c r="BF1" s="18"/>
      <c r="BG1" s="18"/>
      <c r="BH1" s="18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7"/>
      <c r="BZ1" s="7"/>
      <c r="CA1" s="7"/>
      <c r="CB1" s="8"/>
      <c r="CC1" s="8"/>
      <c r="CD1" s="8"/>
    </row>
    <row r="2" s="1" customFormat="1" ht="7.5" customHeight="1" spans="1:82">
      <c r="A2" s="1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9"/>
      <c r="BA2" s="20"/>
      <c r="BB2" s="84"/>
      <c r="BC2" s="84"/>
      <c r="BD2" s="20"/>
      <c r="BE2" s="20"/>
      <c r="BF2" s="20"/>
      <c r="BG2" s="20"/>
      <c r="BH2" s="95" t="s">
        <v>8331</v>
      </c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CB2" s="9"/>
      <c r="CC2" s="9"/>
      <c r="CD2" s="9"/>
    </row>
    <row r="3" s="2" customFormat="1" ht="15.75" customHeight="1" spans="1:79">
      <c r="A3" s="21" t="s">
        <v>3</v>
      </c>
      <c r="B3" s="21" t="s">
        <v>8332</v>
      </c>
      <c r="C3" s="21" t="s">
        <v>8333</v>
      </c>
      <c r="D3" s="22"/>
      <c r="E3" s="23" t="s">
        <v>8334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7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85"/>
      <c r="BC3" s="85"/>
      <c r="BD3" s="24"/>
      <c r="BE3" s="97"/>
      <c r="BF3" s="22"/>
      <c r="BG3" s="22"/>
      <c r="BH3" s="22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</row>
    <row r="4" s="2" customFormat="1" ht="31.5" customHeight="1" spans="1:79">
      <c r="A4" s="25"/>
      <c r="B4" s="25"/>
      <c r="C4" s="25"/>
      <c r="D4" s="26" t="s">
        <v>8335</v>
      </c>
      <c r="E4" s="27" t="s">
        <v>8303</v>
      </c>
      <c r="F4" s="28" t="s">
        <v>8298</v>
      </c>
      <c r="G4" s="29" t="s">
        <v>8299</v>
      </c>
      <c r="H4" s="29" t="s">
        <v>221</v>
      </c>
      <c r="I4" s="29" t="s">
        <v>8300</v>
      </c>
      <c r="J4" s="28" t="s">
        <v>2492</v>
      </c>
      <c r="K4" s="28" t="s">
        <v>30</v>
      </c>
      <c r="L4" s="28" t="s">
        <v>8307</v>
      </c>
      <c r="M4" s="28" t="s">
        <v>8306</v>
      </c>
      <c r="N4" s="28" t="s">
        <v>8305</v>
      </c>
      <c r="O4" s="76" t="s">
        <v>318</v>
      </c>
      <c r="P4" s="28" t="s">
        <v>8297</v>
      </c>
      <c r="Q4" s="28" t="s">
        <v>553</v>
      </c>
      <c r="R4" s="37" t="s">
        <v>8304</v>
      </c>
      <c r="S4" s="40" t="s">
        <v>31</v>
      </c>
      <c r="T4" s="40" t="s">
        <v>8283</v>
      </c>
      <c r="U4" s="40" t="s">
        <v>47</v>
      </c>
      <c r="V4" s="40" t="s">
        <v>8308</v>
      </c>
      <c r="W4" s="40" t="s">
        <v>56</v>
      </c>
      <c r="X4" s="40" t="s">
        <v>265</v>
      </c>
      <c r="Y4" s="40" t="s">
        <v>204</v>
      </c>
      <c r="Z4" s="40" t="s">
        <v>174</v>
      </c>
      <c r="AA4" s="40" t="s">
        <v>8288</v>
      </c>
      <c r="AB4" s="46" t="s">
        <v>94</v>
      </c>
      <c r="AC4" s="46" t="s">
        <v>216</v>
      </c>
      <c r="AD4" s="46" t="s">
        <v>71</v>
      </c>
      <c r="AE4" s="46" t="s">
        <v>8285</v>
      </c>
      <c r="AF4" s="46" t="s">
        <v>212</v>
      </c>
      <c r="AG4" s="46" t="s">
        <v>8296</v>
      </c>
      <c r="AH4" s="46" t="s">
        <v>165</v>
      </c>
      <c r="AI4" s="46" t="s">
        <v>8294</v>
      </c>
      <c r="AJ4" s="46" t="s">
        <v>8302</v>
      </c>
      <c r="AK4" s="46" t="s">
        <v>8295</v>
      </c>
      <c r="AL4" s="46" t="s">
        <v>178</v>
      </c>
      <c r="AM4" s="46" t="s">
        <v>8312</v>
      </c>
      <c r="AN4" s="40" t="s">
        <v>8287</v>
      </c>
      <c r="AO4" s="40" t="s">
        <v>8286</v>
      </c>
      <c r="AP4" s="40" t="s">
        <v>8291</v>
      </c>
      <c r="AQ4" s="40" t="s">
        <v>188</v>
      </c>
      <c r="AR4" s="40" t="s">
        <v>201</v>
      </c>
      <c r="AS4" s="40" t="s">
        <v>336</v>
      </c>
      <c r="AT4" s="40" t="s">
        <v>8293</v>
      </c>
      <c r="AU4" s="40" t="s">
        <v>8290</v>
      </c>
      <c r="AV4" s="40" t="s">
        <v>324</v>
      </c>
      <c r="AW4" s="40" t="s">
        <v>182</v>
      </c>
      <c r="AX4" s="40" t="s">
        <v>236</v>
      </c>
      <c r="AY4" s="40" t="s">
        <v>8292</v>
      </c>
      <c r="AZ4" s="40" t="s">
        <v>8289</v>
      </c>
      <c r="BA4" s="40" t="s">
        <v>8310</v>
      </c>
      <c r="BB4" s="40" t="s">
        <v>8309</v>
      </c>
      <c r="BC4" s="40" t="s">
        <v>8301</v>
      </c>
      <c r="BD4" s="40" t="s">
        <v>59</v>
      </c>
      <c r="BE4" s="27" t="s">
        <v>8284</v>
      </c>
      <c r="BF4" s="99" t="s">
        <v>8336</v>
      </c>
      <c r="BG4" s="100" t="s">
        <v>8337</v>
      </c>
      <c r="BH4" s="26" t="s">
        <v>8335</v>
      </c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</row>
    <row r="5" s="2" customFormat="1" ht="15.75" customHeight="1" spans="1:79">
      <c r="A5" s="30"/>
      <c r="B5" s="30" t="s">
        <v>8338</v>
      </c>
      <c r="C5" s="31"/>
      <c r="D5" s="32" t="e">
        <f>+#REF!</f>
        <v>#REF!</v>
      </c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86"/>
      <c r="BC5" s="86"/>
      <c r="BD5" s="34"/>
      <c r="BE5" s="33"/>
      <c r="BF5" s="34"/>
      <c r="BG5" s="34"/>
      <c r="BH5" s="34" t="e">
        <f ca="1">BH6+BH19+BH58</f>
        <v>#REF!</v>
      </c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</row>
    <row r="6" s="3" customFormat="1" ht="15.75" customHeight="1" spans="1:79">
      <c r="A6" s="35">
        <v>1</v>
      </c>
      <c r="B6" s="36" t="s">
        <v>8339</v>
      </c>
      <c r="C6" s="37" t="s">
        <v>8303</v>
      </c>
      <c r="D6" s="33" t="e">
        <f>+#REF!</f>
        <v>#REF!</v>
      </c>
      <c r="E6" s="38" t="e">
        <f ca="1">$D6-$BF6</f>
        <v>#REF!</v>
      </c>
      <c r="F6" s="33">
        <f ca="1">SUM(F11:F18)</f>
        <v>0</v>
      </c>
      <c r="G6" s="33">
        <f ca="1">SUM(G7,G11:G18)</f>
        <v>0</v>
      </c>
      <c r="H6" s="33">
        <f ca="1">SUM(H7,H11:H18)</f>
        <v>0</v>
      </c>
      <c r="I6" s="33">
        <f ca="1">SUM(I7,I11:I18)</f>
        <v>0</v>
      </c>
      <c r="J6" s="33">
        <f ca="1">SUM(J7,J12:J18)</f>
        <v>0</v>
      </c>
      <c r="K6" s="33">
        <f ca="1">SUM(K7,K11,K13:K18)</f>
        <v>0</v>
      </c>
      <c r="L6" s="33">
        <f ca="1">SUM(L7,L11:L12,L14:L18)</f>
        <v>0</v>
      </c>
      <c r="M6" s="33">
        <f ca="1">SUM(M7,M11:M13,M15:M18)</f>
        <v>0</v>
      </c>
      <c r="N6" s="33">
        <f ca="1">SUM(N7,N11:N14,N16:N18)</f>
        <v>0</v>
      </c>
      <c r="O6" s="33">
        <f ca="1">SUM(O7,O11:O15,O17:O18)</f>
        <v>0</v>
      </c>
      <c r="P6" s="33">
        <f ca="1">SUM(P7,P11:P16,P18:P18)</f>
        <v>0</v>
      </c>
      <c r="Q6" s="33">
        <f ca="1">SUM(Q7,Q11:Q17)</f>
        <v>0</v>
      </c>
      <c r="R6" s="33">
        <f ca="1">SUM(R7,R11:R18)</f>
        <v>0</v>
      </c>
      <c r="S6" s="33">
        <f ca="1">SUM(S7,S11:S18)</f>
        <v>0</v>
      </c>
      <c r="T6" s="33">
        <f ca="1" t="shared" ref="T6:BE6" si="0">SUM(T7,T11:T18)</f>
        <v>0</v>
      </c>
      <c r="U6" s="33">
        <f ca="1" t="shared" si="0"/>
        <v>0</v>
      </c>
      <c r="V6" s="33">
        <f ca="1" t="shared" si="0"/>
        <v>0</v>
      </c>
      <c r="W6" s="33">
        <f ca="1" t="shared" si="0"/>
        <v>0</v>
      </c>
      <c r="X6" s="33">
        <f ca="1" t="shared" si="0"/>
        <v>0</v>
      </c>
      <c r="Y6" s="33">
        <f ca="1" t="shared" si="0"/>
        <v>0</v>
      </c>
      <c r="Z6" s="33">
        <f ca="1" t="shared" si="0"/>
        <v>0</v>
      </c>
      <c r="AA6" s="33">
        <f ca="1" t="shared" si="0"/>
        <v>0</v>
      </c>
      <c r="AB6" s="33">
        <f ca="1" t="shared" si="0"/>
        <v>0</v>
      </c>
      <c r="AC6" s="33">
        <f ca="1" t="shared" si="0"/>
        <v>0</v>
      </c>
      <c r="AD6" s="33">
        <f ca="1" t="shared" si="0"/>
        <v>0</v>
      </c>
      <c r="AE6" s="33">
        <f ca="1" t="shared" si="0"/>
        <v>0</v>
      </c>
      <c r="AF6" s="33">
        <f ca="1" t="shared" si="0"/>
        <v>0</v>
      </c>
      <c r="AG6" s="33">
        <f ca="1" t="shared" si="0"/>
        <v>0</v>
      </c>
      <c r="AH6" s="33">
        <f ca="1" t="shared" si="0"/>
        <v>0</v>
      </c>
      <c r="AI6" s="33">
        <f ca="1" t="shared" si="0"/>
        <v>0</v>
      </c>
      <c r="AJ6" s="33">
        <f ca="1" t="shared" si="0"/>
        <v>0</v>
      </c>
      <c r="AK6" s="33">
        <f ca="1" t="shared" si="0"/>
        <v>0</v>
      </c>
      <c r="AL6" s="33">
        <f ca="1" t="shared" si="0"/>
        <v>0</v>
      </c>
      <c r="AM6" s="33">
        <f ca="1" t="shared" si="0"/>
        <v>0</v>
      </c>
      <c r="AN6" s="33">
        <f ca="1" t="shared" si="0"/>
        <v>0</v>
      </c>
      <c r="AO6" s="33">
        <f ca="1" t="shared" si="0"/>
        <v>0</v>
      </c>
      <c r="AP6" s="33">
        <f ca="1" t="shared" si="0"/>
        <v>0</v>
      </c>
      <c r="AQ6" s="33">
        <f ca="1" t="shared" si="0"/>
        <v>0</v>
      </c>
      <c r="AR6" s="33">
        <f ca="1" t="shared" si="0"/>
        <v>0</v>
      </c>
      <c r="AS6" s="33">
        <f ca="1" t="shared" si="0"/>
        <v>0</v>
      </c>
      <c r="AT6" s="33">
        <f ca="1" t="shared" si="0"/>
        <v>0</v>
      </c>
      <c r="AU6" s="33">
        <f ca="1" t="shared" si="0"/>
        <v>0</v>
      </c>
      <c r="AV6" s="33">
        <f ca="1" t="shared" si="0"/>
        <v>0</v>
      </c>
      <c r="AW6" s="33">
        <f ca="1" t="shared" si="0"/>
        <v>0</v>
      </c>
      <c r="AX6" s="33">
        <f ca="1" t="shared" si="0"/>
        <v>0</v>
      </c>
      <c r="AY6" s="33">
        <f ca="1" t="shared" si="0"/>
        <v>0</v>
      </c>
      <c r="AZ6" s="33">
        <f ca="1" t="shared" si="0"/>
        <v>0</v>
      </c>
      <c r="BA6" s="33">
        <f ca="1" t="shared" si="0"/>
        <v>0</v>
      </c>
      <c r="BB6" s="33">
        <f ca="1" t="shared" si="0"/>
        <v>0</v>
      </c>
      <c r="BC6" s="33">
        <f ca="1" t="shared" si="0"/>
        <v>0</v>
      </c>
      <c r="BD6" s="33">
        <f ca="1" t="shared" si="0"/>
        <v>0</v>
      </c>
      <c r="BE6" s="33">
        <f ca="1" t="shared" si="0"/>
        <v>0</v>
      </c>
      <c r="BF6" s="74">
        <f ca="1">BE6+R6</f>
        <v>0</v>
      </c>
      <c r="BG6" s="101">
        <f ca="1">E$59-$BF6</f>
        <v>0</v>
      </c>
      <c r="BH6" s="33" t="e">
        <f ca="1">SUM(BH7,BH11:BH18)</f>
        <v>#REF!</v>
      </c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</row>
    <row r="7" s="2" customFormat="1" ht="15.75" customHeight="1" spans="1:79">
      <c r="A7" s="39" t="s">
        <v>27</v>
      </c>
      <c r="B7" s="39" t="s">
        <v>8340</v>
      </c>
      <c r="C7" s="40" t="s">
        <v>8298</v>
      </c>
      <c r="D7" s="41" t="e">
        <f>+#REF!</f>
        <v>#REF!</v>
      </c>
      <c r="E7" s="42">
        <f ca="1">SUM(J7:Q7)</f>
        <v>0</v>
      </c>
      <c r="F7" s="43" t="e">
        <f ca="1">$D7-$BF7</f>
        <v>#REF!</v>
      </c>
      <c r="G7" s="44">
        <f ca="1">SUM(G9:G10)</f>
        <v>0</v>
      </c>
      <c r="H7" s="44">
        <f ca="1">SUM(H8,H10)</f>
        <v>0</v>
      </c>
      <c r="I7" s="44">
        <f ca="1">SUM(I8:I9)</f>
        <v>0</v>
      </c>
      <c r="J7" s="44">
        <f ca="1">SUM(J8:J10)</f>
        <v>0</v>
      </c>
      <c r="K7" s="44">
        <f ca="1" t="shared" ref="K7:Q7" si="1">SUM(K8:K10)</f>
        <v>0</v>
      </c>
      <c r="L7" s="44">
        <f ca="1" t="shared" si="1"/>
        <v>0</v>
      </c>
      <c r="M7" s="44">
        <f ca="1" t="shared" si="1"/>
        <v>0</v>
      </c>
      <c r="N7" s="44">
        <f ca="1" t="shared" si="1"/>
        <v>0</v>
      </c>
      <c r="O7" s="44">
        <f ca="1" t="shared" si="1"/>
        <v>0</v>
      </c>
      <c r="P7" s="44">
        <f ca="1" t="shared" si="1"/>
        <v>0</v>
      </c>
      <c r="Q7" s="44">
        <f ca="1" t="shared" si="1"/>
        <v>0</v>
      </c>
      <c r="R7" s="42">
        <f ca="1" t="shared" ref="R7:R18" si="2">SUM(S7:AA7,AN7:BD7)</f>
        <v>0</v>
      </c>
      <c r="S7" s="52">
        <f ca="1" t="shared" ref="S7:AY7" si="3">SUM(S8:S10)</f>
        <v>0</v>
      </c>
      <c r="T7" s="52">
        <f ca="1" t="shared" si="3"/>
        <v>0</v>
      </c>
      <c r="U7" s="52">
        <f ca="1" t="shared" si="3"/>
        <v>0</v>
      </c>
      <c r="V7" s="52">
        <f ca="1" t="shared" si="3"/>
        <v>0</v>
      </c>
      <c r="W7" s="52">
        <f ca="1" t="shared" si="3"/>
        <v>0</v>
      </c>
      <c r="X7" s="52">
        <f ca="1" t="shared" si="3"/>
        <v>0</v>
      </c>
      <c r="Y7" s="52">
        <f ca="1" t="shared" si="3"/>
        <v>0</v>
      </c>
      <c r="Z7" s="52">
        <f ca="1" t="shared" si="3"/>
        <v>0</v>
      </c>
      <c r="AA7" s="52">
        <f ca="1" t="shared" ref="AA7:AA18" si="4">+SUM(AB7:AM7)</f>
        <v>0</v>
      </c>
      <c r="AB7" s="52">
        <f ca="1" t="shared" ref="AB7:AM7" si="5">SUM(AB8:AB10)</f>
        <v>0</v>
      </c>
      <c r="AC7" s="52">
        <f ca="1" t="shared" si="5"/>
        <v>0</v>
      </c>
      <c r="AD7" s="52">
        <f ca="1" t="shared" si="5"/>
        <v>0</v>
      </c>
      <c r="AE7" s="52">
        <f ca="1" t="shared" si="5"/>
        <v>0</v>
      </c>
      <c r="AF7" s="52">
        <f ca="1" t="shared" si="5"/>
        <v>0</v>
      </c>
      <c r="AG7" s="52">
        <f ca="1" t="shared" si="5"/>
        <v>0</v>
      </c>
      <c r="AH7" s="52">
        <f ca="1" t="shared" si="5"/>
        <v>0</v>
      </c>
      <c r="AI7" s="52">
        <f ca="1" t="shared" si="5"/>
        <v>0</v>
      </c>
      <c r="AJ7" s="52">
        <f ca="1" t="shared" si="5"/>
        <v>0</v>
      </c>
      <c r="AK7" s="52">
        <f ca="1" t="shared" si="5"/>
        <v>0</v>
      </c>
      <c r="AL7" s="52">
        <f ca="1" t="shared" si="5"/>
        <v>0</v>
      </c>
      <c r="AM7" s="52">
        <f ca="1" t="shared" si="5"/>
        <v>0</v>
      </c>
      <c r="AN7" s="52">
        <f ca="1" t="shared" si="3"/>
        <v>0</v>
      </c>
      <c r="AO7" s="52">
        <f ca="1" t="shared" si="3"/>
        <v>0</v>
      </c>
      <c r="AP7" s="52">
        <f ca="1" t="shared" si="3"/>
        <v>0</v>
      </c>
      <c r="AQ7" s="52">
        <f ca="1" t="shared" si="3"/>
        <v>0</v>
      </c>
      <c r="AR7" s="52">
        <f ca="1" t="shared" si="3"/>
        <v>0</v>
      </c>
      <c r="AS7" s="52">
        <f ca="1" t="shared" si="3"/>
        <v>0</v>
      </c>
      <c r="AT7" s="52">
        <f ca="1" t="shared" si="3"/>
        <v>0</v>
      </c>
      <c r="AU7" s="52">
        <f ca="1" t="shared" si="3"/>
        <v>0</v>
      </c>
      <c r="AV7" s="52">
        <f ca="1" t="shared" si="3"/>
        <v>0</v>
      </c>
      <c r="AW7" s="52">
        <f ca="1" t="shared" si="3"/>
        <v>0</v>
      </c>
      <c r="AX7" s="52">
        <f ca="1" t="shared" si="3"/>
        <v>0</v>
      </c>
      <c r="AY7" s="52">
        <f ca="1" t="shared" si="3"/>
        <v>0</v>
      </c>
      <c r="AZ7" s="52">
        <f ca="1" t="shared" ref="AZ7:BE7" si="6">SUM(AZ8:AZ10)</f>
        <v>0</v>
      </c>
      <c r="BA7" s="87">
        <f ca="1" t="shared" si="6"/>
        <v>0</v>
      </c>
      <c r="BB7" s="52">
        <f ca="1" t="shared" si="6"/>
        <v>0</v>
      </c>
      <c r="BC7" s="52">
        <f ca="1" t="shared" si="6"/>
        <v>0</v>
      </c>
      <c r="BD7" s="52">
        <f ca="1" t="shared" si="6"/>
        <v>0</v>
      </c>
      <c r="BE7" s="52">
        <f ca="1" t="shared" si="6"/>
        <v>0</v>
      </c>
      <c r="BF7" s="74">
        <f ca="1" t="shared" ref="BF7:BF18" si="7">BE7+R7+E7</f>
        <v>0</v>
      </c>
      <c r="BG7" s="101">
        <f ca="1">F$59-$BF7</f>
        <v>0</v>
      </c>
      <c r="BH7" s="41" t="e">
        <f ca="1" t="shared" ref="BH7:BH18" si="8">BG7+D7</f>
        <v>#REF!</v>
      </c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</row>
    <row r="8" s="4" customFormat="1" ht="15.75" customHeight="1" spans="1:79">
      <c r="A8" s="45"/>
      <c r="B8" s="316" t="s">
        <v>8341</v>
      </c>
      <c r="C8" s="46" t="s">
        <v>8299</v>
      </c>
      <c r="D8" s="47" t="e">
        <f>+#REF!</f>
        <v>#REF!</v>
      </c>
      <c r="E8" s="48">
        <f ca="1">SUM(F8,J8:Q8)</f>
        <v>0</v>
      </c>
      <c r="F8" s="44">
        <f ca="1">SUM(H8:I8)</f>
        <v>0</v>
      </c>
      <c r="G8" s="49" t="e">
        <f ca="1">$D8-$BF8</f>
        <v>#REF!</v>
      </c>
      <c r="H8" s="50">
        <f ca="1">+GETPIVOTDATA("XLL4",'langlon (2016)'!$A$3,"MA_HT","LUC","MA_QH","LUK")</f>
        <v>0</v>
      </c>
      <c r="I8" s="50">
        <f ca="1">+GETPIVOTDATA("XLL4",'langlon (2016)'!$A$3,"MA_HT","LUC","MA_QH","LUN")</f>
        <v>0</v>
      </c>
      <c r="J8" s="50">
        <f ca="1">+GETPIVOTDATA("XLL4",'langlon (2016)'!$A$3,"MA_HT","LUC","MA_QH","HNK")</f>
        <v>0</v>
      </c>
      <c r="K8" s="50">
        <f ca="1">+GETPIVOTDATA("XLL4",'langlon (2016)'!$A$3,"MA_HT","LUC","MA_QH","CLN")</f>
        <v>0</v>
      </c>
      <c r="L8" s="50">
        <f ca="1">+GETPIVOTDATA("XLL4",'langlon (2016)'!$A$3,"MA_HT","LUC","MA_QH","RSX")</f>
        <v>0</v>
      </c>
      <c r="M8" s="50">
        <f ca="1">+GETPIVOTDATA("XLL4",'langlon (2016)'!$A$3,"MA_HT","LUC","MA_QH","RPH")</f>
        <v>0</v>
      </c>
      <c r="N8" s="50">
        <f ca="1">+GETPIVOTDATA("XLL4",'langlon (2016)'!$A$3,"MA_HT","LUC","MA_QH","RDD")</f>
        <v>0</v>
      </c>
      <c r="O8" s="50">
        <f ca="1">+GETPIVOTDATA("XLL4",'langlon (2016)'!$A$3,"MA_HT","LUC","MA_QH","NTS")</f>
        <v>0</v>
      </c>
      <c r="P8" s="50">
        <f ca="1">+GETPIVOTDATA("XLL4",'langlon (2016)'!$A$3,"MA_HT","LUC","MA_QH","LMU")</f>
        <v>0</v>
      </c>
      <c r="Q8" s="50">
        <f ca="1">+GETPIVOTDATA("XLL4",'langlon (2016)'!$A$3,"MA_HT","LUC","MA_QH","NKH")</f>
        <v>0</v>
      </c>
      <c r="R8" s="48">
        <f ca="1" t="shared" si="2"/>
        <v>0</v>
      </c>
      <c r="S8" s="50">
        <f ca="1">+GETPIVOTDATA("XLL4",'langlon (2016)'!$A$3,"MA_HT","LUC","MA_QH","CQP")</f>
        <v>0</v>
      </c>
      <c r="T8" s="50">
        <f ca="1">+GETPIVOTDATA("XLL4",'langlon (2016)'!$A$3,"MA_HT","LUC","MA_QH","CAN")</f>
        <v>0</v>
      </c>
      <c r="U8" s="50">
        <f ca="1">+GETPIVOTDATA("XLL4",'langlon (2016)'!$A$3,"MA_HT","LUC","MA_QH","SKK")</f>
        <v>0</v>
      </c>
      <c r="V8" s="50">
        <f ca="1">+GETPIVOTDATA("XLL4",'langlon (2016)'!$A$3,"MA_HT","LUC","MA_QH","SKT")</f>
        <v>0</v>
      </c>
      <c r="W8" s="50">
        <f ca="1">+GETPIVOTDATA("XLL4",'langlon (2016)'!$A$3,"MA_HT","LUC","MA_QH","SKN")</f>
        <v>0</v>
      </c>
      <c r="X8" s="50">
        <f ca="1">+GETPIVOTDATA("XLL4",'langlon (2016)'!$A$3,"MA_HT","LUC","MA_QH","TMD")</f>
        <v>0</v>
      </c>
      <c r="Y8" s="50">
        <f ca="1">+GETPIVOTDATA("XLL4",'langlon (2016)'!$A$3,"MA_HT","LUC","MA_QH","SKC")</f>
        <v>0</v>
      </c>
      <c r="Z8" s="50">
        <f ca="1">+GETPIVOTDATA("XLL4",'langlon (2016)'!$A$3,"MA_HT","LUC","MA_QH","SKS")</f>
        <v>0</v>
      </c>
      <c r="AA8" s="52">
        <f ca="1" t="shared" si="4"/>
        <v>0</v>
      </c>
      <c r="AB8" s="50">
        <f ca="1">+GETPIVOTDATA("XLL4",'langlon (2016)'!$A$3,"MA_HT","LUC","MA_QH","DGT")</f>
        <v>0</v>
      </c>
      <c r="AC8" s="50">
        <f ca="1">+GETPIVOTDATA("XLL4",'langlon (2016)'!$A$3,"MA_HT","LUC","MA_QH","DTL")</f>
        <v>0</v>
      </c>
      <c r="AD8" s="50">
        <f ca="1">+GETPIVOTDATA("XLL4",'langlon (2016)'!$A$3,"MA_HT","LUC","MA_QH","DNL")</f>
        <v>0</v>
      </c>
      <c r="AE8" s="50">
        <f ca="1">+GETPIVOTDATA("XLL4",'langlon (2016)'!$A$3,"MA_HT","LUC","MA_QH","DBV")</f>
        <v>0</v>
      </c>
      <c r="AF8" s="50">
        <f ca="1">+GETPIVOTDATA("XLL4",'langlon (2016)'!$A$3,"MA_HT","LUC","MA_QH","DVH")</f>
        <v>0</v>
      </c>
      <c r="AG8" s="50">
        <f ca="1">+GETPIVOTDATA("XLL4",'langlon (2016)'!$A$3,"MA_HT","LUC","MA_QH","DYT")</f>
        <v>0</v>
      </c>
      <c r="AH8" s="50">
        <f ca="1">+GETPIVOTDATA("XLL4",'langlon (2016)'!$A$3,"MA_HT","LUC","MA_QH","DGD")</f>
        <v>0</v>
      </c>
      <c r="AI8" s="50">
        <f ca="1">+GETPIVOTDATA("XLL4",'langlon (2016)'!$A$3,"MA_HT","LUC","MA_QH","DTT")</f>
        <v>0</v>
      </c>
      <c r="AJ8" s="50">
        <f ca="1">+GETPIVOTDATA("XLL4",'langlon (2016)'!$A$3,"MA_HT","LUC","MA_QH","NCK")</f>
        <v>0</v>
      </c>
      <c r="AK8" s="50">
        <f ca="1">+GETPIVOTDATA("XLL4",'langlon (2016)'!$A$3,"MA_HT","LUC","MA_QH","DXH")</f>
        <v>0</v>
      </c>
      <c r="AL8" s="50">
        <f ca="1">+GETPIVOTDATA("XLL4",'langlon (2016)'!$A$3,"MA_HT","LUC","MA_QH","DCH")</f>
        <v>0</v>
      </c>
      <c r="AM8" s="50">
        <f ca="1">+GETPIVOTDATA("XLL4",'langlon (2016)'!$A$3,"MA_HT","LUC","MA_QH","DKG")</f>
        <v>0</v>
      </c>
      <c r="AN8" s="50">
        <f ca="1">+GETPIVOTDATA("XLL4",'langlon (2016)'!$A$3,"MA_HT","LUC","MA_QH","DDT")</f>
        <v>0</v>
      </c>
      <c r="AO8" s="50">
        <f ca="1">+GETPIVOTDATA("XLL4",'langlon (2016)'!$A$3,"MA_HT","LUC","MA_QH","DDL")</f>
        <v>0</v>
      </c>
      <c r="AP8" s="50">
        <f ca="1">+GETPIVOTDATA("XLL4",'langlon (2016)'!$A$3,"MA_HT","LUC","MA_QH","DRA")</f>
        <v>0</v>
      </c>
      <c r="AQ8" s="50">
        <f ca="1">+GETPIVOTDATA("XLL4",'langlon (2016)'!$A$3,"MA_HT","LUC","MA_QH","ONT")</f>
        <v>0</v>
      </c>
      <c r="AR8" s="50">
        <f ca="1">+GETPIVOTDATA("XLL4",'langlon (2016)'!$A$3,"MA_HT","LUC","MA_QH","ODT")</f>
        <v>0</v>
      </c>
      <c r="AS8" s="50">
        <f ca="1">+GETPIVOTDATA("XLL4",'langlon (2016)'!$A$3,"MA_HT","LUC","MA_QH","TSC")</f>
        <v>0</v>
      </c>
      <c r="AT8" s="50">
        <f ca="1">+GETPIVOTDATA("XLL4",'langlon (2016)'!$A$3,"MA_HT","LUC","MA_QH","DTS")</f>
        <v>0</v>
      </c>
      <c r="AU8" s="50">
        <f ca="1">+GETPIVOTDATA("XLL4",'langlon (2016)'!$A$3,"MA_HT","LUC","MA_QH","DNG")</f>
        <v>0</v>
      </c>
      <c r="AV8" s="50">
        <f ca="1">+GETPIVOTDATA("XLL4",'langlon (2016)'!$A$3,"MA_HT","LUC","MA_QH","TON")</f>
        <v>0</v>
      </c>
      <c r="AW8" s="50">
        <f ca="1">+GETPIVOTDATA("XLL4",'langlon (2016)'!$A$3,"MA_HT","LUC","MA_QH","NTD")</f>
        <v>0</v>
      </c>
      <c r="AX8" s="50">
        <f ca="1">+GETPIVOTDATA("XLL4",'langlon (2016)'!$A$3,"MA_HT","LUC","MA_QH","SKX")</f>
        <v>0</v>
      </c>
      <c r="AY8" s="50">
        <f ca="1">+GETPIVOTDATA("XLL4",'langlon (2016)'!$A$3,"MA_HT","LUC","MA_QH","DSH")</f>
        <v>0</v>
      </c>
      <c r="AZ8" s="50">
        <f ca="1">+GETPIVOTDATA("XLL4",'langlon (2016)'!$A$3,"MA_HT","LUC","MA_QH","DKV")</f>
        <v>0</v>
      </c>
      <c r="BA8" s="88">
        <f ca="1">+GETPIVOTDATA("XLL4",'langlon (2016)'!$A$3,"MA_HT","LUC","MA_QH","TIN")</f>
        <v>0</v>
      </c>
      <c r="BB8" s="50">
        <f ca="1">+GETPIVOTDATA("XLL4",'langlon (2016)'!$A$3,"MA_HT","LUC","MA_QH","SON")</f>
        <v>0</v>
      </c>
      <c r="BC8" s="50">
        <f ca="1">+GETPIVOTDATA("XLL4",'langlon (2016)'!$A$3,"MA_HT","LUC","MA_QH","MNC")</f>
        <v>0</v>
      </c>
      <c r="BD8" s="50">
        <f ca="1">+GETPIVOTDATA("XLL4",'langlon (2016)'!$A$3,"MA_HT","LUC","MA_QH","PNK")</f>
        <v>0</v>
      </c>
      <c r="BE8" s="80">
        <f ca="1">+GETPIVOTDATA("XLL4",'langlon (2016)'!$A$3,"MA_HT","LUC","MA_QH","CSD")</f>
        <v>0</v>
      </c>
      <c r="BF8" s="103">
        <f ca="1" t="shared" si="7"/>
        <v>0</v>
      </c>
      <c r="BG8" s="104">
        <f ca="1">G$59-$BF8</f>
        <v>0</v>
      </c>
      <c r="BH8" s="47" t="e">
        <f ca="1" t="shared" si="8"/>
        <v>#REF!</v>
      </c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</row>
    <row r="9" s="4" customFormat="1" ht="15.75" customHeight="1" spans="1:79">
      <c r="A9" s="45"/>
      <c r="B9" s="316" t="s">
        <v>8342</v>
      </c>
      <c r="C9" s="46" t="s">
        <v>221</v>
      </c>
      <c r="D9" s="47" t="e">
        <f>+#REF!</f>
        <v>#REF!</v>
      </c>
      <c r="E9" s="48">
        <f ca="1">SUM(F9,J9:Q9)</f>
        <v>0</v>
      </c>
      <c r="F9" s="44">
        <f ca="1">SUM(G9,I9)</f>
        <v>0</v>
      </c>
      <c r="G9" s="51">
        <f ca="1">+GETPIVOTDATA("XLL4",'langlon (2016)'!$A$3,"MA_HT","LUK","MA_QH","LUC")</f>
        <v>0</v>
      </c>
      <c r="H9" s="49" t="e">
        <f ca="1">$D9-$BF9</f>
        <v>#REF!</v>
      </c>
      <c r="I9" s="50">
        <f ca="1">+GETPIVOTDATA("XLL4",'langlon (2016)'!$A$3,"MA_HT","LUK","MA_QH","LUN")</f>
        <v>0</v>
      </c>
      <c r="J9" s="50">
        <f ca="1">+GETPIVOTDATA("XLL4",'langlon (2016)'!$A$3,"MA_HT","LUK","MA_QH","HNK")</f>
        <v>0</v>
      </c>
      <c r="K9" s="50">
        <f ca="1">+GETPIVOTDATA("XLL4",'langlon (2016)'!$A$3,"MA_HT","LUK","MA_QH","CLN")</f>
        <v>0</v>
      </c>
      <c r="L9" s="50">
        <f ca="1">+GETPIVOTDATA("XLL4",'langlon (2016)'!$A$3,"MA_HT","LUK","MA_QH","RSX")</f>
        <v>0</v>
      </c>
      <c r="M9" s="50">
        <f ca="1">+GETPIVOTDATA("XLL4",'langlon (2016)'!$A$3,"MA_HT","LUK","MA_QH","RPH")</f>
        <v>0</v>
      </c>
      <c r="N9" s="50">
        <f ca="1">+GETPIVOTDATA("XLL4",'langlon (2016)'!$A$3,"MA_HT","LUK","MA_QH","RDD")</f>
        <v>0</v>
      </c>
      <c r="O9" s="50">
        <f ca="1">+GETPIVOTDATA("XLL4",'langlon (2016)'!$A$3,"MA_HT","LUK","MA_QH","NTS")</f>
        <v>0</v>
      </c>
      <c r="P9" s="50">
        <f ca="1">+GETPIVOTDATA("XLL4",'langlon (2016)'!$A$3,"MA_HT","LUK","MA_QH","LMU")</f>
        <v>0</v>
      </c>
      <c r="Q9" s="50">
        <f ca="1">+GETPIVOTDATA("XLL4",'langlon (2016)'!$A$3,"MA_HT","LUK","MA_QH","NKH")</f>
        <v>0</v>
      </c>
      <c r="R9" s="48">
        <f ca="1" t="shared" si="2"/>
        <v>0</v>
      </c>
      <c r="S9" s="50">
        <f ca="1">+GETPIVOTDATA("XLL4",'langlon (2016)'!$A$3,"MA_HT","LUK","MA_QH","CQP")</f>
        <v>0</v>
      </c>
      <c r="T9" s="50">
        <f ca="1">+GETPIVOTDATA("XLL4",'langlon (2016)'!$A$3,"MA_HT","LUK","MA_QH","CAN")</f>
        <v>0</v>
      </c>
      <c r="U9" s="50">
        <f ca="1">+GETPIVOTDATA("XLL4",'langlon (2016)'!$A$3,"MA_HT","LUK","MA_QH","SKK")</f>
        <v>0</v>
      </c>
      <c r="V9" s="50">
        <f ca="1">+GETPIVOTDATA("XLL4",'langlon (2016)'!$A$3,"MA_HT","LUK","MA_QH","SKT")</f>
        <v>0</v>
      </c>
      <c r="W9" s="50">
        <f ca="1">+GETPIVOTDATA("XLL4",'langlon (2016)'!$A$3,"MA_HT","LUK","MA_QH","SKN")</f>
        <v>0</v>
      </c>
      <c r="X9" s="50">
        <f ca="1">+GETPIVOTDATA("XLL4",'langlon (2016)'!$A$3,"MA_HT","LUK","MA_QH","TMD")</f>
        <v>0</v>
      </c>
      <c r="Y9" s="50">
        <f ca="1">+GETPIVOTDATA("XLL4",'langlon (2016)'!$A$3,"MA_HT","LUK","MA_QH","SKC")</f>
        <v>0</v>
      </c>
      <c r="Z9" s="50">
        <f ca="1">+GETPIVOTDATA("XLL4",'langlon (2016)'!$A$3,"MA_HT","LUK","MA_QH","SKS")</f>
        <v>0</v>
      </c>
      <c r="AA9" s="52">
        <f ca="1" t="shared" si="4"/>
        <v>0</v>
      </c>
      <c r="AB9" s="50">
        <f ca="1">+GETPIVOTDATA("XLL4",'langlon (2016)'!$A$3,"MA_HT","LUK","MA_QH","DGT")</f>
        <v>0</v>
      </c>
      <c r="AC9" s="50">
        <f ca="1">+GETPIVOTDATA("XLL4",'langlon (2016)'!$A$3,"MA_HT","LUK","MA_QH","DTL")</f>
        <v>0</v>
      </c>
      <c r="AD9" s="50">
        <f ca="1">+GETPIVOTDATA("XLL4",'langlon (2016)'!$A$3,"MA_HT","LUK","MA_QH","DNL")</f>
        <v>0</v>
      </c>
      <c r="AE9" s="50">
        <f ca="1">+GETPIVOTDATA("XLL4",'langlon (2016)'!$A$3,"MA_HT","LUK","MA_QH","DBV")</f>
        <v>0</v>
      </c>
      <c r="AF9" s="50">
        <f ca="1">+GETPIVOTDATA("XLL4",'langlon (2016)'!$A$3,"MA_HT","LUK","MA_QH","DVH")</f>
        <v>0</v>
      </c>
      <c r="AG9" s="50">
        <f ca="1">+GETPIVOTDATA("XLL4",'langlon (2016)'!$A$3,"MA_HT","LUK","MA_QH","DYT")</f>
        <v>0</v>
      </c>
      <c r="AH9" s="50">
        <f ca="1">+GETPIVOTDATA("XLL4",'langlon (2016)'!$A$3,"MA_HT","LUK","MA_QH","DGD")</f>
        <v>0</v>
      </c>
      <c r="AI9" s="50">
        <f ca="1">+GETPIVOTDATA("XLL4",'langlon (2016)'!$A$3,"MA_HT","LUK","MA_QH","DTT")</f>
        <v>0</v>
      </c>
      <c r="AJ9" s="50">
        <f ca="1">+GETPIVOTDATA("XLL4",'langlon (2016)'!$A$3,"MA_HT","LUK","MA_QH","NCK")</f>
        <v>0</v>
      </c>
      <c r="AK9" s="50">
        <f ca="1">+GETPIVOTDATA("XLL4",'langlon (2016)'!$A$3,"MA_HT","LUK","MA_QH","DXH")</f>
        <v>0</v>
      </c>
      <c r="AL9" s="50">
        <f ca="1">+GETPIVOTDATA("XLL4",'langlon (2016)'!$A$3,"MA_HT","LUK","MA_QH","DCH")</f>
        <v>0</v>
      </c>
      <c r="AM9" s="50">
        <f ca="1">+GETPIVOTDATA("XLL4",'langlon (2016)'!$A$3,"MA_HT","LUK","MA_QH","DKG")</f>
        <v>0</v>
      </c>
      <c r="AN9" s="50">
        <f ca="1">+GETPIVOTDATA("XLL4",'langlon (2016)'!$A$3,"MA_HT","LUK","MA_QH","DDT")</f>
        <v>0</v>
      </c>
      <c r="AO9" s="50">
        <f ca="1">+GETPIVOTDATA("XLL4",'langlon (2016)'!$A$3,"MA_HT","LUK","MA_QH","DDL")</f>
        <v>0</v>
      </c>
      <c r="AP9" s="50">
        <f ca="1">+GETPIVOTDATA("XLL4",'langlon (2016)'!$A$3,"MA_HT","LUK","MA_QH","DRA")</f>
        <v>0</v>
      </c>
      <c r="AQ9" s="50">
        <f ca="1">+GETPIVOTDATA("XLL4",'langlon (2016)'!$A$3,"MA_HT","LUK","MA_QH","ONT")</f>
        <v>0</v>
      </c>
      <c r="AR9" s="50">
        <f ca="1">+GETPIVOTDATA("XLL4",'langlon (2016)'!$A$3,"MA_HT","LUK","MA_QH","ODT")</f>
        <v>0</v>
      </c>
      <c r="AS9" s="50">
        <f ca="1">+GETPIVOTDATA("XLL4",'langlon (2016)'!$A$3,"MA_HT","LUK","MA_QH","TSC")</f>
        <v>0</v>
      </c>
      <c r="AT9" s="50">
        <f ca="1">+GETPIVOTDATA("XLL4",'langlon (2016)'!$A$3,"MA_HT","LUK","MA_QH","DTS")</f>
        <v>0</v>
      </c>
      <c r="AU9" s="50">
        <f ca="1">+GETPIVOTDATA("XLL4",'langlon (2016)'!$A$3,"MA_HT","LUK","MA_QH","DNG")</f>
        <v>0</v>
      </c>
      <c r="AV9" s="50">
        <f ca="1">+GETPIVOTDATA("XLL4",'langlon (2016)'!$A$3,"MA_HT","LUK","MA_QH","TON")</f>
        <v>0</v>
      </c>
      <c r="AW9" s="50">
        <f ca="1">+GETPIVOTDATA("XLL4",'langlon (2016)'!$A$3,"MA_HT","LUK","MA_QH","NTD")</f>
        <v>0</v>
      </c>
      <c r="AX9" s="50">
        <f ca="1">+GETPIVOTDATA("XLL4",'langlon (2016)'!$A$3,"MA_HT","LUK","MA_QH","SKX")</f>
        <v>0</v>
      </c>
      <c r="AY9" s="50">
        <f ca="1">+GETPIVOTDATA("XLL4",'langlon (2016)'!$A$3,"MA_HT","LUK","MA_QH","DSH")</f>
        <v>0</v>
      </c>
      <c r="AZ9" s="50">
        <f ca="1">+GETPIVOTDATA("XLL4",'langlon (2016)'!$A$3,"MA_HT","LUK","MA_QH","DKV")</f>
        <v>0</v>
      </c>
      <c r="BA9" s="88">
        <f ca="1">+GETPIVOTDATA("XLL4",'langlon (2016)'!$A$3,"MA_HT","LUK","MA_QH","TIN")</f>
        <v>0</v>
      </c>
      <c r="BB9" s="50">
        <f ca="1">+GETPIVOTDATA("XLL4",'langlon (2016)'!$A$3,"MA_HT","LUK","MA_QH","SON")</f>
        <v>0</v>
      </c>
      <c r="BC9" s="50">
        <f ca="1">+GETPIVOTDATA("XLL4",'langlon (2016)'!$A$3,"MA_HT","LUK","MA_QH","MNC")</f>
        <v>0</v>
      </c>
      <c r="BD9" s="50">
        <f ca="1">+GETPIVOTDATA("XLL4",'langlon (2016)'!$A$3,"MA_HT","LUK","MA_QH","PNK")</f>
        <v>0</v>
      </c>
      <c r="BE9" s="80">
        <f ca="1">+GETPIVOTDATA("XLL4",'langlon (2016)'!$A$3,"MA_HT","LUK","MA_QH","CSD")</f>
        <v>0</v>
      </c>
      <c r="BF9" s="103">
        <f ca="1" t="shared" si="7"/>
        <v>0</v>
      </c>
      <c r="BG9" s="104">
        <f ca="1">H$59-$BF9</f>
        <v>0</v>
      </c>
      <c r="BH9" s="47" t="e">
        <f ca="1" t="shared" si="8"/>
        <v>#REF!</v>
      </c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</row>
    <row r="10" s="4" customFormat="1" ht="15.75" customHeight="1" spans="1:79">
      <c r="A10" s="45"/>
      <c r="B10" s="316" t="s">
        <v>8343</v>
      </c>
      <c r="C10" s="46" t="s">
        <v>8300</v>
      </c>
      <c r="D10" s="47" t="e">
        <f>+#REF!</f>
        <v>#REF!</v>
      </c>
      <c r="E10" s="48">
        <f ca="1">SUM(J10:Q10,F10)</f>
        <v>0</v>
      </c>
      <c r="F10" s="44">
        <f ca="1">SUM(G10:H10)</f>
        <v>0</v>
      </c>
      <c r="G10" s="50">
        <f ca="1">+GETPIVOTDATA("XLL4",'langlon (2016)'!$A$3,"MA_HT","LUN","MA_QH","LUC")</f>
        <v>0</v>
      </c>
      <c r="H10" s="50">
        <f ca="1">+GETPIVOTDATA("XLL4",'langlon (2016)'!$A$3,"MA_HT","LUN","MA_QH","LUK")</f>
        <v>0</v>
      </c>
      <c r="I10" s="49" t="e">
        <f ca="1">$D10-$BF10</f>
        <v>#REF!</v>
      </c>
      <c r="J10" s="50">
        <f ca="1">+GETPIVOTDATA("XLL4",'langlon (2016)'!$A$3,"MA_HT","LUN","MA_QH","HNK")</f>
        <v>0</v>
      </c>
      <c r="K10" s="50">
        <f ca="1">+GETPIVOTDATA("XLL4",'langlon (2016)'!$A$3,"MA_HT","LUN","MA_QH","CLN")</f>
        <v>0</v>
      </c>
      <c r="L10" s="50">
        <f ca="1">+GETPIVOTDATA("XLL4",'langlon (2016)'!$A$3,"MA_HT","LUN","MA_QH","RSX")</f>
        <v>0</v>
      </c>
      <c r="M10" s="50">
        <f ca="1">+GETPIVOTDATA("XLL4",'langlon (2016)'!$A$3,"MA_HT","LUN","MA_QH","RPH")</f>
        <v>0</v>
      </c>
      <c r="N10" s="50">
        <f ca="1">+GETPIVOTDATA("XLL4",'langlon (2016)'!$A$3,"MA_HT","LUN","MA_QH","RDD")</f>
        <v>0</v>
      </c>
      <c r="O10" s="50">
        <f ca="1">+GETPIVOTDATA("XLL4",'langlon (2016)'!$A$3,"MA_HT","LUN","MA_QH","NTS")</f>
        <v>0</v>
      </c>
      <c r="P10" s="50">
        <f ca="1">+GETPIVOTDATA("XLL4",'langlon (2016)'!$A$3,"MA_HT","LUN","MA_QH","LMU")</f>
        <v>0</v>
      </c>
      <c r="Q10" s="50">
        <f ca="1">+GETPIVOTDATA("XLL4",'langlon (2016)'!$A$3,"MA_HT","LUN","MA_QH","NKH")</f>
        <v>0</v>
      </c>
      <c r="R10" s="48">
        <f ca="1" t="shared" si="2"/>
        <v>0</v>
      </c>
      <c r="S10" s="50">
        <f ca="1">+GETPIVOTDATA("XLL4",'langlon (2016)'!$A$3,"MA_HT","LUN","MA_QH","CQP")</f>
        <v>0</v>
      </c>
      <c r="T10" s="50">
        <f ca="1">+GETPIVOTDATA("XLL4",'langlon (2016)'!$A$3,"MA_HT","LUN","MA_QH","CAN")</f>
        <v>0</v>
      </c>
      <c r="U10" s="50">
        <f ca="1">+GETPIVOTDATA("XLL4",'langlon (2016)'!$A$3,"MA_HT","LUN","MA_QH","SKK")</f>
        <v>0</v>
      </c>
      <c r="V10" s="50">
        <f ca="1">+GETPIVOTDATA("XLL4",'langlon (2016)'!$A$3,"MA_HT","LUN","MA_QH","SKT")</f>
        <v>0</v>
      </c>
      <c r="W10" s="50">
        <f ca="1">+GETPIVOTDATA("XLL4",'langlon (2016)'!$A$3,"MA_HT","LUN","MA_QH","SKN")</f>
        <v>0</v>
      </c>
      <c r="X10" s="50">
        <f ca="1">+GETPIVOTDATA("XLL4",'langlon (2016)'!$A$3,"MA_HT","LUN","MA_QH","TMD")</f>
        <v>0</v>
      </c>
      <c r="Y10" s="50">
        <f ca="1">+GETPIVOTDATA("XLL4",'langlon (2016)'!$A$3,"MA_HT","LUN","MA_QH","SKC")</f>
        <v>0</v>
      </c>
      <c r="Z10" s="50">
        <f ca="1">+GETPIVOTDATA("XLL4",'langlon (2016)'!$A$3,"MA_HT","LUN","MA_QH","SKS")</f>
        <v>0</v>
      </c>
      <c r="AA10" s="52">
        <f ca="1" t="shared" si="4"/>
        <v>0</v>
      </c>
      <c r="AB10" s="50">
        <f ca="1">+GETPIVOTDATA("XLL4",'langlon (2016)'!$A$3,"MA_HT","LUN","MA_QH","DGT")</f>
        <v>0</v>
      </c>
      <c r="AC10" s="50">
        <f ca="1">+GETPIVOTDATA("XLL4",'langlon (2016)'!$A$3,"MA_HT","LUN","MA_QH","DTL")</f>
        <v>0</v>
      </c>
      <c r="AD10" s="50">
        <f ca="1">+GETPIVOTDATA("XLL4",'langlon (2016)'!$A$3,"MA_HT","LUN","MA_QH","DNL")</f>
        <v>0</v>
      </c>
      <c r="AE10" s="50">
        <f ca="1">+GETPIVOTDATA("XLL4",'langlon (2016)'!$A$3,"MA_HT","LUN","MA_QH","DBV")</f>
        <v>0</v>
      </c>
      <c r="AF10" s="50">
        <f ca="1">+GETPIVOTDATA("XLL4",'langlon (2016)'!$A$3,"MA_HT","LUN","MA_QH","DVH")</f>
        <v>0</v>
      </c>
      <c r="AG10" s="50">
        <f ca="1">+GETPIVOTDATA("XLL4",'langlon (2016)'!$A$3,"MA_HT","LUN","MA_QH","DYT")</f>
        <v>0</v>
      </c>
      <c r="AH10" s="50">
        <f ca="1">+GETPIVOTDATA("XLL4",'langlon (2016)'!$A$3,"MA_HT","LUN","MA_QH","DGD")</f>
        <v>0</v>
      </c>
      <c r="AI10" s="50">
        <f ca="1">+GETPIVOTDATA("XLL4",'langlon (2016)'!$A$3,"MA_HT","LUN","MA_QH","DTT")</f>
        <v>0</v>
      </c>
      <c r="AJ10" s="50">
        <f ca="1">+GETPIVOTDATA("XLL4",'langlon (2016)'!$A$3,"MA_HT","LUN","MA_QH","NCK")</f>
        <v>0</v>
      </c>
      <c r="AK10" s="50">
        <f ca="1">+GETPIVOTDATA("XLL4",'langlon (2016)'!$A$3,"MA_HT","LUN","MA_QH","DXH")</f>
        <v>0</v>
      </c>
      <c r="AL10" s="50">
        <f ca="1">+GETPIVOTDATA("XLL4",'langlon (2016)'!$A$3,"MA_HT","LUN","MA_QH","DCH")</f>
        <v>0</v>
      </c>
      <c r="AM10" s="50">
        <f ca="1">+GETPIVOTDATA("XLL4",'langlon (2016)'!$A$3,"MA_HT","LUN","MA_QH","DKG")</f>
        <v>0</v>
      </c>
      <c r="AN10" s="50">
        <f ca="1">+GETPIVOTDATA("XLL4",'langlon (2016)'!$A$3,"MA_HT","LUN","MA_QH","DDT")</f>
        <v>0</v>
      </c>
      <c r="AO10" s="50">
        <f ca="1">+GETPIVOTDATA("XLL4",'langlon (2016)'!$A$3,"MA_HT","LUN","MA_QH","DDL")</f>
        <v>0</v>
      </c>
      <c r="AP10" s="50">
        <f ca="1">+GETPIVOTDATA("XLL4",'langlon (2016)'!$A$3,"MA_HT","LUN","MA_QH","DRA")</f>
        <v>0</v>
      </c>
      <c r="AQ10" s="50">
        <f ca="1">+GETPIVOTDATA("XLL4",'langlon (2016)'!$A$3,"MA_HT","LUN","MA_QH","ONT")</f>
        <v>0</v>
      </c>
      <c r="AR10" s="50">
        <f ca="1">+GETPIVOTDATA("XLL4",'langlon (2016)'!$A$3,"MA_HT","LUN","MA_QH","ODT")</f>
        <v>0</v>
      </c>
      <c r="AS10" s="50">
        <f ca="1">+GETPIVOTDATA("XLL4",'langlon (2016)'!$A$3,"MA_HT","LUN","MA_QH","TSC")</f>
        <v>0</v>
      </c>
      <c r="AT10" s="50">
        <f ca="1">+GETPIVOTDATA("XLL4",'langlon (2016)'!$A$3,"MA_HT","LUN","MA_QH","DTS")</f>
        <v>0</v>
      </c>
      <c r="AU10" s="50">
        <f ca="1">+GETPIVOTDATA("XLL4",'langlon (2016)'!$A$3,"MA_HT","LUN","MA_QH","DNG")</f>
        <v>0</v>
      </c>
      <c r="AV10" s="50">
        <f ca="1">+GETPIVOTDATA("XLL4",'langlon (2016)'!$A$3,"MA_HT","LUN","MA_QH","TON")</f>
        <v>0</v>
      </c>
      <c r="AW10" s="50">
        <f ca="1">+GETPIVOTDATA("XLL4",'langlon (2016)'!$A$3,"MA_HT","LUN","MA_QH","NTD")</f>
        <v>0</v>
      </c>
      <c r="AX10" s="50">
        <f ca="1">+GETPIVOTDATA("XLL4",'langlon (2016)'!$A$3,"MA_HT","LUN","MA_QH","SKX")</f>
        <v>0</v>
      </c>
      <c r="AY10" s="50">
        <f ca="1">+GETPIVOTDATA("XLL4",'langlon (2016)'!$A$3,"MA_HT","LUN","MA_QH","DSH")</f>
        <v>0</v>
      </c>
      <c r="AZ10" s="50">
        <f ca="1">+GETPIVOTDATA("XLL4",'langlon (2016)'!$A$3,"MA_HT","LUN","MA_QH","DKV")</f>
        <v>0</v>
      </c>
      <c r="BA10" s="88">
        <f ca="1">+GETPIVOTDATA("XLL4",'langlon (2016)'!$A$3,"MA_HT","LUN","MA_QH","TIN")</f>
        <v>0</v>
      </c>
      <c r="BB10" s="50">
        <f ca="1">+GETPIVOTDATA("XLL4",'langlon (2016)'!$A$3,"MA_HT","LUN","MA_QH","SON")</f>
        <v>0</v>
      </c>
      <c r="BC10" s="50">
        <f ca="1">+GETPIVOTDATA("XLL4",'langlon (2016)'!$A$3,"MA_HT","LUN","MA_QH","MNC")</f>
        <v>0</v>
      </c>
      <c r="BD10" s="50">
        <f ca="1">+GETPIVOTDATA("XLL4",'langlon (2016)'!$A$3,"MA_HT","LUN","MA_QH","PNK")</f>
        <v>0</v>
      </c>
      <c r="BE10" s="80">
        <f ca="1">+GETPIVOTDATA("XLL4",'langlon (2016)'!$A$3,"MA_HT","LUN","MA_QH","CSD")</f>
        <v>0</v>
      </c>
      <c r="BF10" s="103">
        <f ca="1" t="shared" si="7"/>
        <v>0</v>
      </c>
      <c r="BG10" s="104">
        <f ca="1">I$59-$BF10</f>
        <v>0</v>
      </c>
      <c r="BH10" s="47" t="e">
        <f ca="1" t="shared" si="8"/>
        <v>#REF!</v>
      </c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</row>
    <row r="11" s="2" customFormat="1" ht="15.75" customHeight="1" spans="1:79">
      <c r="A11" s="39" t="s">
        <v>40</v>
      </c>
      <c r="B11" s="39" t="s">
        <v>8344</v>
      </c>
      <c r="C11" s="40" t="s">
        <v>2492</v>
      </c>
      <c r="D11" s="47" t="e">
        <f>+#REF!</f>
        <v>#REF!</v>
      </c>
      <c r="E11" s="42">
        <f ca="1">SUM(K11:Q11,F11)</f>
        <v>0</v>
      </c>
      <c r="F11" s="52">
        <f ca="1">SUM(G11:I11)</f>
        <v>0</v>
      </c>
      <c r="G11" s="22">
        <f ca="1">+GETPIVOTDATA("XLL4",'langlon (2016)'!$A$3,"MA_HT","HNK","MA_QH","LUC")</f>
        <v>0</v>
      </c>
      <c r="H11" s="22">
        <f ca="1">+GETPIVOTDATA("XLL4",'langlon (2016)'!$A$3,"MA_HT","HNK","MA_QH","LUK")</f>
        <v>0</v>
      </c>
      <c r="I11" s="22">
        <f ca="1">+GETPIVOTDATA("XLL4",'langlon (2016)'!$A$3,"MA_HT","HNK","MA_QH","LUN")</f>
        <v>0</v>
      </c>
      <c r="J11" s="43" t="e">
        <f ca="1">$D11-$BF11</f>
        <v>#REF!</v>
      </c>
      <c r="K11" s="22">
        <f ca="1">+GETPIVOTDATA("XLL4",'langlon (2016)'!$A$3,"MA_HT","HNK","MA_QH","CLN")</f>
        <v>0</v>
      </c>
      <c r="L11" s="22">
        <f ca="1">+GETPIVOTDATA("XLL4",'langlon (2016)'!$A$3,"MA_HT","HNK","MA_QH","RSX")</f>
        <v>0</v>
      </c>
      <c r="M11" s="22">
        <f ca="1">+GETPIVOTDATA("XLL4",'langlon (2016)'!$A$3,"MA_HT","HNK","MA_QH","RPH")</f>
        <v>0</v>
      </c>
      <c r="N11" s="22">
        <f ca="1">+GETPIVOTDATA("XLL4",'langlon (2016)'!$A$3,"MA_HT","HNK","MA_QH","RDD")</f>
        <v>0</v>
      </c>
      <c r="O11" s="22">
        <f ca="1">+GETPIVOTDATA("XLL4",'langlon (2016)'!$A$3,"MA_HT","HNK","MA_QH","NTS")</f>
        <v>0</v>
      </c>
      <c r="P11" s="22">
        <f ca="1">+GETPIVOTDATA("XLL4",'langlon (2016)'!$A$3,"MA_HT","HNK","MA_QH","LMU")</f>
        <v>0</v>
      </c>
      <c r="Q11" s="22">
        <f ca="1">+GETPIVOTDATA("XLL4",'langlon (2016)'!$A$3,"MA_HT","HNK","MA_QH","NKH")</f>
        <v>0</v>
      </c>
      <c r="R11" s="42">
        <f ca="1" t="shared" si="2"/>
        <v>0</v>
      </c>
      <c r="S11" s="22">
        <f ca="1">+GETPIVOTDATA("XLL4",'langlon (2016)'!$A$3,"MA_HT","HNK","MA_QH","CQP")</f>
        <v>0</v>
      </c>
      <c r="T11" s="22">
        <f ca="1">+GETPIVOTDATA("XLL4",'langlon (2016)'!$A$3,"MA_HT","HNK","MA_QH","CAN")</f>
        <v>0</v>
      </c>
      <c r="U11" s="22">
        <f ca="1">+GETPIVOTDATA("XLL4",'langlon (2016)'!$A$3,"MA_HT","HNK","MA_QH","SKK")</f>
        <v>0</v>
      </c>
      <c r="V11" s="22">
        <f ca="1">+GETPIVOTDATA("XLL4",'langlon (2016)'!$A$3,"MA_HT","HNK","MA_QH","SKT")</f>
        <v>0</v>
      </c>
      <c r="W11" s="22">
        <f ca="1">+GETPIVOTDATA("XLL4",'langlon (2016)'!$A$3,"MA_HT","HNK","MA_QH","SKN")</f>
        <v>0</v>
      </c>
      <c r="X11" s="22">
        <f ca="1">+GETPIVOTDATA("XLL4",'langlon (2016)'!$A$3,"MA_HT","HNK","MA_QH","TMD")</f>
        <v>0</v>
      </c>
      <c r="Y11" s="22">
        <f ca="1">+GETPIVOTDATA("XLL4",'langlon (2016)'!$A$3,"MA_HT","HNK","MA_QH","SKC")</f>
        <v>0</v>
      </c>
      <c r="Z11" s="22">
        <f ca="1">+GETPIVOTDATA("XLL4",'langlon (2016)'!$A$3,"MA_HT","HNK","MA_QH","SKS")</f>
        <v>0</v>
      </c>
      <c r="AA11" s="52">
        <f ca="1" t="shared" si="4"/>
        <v>0</v>
      </c>
      <c r="AB11" s="22">
        <f ca="1">+GETPIVOTDATA("XLL4",'langlon (2016)'!$A$3,"MA_HT","HNK","MA_QH","DGT")</f>
        <v>0</v>
      </c>
      <c r="AC11" s="22">
        <f ca="1">+GETPIVOTDATA("XLL4",'langlon (2016)'!$A$3,"MA_HT","HNK","MA_QH","DTL")</f>
        <v>0</v>
      </c>
      <c r="AD11" s="22">
        <f ca="1">+GETPIVOTDATA("XLL4",'langlon (2016)'!$A$3,"MA_HT","HNK","MA_QH","DNL")</f>
        <v>0</v>
      </c>
      <c r="AE11" s="22">
        <f ca="1">+GETPIVOTDATA("XLL4",'langlon (2016)'!$A$3,"MA_HT","HNK","MA_QH","DBV")</f>
        <v>0</v>
      </c>
      <c r="AF11" s="22">
        <f ca="1">+GETPIVOTDATA("XLL4",'langlon (2016)'!$A$3,"MA_HT","HNK","MA_QH","DVH")</f>
        <v>0</v>
      </c>
      <c r="AG11" s="22">
        <f ca="1">+GETPIVOTDATA("XLL4",'langlon (2016)'!$A$3,"MA_HT","HNK","MA_QH","DYT")</f>
        <v>0</v>
      </c>
      <c r="AH11" s="22">
        <f ca="1">+GETPIVOTDATA("XLL4",'langlon (2016)'!$A$3,"MA_HT","HNK","MA_QH","DGD")</f>
        <v>0</v>
      </c>
      <c r="AI11" s="22">
        <f ca="1">+GETPIVOTDATA("XLL4",'langlon (2016)'!$A$3,"MA_HT","HNK","MA_QH","DTT")</f>
        <v>0</v>
      </c>
      <c r="AJ11" s="22">
        <f ca="1">+GETPIVOTDATA("XLL4",'langlon (2016)'!$A$3,"MA_HT","HNK","MA_QH","NCK")</f>
        <v>0</v>
      </c>
      <c r="AK11" s="22">
        <f ca="1">+GETPIVOTDATA("XLL4",'langlon (2016)'!$A$3,"MA_HT","HNK","MA_QH","DXH")</f>
        <v>0</v>
      </c>
      <c r="AL11" s="22">
        <f ca="1">+GETPIVOTDATA("XLL4",'langlon (2016)'!$A$3,"MA_HT","HNK","MA_QH","DCH")</f>
        <v>0</v>
      </c>
      <c r="AM11" s="22">
        <f ca="1">+GETPIVOTDATA("XLL4",'langlon (2016)'!$A$3,"MA_HT","HNK","MA_QH","DKG")</f>
        <v>0</v>
      </c>
      <c r="AN11" s="22">
        <f ca="1">+GETPIVOTDATA("XLL4",'langlon (2016)'!$A$3,"MA_HT","HNK","MA_QH","DDT")</f>
        <v>0</v>
      </c>
      <c r="AO11" s="22">
        <f ca="1">+GETPIVOTDATA("XLL4",'langlon (2016)'!$A$3,"MA_HT","HNK","MA_QH","DDL")</f>
        <v>0</v>
      </c>
      <c r="AP11" s="22">
        <f ca="1">+GETPIVOTDATA("XLL4",'langlon (2016)'!$A$3,"MA_HT","HNK","MA_QH","DRA")</f>
        <v>0</v>
      </c>
      <c r="AQ11" s="22">
        <f ca="1">+GETPIVOTDATA("XLL4",'langlon (2016)'!$A$3,"MA_HT","HNK","MA_QH","ONT")</f>
        <v>0</v>
      </c>
      <c r="AR11" s="22">
        <f ca="1">+GETPIVOTDATA("XLL4",'langlon (2016)'!$A$3,"MA_HT","HNK","MA_QH","ODT")</f>
        <v>0</v>
      </c>
      <c r="AS11" s="22">
        <f ca="1">+GETPIVOTDATA("XLL4",'langlon (2016)'!$A$3,"MA_HT","HNK","MA_QH","TSC")</f>
        <v>0</v>
      </c>
      <c r="AT11" s="22">
        <f ca="1">+GETPIVOTDATA("XLL4",'langlon (2016)'!$A$3,"MA_HT","HNK","MA_QH","DTS")</f>
        <v>0</v>
      </c>
      <c r="AU11" s="22">
        <f ca="1">+GETPIVOTDATA("XLL4",'langlon (2016)'!$A$3,"MA_HT","HNK","MA_QH","DNG")</f>
        <v>0</v>
      </c>
      <c r="AV11" s="22">
        <f ca="1">+GETPIVOTDATA("XLL4",'langlon (2016)'!$A$3,"MA_HT","HNK","MA_QH","TON")</f>
        <v>0</v>
      </c>
      <c r="AW11" s="22">
        <f ca="1">+GETPIVOTDATA("XLL4",'langlon (2016)'!$A$3,"MA_HT","HNK","MA_QH","NTD")</f>
        <v>0</v>
      </c>
      <c r="AX11" s="22">
        <f ca="1">+GETPIVOTDATA("XLL4",'langlon (2016)'!$A$3,"MA_HT","HNK","MA_QH","SKX")</f>
        <v>0</v>
      </c>
      <c r="AY11" s="22">
        <f ca="1">+GETPIVOTDATA("XLL4",'langlon (2016)'!$A$3,"MA_HT","HNK","MA_QH","DSH")</f>
        <v>0</v>
      </c>
      <c r="AZ11" s="22">
        <f ca="1">+GETPIVOTDATA("XLL4",'langlon (2016)'!$A$3,"MA_HT","HNK","MA_QH","DKV")</f>
        <v>0</v>
      </c>
      <c r="BA11" s="89">
        <f ca="1">+GETPIVOTDATA("XLL4",'langlon (2016)'!$A$3,"MA_HT","HNK","MA_QH","TIN")</f>
        <v>0</v>
      </c>
      <c r="BB11" s="50">
        <f ca="1">+GETPIVOTDATA("XLL4",'langlon (2016)'!$A$3,"MA_HT","HNK","MA_QH","SON")</f>
        <v>0</v>
      </c>
      <c r="BC11" s="50">
        <f ca="1">+GETPIVOTDATA("XLL4",'langlon (2016)'!$A$3,"MA_HT","HNK","MA_QH","MNC")</f>
        <v>0</v>
      </c>
      <c r="BD11" s="22">
        <f ca="1">+GETPIVOTDATA("XLL4",'langlon (2016)'!$A$3,"MA_HT","HNK","MA_QH","PNK")</f>
        <v>0</v>
      </c>
      <c r="BE11" s="71">
        <f ca="1">+GETPIVOTDATA("XLL4",'langlon (2016)'!$A$3,"MA_HT","HNK","MA_QH","CSD")</f>
        <v>0</v>
      </c>
      <c r="BF11" s="74">
        <f ca="1" t="shared" si="7"/>
        <v>0</v>
      </c>
      <c r="BG11" s="101">
        <f ca="1">J$59-$BF11</f>
        <v>0</v>
      </c>
      <c r="BH11" s="41" t="e">
        <f ca="1" t="shared" si="8"/>
        <v>#REF!</v>
      </c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</row>
    <row r="12" s="2" customFormat="1" ht="15.75" customHeight="1" spans="1:79">
      <c r="A12" s="39" t="s">
        <v>8345</v>
      </c>
      <c r="B12" s="39" t="s">
        <v>8346</v>
      </c>
      <c r="C12" s="40" t="s">
        <v>30</v>
      </c>
      <c r="D12" s="47" t="e">
        <f>+#REF!</f>
        <v>#REF!</v>
      </c>
      <c r="E12" s="42">
        <f ca="1">SUM(L12:Q12,F12,J12)</f>
        <v>0</v>
      </c>
      <c r="F12" s="52">
        <f ca="1" t="shared" ref="F12:F58" si="9">SUM(G12:I12)</f>
        <v>0</v>
      </c>
      <c r="G12" s="22">
        <f ca="1">+GETPIVOTDATA("XLL4",'langlon (2016)'!$A$3,"MA_HT","CLN","MA_QH","LUC")</f>
        <v>0</v>
      </c>
      <c r="H12" s="22">
        <f ca="1">+GETPIVOTDATA("XLL4",'langlon (2016)'!$A$3,"MA_HT","CLN","MA_QH","LUK")</f>
        <v>0</v>
      </c>
      <c r="I12" s="22">
        <f ca="1">+GETPIVOTDATA("XLL4",'langlon (2016)'!$A$3,"MA_HT","CLN","MA_QH","LUN")</f>
        <v>0</v>
      </c>
      <c r="J12" s="22">
        <f ca="1">+GETPIVOTDATA("XLL4",'langlon (2016)'!$A$3,"MA_HT","CLN","MA_QH","HNK")</f>
        <v>0</v>
      </c>
      <c r="K12" s="43" t="e">
        <f ca="1">$D12-$BF12</f>
        <v>#REF!</v>
      </c>
      <c r="L12" s="22">
        <f ca="1">+GETPIVOTDATA("XLL4",'langlon (2016)'!$A$3,"MA_HT","CLN","MA_QH","RSX")</f>
        <v>0</v>
      </c>
      <c r="M12" s="22">
        <f ca="1">+GETPIVOTDATA("XLL4",'langlon (2016)'!$A$3,"MA_HT","CLN","MA_QH","RPH")</f>
        <v>0</v>
      </c>
      <c r="N12" s="22">
        <f ca="1">+GETPIVOTDATA("XLL4",'langlon (2016)'!$A$3,"MA_HT","CLN","MA_QH","RDD")</f>
        <v>0</v>
      </c>
      <c r="O12" s="22">
        <f ca="1">+GETPIVOTDATA("XLL4",'langlon (2016)'!$A$3,"MA_HT","CLN","MA_QH","NTS")</f>
        <v>0</v>
      </c>
      <c r="P12" s="22">
        <f ca="1">+GETPIVOTDATA("XLL4",'langlon (2016)'!$A$3,"MA_HT","CLN","MA_QH","LMU")</f>
        <v>0</v>
      </c>
      <c r="Q12" s="22">
        <f ca="1">+GETPIVOTDATA("XLL4",'langlon (2016)'!$A$3,"MA_HT","CLN","MA_QH","NKH")</f>
        <v>0</v>
      </c>
      <c r="R12" s="42">
        <f ca="1" t="shared" si="2"/>
        <v>0</v>
      </c>
      <c r="S12" s="22">
        <f ca="1">+GETPIVOTDATA("XLL4",'langlon (2016)'!$A$3,"MA_HT","CLN","MA_QH","CQP")</f>
        <v>0</v>
      </c>
      <c r="T12" s="22">
        <f ca="1">+GETPIVOTDATA("XLL4",'langlon (2016)'!$A$3,"MA_HT","CLN","MA_QH","CAN")</f>
        <v>0</v>
      </c>
      <c r="U12" s="22">
        <f ca="1">+GETPIVOTDATA("XLL4",'langlon (2016)'!$A$3,"MA_HT","CLN","MA_QH","SKK")</f>
        <v>0</v>
      </c>
      <c r="V12" s="22">
        <f ca="1">+GETPIVOTDATA("XLL4",'langlon (2016)'!$A$3,"MA_HT","CLN","MA_QH","SKT")</f>
        <v>0</v>
      </c>
      <c r="W12" s="22">
        <f ca="1">+GETPIVOTDATA("XLL4",'langlon (2016)'!$A$3,"MA_HT","CLN","MA_QH","SKN")</f>
        <v>0</v>
      </c>
      <c r="X12" s="22">
        <f ca="1">+GETPIVOTDATA("XLL4",'langlon (2016)'!$A$3,"MA_HT","CLN","MA_QH","TMD")</f>
        <v>0</v>
      </c>
      <c r="Y12" s="22">
        <f ca="1">+GETPIVOTDATA("XLL4",'langlon (2016)'!$A$3,"MA_HT","CLN","MA_QH","SKC")</f>
        <v>0</v>
      </c>
      <c r="Z12" s="22">
        <f ca="1">+GETPIVOTDATA("XLL4",'langlon (2016)'!$A$3,"MA_HT","CLN","MA_QH","SKS")</f>
        <v>0</v>
      </c>
      <c r="AA12" s="52">
        <f ca="1" t="shared" si="4"/>
        <v>0</v>
      </c>
      <c r="AB12" s="22">
        <f ca="1">+GETPIVOTDATA("XLL4",'langlon (2016)'!$A$3,"MA_HT","CLN","MA_QH","DGT")</f>
        <v>0</v>
      </c>
      <c r="AC12" s="22">
        <f ca="1">+GETPIVOTDATA("XLL4",'langlon (2016)'!$A$3,"MA_HT","CLN","MA_QH","DTL")</f>
        <v>0</v>
      </c>
      <c r="AD12" s="22">
        <f ca="1">+GETPIVOTDATA("XLL4",'langlon (2016)'!$A$3,"MA_HT","CLN","MA_QH","DNL")</f>
        <v>0</v>
      </c>
      <c r="AE12" s="22">
        <f ca="1">+GETPIVOTDATA("XLL4",'langlon (2016)'!$A$3,"MA_HT","CLN","MA_QH","DBV")</f>
        <v>0</v>
      </c>
      <c r="AF12" s="22">
        <f ca="1">+GETPIVOTDATA("XLL4",'langlon (2016)'!$A$3,"MA_HT","CLN","MA_QH","DVH")</f>
        <v>0</v>
      </c>
      <c r="AG12" s="22">
        <f ca="1">+GETPIVOTDATA("XLL4",'langlon (2016)'!$A$3,"MA_HT","CLN","MA_QH","DYT")</f>
        <v>0</v>
      </c>
      <c r="AH12" s="22">
        <f ca="1">+GETPIVOTDATA("XLL4",'langlon (2016)'!$A$3,"MA_HT","CLN","MA_QH","DGD")</f>
        <v>0</v>
      </c>
      <c r="AI12" s="22">
        <f ca="1">+GETPIVOTDATA("XLL4",'langlon (2016)'!$A$3,"MA_HT","CLN","MA_QH","DTT")</f>
        <v>0</v>
      </c>
      <c r="AJ12" s="22">
        <f ca="1">+GETPIVOTDATA("XLL4",'langlon (2016)'!$A$3,"MA_HT","CLN","MA_QH","NCK")</f>
        <v>0</v>
      </c>
      <c r="AK12" s="22">
        <f ca="1">+GETPIVOTDATA("XLL4",'langlon (2016)'!$A$3,"MA_HT","CLN","MA_QH","DXH")</f>
        <v>0</v>
      </c>
      <c r="AL12" s="22">
        <f ca="1">+GETPIVOTDATA("XLL4",'langlon (2016)'!$A$3,"MA_HT","CLN","MA_QH","DCH")</f>
        <v>0</v>
      </c>
      <c r="AM12" s="22">
        <f ca="1">+GETPIVOTDATA("XLL4",'langlon (2016)'!$A$3,"MA_HT","CLN","MA_QH","DKG")</f>
        <v>0</v>
      </c>
      <c r="AN12" s="22">
        <f ca="1">+GETPIVOTDATA("XLL4",'langlon (2016)'!$A$3,"MA_HT","CLN","MA_QH","DDT")</f>
        <v>0</v>
      </c>
      <c r="AO12" s="22">
        <f ca="1">+GETPIVOTDATA("XLL4",'langlon (2016)'!$A$3,"MA_HT","CLN","MA_QH","DDL")</f>
        <v>0</v>
      </c>
      <c r="AP12" s="22">
        <f ca="1">+GETPIVOTDATA("XLL4",'langlon (2016)'!$A$3,"MA_HT","CLN","MA_QH","DRA")</f>
        <v>0</v>
      </c>
      <c r="AQ12" s="22">
        <f ca="1">+GETPIVOTDATA("XLL4",'langlon (2016)'!$A$3,"MA_HT","CLN","MA_QH","ONT")</f>
        <v>0</v>
      </c>
      <c r="AR12" s="22">
        <f ca="1">+GETPIVOTDATA("XLL4",'langlon (2016)'!$A$3,"MA_HT","CLN","MA_QH","ODT")</f>
        <v>0</v>
      </c>
      <c r="AS12" s="22">
        <f ca="1">+GETPIVOTDATA("XLL4",'langlon (2016)'!$A$3,"MA_HT","CLN","MA_QH","TSC")</f>
        <v>0</v>
      </c>
      <c r="AT12" s="22">
        <f ca="1">+GETPIVOTDATA("XLL4",'langlon (2016)'!$A$3,"MA_HT","CLN","MA_QH","DTS")</f>
        <v>0</v>
      </c>
      <c r="AU12" s="22">
        <f ca="1">+GETPIVOTDATA("XLL4",'langlon (2016)'!$A$3,"MA_HT","CLN","MA_QH","DNG")</f>
        <v>0</v>
      </c>
      <c r="AV12" s="22">
        <f ca="1">+GETPIVOTDATA("XLL4",'langlon (2016)'!$A$3,"MA_HT","CLN","MA_QH","TON")</f>
        <v>0</v>
      </c>
      <c r="AW12" s="22">
        <f ca="1">+GETPIVOTDATA("XLL4",'langlon (2016)'!$A$3,"MA_HT","CLN","MA_QH","NTD")</f>
        <v>0</v>
      </c>
      <c r="AX12" s="22">
        <f ca="1">+GETPIVOTDATA("XLL4",'langlon (2016)'!$A$3,"MA_HT","CLN","MA_QH","SKX")</f>
        <v>0</v>
      </c>
      <c r="AY12" s="22">
        <f ca="1">+GETPIVOTDATA("XLL4",'langlon (2016)'!$A$3,"MA_HT","CLN","MA_QH","DSH")</f>
        <v>0</v>
      </c>
      <c r="AZ12" s="22">
        <f ca="1">+GETPIVOTDATA("XLL4",'langlon (2016)'!$A$3,"MA_HT","CLN","MA_QH","DKV")</f>
        <v>0</v>
      </c>
      <c r="BA12" s="89">
        <f ca="1">+GETPIVOTDATA("XLL4",'langlon (2016)'!$A$3,"MA_HT","CLN","MA_QH","TIN")</f>
        <v>0</v>
      </c>
      <c r="BB12" s="50">
        <f ca="1">+GETPIVOTDATA("XLL4",'langlon (2016)'!$A$3,"MA_HT","CLN","MA_QH","SON")</f>
        <v>0</v>
      </c>
      <c r="BC12" s="50">
        <f ca="1">+GETPIVOTDATA("XLL4",'langlon (2016)'!$A$3,"MA_HT","CLN","MA_QH","MNC")</f>
        <v>0</v>
      </c>
      <c r="BD12" s="22">
        <f ca="1">+GETPIVOTDATA("XLL4",'langlon (2016)'!$A$3,"MA_HT","CLN","MA_QH","PNK")</f>
        <v>0</v>
      </c>
      <c r="BE12" s="71">
        <f ca="1">+GETPIVOTDATA("XLL4",'langlon (2016)'!$A$3,"MA_HT","CLN","MA_QH","CSD")</f>
        <v>0</v>
      </c>
      <c r="BF12" s="74">
        <f ca="1" t="shared" si="7"/>
        <v>0</v>
      </c>
      <c r="BG12" s="101">
        <f ca="1">K$59-$BF12</f>
        <v>0</v>
      </c>
      <c r="BH12" s="41" t="e">
        <f ca="1" t="shared" si="8"/>
        <v>#REF!</v>
      </c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</row>
    <row r="13" s="2" customFormat="1" ht="15.75" customHeight="1" spans="1:79">
      <c r="A13" s="39" t="s">
        <v>8347</v>
      </c>
      <c r="B13" s="39" t="s">
        <v>8348</v>
      </c>
      <c r="C13" s="40" t="s">
        <v>8307</v>
      </c>
      <c r="D13" s="47" t="e">
        <f>+#REF!</f>
        <v>#REF!</v>
      </c>
      <c r="E13" s="42">
        <f ca="1">SUM(F13,J13:K13,M13:Q13)</f>
        <v>0</v>
      </c>
      <c r="F13" s="52">
        <f ca="1" t="shared" si="9"/>
        <v>0</v>
      </c>
      <c r="G13" s="22">
        <f ca="1">+GETPIVOTDATA("XLL4",'langlon (2016)'!$A$3,"MA_HT","RSX","MA_QH","LUC")</f>
        <v>0</v>
      </c>
      <c r="H13" s="22">
        <f ca="1">+GETPIVOTDATA("XLL4",'langlon (2016)'!$A$3,"MA_HT","RSX","MA_QH","LUK")</f>
        <v>0</v>
      </c>
      <c r="I13" s="22">
        <f ca="1">+GETPIVOTDATA("XLL4",'langlon (2016)'!$A$3,"MA_HT","RSX","MA_QH","LUN")</f>
        <v>0</v>
      </c>
      <c r="J13" s="22">
        <f ca="1">+GETPIVOTDATA("XLL4",'langlon (2016)'!$A$3,"MA_HT","RSX","MA_QH","HNK")</f>
        <v>0</v>
      </c>
      <c r="K13" s="22">
        <f ca="1">+GETPIVOTDATA("XLL4",'langlon (2016)'!$A$3,"MA_HT","RSX","MA_QH","CLN")</f>
        <v>0</v>
      </c>
      <c r="L13" s="43" t="e">
        <f ca="1">$D13-$BF13</f>
        <v>#REF!</v>
      </c>
      <c r="M13" s="22">
        <f ca="1">+GETPIVOTDATA("XLL4",'langlon (2016)'!$A$3,"MA_HT","RSX","MA_QH","RPH")</f>
        <v>0</v>
      </c>
      <c r="N13" s="22">
        <f ca="1">+GETPIVOTDATA("XLL4",'langlon (2016)'!$A$3,"MA_HT","RSX","MA_QH","RDD")</f>
        <v>0</v>
      </c>
      <c r="O13" s="22">
        <f ca="1">+GETPIVOTDATA("XLL4",'langlon (2016)'!$A$3,"MA_HT","RSX","MA_QH","NTS")</f>
        <v>0</v>
      </c>
      <c r="P13" s="22">
        <f ca="1">+GETPIVOTDATA("XLL4",'langlon (2016)'!$A$3,"MA_HT","RSX","MA_QH","LMU")</f>
        <v>0</v>
      </c>
      <c r="Q13" s="22">
        <f ca="1">+GETPIVOTDATA("XLL4",'langlon (2016)'!$A$3,"MA_HT","RSX","MA_QH","NKH")</f>
        <v>0</v>
      </c>
      <c r="R13" s="42">
        <f ca="1" t="shared" si="2"/>
        <v>0</v>
      </c>
      <c r="S13" s="22">
        <f ca="1">+GETPIVOTDATA("XLL4",'langlon (2016)'!$A$3,"MA_HT","RSX","MA_QH","CQP")</f>
        <v>0</v>
      </c>
      <c r="T13" s="22">
        <f ca="1">+GETPIVOTDATA("XLL4",'langlon (2016)'!$A$3,"MA_HT","RSX","MA_QH","CAN")</f>
        <v>0</v>
      </c>
      <c r="U13" s="22">
        <f ca="1">+GETPIVOTDATA("XLL4",'langlon (2016)'!$A$3,"MA_HT","RSX","MA_QH","SKK")</f>
        <v>0</v>
      </c>
      <c r="V13" s="22">
        <f ca="1">+GETPIVOTDATA("XLL4",'langlon (2016)'!$A$3,"MA_HT","RSX","MA_QH","SKT")</f>
        <v>0</v>
      </c>
      <c r="W13" s="22">
        <f ca="1">+GETPIVOTDATA("XLL4",'langlon (2016)'!$A$3,"MA_HT","RSX","MA_QH","SKN")</f>
        <v>0</v>
      </c>
      <c r="X13" s="22">
        <f ca="1">+GETPIVOTDATA("XLL4",'langlon (2016)'!$A$3,"MA_HT","RSX","MA_QH","TMD")</f>
        <v>0</v>
      </c>
      <c r="Y13" s="22">
        <f ca="1">+GETPIVOTDATA("XLL4",'langlon (2016)'!$A$3,"MA_HT","RSX","MA_QH","SKC")</f>
        <v>0</v>
      </c>
      <c r="Z13" s="22">
        <f ca="1">+GETPIVOTDATA("XLL4",'langlon (2016)'!$A$3,"MA_HT","RSX","MA_QH","SKS")</f>
        <v>0</v>
      </c>
      <c r="AA13" s="52">
        <f ca="1" t="shared" si="4"/>
        <v>0</v>
      </c>
      <c r="AB13" s="22">
        <f ca="1">+GETPIVOTDATA("XLL4",'langlon (2016)'!$A$3,"MA_HT","RSX","MA_QH","DGT")</f>
        <v>0</v>
      </c>
      <c r="AC13" s="22">
        <f ca="1">+GETPIVOTDATA("XLL4",'langlon (2016)'!$A$3,"MA_HT","RSX","MA_QH","DTL")</f>
        <v>0</v>
      </c>
      <c r="AD13" s="22">
        <f ca="1">+GETPIVOTDATA("XLL4",'langlon (2016)'!$A$3,"MA_HT","RSX","MA_QH","DNL")</f>
        <v>0</v>
      </c>
      <c r="AE13" s="22">
        <f ca="1">+GETPIVOTDATA("XLL4",'langlon (2016)'!$A$3,"MA_HT","RSX","MA_QH","DBV")</f>
        <v>0</v>
      </c>
      <c r="AF13" s="22">
        <f ca="1">+GETPIVOTDATA("XLL4",'langlon (2016)'!$A$3,"MA_HT","RSX","MA_QH","DVH")</f>
        <v>0</v>
      </c>
      <c r="AG13" s="22">
        <f ca="1">+GETPIVOTDATA("XLL4",'langlon (2016)'!$A$3,"MA_HT","RSX","MA_QH","DYT")</f>
        <v>0</v>
      </c>
      <c r="AH13" s="22">
        <f ca="1">+GETPIVOTDATA("XLL4",'langlon (2016)'!$A$3,"MA_HT","RSX","MA_QH","DGD")</f>
        <v>0</v>
      </c>
      <c r="AI13" s="22">
        <f ca="1">+GETPIVOTDATA("XLL4",'langlon (2016)'!$A$3,"MA_HT","RSX","MA_QH","DTT")</f>
        <v>0</v>
      </c>
      <c r="AJ13" s="22">
        <f ca="1">+GETPIVOTDATA("XLL4",'langlon (2016)'!$A$3,"MA_HT","RSX","MA_QH","NCK")</f>
        <v>0</v>
      </c>
      <c r="AK13" s="22">
        <f ca="1">+GETPIVOTDATA("XLL4",'langlon (2016)'!$A$3,"MA_HT","RSX","MA_QH","DXH")</f>
        <v>0</v>
      </c>
      <c r="AL13" s="22">
        <f ca="1">+GETPIVOTDATA("XLL4",'langlon (2016)'!$A$3,"MA_HT","RSX","MA_QH","DCH")</f>
        <v>0</v>
      </c>
      <c r="AM13" s="22">
        <f ca="1">+GETPIVOTDATA("XLL4",'langlon (2016)'!$A$3,"MA_HT","RSX","MA_QH","DKG")</f>
        <v>0</v>
      </c>
      <c r="AN13" s="22">
        <f ca="1">+GETPIVOTDATA("XLL4",'langlon (2016)'!$A$3,"MA_HT","RSX","MA_QH","DDT")</f>
        <v>0</v>
      </c>
      <c r="AO13" s="22">
        <f ca="1">+GETPIVOTDATA("XLL4",'langlon (2016)'!$A$3,"MA_HT","RSX","MA_QH","DDL")</f>
        <v>0</v>
      </c>
      <c r="AP13" s="22">
        <f ca="1">+GETPIVOTDATA("XLL4",'langlon (2016)'!$A$3,"MA_HT","RSX","MA_QH","DRA")</f>
        <v>0</v>
      </c>
      <c r="AQ13" s="22">
        <f ca="1">+GETPIVOTDATA("XLL4",'langlon (2016)'!$A$3,"MA_HT","RSX","MA_QH","ONT")</f>
        <v>0</v>
      </c>
      <c r="AR13" s="22">
        <f ca="1">+GETPIVOTDATA("XLL4",'langlon (2016)'!$A$3,"MA_HT","RSX","MA_QH","ODT")</f>
        <v>0</v>
      </c>
      <c r="AS13" s="22">
        <f ca="1">+GETPIVOTDATA("XLL4",'langlon (2016)'!$A$3,"MA_HT","RSX","MA_QH","TSC")</f>
        <v>0</v>
      </c>
      <c r="AT13" s="22">
        <f ca="1">+GETPIVOTDATA("XLL4",'langlon (2016)'!$A$3,"MA_HT","RSX","MA_QH","DTS")</f>
        <v>0</v>
      </c>
      <c r="AU13" s="22">
        <f ca="1">+GETPIVOTDATA("XLL4",'langlon (2016)'!$A$3,"MA_HT","RSX","MA_QH","DNG")</f>
        <v>0</v>
      </c>
      <c r="AV13" s="22">
        <f ca="1">+GETPIVOTDATA("XLL4",'langlon (2016)'!$A$3,"MA_HT","RSX","MA_QH","TON")</f>
        <v>0</v>
      </c>
      <c r="AW13" s="22">
        <f ca="1">+GETPIVOTDATA("XLL4",'langlon (2016)'!$A$3,"MA_HT","RSX","MA_QH","NTD")</f>
        <v>0</v>
      </c>
      <c r="AX13" s="22">
        <f ca="1">+GETPIVOTDATA("XLL4",'langlon (2016)'!$A$3,"MA_HT","RSX","MA_QH","SKX")</f>
        <v>0</v>
      </c>
      <c r="AY13" s="22">
        <f ca="1">+GETPIVOTDATA("XLL4",'langlon (2016)'!$A$3,"MA_HT","RSX","MA_QH","DSH")</f>
        <v>0</v>
      </c>
      <c r="AZ13" s="22">
        <f ca="1">+GETPIVOTDATA("XLL4",'langlon (2016)'!$A$3,"MA_HT","RSX","MA_QH","DKV")</f>
        <v>0</v>
      </c>
      <c r="BA13" s="89">
        <f ca="1">+GETPIVOTDATA("XLL4",'langlon (2016)'!$A$3,"MA_HT","RSX","MA_QH","TIN")</f>
        <v>0</v>
      </c>
      <c r="BB13" s="50">
        <f ca="1">+GETPIVOTDATA("XLL4",'langlon (2016)'!$A$3,"MA_HT","RSX","MA_QH","SON")</f>
        <v>0</v>
      </c>
      <c r="BC13" s="50">
        <f ca="1">+GETPIVOTDATA("XLL4",'langlon (2016)'!$A$3,"MA_HT","RSX","MA_QH","MNC")</f>
        <v>0</v>
      </c>
      <c r="BD13" s="22">
        <f ca="1">+GETPIVOTDATA("XLL4",'langlon (2016)'!$A$3,"MA_HT","RSX","MA_QH","PNK")</f>
        <v>0</v>
      </c>
      <c r="BE13" s="71">
        <f ca="1">+GETPIVOTDATA("XLL4",'langlon (2016)'!$A$3,"MA_HT","RSX","MA_QH","CSD")</f>
        <v>0</v>
      </c>
      <c r="BF13" s="74">
        <f ca="1" t="shared" si="7"/>
        <v>0</v>
      </c>
      <c r="BG13" s="101">
        <f ca="1">L$59-$BF13</f>
        <v>0</v>
      </c>
      <c r="BH13" s="41" t="e">
        <f ca="1" t="shared" si="8"/>
        <v>#REF!</v>
      </c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</row>
    <row r="14" s="2" customFormat="1" ht="15.75" customHeight="1" spans="1:79">
      <c r="A14" s="39" t="s">
        <v>8349</v>
      </c>
      <c r="B14" s="39" t="s">
        <v>8350</v>
      </c>
      <c r="C14" s="40" t="s">
        <v>8306</v>
      </c>
      <c r="D14" s="47" t="e">
        <f>+#REF!</f>
        <v>#REF!</v>
      </c>
      <c r="E14" s="42">
        <f ca="1">SUM(F14,J14:L14,N14:Q14)</f>
        <v>0</v>
      </c>
      <c r="F14" s="52">
        <f ca="1" t="shared" si="9"/>
        <v>0</v>
      </c>
      <c r="G14" s="22">
        <f ca="1">+GETPIVOTDATA("XLL4",'langlon (2016)'!$A$3,"MA_HT","RPH","MA_QH","LUC")</f>
        <v>0</v>
      </c>
      <c r="H14" s="22">
        <f ca="1">+GETPIVOTDATA("XLL4",'langlon (2016)'!$A$3,"MA_HT","RPH","MA_QH","LUK")</f>
        <v>0</v>
      </c>
      <c r="I14" s="22">
        <f ca="1">+GETPIVOTDATA("XLL4",'langlon (2016)'!$A$3,"MA_HT","RPH","MA_QH","LUN")</f>
        <v>0</v>
      </c>
      <c r="J14" s="22">
        <f ca="1">+GETPIVOTDATA("XLL4",'langlon (2016)'!$A$3,"MA_HT","RPH","MA_QH","HNK")</f>
        <v>0</v>
      </c>
      <c r="K14" s="22">
        <f ca="1">+GETPIVOTDATA("XLL4",'langlon (2016)'!$A$3,"MA_HT","RPH","MA_QH","CLN")</f>
        <v>0</v>
      </c>
      <c r="L14" s="22">
        <f ca="1">+GETPIVOTDATA("XLL4",'langlon (2016)'!$A$3,"MA_HT","RPH","MA_QH","RSX")</f>
        <v>0</v>
      </c>
      <c r="M14" s="43" t="e">
        <f ca="1">$D14-$BF14</f>
        <v>#REF!</v>
      </c>
      <c r="N14" s="22">
        <f ca="1">+GETPIVOTDATA("XLL4",'langlon (2016)'!$A$3,"MA_HT","RPH","MA_QH","RDD")</f>
        <v>0</v>
      </c>
      <c r="O14" s="22">
        <f ca="1">+GETPIVOTDATA("XLL4",'langlon (2016)'!$A$3,"MA_HT","RPH","MA_QH","NTS")</f>
        <v>0</v>
      </c>
      <c r="P14" s="22">
        <f ca="1">+GETPIVOTDATA("XLL4",'langlon (2016)'!$A$3,"MA_HT","RPH","MA_QH","LMU")</f>
        <v>0</v>
      </c>
      <c r="Q14" s="22">
        <f ca="1">+GETPIVOTDATA("XLL4",'langlon (2016)'!$A$3,"MA_HT","RPH","MA_QH","NKH")</f>
        <v>0</v>
      </c>
      <c r="R14" s="42">
        <f ca="1" t="shared" si="2"/>
        <v>0</v>
      </c>
      <c r="S14" s="22">
        <f ca="1">+GETPIVOTDATA("XLL4",'langlon (2016)'!$A$3,"MA_HT","RPH","MA_QH","CQP")</f>
        <v>0</v>
      </c>
      <c r="T14" s="22">
        <f ca="1">+GETPIVOTDATA("XLL4",'langlon (2016)'!$A$3,"MA_HT","RPH","MA_QH","CAN")</f>
        <v>0</v>
      </c>
      <c r="U14" s="22">
        <f ca="1">+GETPIVOTDATA("XLL4",'langlon (2016)'!$A$3,"MA_HT","RPH","MA_QH","SKK")</f>
        <v>0</v>
      </c>
      <c r="V14" s="22">
        <f ca="1">+GETPIVOTDATA("XLL4",'langlon (2016)'!$A$3,"MA_HT","RPH","MA_QH","SKT")</f>
        <v>0</v>
      </c>
      <c r="W14" s="22">
        <f ca="1">+GETPIVOTDATA("XLL4",'langlon (2016)'!$A$3,"MA_HT","RPH","MA_QH","SKN")</f>
        <v>0</v>
      </c>
      <c r="X14" s="22">
        <f ca="1">+GETPIVOTDATA("XLL4",'langlon (2016)'!$A$3,"MA_HT","RPH","MA_QH","TMD")</f>
        <v>0</v>
      </c>
      <c r="Y14" s="22">
        <f ca="1">+GETPIVOTDATA("XLL4",'langlon (2016)'!$A$3,"MA_HT","RPH","MA_QH","SKC")</f>
        <v>0</v>
      </c>
      <c r="Z14" s="22">
        <f ca="1">+GETPIVOTDATA("XLL4",'langlon (2016)'!$A$3,"MA_HT","RPH","MA_QH","SKS")</f>
        <v>0</v>
      </c>
      <c r="AA14" s="52">
        <f ca="1" t="shared" si="4"/>
        <v>0</v>
      </c>
      <c r="AB14" s="22">
        <f ca="1">+GETPIVOTDATA("XLL4",'langlon (2016)'!$A$3,"MA_HT","RPH","MA_QH","DGT")</f>
        <v>0</v>
      </c>
      <c r="AC14" s="22">
        <f ca="1">+GETPIVOTDATA("XLL4",'langlon (2016)'!$A$3,"MA_HT","RPH","MA_QH","DTL")</f>
        <v>0</v>
      </c>
      <c r="AD14" s="22">
        <f ca="1">+GETPIVOTDATA("XLL4",'langlon (2016)'!$A$3,"MA_HT","RPH","MA_QH","DNL")</f>
        <v>0</v>
      </c>
      <c r="AE14" s="22">
        <f ca="1">+GETPIVOTDATA("XLL4",'langlon (2016)'!$A$3,"MA_HT","RPH","MA_QH","DBV")</f>
        <v>0</v>
      </c>
      <c r="AF14" s="22">
        <f ca="1">+GETPIVOTDATA("XLL4",'langlon (2016)'!$A$3,"MA_HT","RPH","MA_QH","DVH")</f>
        <v>0</v>
      </c>
      <c r="AG14" s="22">
        <f ca="1">+GETPIVOTDATA("XLL4",'langlon (2016)'!$A$3,"MA_HT","RPH","MA_QH","DYT")</f>
        <v>0</v>
      </c>
      <c r="AH14" s="22">
        <f ca="1">+GETPIVOTDATA("XLL4",'langlon (2016)'!$A$3,"MA_HT","RPH","MA_QH","DGD")</f>
        <v>0</v>
      </c>
      <c r="AI14" s="22">
        <f ca="1">+GETPIVOTDATA("XLL4",'langlon (2016)'!$A$3,"MA_HT","RPH","MA_QH","DTT")</f>
        <v>0</v>
      </c>
      <c r="AJ14" s="22">
        <f ca="1">+GETPIVOTDATA("XLL4",'langlon (2016)'!$A$3,"MA_HT","RPH","MA_QH","NCK")</f>
        <v>0</v>
      </c>
      <c r="AK14" s="22">
        <f ca="1">+GETPIVOTDATA("XLL4",'langlon (2016)'!$A$3,"MA_HT","RPH","MA_QH","DXH")</f>
        <v>0</v>
      </c>
      <c r="AL14" s="22">
        <f ca="1">+GETPIVOTDATA("XLL4",'langlon (2016)'!$A$3,"MA_HT","RPH","MA_QH","DCH")</f>
        <v>0</v>
      </c>
      <c r="AM14" s="22">
        <f ca="1">+GETPIVOTDATA("XLL4",'langlon (2016)'!$A$3,"MA_HT","RPH","MA_QH","DKG")</f>
        <v>0</v>
      </c>
      <c r="AN14" s="22">
        <f ca="1">+GETPIVOTDATA("XLL4",'langlon (2016)'!$A$3,"MA_HT","RPH","MA_QH","DDT")</f>
        <v>0</v>
      </c>
      <c r="AO14" s="22">
        <f ca="1">+GETPIVOTDATA("XLL4",'langlon (2016)'!$A$3,"MA_HT","RPH","MA_QH","DDL")</f>
        <v>0</v>
      </c>
      <c r="AP14" s="22">
        <f ca="1">+GETPIVOTDATA("XLL4",'langlon (2016)'!$A$3,"MA_HT","RPH","MA_QH","DRA")</f>
        <v>0</v>
      </c>
      <c r="AQ14" s="22">
        <f ca="1">+GETPIVOTDATA("XLL4",'langlon (2016)'!$A$3,"MA_HT","RPH","MA_QH","ONT")</f>
        <v>0</v>
      </c>
      <c r="AR14" s="22">
        <f ca="1">+GETPIVOTDATA("XLL4",'langlon (2016)'!$A$3,"MA_HT","RPH","MA_QH","ODT")</f>
        <v>0</v>
      </c>
      <c r="AS14" s="22">
        <f ca="1">+GETPIVOTDATA("XLL4",'langlon (2016)'!$A$3,"MA_HT","RPH","MA_QH","TSC")</f>
        <v>0</v>
      </c>
      <c r="AT14" s="22">
        <f ca="1">+GETPIVOTDATA("XLL4",'langlon (2016)'!$A$3,"MA_HT","RPH","MA_QH","DTS")</f>
        <v>0</v>
      </c>
      <c r="AU14" s="22">
        <f ca="1">+GETPIVOTDATA("XLL4",'langlon (2016)'!$A$3,"MA_HT","RPH","MA_QH","DNG")</f>
        <v>0</v>
      </c>
      <c r="AV14" s="22">
        <f ca="1">+GETPIVOTDATA("XLL4",'langlon (2016)'!$A$3,"MA_HT","RPH","MA_QH","TON")</f>
        <v>0</v>
      </c>
      <c r="AW14" s="22">
        <f ca="1">+GETPIVOTDATA("XLL4",'langlon (2016)'!$A$3,"MA_HT","RPH","MA_QH","NTD")</f>
        <v>0</v>
      </c>
      <c r="AX14" s="22">
        <f ca="1">+GETPIVOTDATA("XLL4",'langlon (2016)'!$A$3,"MA_HT","RPH","MA_QH","SKX")</f>
        <v>0</v>
      </c>
      <c r="AY14" s="22">
        <f ca="1">+GETPIVOTDATA("XLL4",'langlon (2016)'!$A$3,"MA_HT","RPH","MA_QH","DSH")</f>
        <v>0</v>
      </c>
      <c r="AZ14" s="22">
        <f ca="1">+GETPIVOTDATA("XLL4",'langlon (2016)'!$A$3,"MA_HT","RPH","MA_QH","DKV")</f>
        <v>0</v>
      </c>
      <c r="BA14" s="89">
        <f ca="1">+GETPIVOTDATA("XLL4",'langlon (2016)'!$A$3,"MA_HT","RPH","MA_QH","TIN")</f>
        <v>0</v>
      </c>
      <c r="BB14" s="50">
        <f ca="1">+GETPIVOTDATA("XLL4",'langlon (2016)'!$A$3,"MA_HT","RPH","MA_QH","SON")</f>
        <v>0</v>
      </c>
      <c r="BC14" s="50">
        <f ca="1">+GETPIVOTDATA("XLL4",'langlon (2016)'!$A$3,"MA_HT","RPH","MA_QH","MNC")</f>
        <v>0</v>
      </c>
      <c r="BD14" s="22">
        <f ca="1">+GETPIVOTDATA("XLL4",'langlon (2016)'!$A$3,"MA_HT","RPH","MA_QH","PNK")</f>
        <v>0</v>
      </c>
      <c r="BE14" s="71">
        <f ca="1">+GETPIVOTDATA("XLL4",'langlon (2016)'!$A$3,"MA_HT","RPH","MA_QH","CSD")</f>
        <v>0</v>
      </c>
      <c r="BF14" s="74">
        <f ca="1" t="shared" si="7"/>
        <v>0</v>
      </c>
      <c r="BG14" s="101">
        <f ca="1">M$59-$BF14</f>
        <v>0</v>
      </c>
      <c r="BH14" s="41" t="e">
        <f ca="1" t="shared" si="8"/>
        <v>#REF!</v>
      </c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</row>
    <row r="15" s="2" customFormat="1" ht="15.75" customHeight="1" spans="1:79">
      <c r="A15" s="39" t="s">
        <v>8351</v>
      </c>
      <c r="B15" s="39" t="s">
        <v>8352</v>
      </c>
      <c r="C15" s="40" t="s">
        <v>8305</v>
      </c>
      <c r="D15" s="47" t="e">
        <f>+#REF!</f>
        <v>#REF!</v>
      </c>
      <c r="E15" s="42">
        <f ca="1">SUM(F15,J15:M15,O15:Q15)</f>
        <v>0</v>
      </c>
      <c r="F15" s="52">
        <f ca="1" t="shared" si="9"/>
        <v>0</v>
      </c>
      <c r="G15" s="22">
        <f ca="1">+GETPIVOTDATA("XLL4",'langlon (2016)'!$A$3,"MA_HT","RDD","MA_QH","LUC")</f>
        <v>0</v>
      </c>
      <c r="H15" s="22">
        <f ca="1">+GETPIVOTDATA("XLL4",'langlon (2016)'!$A$3,"MA_HT","RDD","MA_QH","LUK")</f>
        <v>0</v>
      </c>
      <c r="I15" s="22">
        <f ca="1">+GETPIVOTDATA("XLL4",'langlon (2016)'!$A$3,"MA_HT","RDD","MA_QH","LUN")</f>
        <v>0</v>
      </c>
      <c r="J15" s="22">
        <f ca="1">+GETPIVOTDATA("XLL4",'langlon (2016)'!$A$3,"MA_HT","RDD","MA_QH","HNK")</f>
        <v>0</v>
      </c>
      <c r="K15" s="22">
        <f ca="1">+GETPIVOTDATA("XLL4",'langlon (2016)'!$A$3,"MA_HT","RDD","MA_QH","CLN")</f>
        <v>0</v>
      </c>
      <c r="L15" s="22">
        <f ca="1">+GETPIVOTDATA("XLL4",'langlon (2016)'!$A$3,"MA_HT","RDD","MA_QH","RSX")</f>
        <v>0</v>
      </c>
      <c r="M15" s="22">
        <f ca="1">+GETPIVOTDATA("XLL4",'langlon (2016)'!$A$3,"MA_HT","RDD","MA_QH","RPH")</f>
        <v>0</v>
      </c>
      <c r="N15" s="43" t="e">
        <f ca="1">$D15-$BF15</f>
        <v>#REF!</v>
      </c>
      <c r="O15" s="22">
        <f ca="1">+GETPIVOTDATA("XLL4",'langlon (2016)'!$A$3,"MA_HT","RDD","MA_QH","NTS")</f>
        <v>0</v>
      </c>
      <c r="P15" s="22">
        <f ca="1">+GETPIVOTDATA("XLL4",'langlon (2016)'!$A$3,"MA_HT","RDD","MA_QH","LMU")</f>
        <v>0</v>
      </c>
      <c r="Q15" s="22">
        <f ca="1">+GETPIVOTDATA("XLL4",'langlon (2016)'!$A$3,"MA_HT","RDD","MA_QH","NKH")</f>
        <v>0</v>
      </c>
      <c r="R15" s="42">
        <f ca="1" t="shared" si="2"/>
        <v>0</v>
      </c>
      <c r="S15" s="22">
        <f ca="1">+GETPIVOTDATA("XLL4",'langlon (2016)'!$A$3,"MA_HT","RDD","MA_QH","CQP")</f>
        <v>0</v>
      </c>
      <c r="T15" s="22">
        <f ca="1">+GETPIVOTDATA("XLL4",'langlon (2016)'!$A$3,"MA_HT","RDD","MA_QH","CAN")</f>
        <v>0</v>
      </c>
      <c r="U15" s="22">
        <f ca="1">+GETPIVOTDATA("XLL4",'langlon (2016)'!$A$3,"MA_HT","RDD","MA_QH","SKK")</f>
        <v>0</v>
      </c>
      <c r="V15" s="22">
        <f ca="1">+GETPIVOTDATA("XLL4",'langlon (2016)'!$A$3,"MA_HT","RDD","MA_QH","SKT")</f>
        <v>0</v>
      </c>
      <c r="W15" s="22">
        <f ca="1">+GETPIVOTDATA("XLL4",'langlon (2016)'!$A$3,"MA_HT","RDD","MA_QH","SKN")</f>
        <v>0</v>
      </c>
      <c r="X15" s="22">
        <f ca="1">+GETPIVOTDATA("XLL4",'langlon (2016)'!$A$3,"MA_HT","RDD","MA_QH","TMD")</f>
        <v>0</v>
      </c>
      <c r="Y15" s="22">
        <f ca="1">+GETPIVOTDATA("XLL4",'langlon (2016)'!$A$3,"MA_HT","RDD","MA_QH","SKC")</f>
        <v>0</v>
      </c>
      <c r="Z15" s="22">
        <f ca="1">+GETPIVOTDATA("XLL4",'langlon (2016)'!$A$3,"MA_HT","RDD","MA_QH","SKS")</f>
        <v>0</v>
      </c>
      <c r="AA15" s="52">
        <f ca="1" t="shared" si="4"/>
        <v>0</v>
      </c>
      <c r="AB15" s="22">
        <f ca="1">+GETPIVOTDATA("XLL4",'langlon (2016)'!$A$3,"MA_HT","RDD","MA_QH","DGT")</f>
        <v>0</v>
      </c>
      <c r="AC15" s="22">
        <f ca="1">+GETPIVOTDATA("XLL4",'langlon (2016)'!$A$3,"MA_HT","RDD","MA_QH","DTL")</f>
        <v>0</v>
      </c>
      <c r="AD15" s="22">
        <f ca="1">+GETPIVOTDATA("XLL4",'langlon (2016)'!$A$3,"MA_HT","RDD","MA_QH","DNL")</f>
        <v>0</v>
      </c>
      <c r="AE15" s="22">
        <f ca="1">+GETPIVOTDATA("XLL4",'langlon (2016)'!$A$3,"MA_HT","RDD","MA_QH","DBV")</f>
        <v>0</v>
      </c>
      <c r="AF15" s="22">
        <f ca="1">+GETPIVOTDATA("XLL4",'langlon (2016)'!$A$3,"MA_HT","RDD","MA_QH","DVH")</f>
        <v>0</v>
      </c>
      <c r="AG15" s="22">
        <f ca="1">+GETPIVOTDATA("XLL4",'langlon (2016)'!$A$3,"MA_HT","RDD","MA_QH","DYT")</f>
        <v>0</v>
      </c>
      <c r="AH15" s="22">
        <f ca="1">+GETPIVOTDATA("XLL4",'langlon (2016)'!$A$3,"MA_HT","RDD","MA_QH","DGD")</f>
        <v>0</v>
      </c>
      <c r="AI15" s="22">
        <f ca="1">+GETPIVOTDATA("XLL4",'langlon (2016)'!$A$3,"MA_HT","RDD","MA_QH","DTT")</f>
        <v>0</v>
      </c>
      <c r="AJ15" s="22">
        <f ca="1">+GETPIVOTDATA("XLL4",'langlon (2016)'!$A$3,"MA_HT","RDD","MA_QH","NCK")</f>
        <v>0</v>
      </c>
      <c r="AK15" s="22">
        <f ca="1">+GETPIVOTDATA("XLL4",'langlon (2016)'!$A$3,"MA_HT","RDD","MA_QH","DXH")</f>
        <v>0</v>
      </c>
      <c r="AL15" s="22">
        <f ca="1">+GETPIVOTDATA("XLL4",'langlon (2016)'!$A$3,"MA_HT","RDD","MA_QH","DCH")</f>
        <v>0</v>
      </c>
      <c r="AM15" s="22">
        <f ca="1">+GETPIVOTDATA("XLL4",'langlon (2016)'!$A$3,"MA_HT","RDD","MA_QH","DKG")</f>
        <v>0</v>
      </c>
      <c r="AN15" s="22">
        <f ca="1">+GETPIVOTDATA("XLL4",'langlon (2016)'!$A$3,"MA_HT","RDD","MA_QH","DDT")</f>
        <v>0</v>
      </c>
      <c r="AO15" s="22">
        <f ca="1">+GETPIVOTDATA("XLL4",'langlon (2016)'!$A$3,"MA_HT","RDD","MA_QH","DDL")</f>
        <v>0</v>
      </c>
      <c r="AP15" s="22">
        <f ca="1">+GETPIVOTDATA("XLL4",'langlon (2016)'!$A$3,"MA_HT","RDD","MA_QH","DRA")</f>
        <v>0</v>
      </c>
      <c r="AQ15" s="22">
        <f ca="1">+GETPIVOTDATA("XLL4",'langlon (2016)'!$A$3,"MA_HT","RDD","MA_QH","ONT")</f>
        <v>0</v>
      </c>
      <c r="AR15" s="22">
        <f ca="1">+GETPIVOTDATA("XLL4",'langlon (2016)'!$A$3,"MA_HT","RDD","MA_QH","ODT")</f>
        <v>0</v>
      </c>
      <c r="AS15" s="22">
        <f ca="1">+GETPIVOTDATA("XLL4",'langlon (2016)'!$A$3,"MA_HT","RDD","MA_QH","TSC")</f>
        <v>0</v>
      </c>
      <c r="AT15" s="22">
        <f ca="1">+GETPIVOTDATA("XLL4",'langlon (2016)'!$A$3,"MA_HT","RDD","MA_QH","DTS")</f>
        <v>0</v>
      </c>
      <c r="AU15" s="22">
        <f ca="1">+GETPIVOTDATA("XLL4",'langlon (2016)'!$A$3,"MA_HT","RDD","MA_QH","DNG")</f>
        <v>0</v>
      </c>
      <c r="AV15" s="22">
        <f ca="1">+GETPIVOTDATA("XLL4",'langlon (2016)'!$A$3,"MA_HT","RDD","MA_QH","TON")</f>
        <v>0</v>
      </c>
      <c r="AW15" s="22">
        <f ca="1">+GETPIVOTDATA("XLL4",'langlon (2016)'!$A$3,"MA_HT","RDD","MA_QH","NTD")</f>
        <v>0</v>
      </c>
      <c r="AX15" s="22">
        <f ca="1">+GETPIVOTDATA("XLL4",'langlon (2016)'!$A$3,"MA_HT","RDD","MA_QH","SKX")</f>
        <v>0</v>
      </c>
      <c r="AY15" s="22">
        <f ca="1">+GETPIVOTDATA("XLL4",'langlon (2016)'!$A$3,"MA_HT","RDD","MA_QH","DSH")</f>
        <v>0</v>
      </c>
      <c r="AZ15" s="22">
        <f ca="1">+GETPIVOTDATA("XLL4",'langlon (2016)'!$A$3,"MA_HT","RDD","MA_QH","DKV")</f>
        <v>0</v>
      </c>
      <c r="BA15" s="89">
        <f ca="1">+GETPIVOTDATA("XLL4",'langlon (2016)'!$A$3,"MA_HT","RDD","MA_QH","TIN")</f>
        <v>0</v>
      </c>
      <c r="BB15" s="50">
        <f ca="1">+GETPIVOTDATA("XLL4",'langlon (2016)'!$A$3,"MA_HT","RDD","MA_QH","SON")</f>
        <v>0</v>
      </c>
      <c r="BC15" s="50">
        <f ca="1">+GETPIVOTDATA("XLL4",'langlon (2016)'!$A$3,"MA_HT","RDD","MA_QH","MNC")</f>
        <v>0</v>
      </c>
      <c r="BD15" s="22">
        <f ca="1">+GETPIVOTDATA("XLL4",'langlon (2016)'!$A$3,"MA_HT","RDD","MA_QH","PNK")</f>
        <v>0</v>
      </c>
      <c r="BE15" s="71">
        <f ca="1">+GETPIVOTDATA("XLL4",'langlon (2016)'!$A$3,"MA_HT","RDD","MA_QH","CSD")</f>
        <v>0</v>
      </c>
      <c r="BF15" s="74">
        <f ca="1" t="shared" si="7"/>
        <v>0</v>
      </c>
      <c r="BG15" s="101">
        <f ca="1">N$59-$BF15</f>
        <v>0</v>
      </c>
      <c r="BH15" s="41" t="e">
        <f ca="1" t="shared" si="8"/>
        <v>#REF!</v>
      </c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</row>
    <row r="16" s="2" customFormat="1" ht="15.75" customHeight="1" spans="1:79">
      <c r="A16" s="39" t="s">
        <v>8353</v>
      </c>
      <c r="B16" s="39" t="s">
        <v>8354</v>
      </c>
      <c r="C16" s="40" t="s">
        <v>318</v>
      </c>
      <c r="D16" s="47" t="e">
        <f>+#REF!</f>
        <v>#REF!</v>
      </c>
      <c r="E16" s="42">
        <f ca="1">SUM(F16,J16:N16,P16:Q16)</f>
        <v>0</v>
      </c>
      <c r="F16" s="52">
        <f ca="1" t="shared" si="9"/>
        <v>0</v>
      </c>
      <c r="G16" s="22">
        <f ca="1">+GETPIVOTDATA("XLL4",'langlon (2016)'!$A$3,"MA_HT","NTS","MA_QH","LUC")</f>
        <v>0</v>
      </c>
      <c r="H16" s="22">
        <f ca="1">+GETPIVOTDATA("XLL4",'langlon (2016)'!$A$3,"MA_HT","NTS","MA_QH","LUK")</f>
        <v>0</v>
      </c>
      <c r="I16" s="22">
        <f ca="1">+GETPIVOTDATA("XLL4",'langlon (2016)'!$A$3,"MA_HT","NTS","MA_QH","LUN")</f>
        <v>0</v>
      </c>
      <c r="J16" s="22">
        <f ca="1">+GETPIVOTDATA("XLL4",'langlon (2016)'!$A$3,"MA_HT","NTS","MA_QH","HNK")</f>
        <v>0</v>
      </c>
      <c r="K16" s="22">
        <f ca="1">+GETPIVOTDATA("XLL4",'langlon (2016)'!$A$3,"MA_HT","NTS","MA_QH","CLN")</f>
        <v>0</v>
      </c>
      <c r="L16" s="22">
        <f ca="1">+GETPIVOTDATA("XLL4",'langlon (2016)'!$A$3,"MA_HT","NTS","MA_QH","RSX")</f>
        <v>0</v>
      </c>
      <c r="M16" s="22">
        <f ca="1">+GETPIVOTDATA("XLL4",'langlon (2016)'!$A$3,"MA_HT","NTS","MA_QH","RPH")</f>
        <v>0</v>
      </c>
      <c r="N16" s="22">
        <f ca="1">+GETPIVOTDATA("XLL4",'langlon (2016)'!$A$3,"MA_HT","NTS","MA_QH","RDD")</f>
        <v>0</v>
      </c>
      <c r="O16" s="43" t="e">
        <f ca="1">$D16-$BF16</f>
        <v>#REF!</v>
      </c>
      <c r="P16" s="22">
        <f ca="1">+GETPIVOTDATA("XLL4",'langlon (2016)'!$A$3,"MA_HT","NTS","MA_QH","LMU")</f>
        <v>0</v>
      </c>
      <c r="Q16" s="22">
        <f ca="1">+GETPIVOTDATA("XLL4",'langlon (2016)'!$A$3,"MA_HT","NTS","MA_QH","NKH")</f>
        <v>0</v>
      </c>
      <c r="R16" s="42">
        <f ca="1" t="shared" si="2"/>
        <v>0</v>
      </c>
      <c r="S16" s="22">
        <f ca="1">+GETPIVOTDATA("XLL4",'langlon (2016)'!$A$3,"MA_HT","NTS","MA_QH","CQP")</f>
        <v>0</v>
      </c>
      <c r="T16" s="22">
        <f ca="1">+GETPIVOTDATA("XLL4",'langlon (2016)'!$A$3,"MA_HT","NTS","MA_QH","CAN")</f>
        <v>0</v>
      </c>
      <c r="U16" s="22">
        <f ca="1">+GETPIVOTDATA("XLL4",'langlon (2016)'!$A$3,"MA_HT","NTS","MA_QH","SKK")</f>
        <v>0</v>
      </c>
      <c r="V16" s="22">
        <f ca="1">+GETPIVOTDATA("XLL4",'langlon (2016)'!$A$3,"MA_HT","NTS","MA_QH","SKT")</f>
        <v>0</v>
      </c>
      <c r="W16" s="22">
        <f ca="1">+GETPIVOTDATA("XLL4",'langlon (2016)'!$A$3,"MA_HT","NTS","MA_QH","SKN")</f>
        <v>0</v>
      </c>
      <c r="X16" s="22">
        <f ca="1">+GETPIVOTDATA("XLL4",'langlon (2016)'!$A$3,"MA_HT","NTS","MA_QH","TMD")</f>
        <v>0</v>
      </c>
      <c r="Y16" s="22">
        <f ca="1">+GETPIVOTDATA("XLL4",'langlon (2016)'!$A$3,"MA_HT","NTS","MA_QH","SKC")</f>
        <v>0</v>
      </c>
      <c r="Z16" s="22">
        <f ca="1">+GETPIVOTDATA("XLL4",'langlon (2016)'!$A$3,"MA_HT","NTS","MA_QH","SKS")</f>
        <v>0</v>
      </c>
      <c r="AA16" s="52">
        <f ca="1" t="shared" si="4"/>
        <v>0</v>
      </c>
      <c r="AB16" s="22">
        <f ca="1">+GETPIVOTDATA("XLL4",'langlon (2016)'!$A$3,"MA_HT","NTS","MA_QH","DGT")</f>
        <v>0</v>
      </c>
      <c r="AC16" s="22">
        <f ca="1">+GETPIVOTDATA("XLL4",'langlon (2016)'!$A$3,"MA_HT","NTS","MA_QH","DTL")</f>
        <v>0</v>
      </c>
      <c r="AD16" s="22">
        <f ca="1">+GETPIVOTDATA("XLL4",'langlon (2016)'!$A$3,"MA_HT","NTS","MA_QH","DNL")</f>
        <v>0</v>
      </c>
      <c r="AE16" s="22">
        <f ca="1">+GETPIVOTDATA("XLL4",'langlon (2016)'!$A$3,"MA_HT","NTS","MA_QH","DBV")</f>
        <v>0</v>
      </c>
      <c r="AF16" s="22">
        <f ca="1">+GETPIVOTDATA("XLL4",'langlon (2016)'!$A$3,"MA_HT","NTS","MA_QH","DVH")</f>
        <v>0</v>
      </c>
      <c r="AG16" s="22">
        <f ca="1">+GETPIVOTDATA("XLL4",'langlon (2016)'!$A$3,"MA_HT","NTS","MA_QH","DYT")</f>
        <v>0</v>
      </c>
      <c r="AH16" s="22">
        <f ca="1">+GETPIVOTDATA("XLL4",'langlon (2016)'!$A$3,"MA_HT","NTS","MA_QH","DGD")</f>
        <v>0</v>
      </c>
      <c r="AI16" s="22">
        <f ca="1">+GETPIVOTDATA("XLL4",'langlon (2016)'!$A$3,"MA_HT","NTS","MA_QH","DTT")</f>
        <v>0</v>
      </c>
      <c r="AJ16" s="22">
        <f ca="1">+GETPIVOTDATA("XLL4",'langlon (2016)'!$A$3,"MA_HT","NTS","MA_QH","NCK")</f>
        <v>0</v>
      </c>
      <c r="AK16" s="22">
        <f ca="1">+GETPIVOTDATA("XLL4",'langlon (2016)'!$A$3,"MA_HT","NTS","MA_QH","DXH")</f>
        <v>0</v>
      </c>
      <c r="AL16" s="22">
        <f ca="1">+GETPIVOTDATA("XLL4",'langlon (2016)'!$A$3,"MA_HT","NTS","MA_QH","DCH")</f>
        <v>0</v>
      </c>
      <c r="AM16" s="22">
        <f ca="1">+GETPIVOTDATA("XLL4",'langlon (2016)'!$A$3,"MA_HT","NTS","MA_QH","DKG")</f>
        <v>0</v>
      </c>
      <c r="AN16" s="22">
        <f ca="1">+GETPIVOTDATA("XLL4",'langlon (2016)'!$A$3,"MA_HT","NTS","MA_QH","DDT")</f>
        <v>0</v>
      </c>
      <c r="AO16" s="22">
        <f ca="1">+GETPIVOTDATA("XLL4",'langlon (2016)'!$A$3,"MA_HT","NTS","MA_QH","DDL")</f>
        <v>0</v>
      </c>
      <c r="AP16" s="22">
        <f ca="1">+GETPIVOTDATA("XLL4",'langlon (2016)'!$A$3,"MA_HT","NTS","MA_QH","DRA")</f>
        <v>0</v>
      </c>
      <c r="AQ16" s="22">
        <f ca="1">+GETPIVOTDATA("XLL4",'langlon (2016)'!$A$3,"MA_HT","NTS","MA_QH","ONT")</f>
        <v>0</v>
      </c>
      <c r="AR16" s="22">
        <f ca="1">+GETPIVOTDATA("XLL4",'langlon (2016)'!$A$3,"MA_HT","NTS","MA_QH","ODT")</f>
        <v>0</v>
      </c>
      <c r="AS16" s="22">
        <f ca="1">+GETPIVOTDATA("XLL4",'langlon (2016)'!$A$3,"MA_HT","NTS","MA_QH","TSC")</f>
        <v>0</v>
      </c>
      <c r="AT16" s="22">
        <f ca="1">+GETPIVOTDATA("XLL4",'langlon (2016)'!$A$3,"MA_HT","NTS","MA_QH","DTS")</f>
        <v>0</v>
      </c>
      <c r="AU16" s="22">
        <f ca="1">+GETPIVOTDATA("XLL4",'langlon (2016)'!$A$3,"MA_HT","NTS","MA_QH","DNG")</f>
        <v>0</v>
      </c>
      <c r="AV16" s="22">
        <f ca="1">+GETPIVOTDATA("XLL4",'langlon (2016)'!$A$3,"MA_HT","NTS","MA_QH","TON")</f>
        <v>0</v>
      </c>
      <c r="AW16" s="22">
        <f ca="1">+GETPIVOTDATA("XLL4",'langlon (2016)'!$A$3,"MA_HT","NTS","MA_QH","NTD")</f>
        <v>0</v>
      </c>
      <c r="AX16" s="22">
        <f ca="1">+GETPIVOTDATA("XLL4",'langlon (2016)'!$A$3,"MA_HT","NTS","MA_QH","SKX")</f>
        <v>0</v>
      </c>
      <c r="AY16" s="22">
        <f ca="1">+GETPIVOTDATA("XLL4",'langlon (2016)'!$A$3,"MA_HT","NTS","MA_QH","DSH")</f>
        <v>0</v>
      </c>
      <c r="AZ16" s="22">
        <f ca="1">+GETPIVOTDATA("XLL4",'langlon (2016)'!$A$3,"MA_HT","NTS","MA_QH","DKV")</f>
        <v>0</v>
      </c>
      <c r="BA16" s="89">
        <f ca="1">+GETPIVOTDATA("XLL4",'langlon (2016)'!$A$3,"MA_HT","NTS","MA_QH","TIN")</f>
        <v>0</v>
      </c>
      <c r="BB16" s="50">
        <f ca="1">+GETPIVOTDATA("XLL4",'langlon (2016)'!$A$3,"MA_HT","NTS","MA_QH","SON")</f>
        <v>0</v>
      </c>
      <c r="BC16" s="50">
        <f ca="1">+GETPIVOTDATA("XLL4",'langlon (2016)'!$A$3,"MA_HT","NTS","MA_QH","MNC")</f>
        <v>0</v>
      </c>
      <c r="BD16" s="22">
        <f ca="1">+GETPIVOTDATA("XLL4",'langlon (2016)'!$A$3,"MA_HT","NTS","MA_QH","PNK")</f>
        <v>0</v>
      </c>
      <c r="BE16" s="71">
        <f ca="1">+GETPIVOTDATA("XLL4",'langlon (2016)'!$A$3,"MA_HT","NTS","MA_QH","CSD")</f>
        <v>0</v>
      </c>
      <c r="BF16" s="74">
        <f ca="1" t="shared" si="7"/>
        <v>0</v>
      </c>
      <c r="BG16" s="101">
        <f ca="1">O$59-$BF16</f>
        <v>0</v>
      </c>
      <c r="BH16" s="41" t="e">
        <f ca="1" t="shared" si="8"/>
        <v>#REF!</v>
      </c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</row>
    <row r="17" s="2" customFormat="1" ht="15.75" customHeight="1" spans="1:79">
      <c r="A17" s="39" t="s">
        <v>8355</v>
      </c>
      <c r="B17" s="39" t="s">
        <v>8356</v>
      </c>
      <c r="C17" s="40" t="s">
        <v>8297</v>
      </c>
      <c r="D17" s="47" t="e">
        <f>+#REF!</f>
        <v>#REF!</v>
      </c>
      <c r="E17" s="42">
        <f ca="1">SUM(F17,J17:O17,Q17:Q17)</f>
        <v>0</v>
      </c>
      <c r="F17" s="52">
        <f ca="1" t="shared" si="9"/>
        <v>0</v>
      </c>
      <c r="G17" s="22">
        <f ca="1">+GETPIVOTDATA("XLL4",'langlon (2016)'!$A$3,"MA_HT","LMU","MA_QH","LUC")</f>
        <v>0</v>
      </c>
      <c r="H17" s="22">
        <f ca="1">+GETPIVOTDATA("XLL4",'langlon (2016)'!$A$3,"MA_HT","LMU","MA_QH","LUK")</f>
        <v>0</v>
      </c>
      <c r="I17" s="22">
        <f ca="1">+GETPIVOTDATA("XLL4",'langlon (2016)'!$A$3,"MA_HT","LMU","MA_QH","LUN")</f>
        <v>0</v>
      </c>
      <c r="J17" s="22">
        <f ca="1">+GETPIVOTDATA("XLL4",'langlon (2016)'!$A$3,"MA_HT","LMU","MA_QH","HNK")</f>
        <v>0</v>
      </c>
      <c r="K17" s="22">
        <f ca="1">+GETPIVOTDATA("XLL4",'langlon (2016)'!$A$3,"MA_HT","LMU","MA_QH","CLN")</f>
        <v>0</v>
      </c>
      <c r="L17" s="22">
        <f ca="1">+GETPIVOTDATA("XLL4",'langlon (2016)'!$A$3,"MA_HT","LMU","MA_QH","RSX")</f>
        <v>0</v>
      </c>
      <c r="M17" s="22">
        <f ca="1">+GETPIVOTDATA("XLL4",'langlon (2016)'!$A$3,"MA_HT","LMU","MA_QH","RPH")</f>
        <v>0</v>
      </c>
      <c r="N17" s="22">
        <f ca="1">+GETPIVOTDATA("XLL4",'langlon (2016)'!$A$3,"MA_HT","LMU","MA_QH","RDD")</f>
        <v>0</v>
      </c>
      <c r="O17" s="22">
        <f ca="1">+GETPIVOTDATA("XLL4",'langlon (2016)'!$A$3,"MA_HT","LMU","MA_QH","NTS")</f>
        <v>0</v>
      </c>
      <c r="P17" s="43" t="e">
        <f ca="1">$D17-$BF17</f>
        <v>#REF!</v>
      </c>
      <c r="Q17" s="22">
        <f ca="1">+GETPIVOTDATA("XLL4",'langlon (2016)'!$A$3,"MA_HT","LMU","MA_QH","NKH")</f>
        <v>0</v>
      </c>
      <c r="R17" s="42">
        <f ca="1" t="shared" si="2"/>
        <v>0</v>
      </c>
      <c r="S17" s="22">
        <f ca="1">+GETPIVOTDATA("XLL4",'langlon (2016)'!$A$3,"MA_HT","LMU","MA_QH","CQP")</f>
        <v>0</v>
      </c>
      <c r="T17" s="22">
        <f ca="1">+GETPIVOTDATA("XLL4",'langlon (2016)'!$A$3,"MA_HT","LMU","MA_QH","CAN")</f>
        <v>0</v>
      </c>
      <c r="U17" s="22">
        <f ca="1">+GETPIVOTDATA("XLL4",'langlon (2016)'!$A$3,"MA_HT","LMU","MA_QH","SKK")</f>
        <v>0</v>
      </c>
      <c r="V17" s="22">
        <f ca="1">+GETPIVOTDATA("XLL4",'langlon (2016)'!$A$3,"MA_HT","LMU","MA_QH","SKT")</f>
        <v>0</v>
      </c>
      <c r="W17" s="22">
        <f ca="1">+GETPIVOTDATA("XLL4",'langlon (2016)'!$A$3,"MA_HT","LMU","MA_QH","SKN")</f>
        <v>0</v>
      </c>
      <c r="X17" s="22">
        <f ca="1">+GETPIVOTDATA("XLL4",'langlon (2016)'!$A$3,"MA_HT","LMU","MA_QH","TMD")</f>
        <v>0</v>
      </c>
      <c r="Y17" s="22">
        <f ca="1">+GETPIVOTDATA("XLL4",'langlon (2016)'!$A$3,"MA_HT","LMU","MA_QH","SKC")</f>
        <v>0</v>
      </c>
      <c r="Z17" s="22">
        <f ca="1">+GETPIVOTDATA("XLL4",'langlon (2016)'!$A$3,"MA_HT","LMU","MA_QH","SKS")</f>
        <v>0</v>
      </c>
      <c r="AA17" s="52">
        <f ca="1" t="shared" si="4"/>
        <v>0</v>
      </c>
      <c r="AB17" s="22">
        <f ca="1">+GETPIVOTDATA("XLL4",'langlon (2016)'!$A$3,"MA_HT","LMU","MA_QH","DGT")</f>
        <v>0</v>
      </c>
      <c r="AC17" s="22">
        <f ca="1">+GETPIVOTDATA("XLL4",'langlon (2016)'!$A$3,"MA_HT","LMU","MA_QH","DTL")</f>
        <v>0</v>
      </c>
      <c r="AD17" s="22">
        <f ca="1">+GETPIVOTDATA("XLL4",'langlon (2016)'!$A$3,"MA_HT","LMU","MA_QH","DNL")</f>
        <v>0</v>
      </c>
      <c r="AE17" s="22">
        <f ca="1">+GETPIVOTDATA("XLL4",'langlon (2016)'!$A$3,"MA_HT","LMU","MA_QH","DBV")</f>
        <v>0</v>
      </c>
      <c r="AF17" s="22">
        <f ca="1">+GETPIVOTDATA("XLL4",'langlon (2016)'!$A$3,"MA_HT","LMU","MA_QH","DVH")</f>
        <v>0</v>
      </c>
      <c r="AG17" s="22">
        <f ca="1">+GETPIVOTDATA("XLL4",'langlon (2016)'!$A$3,"MA_HT","LMU","MA_QH","DYT")</f>
        <v>0</v>
      </c>
      <c r="AH17" s="22">
        <f ca="1">+GETPIVOTDATA("XLL4",'langlon (2016)'!$A$3,"MA_HT","LMU","MA_QH","DGD")</f>
        <v>0</v>
      </c>
      <c r="AI17" s="22">
        <f ca="1">+GETPIVOTDATA("XLL4",'langlon (2016)'!$A$3,"MA_HT","LMU","MA_QH","DTT")</f>
        <v>0</v>
      </c>
      <c r="AJ17" s="22">
        <f ca="1">+GETPIVOTDATA("XLL4",'langlon (2016)'!$A$3,"MA_HT","LMU","MA_QH","NCK")</f>
        <v>0</v>
      </c>
      <c r="AK17" s="22">
        <f ca="1">+GETPIVOTDATA("XLL4",'langlon (2016)'!$A$3,"MA_HT","LMU","MA_QH","DXH")</f>
        <v>0</v>
      </c>
      <c r="AL17" s="22">
        <f ca="1">+GETPIVOTDATA("XLL4",'langlon (2016)'!$A$3,"MA_HT","LMU","MA_QH","DCH")</f>
        <v>0</v>
      </c>
      <c r="AM17" s="22">
        <f ca="1">+GETPIVOTDATA("XLL4",'langlon (2016)'!$A$3,"MA_HT","LMU","MA_QH","DKG")</f>
        <v>0</v>
      </c>
      <c r="AN17" s="22">
        <f ca="1">+GETPIVOTDATA("XLL4",'langlon (2016)'!$A$3,"MA_HT","LMU","MA_QH","DDT")</f>
        <v>0</v>
      </c>
      <c r="AO17" s="22">
        <f ca="1">+GETPIVOTDATA("XLL4",'langlon (2016)'!$A$3,"MA_HT","LMU","MA_QH","DDL")</f>
        <v>0</v>
      </c>
      <c r="AP17" s="22">
        <f ca="1">+GETPIVOTDATA("XLL4",'langlon (2016)'!$A$3,"MA_HT","LMU","MA_QH","DRA")</f>
        <v>0</v>
      </c>
      <c r="AQ17" s="22">
        <f ca="1">+GETPIVOTDATA("XLL4",'langlon (2016)'!$A$3,"MA_HT","LMU","MA_QH","ONT")</f>
        <v>0</v>
      </c>
      <c r="AR17" s="22">
        <f ca="1">+GETPIVOTDATA("XLL4",'langlon (2016)'!$A$3,"MA_HT","LMU","MA_QH","ODT")</f>
        <v>0</v>
      </c>
      <c r="AS17" s="22">
        <f ca="1">+GETPIVOTDATA("XLL4",'langlon (2016)'!$A$3,"MA_HT","LMU","MA_QH","TSC")</f>
        <v>0</v>
      </c>
      <c r="AT17" s="22">
        <f ca="1">+GETPIVOTDATA("XLL4",'langlon (2016)'!$A$3,"MA_HT","LMU","MA_QH","DTS")</f>
        <v>0</v>
      </c>
      <c r="AU17" s="22">
        <f ca="1">+GETPIVOTDATA("XLL4",'langlon (2016)'!$A$3,"MA_HT","LMU","MA_QH","DNG")</f>
        <v>0</v>
      </c>
      <c r="AV17" s="22">
        <f ca="1">+GETPIVOTDATA("XLL4",'langlon (2016)'!$A$3,"MA_HT","LMU","MA_QH","TON")</f>
        <v>0</v>
      </c>
      <c r="AW17" s="22">
        <f ca="1">+GETPIVOTDATA("XLL4",'langlon (2016)'!$A$3,"MA_HT","LMU","MA_QH","NTD")</f>
        <v>0</v>
      </c>
      <c r="AX17" s="22">
        <f ca="1">+GETPIVOTDATA("XLL4",'langlon (2016)'!$A$3,"MA_HT","LMU","MA_QH","SKX")</f>
        <v>0</v>
      </c>
      <c r="AY17" s="22">
        <f ca="1">+GETPIVOTDATA("XLL4",'langlon (2016)'!$A$3,"MA_HT","LMU","MA_QH","DSH")</f>
        <v>0</v>
      </c>
      <c r="AZ17" s="22">
        <f ca="1">+GETPIVOTDATA("XLL4",'langlon (2016)'!$A$3,"MA_HT","LMU","MA_QH","DKV")</f>
        <v>0</v>
      </c>
      <c r="BA17" s="89">
        <f ca="1">+GETPIVOTDATA("XLL4",'langlon (2016)'!$A$3,"MA_HT","LMU","MA_QH","TIN")</f>
        <v>0</v>
      </c>
      <c r="BB17" s="50">
        <f ca="1">+GETPIVOTDATA("XLL4",'langlon (2016)'!$A$3,"MA_HT","LMU","MA_QH","SON")</f>
        <v>0</v>
      </c>
      <c r="BC17" s="50">
        <f ca="1">+GETPIVOTDATA("XLL4",'langlon (2016)'!$A$3,"MA_HT","LMU","MA_QH","MNC")</f>
        <v>0</v>
      </c>
      <c r="BD17" s="22">
        <f ca="1">+GETPIVOTDATA("XLL4",'langlon (2016)'!$A$3,"MA_HT","LMU","MA_QH","PNK")</f>
        <v>0</v>
      </c>
      <c r="BE17" s="71">
        <f ca="1">+GETPIVOTDATA("XLL4",'langlon (2016)'!$A$3,"MA_HT","LMU","MA_QH","CSD")</f>
        <v>0</v>
      </c>
      <c r="BF17" s="74">
        <f ca="1" t="shared" si="7"/>
        <v>0</v>
      </c>
      <c r="BG17" s="101">
        <f ca="1">P$59-$BF17</f>
        <v>0</v>
      </c>
      <c r="BH17" s="41" t="e">
        <f ca="1" t="shared" si="8"/>
        <v>#REF!</v>
      </c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</row>
    <row r="18" s="2" customFormat="1" ht="15.75" customHeight="1" spans="1:79">
      <c r="A18" s="39" t="s">
        <v>8357</v>
      </c>
      <c r="B18" s="39" t="s">
        <v>8358</v>
      </c>
      <c r="C18" s="40" t="s">
        <v>553</v>
      </c>
      <c r="D18" s="47" t="e">
        <f>+#REF!</f>
        <v>#REF!</v>
      </c>
      <c r="E18" s="42">
        <f ca="1">SUM(F18,J18:P18)</f>
        <v>0</v>
      </c>
      <c r="F18" s="52">
        <f ca="1" t="shared" si="9"/>
        <v>0</v>
      </c>
      <c r="G18" s="22">
        <f ca="1">+GETPIVOTDATA("XLL4",'langlon (2016)'!$A$3,"MA_HT","NKH","MA_QH","LUC")</f>
        <v>0</v>
      </c>
      <c r="H18" s="22">
        <f ca="1">+GETPIVOTDATA("XLL4",'langlon (2016)'!$A$3,"MA_HT","NKH","MA_QH","LUK")</f>
        <v>0</v>
      </c>
      <c r="I18" s="22">
        <f ca="1">+GETPIVOTDATA("XLL4",'langlon (2016)'!$A$3,"MA_HT","NKH","MA_QH","LUN")</f>
        <v>0</v>
      </c>
      <c r="J18" s="22">
        <f ca="1">+GETPIVOTDATA("XLL4",'langlon (2016)'!$A$3,"MA_HT","NKH","MA_QH","HNK")</f>
        <v>0</v>
      </c>
      <c r="K18" s="22">
        <f ca="1">+GETPIVOTDATA("XLL4",'langlon (2016)'!$A$3,"MA_HT","NKH","MA_QH","CLN")</f>
        <v>0</v>
      </c>
      <c r="L18" s="22">
        <f ca="1">+GETPIVOTDATA("XLL4",'langlon (2016)'!$A$3,"MA_HT","NKH","MA_QH","RSX")</f>
        <v>0</v>
      </c>
      <c r="M18" s="22">
        <f ca="1">+GETPIVOTDATA("XLL4",'langlon (2016)'!$A$3,"MA_HT","NKH","MA_QH","RPH")</f>
        <v>0</v>
      </c>
      <c r="N18" s="22">
        <f ca="1">+GETPIVOTDATA("XLL4",'langlon (2016)'!$A$3,"MA_HT","NKH","MA_QH","RDD")</f>
        <v>0</v>
      </c>
      <c r="O18" s="22">
        <f ca="1">+GETPIVOTDATA("XLL4",'langlon (2016)'!$A$3,"MA_HT","NKH","MA_QH","NTS")</f>
        <v>0</v>
      </c>
      <c r="P18" s="22">
        <f ca="1">+GETPIVOTDATA("XLL4",'langlon (2016)'!$A$3,"MA_HT","NKH","MA_QH","LMU")</f>
        <v>0</v>
      </c>
      <c r="Q18" s="43" t="e">
        <f ca="1">$D18-$BF18</f>
        <v>#REF!</v>
      </c>
      <c r="R18" s="42">
        <f ca="1" t="shared" si="2"/>
        <v>0</v>
      </c>
      <c r="S18" s="22">
        <f ca="1">+GETPIVOTDATA("XLL4",'langlon (2016)'!$A$3,"MA_HT","NKH","MA_QH","CQP")</f>
        <v>0</v>
      </c>
      <c r="T18" s="22">
        <f ca="1">+GETPIVOTDATA("XLL4",'langlon (2016)'!$A$3,"MA_HT","NKH","MA_QH","CAN")</f>
        <v>0</v>
      </c>
      <c r="U18" s="22">
        <f ca="1">+GETPIVOTDATA("XLL4",'langlon (2016)'!$A$3,"MA_HT","NKH","MA_QH","SKK")</f>
        <v>0</v>
      </c>
      <c r="V18" s="22">
        <f ca="1">+GETPIVOTDATA("XLL4",'langlon (2016)'!$A$3,"MA_HT","NKH","MA_QH","SKT")</f>
        <v>0</v>
      </c>
      <c r="W18" s="22">
        <f ca="1">+GETPIVOTDATA("XLL4",'langlon (2016)'!$A$3,"MA_HT","NKH","MA_QH","SKN")</f>
        <v>0</v>
      </c>
      <c r="X18" s="22">
        <f ca="1">+GETPIVOTDATA("XLL4",'langlon (2016)'!$A$3,"MA_HT","NKH","MA_QH","TMD")</f>
        <v>0</v>
      </c>
      <c r="Y18" s="22">
        <f ca="1">+GETPIVOTDATA("XLL4",'langlon (2016)'!$A$3,"MA_HT","NKH","MA_QH","SKC")</f>
        <v>0</v>
      </c>
      <c r="Z18" s="22">
        <f ca="1">+GETPIVOTDATA("XLL4",'langlon (2016)'!$A$3,"MA_HT","NKH","MA_QH","SKS")</f>
        <v>0</v>
      </c>
      <c r="AA18" s="52">
        <f ca="1" t="shared" si="4"/>
        <v>0</v>
      </c>
      <c r="AB18" s="22">
        <f ca="1">+GETPIVOTDATA("XLL4",'langlon (2016)'!$A$3,"MA_HT","NKH","MA_QH","DGT")</f>
        <v>0</v>
      </c>
      <c r="AC18" s="22">
        <f ca="1">+GETPIVOTDATA("XLL4",'langlon (2016)'!$A$3,"MA_HT","NKH","MA_QH","DTL")</f>
        <v>0</v>
      </c>
      <c r="AD18" s="22">
        <f ca="1">+GETPIVOTDATA("XLL4",'langlon (2016)'!$A$3,"MA_HT","NKH","MA_QH","DNL")</f>
        <v>0</v>
      </c>
      <c r="AE18" s="22">
        <f ca="1">+GETPIVOTDATA("XLL4",'langlon (2016)'!$A$3,"MA_HT","NKH","MA_QH","DBV")</f>
        <v>0</v>
      </c>
      <c r="AF18" s="22">
        <f ca="1">+GETPIVOTDATA("XLL4",'langlon (2016)'!$A$3,"MA_HT","NKH","MA_QH","DVH")</f>
        <v>0</v>
      </c>
      <c r="AG18" s="22">
        <f ca="1">+GETPIVOTDATA("XLL4",'langlon (2016)'!$A$3,"MA_HT","NKH","MA_QH","DYT")</f>
        <v>0</v>
      </c>
      <c r="AH18" s="22">
        <f ca="1">+GETPIVOTDATA("XLL4",'langlon (2016)'!$A$3,"MA_HT","NKH","MA_QH","DGD")</f>
        <v>0</v>
      </c>
      <c r="AI18" s="22">
        <f ca="1">+GETPIVOTDATA("XLL4",'langlon (2016)'!$A$3,"MA_HT","NKH","MA_QH","DTT")</f>
        <v>0</v>
      </c>
      <c r="AJ18" s="22">
        <f ca="1">+GETPIVOTDATA("XLL4",'langlon (2016)'!$A$3,"MA_HT","NKH","MA_QH","NCK")</f>
        <v>0</v>
      </c>
      <c r="AK18" s="22">
        <f ca="1">+GETPIVOTDATA("XLL4",'langlon (2016)'!$A$3,"MA_HT","NKH","MA_QH","DXH")</f>
        <v>0</v>
      </c>
      <c r="AL18" s="22">
        <f ca="1">+GETPIVOTDATA("XLL4",'langlon (2016)'!$A$3,"MA_HT","NKH","MA_QH","DCH")</f>
        <v>0</v>
      </c>
      <c r="AM18" s="22">
        <f ca="1">+GETPIVOTDATA("XLL4",'langlon (2016)'!$A$3,"MA_HT","NKH","MA_QH","DKG")</f>
        <v>0</v>
      </c>
      <c r="AN18" s="22">
        <f ca="1">+GETPIVOTDATA("XLL4",'langlon (2016)'!$A$3,"MA_HT","NKH","MA_QH","DDT")</f>
        <v>0</v>
      </c>
      <c r="AO18" s="22">
        <f ca="1">+GETPIVOTDATA("XLL4",'langlon (2016)'!$A$3,"MA_HT","NKH","MA_QH","DDL")</f>
        <v>0</v>
      </c>
      <c r="AP18" s="22">
        <f ca="1">+GETPIVOTDATA("XLL4",'langlon (2016)'!$A$3,"MA_HT","NKH","MA_QH","DRA")</f>
        <v>0</v>
      </c>
      <c r="AQ18" s="22">
        <f ca="1">+GETPIVOTDATA("XLL4",'langlon (2016)'!$A$3,"MA_HT","NKH","MA_QH","ONT")</f>
        <v>0</v>
      </c>
      <c r="AR18" s="22">
        <f ca="1">+GETPIVOTDATA("XLL4",'langlon (2016)'!$A$3,"MA_HT","NKH","MA_QH","ODT")</f>
        <v>0</v>
      </c>
      <c r="AS18" s="22">
        <f ca="1">+GETPIVOTDATA("XLL4",'langlon (2016)'!$A$3,"MA_HT","NKH","MA_QH","TSC")</f>
        <v>0</v>
      </c>
      <c r="AT18" s="22">
        <f ca="1">+GETPIVOTDATA("XLL4",'langlon (2016)'!$A$3,"MA_HT","NKH","MA_QH","DTS")</f>
        <v>0</v>
      </c>
      <c r="AU18" s="22">
        <f ca="1">+GETPIVOTDATA("XLL4",'langlon (2016)'!$A$3,"MA_HT","NKH","MA_QH","DNG")</f>
        <v>0</v>
      </c>
      <c r="AV18" s="22">
        <f ca="1">+GETPIVOTDATA("XLL4",'langlon (2016)'!$A$3,"MA_HT","NKH","MA_QH","TON")</f>
        <v>0</v>
      </c>
      <c r="AW18" s="22">
        <f ca="1">+GETPIVOTDATA("XLL4",'langlon (2016)'!$A$3,"MA_HT","NKH","MA_QH","NTD")</f>
        <v>0</v>
      </c>
      <c r="AX18" s="22">
        <f ca="1">+GETPIVOTDATA("XLL4",'langlon (2016)'!$A$3,"MA_HT","NKH","MA_QH","SKX")</f>
        <v>0</v>
      </c>
      <c r="AY18" s="22">
        <f ca="1">+GETPIVOTDATA("XLL4",'langlon (2016)'!$A$3,"MA_HT","NKH","MA_QH","DSH")</f>
        <v>0</v>
      </c>
      <c r="AZ18" s="22">
        <f ca="1">+GETPIVOTDATA("XLL4",'langlon (2016)'!$A$3,"MA_HT","NKH","MA_QH","DKV")</f>
        <v>0</v>
      </c>
      <c r="BA18" s="89">
        <f ca="1">+GETPIVOTDATA("XLL4",'langlon (2016)'!$A$3,"MA_HT","NKH","MA_QH","TIN")</f>
        <v>0</v>
      </c>
      <c r="BB18" s="50">
        <f ca="1">+GETPIVOTDATA("XLL4",'langlon (2016)'!$A$3,"MA_HT","NKH","MA_QH","SON")</f>
        <v>0</v>
      </c>
      <c r="BC18" s="50">
        <f ca="1">+GETPIVOTDATA("XLL4",'langlon (2016)'!$A$3,"MA_HT","NKH","MA_QH","MNC")</f>
        <v>0</v>
      </c>
      <c r="BD18" s="22">
        <f ca="1">+GETPIVOTDATA("XLL4",'langlon (2016)'!$A$3,"MA_HT","NKH","MA_QH","PNK")</f>
        <v>0</v>
      </c>
      <c r="BE18" s="71">
        <f ca="1">+GETPIVOTDATA("XLL4",'langlon (2016)'!$A$3,"MA_HT","NKH","MA_QH","CSD")</f>
        <v>0</v>
      </c>
      <c r="BF18" s="74">
        <f ca="1" t="shared" si="7"/>
        <v>0</v>
      </c>
      <c r="BG18" s="101">
        <f ca="1">Q$59-$BF18</f>
        <v>0</v>
      </c>
      <c r="BH18" s="41" t="e">
        <f ca="1" t="shared" si="8"/>
        <v>#REF!</v>
      </c>
      <c r="BI18" s="98"/>
      <c r="BJ18" s="98"/>
      <c r="BK18" s="98"/>
      <c r="BL18" s="98"/>
      <c r="BM18" s="107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</row>
    <row r="19" s="3" customFormat="1" ht="15.75" customHeight="1" spans="1:75">
      <c r="A19" s="35">
        <v>2</v>
      </c>
      <c r="B19" s="36" t="s">
        <v>8359</v>
      </c>
      <c r="C19" s="37" t="s">
        <v>8304</v>
      </c>
      <c r="D19" s="33" t="e">
        <f>+#REF!</f>
        <v>#REF!</v>
      </c>
      <c r="E19" s="33">
        <f ca="1">SUM(E20:E28,E41:E57)</f>
        <v>0</v>
      </c>
      <c r="F19" s="33">
        <f ca="1">SUM(F20:F28,F41:F57)</f>
        <v>0</v>
      </c>
      <c r="G19" s="33">
        <f ca="1">SUM(G20:G28,G41:G57)</f>
        <v>0</v>
      </c>
      <c r="H19" s="33">
        <f ca="1">SUM(H20:H28,H41:H57)</f>
        <v>0</v>
      </c>
      <c r="I19" s="33">
        <f ca="1">SUM(I20:I28,I41:I57)</f>
        <v>0</v>
      </c>
      <c r="J19" s="33">
        <f ca="1" t="shared" ref="J19:Q19" si="10">SUM(J20:J28,J41:J57)</f>
        <v>0</v>
      </c>
      <c r="K19" s="33">
        <f ca="1" t="shared" si="10"/>
        <v>0</v>
      </c>
      <c r="L19" s="33">
        <f ca="1" t="shared" si="10"/>
        <v>0</v>
      </c>
      <c r="M19" s="33">
        <f ca="1" t="shared" si="10"/>
        <v>0</v>
      </c>
      <c r="N19" s="33">
        <f ca="1" t="shared" si="10"/>
        <v>0</v>
      </c>
      <c r="O19" s="33">
        <f ca="1" t="shared" si="10"/>
        <v>0</v>
      </c>
      <c r="P19" s="33">
        <f ca="1" t="shared" si="10"/>
        <v>0</v>
      </c>
      <c r="Q19" s="33">
        <f ca="1" t="shared" si="10"/>
        <v>0</v>
      </c>
      <c r="R19" s="38" t="e">
        <f ca="1">$D19-$BF19</f>
        <v>#REF!</v>
      </c>
      <c r="S19" s="33">
        <f ca="1">SUM(S21:S28,S41:S57)</f>
        <v>0</v>
      </c>
      <c r="T19" s="33">
        <f ca="1">SUM(T20,T22:T28,T41:T57)</f>
        <v>0</v>
      </c>
      <c r="U19" s="33">
        <f ca="1">SUM(U20:U21,U23:U28,U41:U57)</f>
        <v>0</v>
      </c>
      <c r="V19" s="33">
        <f ca="1">SUM(V20:V22,V24:V28,V41:V57)</f>
        <v>0</v>
      </c>
      <c r="W19" s="33">
        <f ca="1">SUM(W20:W23,W25:W28,W41:W57)</f>
        <v>0</v>
      </c>
      <c r="X19" s="33">
        <f ca="1">SUM(X20:X24,X26:X28,X41:X57)</f>
        <v>0</v>
      </c>
      <c r="Y19" s="33">
        <f ca="1">SUM(Y20:Y25,Y27:Y28,Y41:Y57)</f>
        <v>0</v>
      </c>
      <c r="Z19" s="33">
        <f ca="1">SUM(Z20:Z26,Z28,Z41:Z57)</f>
        <v>0</v>
      </c>
      <c r="AA19" s="33">
        <f ca="1">SUM(AA20:AA27,AA41:AA57)</f>
        <v>0</v>
      </c>
      <c r="AB19" s="33">
        <f ca="1" t="shared" ref="AB19:AM19" si="11">SUM(AB20:AB28,AB41:AB57)</f>
        <v>0</v>
      </c>
      <c r="AC19" s="33">
        <f ca="1" t="shared" si="11"/>
        <v>0</v>
      </c>
      <c r="AD19" s="33">
        <f ca="1" t="shared" si="11"/>
        <v>0</v>
      </c>
      <c r="AE19" s="33">
        <f ca="1" t="shared" si="11"/>
        <v>0</v>
      </c>
      <c r="AF19" s="33">
        <f ca="1" t="shared" si="11"/>
        <v>0</v>
      </c>
      <c r="AG19" s="33">
        <f ca="1" t="shared" si="11"/>
        <v>0</v>
      </c>
      <c r="AH19" s="33">
        <f ca="1" t="shared" si="11"/>
        <v>0</v>
      </c>
      <c r="AI19" s="33">
        <f ca="1" t="shared" si="11"/>
        <v>0</v>
      </c>
      <c r="AJ19" s="33">
        <f ca="1" t="shared" si="11"/>
        <v>0</v>
      </c>
      <c r="AK19" s="33">
        <f ca="1" t="shared" si="11"/>
        <v>0</v>
      </c>
      <c r="AL19" s="33">
        <f ca="1" t="shared" si="11"/>
        <v>0</v>
      </c>
      <c r="AM19" s="33">
        <f ca="1" t="shared" si="11"/>
        <v>0</v>
      </c>
      <c r="AN19" s="33">
        <f ca="1">SUM(AN20:AN28,AN42:AN57)</f>
        <v>0</v>
      </c>
      <c r="AO19" s="33">
        <f ca="1">SUM(AO20:AO28,AO41,AO43:AO57)</f>
        <v>0</v>
      </c>
      <c r="AP19" s="33">
        <f ca="1">SUM(AP20:AP28,AP41:AP42,AP44:AP57)</f>
        <v>0</v>
      </c>
      <c r="AQ19" s="33">
        <f ca="1">SUM(AQ20:AQ28,AQ41:AQ43,AQ45:AQ57)</f>
        <v>0</v>
      </c>
      <c r="AR19" s="33">
        <f ca="1">SUM(AR20:AR28,AR41:AR44,AR46:AR57)</f>
        <v>0</v>
      </c>
      <c r="AS19" s="33">
        <f ca="1">SUM(AS20:AS28,AS41:AS45,AS47:AS57)</f>
        <v>0</v>
      </c>
      <c r="AT19" s="33">
        <f ca="1">SUM(AT20:AT28,AT41:AT46,AT48:AT57)</f>
        <v>0</v>
      </c>
      <c r="AU19" s="33">
        <f ca="1">SUM(AU20:AU28,AU41:AU47,AU49:AU57)</f>
        <v>0</v>
      </c>
      <c r="AV19" s="33">
        <f ca="1">SUM(AV20:AV28,AV41:AV48,AV50:AV57)</f>
        <v>0</v>
      </c>
      <c r="AW19" s="33">
        <f ca="1">SUM(AW20:AW28,AW41:AW49,AW51:AW57)</f>
        <v>0</v>
      </c>
      <c r="AX19" s="33">
        <f ca="1">SUM(AX20:AX28,AX41:AX50,AX52:AX57)</f>
        <v>0</v>
      </c>
      <c r="AY19" s="33">
        <f ca="1">SUM(AY20:AY28,AY41:AY51,AY53:AY57)</f>
        <v>0</v>
      </c>
      <c r="AZ19" s="33">
        <f ca="1">SUM(AZ20:AZ28,AZ41:AZ52,AZ54:AZ57)</f>
        <v>0</v>
      </c>
      <c r="BA19" s="33">
        <f ca="1">SUM(BA20:BA28,BA41:BA53,BA55:BA57)</f>
        <v>0</v>
      </c>
      <c r="BB19" s="33">
        <f ca="1">SUM(BB20:BB28,BB41:BB54,BB56:BB57)</f>
        <v>0</v>
      </c>
      <c r="BC19" s="33">
        <f ca="1">SUM(BC20:BC28,BC41:BC55,BC57)</f>
        <v>0</v>
      </c>
      <c r="BD19" s="33">
        <f ca="1">SUM(BD20:BD28,BD41:BD56,BD58)</f>
        <v>0</v>
      </c>
      <c r="BE19" s="33">
        <f ca="1">SUM(BE20:BE28,BE41:BE57)</f>
        <v>0</v>
      </c>
      <c r="BF19" s="74">
        <f ca="1">SUM(BE19,E19)</f>
        <v>0</v>
      </c>
      <c r="BG19" s="101">
        <f ca="1">R$59-$BF19</f>
        <v>0</v>
      </c>
      <c r="BH19" s="33" t="e">
        <f ca="1">SUM(BH20:BH28,BH41:BH57)</f>
        <v>#REF!</v>
      </c>
      <c r="BI19" s="102"/>
      <c r="BJ19" s="36" t="e">
        <f>SUM(BJ22:BJ54,BJ57:BJ57)</f>
        <v>#REF!</v>
      </c>
      <c r="BK19" s="106" t="e">
        <f ca="1">BH19-BJ19</f>
        <v>#REF!</v>
      </c>
      <c r="BL19" s="106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</row>
    <row r="20" s="2" customFormat="1" ht="15.75" customHeight="1" spans="1:79">
      <c r="A20" s="39" t="s">
        <v>69</v>
      </c>
      <c r="B20" s="39" t="s">
        <v>8360</v>
      </c>
      <c r="C20" s="40" t="s">
        <v>31</v>
      </c>
      <c r="D20" s="41" t="e">
        <f>+#REF!</f>
        <v>#REF!</v>
      </c>
      <c r="E20" s="42">
        <f ca="1">SUM(F20,J20:Q20)</f>
        <v>0</v>
      </c>
      <c r="F20" s="52">
        <f ca="1" t="shared" si="9"/>
        <v>0</v>
      </c>
      <c r="G20" s="22">
        <f ca="1">+GETPIVOTDATA("XLL4",'langlon (2016)'!$A$3,"MA_HT","CQP","MA_QH","LUC")</f>
        <v>0</v>
      </c>
      <c r="H20" s="22">
        <f ca="1">+GETPIVOTDATA("XLL4",'langlon (2016)'!$A$3,"MA_HT","CQP","MA_QH","LUK")</f>
        <v>0</v>
      </c>
      <c r="I20" s="22">
        <f ca="1">+GETPIVOTDATA("XLL4",'langlon (2016)'!$A$3,"MA_HT","CQP","MA_QH","LUN")</f>
        <v>0</v>
      </c>
      <c r="J20" s="22">
        <f ca="1">+GETPIVOTDATA("XLL4",'langlon (2016)'!$A$3,"MA_HT","CQP","MA_QH","HNK")</f>
        <v>0</v>
      </c>
      <c r="K20" s="22">
        <f ca="1">+GETPIVOTDATA("XLL4",'langlon (2016)'!$A$3,"MA_HT","CQP","MA_QH","CLN")</f>
        <v>0</v>
      </c>
      <c r="L20" s="22">
        <f ca="1">+GETPIVOTDATA("XLL4",'langlon (2016)'!$A$3,"MA_HT","CQP","MA_QH","RSX")</f>
        <v>0</v>
      </c>
      <c r="M20" s="22">
        <f ca="1">+GETPIVOTDATA("XLL4",'langlon (2016)'!$A$3,"MA_HT","CQP","MA_QH","RPH")</f>
        <v>0</v>
      </c>
      <c r="N20" s="22">
        <f ca="1">+GETPIVOTDATA("XLL4",'langlon (2016)'!$A$3,"MA_HT","CQP","MA_QH","RDD")</f>
        <v>0</v>
      </c>
      <c r="O20" s="22">
        <f ca="1">+GETPIVOTDATA("XLL4",'langlon (2016)'!$A$3,"MA_HT","CQP","MA_QH","NTS")</f>
        <v>0</v>
      </c>
      <c r="P20" s="22">
        <f ca="1">+GETPIVOTDATA("XLL4",'langlon (2016)'!$A$3,"MA_HT","CQP","MA_QH","LMU")</f>
        <v>0</v>
      </c>
      <c r="Q20" s="22">
        <f ca="1">+GETPIVOTDATA("XLL4",'langlon (2016)'!$A$3,"MA_HT","CQP","MA_QH","NKH")</f>
        <v>0</v>
      </c>
      <c r="R20" s="42">
        <f ca="1">SUM(T20:AA20,AN20:BD20)</f>
        <v>0</v>
      </c>
      <c r="S20" s="43" t="e">
        <f ca="1">$D20-$BF20</f>
        <v>#REF!</v>
      </c>
      <c r="T20" s="22">
        <f ca="1">+GETPIVOTDATA("XLL4",'langlon (2016)'!$A$3,"MA_HT","CQP","MA_QH","CAN")</f>
        <v>0</v>
      </c>
      <c r="U20" s="22">
        <f ca="1">+GETPIVOTDATA("XLL4",'langlon (2016)'!$A$3,"MA_HT","CQP","MA_QH","SKK")</f>
        <v>0</v>
      </c>
      <c r="V20" s="22">
        <f ca="1">+GETPIVOTDATA("XLL4",'langlon (2016)'!$A$3,"MA_HT","CQP","MA_QH","SKT")</f>
        <v>0</v>
      </c>
      <c r="W20" s="22">
        <f ca="1">+GETPIVOTDATA("XLL4",'langlon (2016)'!$A$3,"MA_HT","CQP","MA_QH","SKN")</f>
        <v>0</v>
      </c>
      <c r="X20" s="22">
        <f ca="1">+GETPIVOTDATA("XLL4",'langlon (2016)'!$A$3,"MA_HT","CQP","MA_QH","TMD")</f>
        <v>0</v>
      </c>
      <c r="Y20" s="22">
        <f ca="1">+GETPIVOTDATA("XLL4",'langlon (2016)'!$A$3,"MA_HT","CQP","MA_QH","SKC")</f>
        <v>0</v>
      </c>
      <c r="Z20" s="22">
        <f ca="1">+GETPIVOTDATA("XLL4",'langlon (2016)'!$A$3,"MA_HT","CQP","MA_QH","SKS")</f>
        <v>0</v>
      </c>
      <c r="AA20" s="52">
        <f ca="1" t="shared" ref="AA20:AA27" si="12">+SUM(AB20:AM20)</f>
        <v>0</v>
      </c>
      <c r="AB20" s="22">
        <f ca="1">+GETPIVOTDATA("XLL4",'langlon (2016)'!$A$3,"MA_HT","CQP","MA_QH","DGT")</f>
        <v>0</v>
      </c>
      <c r="AC20" s="22">
        <f ca="1">+GETPIVOTDATA("XLL4",'langlon (2016)'!$A$3,"MA_HT","CQP","MA_QH","DTL")</f>
        <v>0</v>
      </c>
      <c r="AD20" s="22">
        <f ca="1">+GETPIVOTDATA("XLL4",'langlon (2016)'!$A$3,"MA_HT","CQP","MA_QH","DNL")</f>
        <v>0</v>
      </c>
      <c r="AE20" s="22">
        <f ca="1">+GETPIVOTDATA("XLL4",'langlon (2016)'!$A$3,"MA_HT","CQP","MA_QH","DBV")</f>
        <v>0</v>
      </c>
      <c r="AF20" s="22">
        <f ca="1">+GETPIVOTDATA("XLL4",'langlon (2016)'!$A$3,"MA_HT","CQP","MA_QH","DVH")</f>
        <v>0</v>
      </c>
      <c r="AG20" s="22">
        <f ca="1">+GETPIVOTDATA("XLL4",'langlon (2016)'!$A$3,"MA_HT","CQP","MA_QH","DYT")</f>
        <v>0</v>
      </c>
      <c r="AH20" s="22">
        <f ca="1">+GETPIVOTDATA("XLL4",'langlon (2016)'!$A$3,"MA_HT","CQP","MA_QH","DGD")</f>
        <v>0</v>
      </c>
      <c r="AI20" s="22">
        <f ca="1">+GETPIVOTDATA("XLL4",'langlon (2016)'!$A$3,"MA_HT","CQP","MA_QH","DTT")</f>
        <v>0</v>
      </c>
      <c r="AJ20" s="22">
        <f ca="1">+GETPIVOTDATA("XLL4",'langlon (2016)'!$A$3,"MA_HT","CQP","MA_QH","NCK")</f>
        <v>0</v>
      </c>
      <c r="AK20" s="22">
        <f ca="1">+GETPIVOTDATA("XLL4",'langlon (2016)'!$A$3,"MA_HT","CQP","MA_QH","DXH")</f>
        <v>0</v>
      </c>
      <c r="AL20" s="22">
        <f ca="1">+GETPIVOTDATA("XLL4",'langlon (2016)'!$A$3,"MA_HT","CQP","MA_QH","DCH")</f>
        <v>0</v>
      </c>
      <c r="AM20" s="22">
        <f ca="1">+GETPIVOTDATA("XLL4",'langlon (2016)'!$A$3,"MA_HT","CQP","MA_QH","DKG")</f>
        <v>0</v>
      </c>
      <c r="AN20" s="22">
        <f ca="1">+GETPIVOTDATA("XLL4",'langlon (2016)'!$A$3,"MA_HT","CQP","MA_QH","DDT")</f>
        <v>0</v>
      </c>
      <c r="AO20" s="22">
        <f ca="1">+GETPIVOTDATA("XLL4",'langlon (2016)'!$A$3,"MA_HT","CQP","MA_QH","DDL")</f>
        <v>0</v>
      </c>
      <c r="AP20" s="22">
        <f ca="1">+GETPIVOTDATA("XLL4",'langlon (2016)'!$A$3,"MA_HT","CQP","MA_QH","DRA")</f>
        <v>0</v>
      </c>
      <c r="AQ20" s="22">
        <f ca="1">+GETPIVOTDATA("XLL4",'langlon (2016)'!$A$3,"MA_HT","CQP","MA_QH","ONT")</f>
        <v>0</v>
      </c>
      <c r="AR20" s="22">
        <f ca="1">+GETPIVOTDATA("XLL4",'langlon (2016)'!$A$3,"MA_HT","CQP","MA_QH","ODT")</f>
        <v>0</v>
      </c>
      <c r="AS20" s="22">
        <f ca="1">+GETPIVOTDATA("XLL4",'langlon (2016)'!$A$3,"MA_HT","CQP","MA_QH","TSC")</f>
        <v>0</v>
      </c>
      <c r="AT20" s="22">
        <f ca="1">+GETPIVOTDATA("XLL4",'langlon (2016)'!$A$3,"MA_HT","CQP","MA_QH","DTS")</f>
        <v>0</v>
      </c>
      <c r="AU20" s="22">
        <f ca="1">+GETPIVOTDATA("XLL4",'langlon (2016)'!$A$3,"MA_HT","CQP","MA_QH","DNG")</f>
        <v>0</v>
      </c>
      <c r="AV20" s="22">
        <f ca="1">+GETPIVOTDATA("XLL4",'langlon (2016)'!$A$3,"MA_HT","CQP","MA_QH","TON")</f>
        <v>0</v>
      </c>
      <c r="AW20" s="22">
        <f ca="1">+GETPIVOTDATA("XLL4",'langlon (2016)'!$A$3,"MA_HT","CQP","MA_QH","NTD")</f>
        <v>0</v>
      </c>
      <c r="AX20" s="22">
        <f ca="1">+GETPIVOTDATA("XLL4",'langlon (2016)'!$A$3,"MA_HT","CQP","MA_QH","SKX")</f>
        <v>0</v>
      </c>
      <c r="AY20" s="22">
        <f ca="1">+GETPIVOTDATA("XLL4",'langlon (2016)'!$A$3,"MA_HT","CQP","MA_QH","DSH")</f>
        <v>0</v>
      </c>
      <c r="AZ20" s="22">
        <f ca="1">+GETPIVOTDATA("XLL4",'langlon (2016)'!$A$3,"MA_HT","CQP","MA_QH","DKV")</f>
        <v>0</v>
      </c>
      <c r="BA20" s="89">
        <f ca="1">+GETPIVOTDATA("XLL4",'langlon (2016)'!$A$3,"MA_HT","CQP","MA_QH","TIN")</f>
        <v>0</v>
      </c>
      <c r="BB20" s="50">
        <f ca="1">+GETPIVOTDATA("XLL4",'langlon (2016)'!$A$3,"MA_HT","CQP","MA_QH","SON")</f>
        <v>0</v>
      </c>
      <c r="BC20" s="50">
        <f ca="1">+GETPIVOTDATA("XLL4",'langlon (2016)'!$A$3,"MA_HT","CQP","MA_QH","MNC")</f>
        <v>0</v>
      </c>
      <c r="BD20" s="22">
        <f ca="1">+GETPIVOTDATA("XLL4",'langlon (2016)'!$A$3,"MA_HT","CQP","MA_QH","PNK")</f>
        <v>0</v>
      </c>
      <c r="BE20" s="71">
        <f ca="1">+GETPIVOTDATA("XLL4",'langlon (2016)'!$A$3,"MA_HT","CQP","MA_QH","CSD")</f>
        <v>0</v>
      </c>
      <c r="BF20" s="74">
        <f ca="1" t="shared" ref="BF20:BF57" si="13">BE20+R20+E20</f>
        <v>0</v>
      </c>
      <c r="BG20" s="101">
        <f ca="1">S$59-$BF20</f>
        <v>0</v>
      </c>
      <c r="BH20" s="41" t="e">
        <f ca="1" t="shared" ref="BH20:BH58" si="14">BG20+D20</f>
        <v>#REF!</v>
      </c>
      <c r="BI20" s="98"/>
      <c r="BJ20" s="98" t="e">
        <f>#REF!</f>
        <v>#REF!</v>
      </c>
      <c r="BK20" s="107" t="e">
        <f ca="1">BH20-BJ20</f>
        <v>#REF!</v>
      </c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</row>
    <row r="21" s="2" customFormat="1" ht="15.75" customHeight="1" spans="1:79">
      <c r="A21" s="39" t="s">
        <v>232</v>
      </c>
      <c r="B21" s="39" t="s">
        <v>8361</v>
      </c>
      <c r="C21" s="40" t="s">
        <v>8283</v>
      </c>
      <c r="D21" s="41" t="e">
        <f>+#REF!</f>
        <v>#REF!</v>
      </c>
      <c r="E21" s="42">
        <f ca="1" t="shared" ref="E21:E58" si="15">SUM(F21,J21:Q21)</f>
        <v>0</v>
      </c>
      <c r="F21" s="52">
        <f ca="1" t="shared" si="9"/>
        <v>0</v>
      </c>
      <c r="G21" s="22">
        <f ca="1">+GETPIVOTDATA("XLL4",'langlon (2016)'!$A$3,"MA_HT","CAN","MA_QH","LUC")</f>
        <v>0</v>
      </c>
      <c r="H21" s="22">
        <f ca="1">+GETPIVOTDATA("XLL4",'langlon (2016)'!$A$3,"MA_HT","CAN","MA_QH","LUK")</f>
        <v>0</v>
      </c>
      <c r="I21" s="22">
        <f ca="1">+GETPIVOTDATA("XLL4",'langlon (2016)'!$A$3,"MA_HT","CAN","MA_QH","LUN")</f>
        <v>0</v>
      </c>
      <c r="J21" s="22">
        <f ca="1">+GETPIVOTDATA("XLL4",'langlon (2016)'!$A$3,"MA_HT","CAN","MA_QH","HNK")</f>
        <v>0</v>
      </c>
      <c r="K21" s="22">
        <f ca="1">+GETPIVOTDATA("XLL4",'langlon (2016)'!$A$3,"MA_HT","CAN","MA_QH","CLN")</f>
        <v>0</v>
      </c>
      <c r="L21" s="22">
        <f ca="1">+GETPIVOTDATA("XLL4",'langlon (2016)'!$A$3,"MA_HT","CAN","MA_QH","RSX")</f>
        <v>0</v>
      </c>
      <c r="M21" s="22">
        <f ca="1">+GETPIVOTDATA("XLL4",'langlon (2016)'!$A$3,"MA_HT","CAN","MA_QH","RPH")</f>
        <v>0</v>
      </c>
      <c r="N21" s="22">
        <f ca="1">+GETPIVOTDATA("XLL4",'langlon (2016)'!$A$3,"MA_HT","CAN","MA_QH","RDD")</f>
        <v>0</v>
      </c>
      <c r="O21" s="22">
        <f ca="1">+GETPIVOTDATA("XLL4",'langlon (2016)'!$A$3,"MA_HT","CAN","MA_QH","NTS")</f>
        <v>0</v>
      </c>
      <c r="P21" s="22">
        <f ca="1">+GETPIVOTDATA("XLL4",'langlon (2016)'!$A$3,"MA_HT","CAN","MA_QH","LMU")</f>
        <v>0</v>
      </c>
      <c r="Q21" s="22">
        <f ca="1">+GETPIVOTDATA("XLL4",'langlon (2016)'!$A$3,"MA_HT","CAN","MA_QH","NKH")</f>
        <v>0</v>
      </c>
      <c r="R21" s="42">
        <f ca="1">SUM(S21,U21:AA21,AN21:BD21)</f>
        <v>0</v>
      </c>
      <c r="S21" s="22">
        <f ca="1">+GETPIVOTDATA("XLL4",'langlon (2016)'!$A$3,"MA_HT","CAN","MA_QH","CQP")</f>
        <v>0</v>
      </c>
      <c r="T21" s="43" t="e">
        <f ca="1">$D21-$BF21</f>
        <v>#REF!</v>
      </c>
      <c r="U21" s="22">
        <f ca="1">+GETPIVOTDATA("XLL4",'langlon (2016)'!$A$3,"MA_HT","CAN","MA_QH","SKK")</f>
        <v>0</v>
      </c>
      <c r="V21" s="22">
        <f ca="1">+GETPIVOTDATA("XLL4",'langlon (2016)'!$A$3,"MA_HT","CAN","MA_QH","SKT")</f>
        <v>0</v>
      </c>
      <c r="W21" s="22">
        <f ca="1">+GETPIVOTDATA("XLL4",'langlon (2016)'!$A$3,"MA_HT","CAN","MA_QH","SKN")</f>
        <v>0</v>
      </c>
      <c r="X21" s="22">
        <f ca="1">+GETPIVOTDATA("XLL4",'langlon (2016)'!$A$3,"MA_HT","CAN","MA_QH","TMD")</f>
        <v>0</v>
      </c>
      <c r="Y21" s="22">
        <f ca="1">+GETPIVOTDATA("XLL4",'langlon (2016)'!$A$3,"MA_HT","CAN","MA_QH","SKC")</f>
        <v>0</v>
      </c>
      <c r="Z21" s="22">
        <f ca="1">+GETPIVOTDATA("XLL4",'langlon (2016)'!$A$3,"MA_HT","CAN","MA_QH","SKS")</f>
        <v>0</v>
      </c>
      <c r="AA21" s="52">
        <f ca="1" t="shared" si="12"/>
        <v>0</v>
      </c>
      <c r="AB21" s="22">
        <f ca="1">+GETPIVOTDATA("XLL4",'langlon (2016)'!$A$3,"MA_HT","CAN","MA_QH","DGT")</f>
        <v>0</v>
      </c>
      <c r="AC21" s="22">
        <f ca="1">+GETPIVOTDATA("XLL4",'langlon (2016)'!$A$3,"MA_HT","CAN","MA_QH","DTL")</f>
        <v>0</v>
      </c>
      <c r="AD21" s="22">
        <f ca="1">+GETPIVOTDATA("XLL4",'langlon (2016)'!$A$3,"MA_HT","CAN","MA_QH","DNL")</f>
        <v>0</v>
      </c>
      <c r="AE21" s="22">
        <f ca="1">+GETPIVOTDATA("XLL4",'langlon (2016)'!$A$3,"MA_HT","CAN","MA_QH","DBV")</f>
        <v>0</v>
      </c>
      <c r="AF21" s="22">
        <f ca="1">+GETPIVOTDATA("XLL4",'langlon (2016)'!$A$3,"MA_HT","CAN","MA_QH","DVH")</f>
        <v>0</v>
      </c>
      <c r="AG21" s="22">
        <f ca="1">+GETPIVOTDATA("XLL4",'langlon (2016)'!$A$3,"MA_HT","CAN","MA_QH","DYT")</f>
        <v>0</v>
      </c>
      <c r="AH21" s="22">
        <f ca="1">+GETPIVOTDATA("XLL4",'langlon (2016)'!$A$3,"MA_HT","CAN","MA_QH","DGD")</f>
        <v>0</v>
      </c>
      <c r="AI21" s="22">
        <f ca="1">+GETPIVOTDATA("XLL4",'langlon (2016)'!$A$3,"MA_HT","CAN","MA_QH","DTT")</f>
        <v>0</v>
      </c>
      <c r="AJ21" s="22">
        <f ca="1">+GETPIVOTDATA("XLL4",'langlon (2016)'!$A$3,"MA_HT","CAN","MA_QH","NCK")</f>
        <v>0</v>
      </c>
      <c r="AK21" s="22">
        <f ca="1">+GETPIVOTDATA("XLL4",'langlon (2016)'!$A$3,"MA_HT","CAN","MA_QH","DXH")</f>
        <v>0</v>
      </c>
      <c r="AL21" s="22">
        <f ca="1">+GETPIVOTDATA("XLL4",'langlon (2016)'!$A$3,"MA_HT","CAN","MA_QH","DCH")</f>
        <v>0</v>
      </c>
      <c r="AM21" s="22">
        <f ca="1">+GETPIVOTDATA("XLL4",'langlon (2016)'!$A$3,"MA_HT","CAN","MA_QH","DKG")</f>
        <v>0</v>
      </c>
      <c r="AN21" s="22">
        <f ca="1">+GETPIVOTDATA("XLL4",'langlon (2016)'!$A$3,"MA_HT","CAN","MA_QH","DDT")</f>
        <v>0</v>
      </c>
      <c r="AO21" s="22">
        <f ca="1">+GETPIVOTDATA("XLL4",'langlon (2016)'!$A$3,"MA_HT","CAN","MA_QH","DDL")</f>
        <v>0</v>
      </c>
      <c r="AP21" s="22">
        <f ca="1">+GETPIVOTDATA("XLL4",'langlon (2016)'!$A$3,"MA_HT","CAN","MA_QH","DRA")</f>
        <v>0</v>
      </c>
      <c r="AQ21" s="22">
        <f ca="1">+GETPIVOTDATA("XLL4",'langlon (2016)'!$A$3,"MA_HT","CAN","MA_QH","ONT")</f>
        <v>0</v>
      </c>
      <c r="AR21" s="22">
        <f ca="1">+GETPIVOTDATA("XLL4",'langlon (2016)'!$A$3,"MA_HT","CAN","MA_QH","ODT")</f>
        <v>0</v>
      </c>
      <c r="AS21" s="22">
        <f ca="1">+GETPIVOTDATA("XLL4",'langlon (2016)'!$A$3,"MA_HT","CAN","MA_QH","TSC")</f>
        <v>0</v>
      </c>
      <c r="AT21" s="22">
        <f ca="1">+GETPIVOTDATA("XLL4",'langlon (2016)'!$A$3,"MA_HT","CAN","MA_QH","DTS")</f>
        <v>0</v>
      </c>
      <c r="AU21" s="22">
        <f ca="1">+GETPIVOTDATA("XLL4",'langlon (2016)'!$A$3,"MA_HT","CAN","MA_QH","DNG")</f>
        <v>0</v>
      </c>
      <c r="AV21" s="22">
        <f ca="1">+GETPIVOTDATA("XLL4",'langlon (2016)'!$A$3,"MA_HT","CAN","MA_QH","TON")</f>
        <v>0</v>
      </c>
      <c r="AW21" s="22">
        <f ca="1">+GETPIVOTDATA("XLL4",'langlon (2016)'!$A$3,"MA_HT","CAN","MA_QH","NTD")</f>
        <v>0</v>
      </c>
      <c r="AX21" s="22">
        <f ca="1">+GETPIVOTDATA("XLL4",'langlon (2016)'!$A$3,"MA_HT","CAN","MA_QH","SKX")</f>
        <v>0</v>
      </c>
      <c r="AY21" s="22">
        <f ca="1">+GETPIVOTDATA("XLL4",'langlon (2016)'!$A$3,"MA_HT","CAN","MA_QH","DSH")</f>
        <v>0</v>
      </c>
      <c r="AZ21" s="22">
        <f ca="1">+GETPIVOTDATA("XLL4",'langlon (2016)'!$A$3,"MA_HT","CAN","MA_QH","DKV")</f>
        <v>0</v>
      </c>
      <c r="BA21" s="89">
        <f ca="1">+GETPIVOTDATA("XLL4",'langlon (2016)'!$A$3,"MA_HT","CAN","MA_QH","TIN")</f>
        <v>0</v>
      </c>
      <c r="BB21" s="50">
        <f ca="1">+GETPIVOTDATA("XLL4",'langlon (2016)'!$A$3,"MA_HT","CAN","MA_QH","SON")</f>
        <v>0</v>
      </c>
      <c r="BC21" s="50">
        <f ca="1">+GETPIVOTDATA("XLL4",'langlon (2016)'!$A$3,"MA_HT","CAN","MA_QH","MNC")</f>
        <v>0</v>
      </c>
      <c r="BD21" s="22">
        <f ca="1">+GETPIVOTDATA("XLL4",'langlon (2016)'!$A$3,"MA_HT","CAN","MA_QH","PNK")</f>
        <v>0</v>
      </c>
      <c r="BE21" s="71">
        <f ca="1">+GETPIVOTDATA("XLL4",'langlon (2016)'!$A$3,"MA_HT","CAN","MA_QH","CSD")</f>
        <v>0</v>
      </c>
      <c r="BF21" s="74">
        <f ca="1" t="shared" si="13"/>
        <v>0</v>
      </c>
      <c r="BG21" s="101">
        <f ca="1">T$59-$BF21</f>
        <v>0</v>
      </c>
      <c r="BH21" s="41" t="e">
        <f ca="1" t="shared" si="14"/>
        <v>#REF!</v>
      </c>
      <c r="BI21" s="98"/>
      <c r="BJ21" s="98" t="e">
        <f>#REF!</f>
        <v>#REF!</v>
      </c>
      <c r="BK21" s="107" t="e">
        <f ca="1">BH21-BJ21</f>
        <v>#REF!</v>
      </c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</row>
    <row r="22" s="2" customFormat="1" ht="15.75" customHeight="1" spans="1:79">
      <c r="A22" s="39" t="s">
        <v>8362</v>
      </c>
      <c r="B22" s="53" t="s">
        <v>8363</v>
      </c>
      <c r="C22" s="40" t="s">
        <v>47</v>
      </c>
      <c r="D22" s="41" t="e">
        <f>+#REF!</f>
        <v>#REF!</v>
      </c>
      <c r="E22" s="42">
        <f ca="1" t="shared" si="15"/>
        <v>0</v>
      </c>
      <c r="F22" s="52">
        <f ca="1" t="shared" si="9"/>
        <v>0</v>
      </c>
      <c r="G22" s="22">
        <f ca="1">+GETPIVOTDATA("XLL4",'langlon (2016)'!$A$3,"MA_HT","SKK","MA_QH","LUC")</f>
        <v>0</v>
      </c>
      <c r="H22" s="22">
        <f ca="1">+GETPIVOTDATA("XLL4",'langlon (2016)'!$A$3,"MA_HT","SKK","MA_QH","LUK")</f>
        <v>0</v>
      </c>
      <c r="I22" s="22">
        <f ca="1">+GETPIVOTDATA("XLL4",'langlon (2016)'!$A$3,"MA_HT","SKK","MA_QH","LUN")</f>
        <v>0</v>
      </c>
      <c r="J22" s="22">
        <f ca="1">+GETPIVOTDATA("XLL4",'langlon (2016)'!$A$3,"MA_HT","SKK","MA_QH","HNK")</f>
        <v>0</v>
      </c>
      <c r="K22" s="22">
        <f ca="1">+GETPIVOTDATA("XLL4",'langlon (2016)'!$A$3,"MA_HT","SKK","MA_QH","CLN")</f>
        <v>0</v>
      </c>
      <c r="L22" s="22">
        <f ca="1">+GETPIVOTDATA("XLL4",'langlon (2016)'!$A$3,"MA_HT","SKK","MA_QH","RSX")</f>
        <v>0</v>
      </c>
      <c r="M22" s="22">
        <f ca="1">+GETPIVOTDATA("XLL4",'langlon (2016)'!$A$3,"MA_HT","SKK","MA_QH","RPH")</f>
        <v>0</v>
      </c>
      <c r="N22" s="22">
        <f ca="1">+GETPIVOTDATA("XLL4",'langlon (2016)'!$A$3,"MA_HT","SKK","MA_QH","RDD")</f>
        <v>0</v>
      </c>
      <c r="O22" s="22">
        <f ca="1">+GETPIVOTDATA("XLL4",'langlon (2016)'!$A$3,"MA_HT","SKK","MA_QH","NTS")</f>
        <v>0</v>
      </c>
      <c r="P22" s="22">
        <f ca="1">+GETPIVOTDATA("XLL4",'langlon (2016)'!$A$3,"MA_HT","SKK","MA_QH","LMU")</f>
        <v>0</v>
      </c>
      <c r="Q22" s="22">
        <f ca="1">+GETPIVOTDATA("XLL4",'langlon (2016)'!$A$3,"MA_HT","SKK","MA_QH","NKH")</f>
        <v>0</v>
      </c>
      <c r="R22" s="42">
        <f ca="1">SUM(S22:T22,V22:AA22,AN22:BD22)</f>
        <v>0</v>
      </c>
      <c r="S22" s="22">
        <f ca="1">+GETPIVOTDATA("XLL4",'langlon (2016)'!$A$3,"MA_HT","SKK","MA_QH","CQP")</f>
        <v>0</v>
      </c>
      <c r="T22" s="22">
        <f ca="1">+GETPIVOTDATA("XLL4",'langlon (2016)'!$A$3,"MA_HT","SKK","MA_QH","CAN")</f>
        <v>0</v>
      </c>
      <c r="U22" s="43" t="e">
        <f ca="1">$D22-$BF22</f>
        <v>#REF!</v>
      </c>
      <c r="V22" s="22">
        <f ca="1">+GETPIVOTDATA("XLL4",'langlon (2016)'!$A$3,"MA_HT","SKK","MA_QH","SKT")</f>
        <v>0</v>
      </c>
      <c r="W22" s="22">
        <f ca="1">+GETPIVOTDATA("XLL4",'langlon (2016)'!$A$3,"MA_HT","SKK","MA_QH","SKN")</f>
        <v>0</v>
      </c>
      <c r="X22" s="22">
        <f ca="1">+GETPIVOTDATA("XLL4",'langlon (2016)'!$A$3,"MA_HT","SKK","MA_QH","TMD")</f>
        <v>0</v>
      </c>
      <c r="Y22" s="22">
        <f ca="1">+GETPIVOTDATA("XLL4",'langlon (2016)'!$A$3,"MA_HT","SKK","MA_QH","SKC")</f>
        <v>0</v>
      </c>
      <c r="Z22" s="22">
        <f ca="1">+GETPIVOTDATA("XLL4",'langlon (2016)'!$A$3,"MA_HT","SKK","MA_QH","SKS")</f>
        <v>0</v>
      </c>
      <c r="AA22" s="52">
        <f ca="1" t="shared" si="12"/>
        <v>0</v>
      </c>
      <c r="AB22" s="22">
        <f ca="1">+GETPIVOTDATA("XLL4",'langlon (2016)'!$A$3,"MA_HT","SKK","MA_QH","DGT")</f>
        <v>0</v>
      </c>
      <c r="AC22" s="22">
        <f ca="1">+GETPIVOTDATA("XLL4",'langlon (2016)'!$A$3,"MA_HT","SKK","MA_QH","DTL")</f>
        <v>0</v>
      </c>
      <c r="AD22" s="22">
        <f ca="1">+GETPIVOTDATA("XLL4",'langlon (2016)'!$A$3,"MA_HT","SKK","MA_QH","DNL")</f>
        <v>0</v>
      </c>
      <c r="AE22" s="22">
        <f ca="1">+GETPIVOTDATA("XLL4",'langlon (2016)'!$A$3,"MA_HT","SKK","MA_QH","DBV")</f>
        <v>0</v>
      </c>
      <c r="AF22" s="22">
        <f ca="1">+GETPIVOTDATA("XLL4",'langlon (2016)'!$A$3,"MA_HT","SKK","MA_QH","DVH")</f>
        <v>0</v>
      </c>
      <c r="AG22" s="22">
        <f ca="1">+GETPIVOTDATA("XLL4",'langlon (2016)'!$A$3,"MA_HT","SKK","MA_QH","DYT")</f>
        <v>0</v>
      </c>
      <c r="AH22" s="22">
        <f ca="1">+GETPIVOTDATA("XLL4",'langlon (2016)'!$A$3,"MA_HT","SKK","MA_QH","DGD")</f>
        <v>0</v>
      </c>
      <c r="AI22" s="22">
        <f ca="1">+GETPIVOTDATA("XLL4",'langlon (2016)'!$A$3,"MA_HT","SKK","MA_QH","DTT")</f>
        <v>0</v>
      </c>
      <c r="AJ22" s="22">
        <f ca="1">+GETPIVOTDATA("XLL4",'langlon (2016)'!$A$3,"MA_HT","SKK","MA_QH","NCK")</f>
        <v>0</v>
      </c>
      <c r="AK22" s="22">
        <f ca="1">+GETPIVOTDATA("XLL4",'langlon (2016)'!$A$3,"MA_HT","SKK","MA_QH","DXH")</f>
        <v>0</v>
      </c>
      <c r="AL22" s="22">
        <f ca="1">+GETPIVOTDATA("XLL4",'langlon (2016)'!$A$3,"MA_HT","SKK","MA_QH","DCH")</f>
        <v>0</v>
      </c>
      <c r="AM22" s="22">
        <f ca="1">+GETPIVOTDATA("XLL4",'langlon (2016)'!$A$3,"MA_HT","SKK","MA_QH","DKG")</f>
        <v>0</v>
      </c>
      <c r="AN22" s="22">
        <f ca="1">+GETPIVOTDATA("XLL4",'langlon (2016)'!$A$3,"MA_HT","SKK","MA_QH","DDT")</f>
        <v>0</v>
      </c>
      <c r="AO22" s="22">
        <f ca="1">+GETPIVOTDATA("XLL4",'langlon (2016)'!$A$3,"MA_HT","SKK","MA_QH","DDL")</f>
        <v>0</v>
      </c>
      <c r="AP22" s="22">
        <f ca="1">+GETPIVOTDATA("XLL4",'langlon (2016)'!$A$3,"MA_HT","SKK","MA_QH","DRA")</f>
        <v>0</v>
      </c>
      <c r="AQ22" s="22">
        <f ca="1">+GETPIVOTDATA("XLL4",'langlon (2016)'!$A$3,"MA_HT","SKK","MA_QH","ONT")</f>
        <v>0</v>
      </c>
      <c r="AR22" s="22">
        <f ca="1">+GETPIVOTDATA("XLL4",'langlon (2016)'!$A$3,"MA_HT","SKK","MA_QH","ODT")</f>
        <v>0</v>
      </c>
      <c r="AS22" s="22">
        <f ca="1">+GETPIVOTDATA("XLL4",'langlon (2016)'!$A$3,"MA_HT","SKK","MA_QH","TSC")</f>
        <v>0</v>
      </c>
      <c r="AT22" s="22">
        <f ca="1">+GETPIVOTDATA("XLL4",'langlon (2016)'!$A$3,"MA_HT","SKK","MA_QH","DTS")</f>
        <v>0</v>
      </c>
      <c r="AU22" s="22">
        <f ca="1">+GETPIVOTDATA("XLL4",'langlon (2016)'!$A$3,"MA_HT","SKK","MA_QH","DNG")</f>
        <v>0</v>
      </c>
      <c r="AV22" s="22">
        <f ca="1">+GETPIVOTDATA("XLL4",'langlon (2016)'!$A$3,"MA_HT","SKK","MA_QH","TON")</f>
        <v>0</v>
      </c>
      <c r="AW22" s="22">
        <f ca="1">+GETPIVOTDATA("XLL4",'langlon (2016)'!$A$3,"MA_HT","SKK","MA_QH","NTD")</f>
        <v>0</v>
      </c>
      <c r="AX22" s="22">
        <f ca="1">+GETPIVOTDATA("XLL4",'langlon (2016)'!$A$3,"MA_HT","SKK","MA_QH","SKX")</f>
        <v>0</v>
      </c>
      <c r="AY22" s="22">
        <f ca="1">+GETPIVOTDATA("XLL4",'langlon (2016)'!$A$3,"MA_HT","SKK","MA_QH","DSH")</f>
        <v>0</v>
      </c>
      <c r="AZ22" s="22">
        <f ca="1">+GETPIVOTDATA("XLL4",'langlon (2016)'!$A$3,"MA_HT","SKK","MA_QH","DKV")</f>
        <v>0</v>
      </c>
      <c r="BA22" s="89">
        <f ca="1">+GETPIVOTDATA("XLL4",'langlon (2016)'!$A$3,"MA_HT","SKK","MA_QH","TIN")</f>
        <v>0</v>
      </c>
      <c r="BB22" s="50">
        <f ca="1">+GETPIVOTDATA("XLL4",'langlon (2016)'!$A$3,"MA_HT","SKK","MA_QH","SON")</f>
        <v>0</v>
      </c>
      <c r="BC22" s="50">
        <f ca="1">+GETPIVOTDATA("XLL4",'langlon (2016)'!$A$3,"MA_HT","SKK","MA_QH","MNC")</f>
        <v>0</v>
      </c>
      <c r="BD22" s="22">
        <f ca="1">+GETPIVOTDATA("XLL4",'langlon (2016)'!$A$3,"MA_HT","SKK","MA_QH","PNK")</f>
        <v>0</v>
      </c>
      <c r="BE22" s="71">
        <f ca="1">+GETPIVOTDATA("XLL4",'langlon (2016)'!$A$3,"MA_HT","SKK","MA_QH","CSD")</f>
        <v>0</v>
      </c>
      <c r="BF22" s="74">
        <f ca="1" t="shared" si="13"/>
        <v>0</v>
      </c>
      <c r="BG22" s="101">
        <f ca="1">U$59-$BF22</f>
        <v>0</v>
      </c>
      <c r="BH22" s="41" t="e">
        <f ca="1" t="shared" si="14"/>
        <v>#REF!</v>
      </c>
      <c r="BI22" s="98"/>
      <c r="BJ22" s="107" t="e">
        <f>#REF!</f>
        <v>#REF!</v>
      </c>
      <c r="BK22" s="107" t="e">
        <f ca="1">BH22-BJ22</f>
        <v>#REF!</v>
      </c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</row>
    <row r="23" s="2" customFormat="1" ht="15.75" customHeight="1" spans="1:79">
      <c r="A23" s="39" t="s">
        <v>8364</v>
      </c>
      <c r="B23" s="53" t="s">
        <v>8365</v>
      </c>
      <c r="C23" s="40" t="s">
        <v>8308</v>
      </c>
      <c r="D23" s="41" t="e">
        <f>+#REF!</f>
        <v>#REF!</v>
      </c>
      <c r="E23" s="42">
        <f ca="1" t="shared" si="15"/>
        <v>0</v>
      </c>
      <c r="F23" s="52">
        <f ca="1" t="shared" si="9"/>
        <v>0</v>
      </c>
      <c r="G23" s="22">
        <f ca="1">+GETPIVOTDATA("XLL4",'langlon (2016)'!$A$3,"MA_HT","SKT","MA_QH","LUC")</f>
        <v>0</v>
      </c>
      <c r="H23" s="22">
        <f ca="1">+GETPIVOTDATA("XLL4",'langlon (2016)'!$A$3,"MA_HT","SKT","MA_QH","LUK")</f>
        <v>0</v>
      </c>
      <c r="I23" s="22">
        <f ca="1">+GETPIVOTDATA("XLL4",'langlon (2016)'!$A$3,"MA_HT","SKT","MA_QH","LUN")</f>
        <v>0</v>
      </c>
      <c r="J23" s="22">
        <f ca="1">+GETPIVOTDATA("XLL4",'langlon (2016)'!$A$3,"MA_HT","SKT","MA_QH","HNK")</f>
        <v>0</v>
      </c>
      <c r="K23" s="22">
        <f ca="1">+GETPIVOTDATA("XLL4",'langlon (2016)'!$A$3,"MA_HT","SKT","MA_QH","CLN")</f>
        <v>0</v>
      </c>
      <c r="L23" s="22">
        <f ca="1">+GETPIVOTDATA("XLL4",'langlon (2016)'!$A$3,"MA_HT","SKT","MA_QH","RSX")</f>
        <v>0</v>
      </c>
      <c r="M23" s="22">
        <f ca="1">+GETPIVOTDATA("XLL4",'langlon (2016)'!$A$3,"MA_HT","SKT","MA_QH","RPH")</f>
        <v>0</v>
      </c>
      <c r="N23" s="22">
        <f ca="1">+GETPIVOTDATA("XLL4",'langlon (2016)'!$A$3,"MA_HT","SKT","MA_QH","RDD")</f>
        <v>0</v>
      </c>
      <c r="O23" s="22">
        <f ca="1">+GETPIVOTDATA("XLL4",'langlon (2016)'!$A$3,"MA_HT","SKT","MA_QH","NTS")</f>
        <v>0</v>
      </c>
      <c r="P23" s="22">
        <f ca="1">+GETPIVOTDATA("XLL4",'langlon (2016)'!$A$3,"MA_HT","SKT","MA_QH","LMU")</f>
        <v>0</v>
      </c>
      <c r="Q23" s="22">
        <f ca="1">+GETPIVOTDATA("XLL4",'langlon (2016)'!$A$3,"MA_HT","SKT","MA_QH","NKH")</f>
        <v>0</v>
      </c>
      <c r="R23" s="42">
        <f ca="1">SUM(S23:U23,W23:AA23,AN23:BD23)</f>
        <v>0</v>
      </c>
      <c r="S23" s="22">
        <f ca="1">+GETPIVOTDATA("XLL4",'langlon (2016)'!$A$3,"MA_HT","SKT","MA_QH","CQP")</f>
        <v>0</v>
      </c>
      <c r="T23" s="22">
        <f ca="1">+GETPIVOTDATA("XLL4",'langlon (2016)'!$A$3,"MA_HT","SKT","MA_QH","CAN")</f>
        <v>0</v>
      </c>
      <c r="U23" s="22">
        <f ca="1">+GETPIVOTDATA("XLL4",'langlon (2016)'!$A$3,"MA_HT","SKT","MA_QH","SKK")</f>
        <v>0</v>
      </c>
      <c r="V23" s="43" t="e">
        <f ca="1">$D23-$BF23</f>
        <v>#REF!</v>
      </c>
      <c r="W23" s="22">
        <f ca="1">+GETPIVOTDATA("XLL4",'langlon (2016)'!$A$3,"MA_HT","SKT","MA_QH","SKN")</f>
        <v>0</v>
      </c>
      <c r="X23" s="22">
        <f ca="1">+GETPIVOTDATA("XLL4",'langlon (2016)'!$A$3,"MA_HT","SKT","MA_QH","TMD")</f>
        <v>0</v>
      </c>
      <c r="Y23" s="22">
        <f ca="1">+GETPIVOTDATA("XLL4",'langlon (2016)'!$A$3,"MA_HT","SKT","MA_QH","SKC")</f>
        <v>0</v>
      </c>
      <c r="Z23" s="22">
        <f ca="1">+GETPIVOTDATA("XLL4",'langlon (2016)'!$A$3,"MA_HT","SKT","MA_QH","SKS")</f>
        <v>0</v>
      </c>
      <c r="AA23" s="52">
        <f ca="1" t="shared" si="12"/>
        <v>0</v>
      </c>
      <c r="AB23" s="22">
        <f ca="1">+GETPIVOTDATA("XLL4",'langlon (2016)'!$A$3,"MA_HT","SKT","MA_QH","DGT")</f>
        <v>0</v>
      </c>
      <c r="AC23" s="22">
        <f ca="1">+GETPIVOTDATA("XLL4",'langlon (2016)'!$A$3,"MA_HT","SKT","MA_QH","DTL")</f>
        <v>0</v>
      </c>
      <c r="AD23" s="22">
        <f ca="1">+GETPIVOTDATA("XLL4",'langlon (2016)'!$A$3,"MA_HT","SKT","MA_QH","DNL")</f>
        <v>0</v>
      </c>
      <c r="AE23" s="22">
        <f ca="1">+GETPIVOTDATA("XLL4",'langlon (2016)'!$A$3,"MA_HT","SKT","MA_QH","DBV")</f>
        <v>0</v>
      </c>
      <c r="AF23" s="22">
        <f ca="1">+GETPIVOTDATA("XLL4",'langlon (2016)'!$A$3,"MA_HT","SKT","MA_QH","DVH")</f>
        <v>0</v>
      </c>
      <c r="AG23" s="22">
        <f ca="1">+GETPIVOTDATA("XLL4",'langlon (2016)'!$A$3,"MA_HT","SKT","MA_QH","DYT")</f>
        <v>0</v>
      </c>
      <c r="AH23" s="22">
        <f ca="1">+GETPIVOTDATA("XLL4",'langlon (2016)'!$A$3,"MA_HT","SKT","MA_QH","DGD")</f>
        <v>0</v>
      </c>
      <c r="AI23" s="22">
        <f ca="1">+GETPIVOTDATA("XLL4",'langlon (2016)'!$A$3,"MA_HT","SKT","MA_QH","DTT")</f>
        <v>0</v>
      </c>
      <c r="AJ23" s="22">
        <f ca="1">+GETPIVOTDATA("XLL4",'langlon (2016)'!$A$3,"MA_HT","SKT","MA_QH","NCK")</f>
        <v>0</v>
      </c>
      <c r="AK23" s="22">
        <f ca="1">+GETPIVOTDATA("XLL4",'langlon (2016)'!$A$3,"MA_HT","SKT","MA_QH","DXH")</f>
        <v>0</v>
      </c>
      <c r="AL23" s="22">
        <f ca="1">+GETPIVOTDATA("XLL4",'langlon (2016)'!$A$3,"MA_HT","SKT","MA_QH","DCH")</f>
        <v>0</v>
      </c>
      <c r="AM23" s="22">
        <f ca="1">+GETPIVOTDATA("XLL4",'langlon (2016)'!$A$3,"MA_HT","SKT","MA_QH","DKG")</f>
        <v>0</v>
      </c>
      <c r="AN23" s="22">
        <f ca="1">+GETPIVOTDATA("XLL4",'langlon (2016)'!$A$3,"MA_HT","SKT","MA_QH","DDT")</f>
        <v>0</v>
      </c>
      <c r="AO23" s="22">
        <f ca="1">+GETPIVOTDATA("XLL4",'langlon (2016)'!$A$3,"MA_HT","SKT","MA_QH","DDL")</f>
        <v>0</v>
      </c>
      <c r="AP23" s="22">
        <f ca="1">+GETPIVOTDATA("XLL4",'langlon (2016)'!$A$3,"MA_HT","SKT","MA_QH","DRA")</f>
        <v>0</v>
      </c>
      <c r="AQ23" s="22">
        <f ca="1">+GETPIVOTDATA("XLL4",'langlon (2016)'!$A$3,"MA_HT","SKT","MA_QH","ONT")</f>
        <v>0</v>
      </c>
      <c r="AR23" s="22">
        <f ca="1">+GETPIVOTDATA("XLL4",'langlon (2016)'!$A$3,"MA_HT","SKT","MA_QH","ODT")</f>
        <v>0</v>
      </c>
      <c r="AS23" s="22">
        <f ca="1">+GETPIVOTDATA("XLL4",'langlon (2016)'!$A$3,"MA_HT","SKT","MA_QH","TSC")</f>
        <v>0</v>
      </c>
      <c r="AT23" s="22">
        <f ca="1">+GETPIVOTDATA("XLL4",'langlon (2016)'!$A$3,"MA_HT","SKT","MA_QH","DTS")</f>
        <v>0</v>
      </c>
      <c r="AU23" s="22">
        <f ca="1">+GETPIVOTDATA("XLL4",'langlon (2016)'!$A$3,"MA_HT","SKT","MA_QH","DNG")</f>
        <v>0</v>
      </c>
      <c r="AV23" s="22">
        <f ca="1">+GETPIVOTDATA("XLL4",'langlon (2016)'!$A$3,"MA_HT","SKT","MA_QH","TON")</f>
        <v>0</v>
      </c>
      <c r="AW23" s="22">
        <f ca="1">+GETPIVOTDATA("XLL4",'langlon (2016)'!$A$3,"MA_HT","SKT","MA_QH","NTD")</f>
        <v>0</v>
      </c>
      <c r="AX23" s="22">
        <f ca="1">+GETPIVOTDATA("XLL4",'langlon (2016)'!$A$3,"MA_HT","SKT","MA_QH","SKX")</f>
        <v>0</v>
      </c>
      <c r="AY23" s="22">
        <f ca="1">+GETPIVOTDATA("XLL4",'langlon (2016)'!$A$3,"MA_HT","SKT","MA_QH","DSH")</f>
        <v>0</v>
      </c>
      <c r="AZ23" s="22">
        <f ca="1">+GETPIVOTDATA("XLL4",'langlon (2016)'!$A$3,"MA_HT","SKT","MA_QH","DKV")</f>
        <v>0</v>
      </c>
      <c r="BA23" s="89">
        <f ca="1">+GETPIVOTDATA("XLL4",'langlon (2016)'!$A$3,"MA_HT","SKT","MA_QH","TIN")</f>
        <v>0</v>
      </c>
      <c r="BB23" s="50">
        <f ca="1">+GETPIVOTDATA("XLL4",'langlon (2016)'!$A$3,"MA_HT","SKT","MA_QH","SON")</f>
        <v>0</v>
      </c>
      <c r="BC23" s="50">
        <f ca="1">+GETPIVOTDATA("XLL4",'langlon (2016)'!$A$3,"MA_HT","SKT","MA_QH","MNC")</f>
        <v>0</v>
      </c>
      <c r="BD23" s="22">
        <f ca="1">+GETPIVOTDATA("XLL4",'langlon (2016)'!$A$3,"MA_HT","SKT","MA_QH","PNK")</f>
        <v>0</v>
      </c>
      <c r="BE23" s="71">
        <f ca="1">+GETPIVOTDATA("XLL4",'langlon (2016)'!$A$3,"MA_HT","SKT","MA_QH","CSD")</f>
        <v>0</v>
      </c>
      <c r="BF23" s="74">
        <f ca="1" t="shared" si="13"/>
        <v>0</v>
      </c>
      <c r="BG23" s="101">
        <f ca="1">V$59-$BF23</f>
        <v>0</v>
      </c>
      <c r="BH23" s="41" t="e">
        <f ca="1" t="shared" si="14"/>
        <v>#REF!</v>
      </c>
      <c r="BI23" s="98"/>
      <c r="BJ23" s="107"/>
      <c r="BK23" s="107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</row>
    <row r="24" s="2" customFormat="1" ht="15.75" customHeight="1" spans="1:79">
      <c r="A24" s="39" t="s">
        <v>8366</v>
      </c>
      <c r="B24" s="53" t="s">
        <v>8367</v>
      </c>
      <c r="C24" s="40" t="s">
        <v>56</v>
      </c>
      <c r="D24" s="41" t="e">
        <f>+#REF!</f>
        <v>#REF!</v>
      </c>
      <c r="E24" s="42">
        <f ca="1" t="shared" si="15"/>
        <v>0</v>
      </c>
      <c r="F24" s="52">
        <f ca="1" t="shared" si="9"/>
        <v>0</v>
      </c>
      <c r="G24" s="22">
        <f ca="1">+GETPIVOTDATA("XLL4",'langlon (2016)'!$A$3,"MA_HT","SKN","MA_QH","LUC")</f>
        <v>0</v>
      </c>
      <c r="H24" s="22">
        <f ca="1">+GETPIVOTDATA("XLL4",'langlon (2016)'!$A$3,"MA_HT","SKN","MA_QH","LUK")</f>
        <v>0</v>
      </c>
      <c r="I24" s="22">
        <f ca="1">+GETPIVOTDATA("XLL4",'langlon (2016)'!$A$3,"MA_HT","SKN","MA_QH","LUN")</f>
        <v>0</v>
      </c>
      <c r="J24" s="22">
        <f ca="1">+GETPIVOTDATA("XLL4",'langlon (2016)'!$A$3,"MA_HT","SKN","MA_QH","HNK")</f>
        <v>0</v>
      </c>
      <c r="K24" s="22">
        <f ca="1">+GETPIVOTDATA("XLL4",'langlon (2016)'!$A$3,"MA_HT","SKN","MA_QH","CLN")</f>
        <v>0</v>
      </c>
      <c r="L24" s="22">
        <f ca="1">+GETPIVOTDATA("XLL4",'langlon (2016)'!$A$3,"MA_HT","SKN","MA_QH","RSX")</f>
        <v>0</v>
      </c>
      <c r="M24" s="22">
        <f ca="1">+GETPIVOTDATA("XLL4",'langlon (2016)'!$A$3,"MA_HT","SKN","MA_QH","RPH")</f>
        <v>0</v>
      </c>
      <c r="N24" s="22">
        <f ca="1">+GETPIVOTDATA("XLL4",'langlon (2016)'!$A$3,"MA_HT","SKN","MA_QH","RDD")</f>
        <v>0</v>
      </c>
      <c r="O24" s="22">
        <f ca="1">+GETPIVOTDATA("XLL4",'langlon (2016)'!$A$3,"MA_HT","SKN","MA_QH","NTS")</f>
        <v>0</v>
      </c>
      <c r="P24" s="22">
        <f ca="1">+GETPIVOTDATA("XLL4",'langlon (2016)'!$A$3,"MA_HT","SKN","MA_QH","LMU")</f>
        <v>0</v>
      </c>
      <c r="Q24" s="22">
        <f ca="1">+GETPIVOTDATA("XLL4",'langlon (2016)'!$A$3,"MA_HT","SKN","MA_QH","NKH")</f>
        <v>0</v>
      </c>
      <c r="R24" s="42">
        <f ca="1">SUM(S24:V24,X24:AA24,AN24:BD24)</f>
        <v>0</v>
      </c>
      <c r="S24" s="22">
        <f ca="1">+GETPIVOTDATA("XLL4",'langlon (2016)'!$A$3,"MA_HT","SKN","MA_QH","CQP")</f>
        <v>0</v>
      </c>
      <c r="T24" s="22">
        <f ca="1">+GETPIVOTDATA("XLL4",'langlon (2016)'!$A$3,"MA_HT","SKN","MA_QH","CAN")</f>
        <v>0</v>
      </c>
      <c r="U24" s="22">
        <f ca="1">+GETPIVOTDATA("XLL4",'langlon (2016)'!$A$3,"MA_HT","SKN","MA_QH","SKK")</f>
        <v>0</v>
      </c>
      <c r="V24" s="22">
        <f ca="1">+GETPIVOTDATA("XLL4",'langlon (2016)'!$A$3,"MA_HT","SKN","MA_QH","SKT")</f>
        <v>0</v>
      </c>
      <c r="W24" s="43" t="e">
        <f ca="1">$D24-$BF24</f>
        <v>#REF!</v>
      </c>
      <c r="X24" s="22">
        <f ca="1">+GETPIVOTDATA("XLL4",'langlon (2016)'!$A$3,"MA_HT","SKN","MA_QH","TMD")</f>
        <v>0</v>
      </c>
      <c r="Y24" s="22">
        <f ca="1">+GETPIVOTDATA("XLL4",'langlon (2016)'!$A$3,"MA_HT","SKN","MA_QH","SKC")</f>
        <v>0</v>
      </c>
      <c r="Z24" s="22">
        <f ca="1">+GETPIVOTDATA("XLL4",'langlon (2016)'!$A$3,"MA_HT","SKN","MA_QH","SKS")</f>
        <v>0</v>
      </c>
      <c r="AA24" s="52">
        <f ca="1" t="shared" si="12"/>
        <v>0</v>
      </c>
      <c r="AB24" s="22">
        <f ca="1">+GETPIVOTDATA("XLL4",'langlon (2016)'!$A$3,"MA_HT","SKN","MA_QH","DGT")</f>
        <v>0</v>
      </c>
      <c r="AC24" s="22">
        <f ca="1">+GETPIVOTDATA("XLL4",'langlon (2016)'!$A$3,"MA_HT","SKN","MA_QH","DTL")</f>
        <v>0</v>
      </c>
      <c r="AD24" s="22">
        <f ca="1">+GETPIVOTDATA("XLL4",'langlon (2016)'!$A$3,"MA_HT","SKN","MA_QH","DNL")</f>
        <v>0</v>
      </c>
      <c r="AE24" s="22">
        <f ca="1">+GETPIVOTDATA("XLL4",'langlon (2016)'!$A$3,"MA_HT","SKN","MA_QH","DBV")</f>
        <v>0</v>
      </c>
      <c r="AF24" s="22">
        <f ca="1">+GETPIVOTDATA("XLL4",'langlon (2016)'!$A$3,"MA_HT","SKN","MA_QH","DVH")</f>
        <v>0</v>
      </c>
      <c r="AG24" s="22">
        <f ca="1">+GETPIVOTDATA("XLL4",'langlon (2016)'!$A$3,"MA_HT","SKN","MA_QH","DYT")</f>
        <v>0</v>
      </c>
      <c r="AH24" s="22">
        <f ca="1">+GETPIVOTDATA("XLL4",'langlon (2016)'!$A$3,"MA_HT","SKN","MA_QH","DGD")</f>
        <v>0</v>
      </c>
      <c r="AI24" s="22">
        <f ca="1">+GETPIVOTDATA("XLL4",'langlon (2016)'!$A$3,"MA_HT","SKN","MA_QH","DTT")</f>
        <v>0</v>
      </c>
      <c r="AJ24" s="22">
        <f ca="1">+GETPIVOTDATA("XLL4",'langlon (2016)'!$A$3,"MA_HT","SKN","MA_QH","NCK")</f>
        <v>0</v>
      </c>
      <c r="AK24" s="22">
        <f ca="1">+GETPIVOTDATA("XLL4",'langlon (2016)'!$A$3,"MA_HT","SKN","MA_QH","DXH")</f>
        <v>0</v>
      </c>
      <c r="AL24" s="22">
        <f ca="1">+GETPIVOTDATA("XLL4",'langlon (2016)'!$A$3,"MA_HT","SKN","MA_QH","DCH")</f>
        <v>0</v>
      </c>
      <c r="AM24" s="22">
        <f ca="1">+GETPIVOTDATA("XLL4",'langlon (2016)'!$A$3,"MA_HT","SKN","MA_QH","DKG")</f>
        <v>0</v>
      </c>
      <c r="AN24" s="22">
        <f ca="1">+GETPIVOTDATA("XLL4",'langlon (2016)'!$A$3,"MA_HT","SKN","MA_QH","DDT")</f>
        <v>0</v>
      </c>
      <c r="AO24" s="22">
        <f ca="1">+GETPIVOTDATA("XLL4",'langlon (2016)'!$A$3,"MA_HT","SKN","MA_QH","DDL")</f>
        <v>0</v>
      </c>
      <c r="AP24" s="22">
        <f ca="1">+GETPIVOTDATA("XLL4",'langlon (2016)'!$A$3,"MA_HT","SKN","MA_QH","DRA")</f>
        <v>0</v>
      </c>
      <c r="AQ24" s="22">
        <f ca="1">+GETPIVOTDATA("XLL4",'langlon (2016)'!$A$3,"MA_HT","SKN","MA_QH","ONT")</f>
        <v>0</v>
      </c>
      <c r="AR24" s="22">
        <f ca="1">+GETPIVOTDATA("XLL4",'langlon (2016)'!$A$3,"MA_HT","SKN","MA_QH","ODT")</f>
        <v>0</v>
      </c>
      <c r="AS24" s="22">
        <f ca="1">+GETPIVOTDATA("XLL4",'langlon (2016)'!$A$3,"MA_HT","SKN","MA_QH","TSC")</f>
        <v>0</v>
      </c>
      <c r="AT24" s="22">
        <f ca="1">+GETPIVOTDATA("XLL4",'langlon (2016)'!$A$3,"MA_HT","SKN","MA_QH","DTS")</f>
        <v>0</v>
      </c>
      <c r="AU24" s="22">
        <f ca="1">+GETPIVOTDATA("XLL4",'langlon (2016)'!$A$3,"MA_HT","SKN","MA_QH","DNG")</f>
        <v>0</v>
      </c>
      <c r="AV24" s="22">
        <f ca="1">+GETPIVOTDATA("XLL4",'langlon (2016)'!$A$3,"MA_HT","SKN","MA_QH","TON")</f>
        <v>0</v>
      </c>
      <c r="AW24" s="22">
        <f ca="1">+GETPIVOTDATA("XLL4",'langlon (2016)'!$A$3,"MA_HT","SKN","MA_QH","NTD")</f>
        <v>0</v>
      </c>
      <c r="AX24" s="22">
        <f ca="1">+GETPIVOTDATA("XLL4",'langlon (2016)'!$A$3,"MA_HT","SKN","MA_QH","SKX")</f>
        <v>0</v>
      </c>
      <c r="AY24" s="22">
        <f ca="1">+GETPIVOTDATA("XLL4",'langlon (2016)'!$A$3,"MA_HT","SKN","MA_QH","DSH")</f>
        <v>0</v>
      </c>
      <c r="AZ24" s="22">
        <f ca="1">+GETPIVOTDATA("XLL4",'langlon (2016)'!$A$3,"MA_HT","SKN","MA_QH","DKV")</f>
        <v>0</v>
      </c>
      <c r="BA24" s="89">
        <f ca="1">+GETPIVOTDATA("XLL4",'langlon (2016)'!$A$3,"MA_HT","SKN","MA_QH","TIN")</f>
        <v>0</v>
      </c>
      <c r="BB24" s="50">
        <f ca="1">+GETPIVOTDATA("XLL4",'langlon (2016)'!$A$3,"MA_HT","SKN","MA_QH","SON")</f>
        <v>0</v>
      </c>
      <c r="BC24" s="50">
        <f ca="1">+GETPIVOTDATA("XLL4",'langlon (2016)'!$A$3,"MA_HT","SKN","MA_QH","MNC")</f>
        <v>0</v>
      </c>
      <c r="BD24" s="22">
        <f ca="1">+GETPIVOTDATA("XLL4",'langlon (2016)'!$A$3,"MA_HT","SKN","MA_QH","PNK")</f>
        <v>0</v>
      </c>
      <c r="BE24" s="71">
        <f ca="1">+GETPIVOTDATA("XLL4",'langlon (2016)'!$A$3,"MA_HT","SKN","MA_QH","CSD")</f>
        <v>0</v>
      </c>
      <c r="BF24" s="74">
        <f ca="1" t="shared" si="13"/>
        <v>0</v>
      </c>
      <c r="BG24" s="101">
        <f ca="1">W$59-$BF24</f>
        <v>0</v>
      </c>
      <c r="BH24" s="41" t="e">
        <f ca="1" t="shared" si="14"/>
        <v>#REF!</v>
      </c>
      <c r="BI24" s="98"/>
      <c r="BJ24" s="107"/>
      <c r="BK24" s="107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</row>
    <row r="25" s="2" customFormat="1" ht="15.75" customHeight="1" spans="1:79">
      <c r="A25" s="39" t="s">
        <v>8368</v>
      </c>
      <c r="B25" s="39" t="s">
        <v>8369</v>
      </c>
      <c r="C25" s="40" t="s">
        <v>265</v>
      </c>
      <c r="D25" s="41" t="e">
        <f>+#REF!</f>
        <v>#REF!</v>
      </c>
      <c r="E25" s="42">
        <f ca="1" t="shared" si="15"/>
        <v>0</v>
      </c>
      <c r="F25" s="52">
        <f ca="1" t="shared" si="9"/>
        <v>0</v>
      </c>
      <c r="G25" s="22">
        <f ca="1">+GETPIVOTDATA("XLL4",'langlon (2016)'!$A$3,"MA_HT","TMD","MA_QH","LUC")</f>
        <v>0</v>
      </c>
      <c r="H25" s="22">
        <f ca="1">+GETPIVOTDATA("XLL4",'langlon (2016)'!$A$3,"MA_HT","TMD","MA_QH","LUK")</f>
        <v>0</v>
      </c>
      <c r="I25" s="22">
        <f ca="1">+GETPIVOTDATA("XLL4",'langlon (2016)'!$A$3,"MA_HT","TMD","MA_QH","LUN")</f>
        <v>0</v>
      </c>
      <c r="J25" s="22">
        <f ca="1">+GETPIVOTDATA("XLL4",'langlon (2016)'!$A$3,"MA_HT","TMD","MA_QH","HNK")</f>
        <v>0</v>
      </c>
      <c r="K25" s="22">
        <f ca="1">+GETPIVOTDATA("XLL4",'langlon (2016)'!$A$3,"MA_HT","TMD","MA_QH","CLN")</f>
        <v>0</v>
      </c>
      <c r="L25" s="22">
        <f ca="1">+GETPIVOTDATA("XLL4",'langlon (2016)'!$A$3,"MA_HT","TMD","MA_QH","RSX")</f>
        <v>0</v>
      </c>
      <c r="M25" s="22">
        <f ca="1">+GETPIVOTDATA("XLL4",'langlon (2016)'!$A$3,"MA_HT","TMD","MA_QH","RPH")</f>
        <v>0</v>
      </c>
      <c r="N25" s="22">
        <f ca="1">+GETPIVOTDATA("XLL4",'langlon (2016)'!$A$3,"MA_HT","TMD","MA_QH","RDD")</f>
        <v>0</v>
      </c>
      <c r="O25" s="22">
        <f ca="1">+GETPIVOTDATA("XLL4",'langlon (2016)'!$A$3,"MA_HT","TMD","MA_QH","NTS")</f>
        <v>0</v>
      </c>
      <c r="P25" s="22">
        <f ca="1">+GETPIVOTDATA("XLL4",'langlon (2016)'!$A$3,"MA_HT","TMD","MA_QH","LMU")</f>
        <v>0</v>
      </c>
      <c r="Q25" s="22">
        <f ca="1">+GETPIVOTDATA("XLL4",'langlon (2016)'!$A$3,"MA_HT","TMD","MA_QH","NKH")</f>
        <v>0</v>
      </c>
      <c r="R25" s="42">
        <f ca="1">SUM(S25:W25,Y25:AA25,AN25:BD25)</f>
        <v>0</v>
      </c>
      <c r="S25" s="22">
        <f ca="1">+GETPIVOTDATA("XLL4",'langlon (2016)'!$A$3,"MA_HT","TMD","MA_QH","CQP")</f>
        <v>0</v>
      </c>
      <c r="T25" s="22">
        <f ca="1">+GETPIVOTDATA("XLL4",'langlon (2016)'!$A$3,"MA_HT","TMD","MA_QH","CAN")</f>
        <v>0</v>
      </c>
      <c r="U25" s="22">
        <f ca="1">+GETPIVOTDATA("XLL4",'langlon (2016)'!$A$3,"MA_HT","TMD","MA_QH","SKK")</f>
        <v>0</v>
      </c>
      <c r="V25" s="22">
        <f ca="1">+GETPIVOTDATA("XLL4",'langlon (2016)'!$A$3,"MA_HT","TMD","MA_QH","SKT")</f>
        <v>0</v>
      </c>
      <c r="W25" s="22">
        <f ca="1">+GETPIVOTDATA("XLL4",'langlon (2016)'!$A$3,"MA_HT","TMD","MA_QH","SKN")</f>
        <v>0</v>
      </c>
      <c r="X25" s="43" t="e">
        <f ca="1">$D25-$BF25</f>
        <v>#REF!</v>
      </c>
      <c r="Y25" s="22">
        <f ca="1">+GETPIVOTDATA("XLL4",'langlon (2016)'!$A$3,"MA_HT","TMD","MA_QH","SKC")</f>
        <v>0</v>
      </c>
      <c r="Z25" s="22">
        <f ca="1">+GETPIVOTDATA("XLL4",'langlon (2016)'!$A$3,"MA_HT","TMD","MA_QH","SKS")</f>
        <v>0</v>
      </c>
      <c r="AA25" s="52">
        <f ca="1" t="shared" si="12"/>
        <v>0</v>
      </c>
      <c r="AB25" s="22">
        <f ca="1">+GETPIVOTDATA("XLL4",'langlon (2016)'!$A$3,"MA_HT","TMD","MA_QH","DGT")</f>
        <v>0</v>
      </c>
      <c r="AC25" s="22">
        <f ca="1">+GETPIVOTDATA("XLL4",'langlon (2016)'!$A$3,"MA_HT","TMD","MA_QH","DTL")</f>
        <v>0</v>
      </c>
      <c r="AD25" s="22">
        <f ca="1">+GETPIVOTDATA("XLL4",'langlon (2016)'!$A$3,"MA_HT","TMD","MA_QH","DNL")</f>
        <v>0</v>
      </c>
      <c r="AE25" s="22">
        <f ca="1">+GETPIVOTDATA("XLL4",'langlon (2016)'!$A$3,"MA_HT","TMD","MA_QH","DBV")</f>
        <v>0</v>
      </c>
      <c r="AF25" s="22">
        <f ca="1">+GETPIVOTDATA("XLL4",'langlon (2016)'!$A$3,"MA_HT","TMD","MA_QH","DVH")</f>
        <v>0</v>
      </c>
      <c r="AG25" s="22">
        <f ca="1">+GETPIVOTDATA("XLL4",'langlon (2016)'!$A$3,"MA_HT","TMD","MA_QH","DYT")</f>
        <v>0</v>
      </c>
      <c r="AH25" s="22">
        <f ca="1">+GETPIVOTDATA("XLL4",'langlon (2016)'!$A$3,"MA_HT","TMD","MA_QH","DGD")</f>
        <v>0</v>
      </c>
      <c r="AI25" s="22">
        <f ca="1">+GETPIVOTDATA("XLL4",'langlon (2016)'!$A$3,"MA_HT","TMD","MA_QH","DTT")</f>
        <v>0</v>
      </c>
      <c r="AJ25" s="22">
        <f ca="1">+GETPIVOTDATA("XLL4",'langlon (2016)'!$A$3,"MA_HT","TMD","MA_QH","NCK")</f>
        <v>0</v>
      </c>
      <c r="AK25" s="22">
        <f ca="1">+GETPIVOTDATA("XLL4",'langlon (2016)'!$A$3,"MA_HT","TMD","MA_QH","DXH")</f>
        <v>0</v>
      </c>
      <c r="AL25" s="22">
        <f ca="1">+GETPIVOTDATA("XLL4",'langlon (2016)'!$A$3,"MA_HT","TMD","MA_QH","DCH")</f>
        <v>0</v>
      </c>
      <c r="AM25" s="22">
        <f ca="1">+GETPIVOTDATA("XLL4",'langlon (2016)'!$A$3,"MA_HT","TMD","MA_QH","DKG")</f>
        <v>0</v>
      </c>
      <c r="AN25" s="22">
        <f ca="1">+GETPIVOTDATA("XLL4",'langlon (2016)'!$A$3,"MA_HT","TMD","MA_QH","DDT")</f>
        <v>0</v>
      </c>
      <c r="AO25" s="22">
        <f ca="1">+GETPIVOTDATA("XLL4",'langlon (2016)'!$A$3,"MA_HT","TMD","MA_QH","DDL")</f>
        <v>0</v>
      </c>
      <c r="AP25" s="22">
        <f ca="1">+GETPIVOTDATA("XLL4",'langlon (2016)'!$A$3,"MA_HT","TMD","MA_QH","DRA")</f>
        <v>0</v>
      </c>
      <c r="AQ25" s="22">
        <f ca="1">+GETPIVOTDATA("XLL4",'langlon (2016)'!$A$3,"MA_HT","TMD","MA_QH","ONT")</f>
        <v>0</v>
      </c>
      <c r="AR25" s="22">
        <f ca="1">+GETPIVOTDATA("XLL4",'langlon (2016)'!$A$3,"MA_HT","TMD","MA_QH","ODT")</f>
        <v>0</v>
      </c>
      <c r="AS25" s="22">
        <f ca="1">+GETPIVOTDATA("XLL4",'langlon (2016)'!$A$3,"MA_HT","TMD","MA_QH","TSC")</f>
        <v>0</v>
      </c>
      <c r="AT25" s="22">
        <f ca="1">+GETPIVOTDATA("XLL4",'langlon (2016)'!$A$3,"MA_HT","TMD","MA_QH","DTS")</f>
        <v>0</v>
      </c>
      <c r="AU25" s="22">
        <f ca="1">+GETPIVOTDATA("XLL4",'langlon (2016)'!$A$3,"MA_HT","TMD","MA_QH","DNG")</f>
        <v>0</v>
      </c>
      <c r="AV25" s="22">
        <f ca="1">+GETPIVOTDATA("XLL4",'langlon (2016)'!$A$3,"MA_HT","TMD","MA_QH","TON")</f>
        <v>0</v>
      </c>
      <c r="AW25" s="22">
        <f ca="1">+GETPIVOTDATA("XLL4",'langlon (2016)'!$A$3,"MA_HT","TMD","MA_QH","NTD")</f>
        <v>0</v>
      </c>
      <c r="AX25" s="22">
        <f ca="1">+GETPIVOTDATA("XLL4",'langlon (2016)'!$A$3,"MA_HT","TMD","MA_QH","SKX")</f>
        <v>0</v>
      </c>
      <c r="AY25" s="22">
        <f ca="1">+GETPIVOTDATA("XLL4",'langlon (2016)'!$A$3,"MA_HT","TMD","MA_QH","DSH")</f>
        <v>0</v>
      </c>
      <c r="AZ25" s="22">
        <f ca="1">+GETPIVOTDATA("XLL4",'langlon (2016)'!$A$3,"MA_HT","TMD","MA_QH","DKV")</f>
        <v>0</v>
      </c>
      <c r="BA25" s="89">
        <f ca="1">+GETPIVOTDATA("XLL4",'langlon (2016)'!$A$3,"MA_HT","TMD","MA_QH","TIN")</f>
        <v>0</v>
      </c>
      <c r="BB25" s="50">
        <f ca="1">+GETPIVOTDATA("XLL4",'langlon (2016)'!$A$3,"MA_HT","TMD","MA_QH","SON")</f>
        <v>0</v>
      </c>
      <c r="BC25" s="50">
        <f ca="1">+GETPIVOTDATA("XLL4",'langlon (2016)'!$A$3,"MA_HT","TMD","MA_QH","MNC")</f>
        <v>0</v>
      </c>
      <c r="BD25" s="22">
        <f ca="1">+GETPIVOTDATA("XLL4",'langlon (2016)'!$A$3,"MA_HT","TMD","MA_QH","PNK")</f>
        <v>0</v>
      </c>
      <c r="BE25" s="71">
        <f ca="1">+GETPIVOTDATA("XLL4",'langlon (2016)'!$A$3,"MA_HT","TMD","MA_QH","CSD")</f>
        <v>0</v>
      </c>
      <c r="BF25" s="74">
        <f ca="1" t="shared" si="13"/>
        <v>0</v>
      </c>
      <c r="BG25" s="101">
        <f ca="1">X$59-$BF25</f>
        <v>0</v>
      </c>
      <c r="BH25" s="41" t="e">
        <f ca="1" t="shared" si="14"/>
        <v>#REF!</v>
      </c>
      <c r="BI25" s="98"/>
      <c r="BJ25" s="107" t="e">
        <f>#REF!</f>
        <v>#REF!</v>
      </c>
      <c r="BK25" s="107" t="e">
        <f ca="1">BH25-BJ25</f>
        <v>#REF!</v>
      </c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</row>
    <row r="26" s="2" customFormat="1" ht="15.75" customHeight="1" spans="1:79">
      <c r="A26" s="39" t="s">
        <v>8370</v>
      </c>
      <c r="B26" s="39" t="s">
        <v>8371</v>
      </c>
      <c r="C26" s="40" t="s">
        <v>204</v>
      </c>
      <c r="D26" s="41" t="e">
        <f>+#REF!</f>
        <v>#REF!</v>
      </c>
      <c r="E26" s="42">
        <f ca="1" t="shared" si="15"/>
        <v>0</v>
      </c>
      <c r="F26" s="52">
        <f ca="1" t="shared" si="9"/>
        <v>0</v>
      </c>
      <c r="G26" s="22">
        <f ca="1">+GETPIVOTDATA("XLL4",'langlon (2016)'!$A$3,"MA_HT","SKC","MA_QH","LUC")</f>
        <v>0</v>
      </c>
      <c r="H26" s="22">
        <f ca="1">+GETPIVOTDATA("XLL4",'langlon (2016)'!$A$3,"MA_HT","SKC","MA_QH","LUK")</f>
        <v>0</v>
      </c>
      <c r="I26" s="22">
        <f ca="1">+GETPIVOTDATA("XLL4",'langlon (2016)'!$A$3,"MA_HT","SKC","MA_QH","LUN")</f>
        <v>0</v>
      </c>
      <c r="J26" s="22">
        <f ca="1">+GETPIVOTDATA("XLL4",'langlon (2016)'!$A$3,"MA_HT","SKC","MA_QH","HNK")</f>
        <v>0</v>
      </c>
      <c r="K26" s="22">
        <f ca="1">+GETPIVOTDATA("XLL4",'langlon (2016)'!$A$3,"MA_HT","SKC","MA_QH","CLN")</f>
        <v>0</v>
      </c>
      <c r="L26" s="22">
        <f ca="1">+GETPIVOTDATA("XLL4",'langlon (2016)'!$A$3,"MA_HT","SKC","MA_QH","RSX")</f>
        <v>0</v>
      </c>
      <c r="M26" s="22">
        <f ca="1">+GETPIVOTDATA("XLL4",'langlon (2016)'!$A$3,"MA_HT","SKC","MA_QH","RPH")</f>
        <v>0</v>
      </c>
      <c r="N26" s="22">
        <f ca="1">+GETPIVOTDATA("XLL4",'langlon (2016)'!$A$3,"MA_HT","SKC","MA_QH","RDD")</f>
        <v>0</v>
      </c>
      <c r="O26" s="22">
        <f ca="1">+GETPIVOTDATA("XLL4",'langlon (2016)'!$A$3,"MA_HT","SKC","MA_QH","NTS")</f>
        <v>0</v>
      </c>
      <c r="P26" s="22">
        <f ca="1">+GETPIVOTDATA("XLL4",'langlon (2016)'!$A$3,"MA_HT","SKC","MA_QH","LMU")</f>
        <v>0</v>
      </c>
      <c r="Q26" s="22">
        <f ca="1">+GETPIVOTDATA("XLL4",'langlon (2016)'!$A$3,"MA_HT","SKC","MA_QH","NKH")</f>
        <v>0</v>
      </c>
      <c r="R26" s="42">
        <f ca="1">SUM(S26:X26,Z26,AN26:BD26)</f>
        <v>0</v>
      </c>
      <c r="S26" s="22">
        <f ca="1">+GETPIVOTDATA("XLL4",'langlon (2016)'!$A$3,"MA_HT","SKC","MA_QH","CQP")</f>
        <v>0</v>
      </c>
      <c r="T26" s="22">
        <f ca="1">+GETPIVOTDATA("XLL4",'langlon (2016)'!$A$3,"MA_HT","SKC","MA_QH","CAN")</f>
        <v>0</v>
      </c>
      <c r="U26" s="22">
        <f ca="1">+GETPIVOTDATA("XLL4",'langlon (2016)'!$A$3,"MA_HT","SKC","MA_QH","SKK")</f>
        <v>0</v>
      </c>
      <c r="V26" s="22">
        <f ca="1">+GETPIVOTDATA("XLL4",'langlon (2016)'!$A$3,"MA_HT","SKC","MA_QH","SKT")</f>
        <v>0</v>
      </c>
      <c r="W26" s="22">
        <f ca="1">+GETPIVOTDATA("XLL4",'langlon (2016)'!$A$3,"MA_HT","SKC","MA_QH","SKN")</f>
        <v>0</v>
      </c>
      <c r="X26" s="22">
        <f ca="1">+GETPIVOTDATA("XLL4",'langlon (2016)'!$A$3,"MA_HT","SKC","MA_QH","TMD")</f>
        <v>0</v>
      </c>
      <c r="Y26" s="43" t="e">
        <f ca="1">$D26-$BF26</f>
        <v>#REF!</v>
      </c>
      <c r="Z26" s="22">
        <f ca="1">+GETPIVOTDATA("XLL4",'langlon (2016)'!$A$3,"MA_HT","SKC","MA_QH","SKS")</f>
        <v>0</v>
      </c>
      <c r="AA26" s="52">
        <f ca="1" t="shared" si="12"/>
        <v>0</v>
      </c>
      <c r="AB26" s="22">
        <f ca="1">+GETPIVOTDATA("XLL4",'langlon (2016)'!$A$3,"MA_HT","SKC","MA_QH","DGT")</f>
        <v>0</v>
      </c>
      <c r="AC26" s="22">
        <f ca="1">+GETPIVOTDATA("XLL4",'langlon (2016)'!$A$3,"MA_HT","SKC","MA_QH","DTL")</f>
        <v>0</v>
      </c>
      <c r="AD26" s="22">
        <f ca="1">+GETPIVOTDATA("XLL4",'langlon (2016)'!$A$3,"MA_HT","SKC","MA_QH","DNL")</f>
        <v>0</v>
      </c>
      <c r="AE26" s="22">
        <f ca="1">+GETPIVOTDATA("XLL4",'langlon (2016)'!$A$3,"MA_HT","SKC","MA_QH","DBV")</f>
        <v>0</v>
      </c>
      <c r="AF26" s="22">
        <f ca="1">+GETPIVOTDATA("XLL4",'langlon (2016)'!$A$3,"MA_HT","SKC","MA_QH","DVH")</f>
        <v>0</v>
      </c>
      <c r="AG26" s="22">
        <f ca="1">+GETPIVOTDATA("XLL4",'langlon (2016)'!$A$3,"MA_HT","SKC","MA_QH","DYT")</f>
        <v>0</v>
      </c>
      <c r="AH26" s="22">
        <f ca="1">+GETPIVOTDATA("XLL4",'langlon (2016)'!$A$3,"MA_HT","SKC","MA_QH","DGD")</f>
        <v>0</v>
      </c>
      <c r="AI26" s="22">
        <f ca="1">+GETPIVOTDATA("XLL4",'langlon (2016)'!$A$3,"MA_HT","SKC","MA_QH","DTT")</f>
        <v>0</v>
      </c>
      <c r="AJ26" s="22">
        <f ca="1">+GETPIVOTDATA("XLL4",'langlon (2016)'!$A$3,"MA_HT","SKC","MA_QH","NCK")</f>
        <v>0</v>
      </c>
      <c r="AK26" s="22">
        <f ca="1">+GETPIVOTDATA("XLL4",'langlon (2016)'!$A$3,"MA_HT","SKC","MA_QH","DXH")</f>
        <v>0</v>
      </c>
      <c r="AL26" s="22">
        <f ca="1">+GETPIVOTDATA("XLL4",'langlon (2016)'!$A$3,"MA_HT","SKC","MA_QH","DCH")</f>
        <v>0</v>
      </c>
      <c r="AM26" s="22">
        <f ca="1">+GETPIVOTDATA("XLL4",'langlon (2016)'!$A$3,"MA_HT","SKC","MA_QH","DKG")</f>
        <v>0</v>
      </c>
      <c r="AN26" s="22">
        <f ca="1">+GETPIVOTDATA("XLL4",'langlon (2016)'!$A$3,"MA_HT","SKC","MA_QH","DDT")</f>
        <v>0</v>
      </c>
      <c r="AO26" s="22">
        <f ca="1">+GETPIVOTDATA("XLL4",'langlon (2016)'!$A$3,"MA_HT","SKC","MA_QH","DDL")</f>
        <v>0</v>
      </c>
      <c r="AP26" s="22">
        <f ca="1">+GETPIVOTDATA("XLL4",'langlon (2016)'!$A$3,"MA_HT","SKC","MA_QH","DRA")</f>
        <v>0</v>
      </c>
      <c r="AQ26" s="22">
        <f ca="1">+GETPIVOTDATA("XLL4",'langlon (2016)'!$A$3,"MA_HT","SKC","MA_QH","ONT")</f>
        <v>0</v>
      </c>
      <c r="AR26" s="22">
        <f ca="1">+GETPIVOTDATA("XLL4",'langlon (2016)'!$A$3,"MA_HT","SKC","MA_QH","ODT")</f>
        <v>0</v>
      </c>
      <c r="AS26" s="22">
        <f ca="1">+GETPIVOTDATA("XLL4",'langlon (2016)'!$A$3,"MA_HT","SKC","MA_QH","TSC")</f>
        <v>0</v>
      </c>
      <c r="AT26" s="22">
        <f ca="1">+GETPIVOTDATA("XLL4",'langlon (2016)'!$A$3,"MA_HT","SKC","MA_QH","DTS")</f>
        <v>0</v>
      </c>
      <c r="AU26" s="22">
        <f ca="1">+GETPIVOTDATA("XLL4",'langlon (2016)'!$A$3,"MA_HT","SKC","MA_QH","DNG")</f>
        <v>0</v>
      </c>
      <c r="AV26" s="22">
        <f ca="1">+GETPIVOTDATA("XLL4",'langlon (2016)'!$A$3,"MA_HT","SKC","MA_QH","TON")</f>
        <v>0</v>
      </c>
      <c r="AW26" s="22">
        <f ca="1">+GETPIVOTDATA("XLL4",'langlon (2016)'!$A$3,"MA_HT","SKC","MA_QH","NTD")</f>
        <v>0</v>
      </c>
      <c r="AX26" s="22">
        <f ca="1">+GETPIVOTDATA("XLL4",'langlon (2016)'!$A$3,"MA_HT","SKC","MA_QH","SKX")</f>
        <v>0</v>
      </c>
      <c r="AY26" s="22">
        <f ca="1">+GETPIVOTDATA("XLL4",'langlon (2016)'!$A$3,"MA_HT","SKC","MA_QH","DSH")</f>
        <v>0</v>
      </c>
      <c r="AZ26" s="22">
        <f ca="1">+GETPIVOTDATA("XLL4",'langlon (2016)'!$A$3,"MA_HT","SKC","MA_QH","DKV")</f>
        <v>0</v>
      </c>
      <c r="BA26" s="89">
        <f ca="1">+GETPIVOTDATA("XLL4",'langlon (2016)'!$A$3,"MA_HT","SKC","MA_QH","TIN")</f>
        <v>0</v>
      </c>
      <c r="BB26" s="50">
        <f ca="1">+GETPIVOTDATA("XLL4",'langlon (2016)'!$A$3,"MA_HT","SKC","MA_QH","SON")</f>
        <v>0</v>
      </c>
      <c r="BC26" s="50">
        <f ca="1">+GETPIVOTDATA("XLL4",'langlon (2016)'!$A$3,"MA_HT","SKC","MA_QH","MNC")</f>
        <v>0</v>
      </c>
      <c r="BD26" s="22">
        <f ca="1">+GETPIVOTDATA("XLL4",'langlon (2016)'!$A$3,"MA_HT","SKC","MA_QH","PNK")</f>
        <v>0</v>
      </c>
      <c r="BE26" s="71">
        <f ca="1">+GETPIVOTDATA("XLL4",'langlon (2016)'!$A$3,"MA_HT","SKC","MA_QH","CSD")</f>
        <v>0</v>
      </c>
      <c r="BF26" s="74">
        <f ca="1" t="shared" si="13"/>
        <v>0</v>
      </c>
      <c r="BG26" s="101">
        <f ca="1">Y$59-$BF26</f>
        <v>0</v>
      </c>
      <c r="BH26" s="41" t="e">
        <f ca="1" t="shared" si="14"/>
        <v>#REF!</v>
      </c>
      <c r="BI26" s="98"/>
      <c r="BJ26" s="107" t="e">
        <f>#REF!</f>
        <v>#REF!</v>
      </c>
      <c r="BK26" s="107" t="e">
        <f ca="1">BH26-BJ26</f>
        <v>#REF!</v>
      </c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</row>
    <row r="27" s="2" customFormat="1" ht="15.75" customHeight="1" spans="1:79">
      <c r="A27" s="39" t="s">
        <v>8372</v>
      </c>
      <c r="B27" s="53" t="s">
        <v>8373</v>
      </c>
      <c r="C27" s="40" t="s">
        <v>174</v>
      </c>
      <c r="D27" s="41" t="e">
        <f>+#REF!</f>
        <v>#REF!</v>
      </c>
      <c r="E27" s="42">
        <f ca="1" t="shared" si="15"/>
        <v>0</v>
      </c>
      <c r="F27" s="52">
        <f ca="1" t="shared" si="9"/>
        <v>0</v>
      </c>
      <c r="G27" s="22">
        <f ca="1">+GETPIVOTDATA("XLL4",'langlon (2016)'!$A$3,"MA_HT","SKS","MA_QH","LUC")</f>
        <v>0</v>
      </c>
      <c r="H27" s="22">
        <f ca="1">+GETPIVOTDATA("XLL4",'langlon (2016)'!$A$3,"MA_HT","SKS","MA_QH","LUK")</f>
        <v>0</v>
      </c>
      <c r="I27" s="22">
        <f ca="1">+GETPIVOTDATA("XLL4",'langlon (2016)'!$A$3,"MA_HT","SKS","MA_QH","LUN")</f>
        <v>0</v>
      </c>
      <c r="J27" s="22">
        <f ca="1">+GETPIVOTDATA("XLL4",'langlon (2016)'!$A$3,"MA_HT","SKS","MA_QH","HNK")</f>
        <v>0</v>
      </c>
      <c r="K27" s="22">
        <f ca="1">+GETPIVOTDATA("XLL4",'langlon (2016)'!$A$3,"MA_HT","SKS","MA_QH","CLN")</f>
        <v>0</v>
      </c>
      <c r="L27" s="22">
        <f ca="1">+GETPIVOTDATA("XLL4",'langlon (2016)'!$A$3,"MA_HT","SKS","MA_QH","RSX")</f>
        <v>0</v>
      </c>
      <c r="M27" s="22">
        <f ca="1">+GETPIVOTDATA("XLL4",'langlon (2016)'!$A$3,"MA_HT","SKS","MA_QH","RPH")</f>
        <v>0</v>
      </c>
      <c r="N27" s="22">
        <f ca="1">+GETPIVOTDATA("XLL4",'langlon (2016)'!$A$3,"MA_HT","SKS","MA_QH","RDD")</f>
        <v>0</v>
      </c>
      <c r="O27" s="22">
        <f ca="1">+GETPIVOTDATA("XLL4",'langlon (2016)'!$A$3,"MA_HT","SKS","MA_QH","NTS")</f>
        <v>0</v>
      </c>
      <c r="P27" s="22">
        <f ca="1">+GETPIVOTDATA("XLL4",'langlon (2016)'!$A$3,"MA_HT","SKS","MA_QH","LMU")</f>
        <v>0</v>
      </c>
      <c r="Q27" s="22">
        <f ca="1">+GETPIVOTDATA("XLL4",'langlon (2016)'!$A$3,"MA_HT","SKS","MA_QH","NKH")</f>
        <v>0</v>
      </c>
      <c r="R27" s="42">
        <f ca="1">SUM(S27:Y27,AA27,AN27:BD27)</f>
        <v>0</v>
      </c>
      <c r="S27" s="22">
        <f ca="1">+GETPIVOTDATA("XLL4",'langlon (2016)'!$A$3,"MA_HT","SKS","MA_QH","CQP")</f>
        <v>0</v>
      </c>
      <c r="T27" s="22">
        <f ca="1">+GETPIVOTDATA("XLL4",'langlon (2016)'!$A$3,"MA_HT","SKS","MA_QH","CAN")</f>
        <v>0</v>
      </c>
      <c r="U27" s="22">
        <f ca="1">+GETPIVOTDATA("XLL4",'langlon (2016)'!$A$3,"MA_HT","SKS","MA_QH","SKK")</f>
        <v>0</v>
      </c>
      <c r="V27" s="22">
        <f ca="1">+GETPIVOTDATA("XLL4",'langlon (2016)'!$A$3,"MA_HT","SKS","MA_QH","SKT")</f>
        <v>0</v>
      </c>
      <c r="W27" s="22">
        <f ca="1">+GETPIVOTDATA("XLL4",'langlon (2016)'!$A$3,"MA_HT","SKS","MA_QH","SKN")</f>
        <v>0</v>
      </c>
      <c r="X27" s="22">
        <f ca="1">+GETPIVOTDATA("XLL4",'langlon (2016)'!$A$3,"MA_HT","SKS","MA_QH","TMD")</f>
        <v>0</v>
      </c>
      <c r="Y27" s="22">
        <f ca="1">+GETPIVOTDATA("XLL4",'langlon (2016)'!$A$3,"MA_HT","SKS","MA_QH","SKC")</f>
        <v>0</v>
      </c>
      <c r="Z27" s="43" t="e">
        <f ca="1">$D27-$BF27</f>
        <v>#REF!</v>
      </c>
      <c r="AA27" s="52">
        <f ca="1" t="shared" si="12"/>
        <v>0</v>
      </c>
      <c r="AB27" s="22">
        <f ca="1">+GETPIVOTDATA("XLL4",'langlon (2016)'!$A$3,"MA_HT","SKS","MA_QH","DGT")</f>
        <v>0</v>
      </c>
      <c r="AC27" s="22">
        <f ca="1">+GETPIVOTDATA("XLL4",'langlon (2016)'!$A$3,"MA_HT","SKS","MA_QH","DTL")</f>
        <v>0</v>
      </c>
      <c r="AD27" s="22">
        <f ca="1">+GETPIVOTDATA("XLL4",'langlon (2016)'!$A$3,"MA_HT","SKS","MA_QH","DNL")</f>
        <v>0</v>
      </c>
      <c r="AE27" s="22">
        <f ca="1">+GETPIVOTDATA("XLL4",'langlon (2016)'!$A$3,"MA_HT","SKS","MA_QH","DBV")</f>
        <v>0</v>
      </c>
      <c r="AF27" s="22">
        <f ca="1">+GETPIVOTDATA("XLL4",'langlon (2016)'!$A$3,"MA_HT","SKS","MA_QH","DVH")</f>
        <v>0</v>
      </c>
      <c r="AG27" s="22">
        <f ca="1">+GETPIVOTDATA("XLL4",'langlon (2016)'!$A$3,"MA_HT","SKS","MA_QH","DYT")</f>
        <v>0</v>
      </c>
      <c r="AH27" s="22">
        <f ca="1">+GETPIVOTDATA("XLL4",'langlon (2016)'!$A$3,"MA_HT","SKS","MA_QH","DGD")</f>
        <v>0</v>
      </c>
      <c r="AI27" s="22">
        <f ca="1">+GETPIVOTDATA("XLL4",'langlon (2016)'!$A$3,"MA_HT","SKS","MA_QH","DTT")</f>
        <v>0</v>
      </c>
      <c r="AJ27" s="22">
        <f ca="1">+GETPIVOTDATA("XLL4",'langlon (2016)'!$A$3,"MA_HT","SKS","MA_QH","NCK")</f>
        <v>0</v>
      </c>
      <c r="AK27" s="22">
        <f ca="1">+GETPIVOTDATA("XLL4",'langlon (2016)'!$A$3,"MA_HT","SKS","MA_QH","DXH")</f>
        <v>0</v>
      </c>
      <c r="AL27" s="22">
        <f ca="1">+GETPIVOTDATA("XLL4",'langlon (2016)'!$A$3,"MA_HT","SKS","MA_QH","DCH")</f>
        <v>0</v>
      </c>
      <c r="AM27" s="22">
        <f ca="1">+GETPIVOTDATA("XLL4",'langlon (2016)'!$A$3,"MA_HT","SKS","MA_QH","DKG")</f>
        <v>0</v>
      </c>
      <c r="AN27" s="22">
        <f ca="1">+GETPIVOTDATA("XLL4",'langlon (2016)'!$A$3,"MA_HT","SKS","MA_QH","DDT")</f>
        <v>0</v>
      </c>
      <c r="AO27" s="22">
        <f ca="1">+GETPIVOTDATA("XLL4",'langlon (2016)'!$A$3,"MA_HT","SKS","MA_QH","DDL")</f>
        <v>0</v>
      </c>
      <c r="AP27" s="22">
        <f ca="1">+GETPIVOTDATA("XLL4",'langlon (2016)'!$A$3,"MA_HT","SKS","MA_QH","DRA")</f>
        <v>0</v>
      </c>
      <c r="AQ27" s="22">
        <f ca="1">+GETPIVOTDATA("XLL4",'langlon (2016)'!$A$3,"MA_HT","SKS","MA_QH","ONT")</f>
        <v>0</v>
      </c>
      <c r="AR27" s="22">
        <f ca="1">+GETPIVOTDATA("XLL4",'langlon (2016)'!$A$3,"MA_HT","SKS","MA_QH","ODT")</f>
        <v>0</v>
      </c>
      <c r="AS27" s="22">
        <f ca="1">+GETPIVOTDATA("XLL4",'langlon (2016)'!$A$3,"MA_HT","SKS","MA_QH","TSC")</f>
        <v>0</v>
      </c>
      <c r="AT27" s="22">
        <f ca="1">+GETPIVOTDATA("XLL4",'langlon (2016)'!$A$3,"MA_HT","SKS","MA_QH","DTS")</f>
        <v>0</v>
      </c>
      <c r="AU27" s="22">
        <f ca="1">+GETPIVOTDATA("XLL4",'langlon (2016)'!$A$3,"MA_HT","SKS","MA_QH","DNG")</f>
        <v>0</v>
      </c>
      <c r="AV27" s="22">
        <f ca="1">+GETPIVOTDATA("XLL4",'langlon (2016)'!$A$3,"MA_HT","SKS","MA_QH","TON")</f>
        <v>0</v>
      </c>
      <c r="AW27" s="22">
        <f ca="1">+GETPIVOTDATA("XLL4",'langlon (2016)'!$A$3,"MA_HT","SKS","MA_QH","NTD")</f>
        <v>0</v>
      </c>
      <c r="AX27" s="22">
        <f ca="1">+GETPIVOTDATA("XLL4",'langlon (2016)'!$A$3,"MA_HT","SKS","MA_QH","SKX")</f>
        <v>0</v>
      </c>
      <c r="AY27" s="22">
        <f ca="1">+GETPIVOTDATA("XLL4",'langlon (2016)'!$A$3,"MA_HT","SKS","MA_QH","DSH")</f>
        <v>0</v>
      </c>
      <c r="AZ27" s="22">
        <f ca="1">+GETPIVOTDATA("XLL4",'langlon (2016)'!$A$3,"MA_HT","SKS","MA_QH","DKV")</f>
        <v>0</v>
      </c>
      <c r="BA27" s="89">
        <f ca="1">+GETPIVOTDATA("XLL4",'langlon (2016)'!$A$3,"MA_HT","SKS","MA_QH","TIN")</f>
        <v>0</v>
      </c>
      <c r="BB27" s="50">
        <f ca="1">+GETPIVOTDATA("XLL4",'langlon (2016)'!$A$3,"MA_HT","SKS","MA_QH","SON")</f>
        <v>0</v>
      </c>
      <c r="BC27" s="50">
        <f ca="1">+GETPIVOTDATA("XLL4",'langlon (2016)'!$A$3,"MA_HT","SKS","MA_QH","MNC")</f>
        <v>0</v>
      </c>
      <c r="BD27" s="22">
        <f ca="1">+GETPIVOTDATA("XLL4",'langlon (2016)'!$A$3,"MA_HT","SKS","MA_QH","PNK")</f>
        <v>0</v>
      </c>
      <c r="BE27" s="71">
        <f ca="1">+GETPIVOTDATA("XLL4",'langlon (2016)'!$A$3,"MA_HT","SKS","MA_QH","CSD")</f>
        <v>0</v>
      </c>
      <c r="BF27" s="74">
        <f ca="1" t="shared" si="13"/>
        <v>0</v>
      </c>
      <c r="BG27" s="101">
        <f ca="1">Z$59-$BF27</f>
        <v>0</v>
      </c>
      <c r="BH27" s="41" t="e">
        <f ca="1" t="shared" si="14"/>
        <v>#REF!</v>
      </c>
      <c r="BI27" s="98"/>
      <c r="BJ27" s="107" t="e">
        <f>#REF!</f>
        <v>#REF!</v>
      </c>
      <c r="BK27" s="107" t="e">
        <f ca="1">BH27-BJ27</f>
        <v>#REF!</v>
      </c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</row>
    <row r="28" s="2" customFormat="1" ht="15.75" customHeight="1" spans="1:79">
      <c r="A28" s="39" t="s">
        <v>8374</v>
      </c>
      <c r="B28" s="53" t="s">
        <v>8375</v>
      </c>
      <c r="C28" s="40" t="s">
        <v>8288</v>
      </c>
      <c r="D28" s="41" t="e">
        <f>+#REF!</f>
        <v>#REF!</v>
      </c>
      <c r="E28" s="42">
        <f ca="1" t="shared" si="15"/>
        <v>0</v>
      </c>
      <c r="F28" s="52">
        <f ca="1" t="shared" si="9"/>
        <v>0</v>
      </c>
      <c r="G28" s="44">
        <f ca="1">SUM(G29:G39)</f>
        <v>0</v>
      </c>
      <c r="H28" s="44">
        <f ca="1" t="shared" ref="H28:Q28" si="16">SUM(H29:H39)</f>
        <v>0</v>
      </c>
      <c r="I28" s="44">
        <f ca="1" t="shared" si="16"/>
        <v>0</v>
      </c>
      <c r="J28" s="44">
        <f ca="1" t="shared" si="16"/>
        <v>0</v>
      </c>
      <c r="K28" s="44">
        <f ca="1" t="shared" si="16"/>
        <v>0</v>
      </c>
      <c r="L28" s="44">
        <f ca="1" t="shared" si="16"/>
        <v>0</v>
      </c>
      <c r="M28" s="44">
        <f ca="1" t="shared" si="16"/>
        <v>0</v>
      </c>
      <c r="N28" s="44">
        <f ca="1" t="shared" si="16"/>
        <v>0</v>
      </c>
      <c r="O28" s="44">
        <f ca="1" t="shared" si="16"/>
        <v>0</v>
      </c>
      <c r="P28" s="44">
        <f ca="1" t="shared" si="16"/>
        <v>0</v>
      </c>
      <c r="Q28" s="44">
        <f ca="1" t="shared" si="16"/>
        <v>0</v>
      </c>
      <c r="R28" s="44">
        <f ca="1">SUM(S28:Z28,AN28:BD28)</f>
        <v>0</v>
      </c>
      <c r="S28" s="44">
        <f ca="1">SUM(S29:S39)</f>
        <v>0</v>
      </c>
      <c r="T28" s="44">
        <f ca="1" t="shared" ref="T28:Z28" si="17">SUM(T29:T39)</f>
        <v>0</v>
      </c>
      <c r="U28" s="44">
        <f ca="1" t="shared" si="17"/>
        <v>0</v>
      </c>
      <c r="V28" s="44">
        <f ca="1" t="shared" si="17"/>
        <v>0</v>
      </c>
      <c r="W28" s="44">
        <f ca="1" t="shared" si="17"/>
        <v>0</v>
      </c>
      <c r="X28" s="44">
        <f ca="1" t="shared" si="17"/>
        <v>0</v>
      </c>
      <c r="Y28" s="44">
        <f ca="1" t="shared" si="17"/>
        <v>0</v>
      </c>
      <c r="Z28" s="44">
        <f ca="1" t="shared" si="17"/>
        <v>0</v>
      </c>
      <c r="AA28" s="43" t="e">
        <f ca="1">$D28-$BF28</f>
        <v>#REF!</v>
      </c>
      <c r="AB28" s="44">
        <f ca="1">SUM(AB30:AB39)</f>
        <v>0</v>
      </c>
      <c r="AC28" s="44">
        <f ca="1">SUM(AC29,AC31:AC39)</f>
        <v>0</v>
      </c>
      <c r="AD28" s="44">
        <f ca="1">SUM(AD29:AD30,AD32:AD39)</f>
        <v>0</v>
      </c>
      <c r="AE28" s="44">
        <f ca="1">SUM(AE29:AE31,AE33:AE39)</f>
        <v>0</v>
      </c>
      <c r="AF28" s="44">
        <f ca="1">SUM(AF29:AF32,AF34:AF39)</f>
        <v>0</v>
      </c>
      <c r="AG28" s="44">
        <f ca="1">SUM(AG29:AG33,AG35:AG39)</f>
        <v>0</v>
      </c>
      <c r="AH28" s="44">
        <f ca="1">SUM(AH29:AH34,AH36:AH39)</f>
        <v>0</v>
      </c>
      <c r="AI28" s="44">
        <f ca="1">SUM(AI29:AI35,AI37:AI39)</f>
        <v>0</v>
      </c>
      <c r="AJ28" s="44">
        <f ca="1">SUM(AJ29:AJ36,AJ38:AJ39)</f>
        <v>0</v>
      </c>
      <c r="AK28" s="44">
        <f ca="1">SUM(AK29:AK37,AK39)</f>
        <v>0</v>
      </c>
      <c r="AL28" s="44">
        <f ca="1">SUM(AL29:AL38)</f>
        <v>0</v>
      </c>
      <c r="AM28" s="44">
        <f ca="1">SUM(AM29:AM38)</f>
        <v>0</v>
      </c>
      <c r="AN28" s="44">
        <f ca="1" t="shared" ref="AN28:BE28" si="18">SUM(AN29:AN39)</f>
        <v>0</v>
      </c>
      <c r="AO28" s="44">
        <f ca="1" t="shared" si="18"/>
        <v>0</v>
      </c>
      <c r="AP28" s="44">
        <f ca="1" t="shared" si="18"/>
        <v>0</v>
      </c>
      <c r="AQ28" s="44">
        <f ca="1" t="shared" si="18"/>
        <v>0</v>
      </c>
      <c r="AR28" s="44">
        <f ca="1" t="shared" si="18"/>
        <v>0</v>
      </c>
      <c r="AS28" s="44">
        <f ca="1" t="shared" si="18"/>
        <v>0</v>
      </c>
      <c r="AT28" s="44">
        <f ca="1" t="shared" si="18"/>
        <v>0</v>
      </c>
      <c r="AU28" s="44">
        <f ca="1" t="shared" si="18"/>
        <v>0</v>
      </c>
      <c r="AV28" s="44">
        <f ca="1" t="shared" si="18"/>
        <v>0</v>
      </c>
      <c r="AW28" s="44">
        <f ca="1" t="shared" si="18"/>
        <v>0</v>
      </c>
      <c r="AX28" s="44">
        <f ca="1" t="shared" si="18"/>
        <v>0</v>
      </c>
      <c r="AY28" s="44">
        <f ca="1" t="shared" si="18"/>
        <v>0</v>
      </c>
      <c r="AZ28" s="44">
        <f ca="1" t="shared" si="18"/>
        <v>0</v>
      </c>
      <c r="BA28" s="44">
        <f ca="1" t="shared" si="18"/>
        <v>0</v>
      </c>
      <c r="BB28" s="44">
        <f ca="1" t="shared" si="18"/>
        <v>0</v>
      </c>
      <c r="BC28" s="44">
        <f ca="1" t="shared" si="18"/>
        <v>0</v>
      </c>
      <c r="BD28" s="44">
        <f ca="1" t="shared" si="18"/>
        <v>0</v>
      </c>
      <c r="BE28" s="44">
        <f ca="1" t="shared" si="18"/>
        <v>0</v>
      </c>
      <c r="BF28" s="74">
        <f ca="1" t="shared" si="13"/>
        <v>0</v>
      </c>
      <c r="BG28" s="101">
        <f ca="1">AA$59-$BF28</f>
        <v>0</v>
      </c>
      <c r="BH28" s="41" t="e">
        <f ca="1" t="shared" si="14"/>
        <v>#REF!</v>
      </c>
      <c r="BI28" s="98"/>
      <c r="BJ28" s="107"/>
      <c r="BK28" s="107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</row>
    <row r="29" s="4" customFormat="1" ht="16.5" customHeight="1" spans="1:79">
      <c r="A29" s="45" t="s">
        <v>8376</v>
      </c>
      <c r="B29" s="45" t="s">
        <v>8377</v>
      </c>
      <c r="C29" s="46" t="s">
        <v>94</v>
      </c>
      <c r="D29" s="47" t="e">
        <f>+#REF!</f>
        <v>#REF!</v>
      </c>
      <c r="E29" s="42">
        <f ca="1" t="shared" si="15"/>
        <v>0</v>
      </c>
      <c r="F29" s="52">
        <f ca="1" t="shared" si="9"/>
        <v>0</v>
      </c>
      <c r="G29" s="50">
        <f ca="1">+GETPIVOTDATA("XLL4",'langlon (2016)'!$A$3,"MA_HT","DGT","MA_QH","LUC")</f>
        <v>0</v>
      </c>
      <c r="H29" s="50">
        <f ca="1">+GETPIVOTDATA("XLL4",'langlon (2016)'!$A$3,"MA_HT","DGT","MA_QH","LUK")</f>
        <v>0</v>
      </c>
      <c r="I29" s="50">
        <f ca="1">+GETPIVOTDATA("XLL4",'langlon (2016)'!$A$3,"MA_HT","DGT","MA_QH","LUN")</f>
        <v>0</v>
      </c>
      <c r="J29" s="50">
        <f ca="1">+GETPIVOTDATA("XLL4",'langlon (2016)'!$A$3,"MA_HT","DGT","MA_QH","HNK")</f>
        <v>0</v>
      </c>
      <c r="K29" s="50">
        <f ca="1">+GETPIVOTDATA("XLL4",'langlon (2016)'!$A$3,"MA_HT","DGT","MA_QH","CLN")</f>
        <v>0</v>
      </c>
      <c r="L29" s="50">
        <f ca="1">+GETPIVOTDATA("XLL4",'langlon (2016)'!$A$3,"MA_HT","DGT","MA_QH","RSX")</f>
        <v>0</v>
      </c>
      <c r="M29" s="50">
        <f ca="1">+GETPIVOTDATA("XLL4",'langlon (2016)'!$A$3,"MA_HT","DGT","MA_QH","RPH")</f>
        <v>0</v>
      </c>
      <c r="N29" s="50">
        <f ca="1">+GETPIVOTDATA("XLL4",'langlon (2016)'!$A$3,"MA_HT","DGT","MA_QH","RDD")</f>
        <v>0</v>
      </c>
      <c r="O29" s="50">
        <f ca="1">+GETPIVOTDATA("XLL4",'langlon (2016)'!$A$3,"MA_HT","DGT","MA_QH","NTS")</f>
        <v>0</v>
      </c>
      <c r="P29" s="50">
        <f ca="1">+GETPIVOTDATA("XLL4",'langlon (2016)'!$A$3,"MA_HT","DGT","MA_QH","LMU")</f>
        <v>0</v>
      </c>
      <c r="Q29" s="50">
        <f ca="1">+GETPIVOTDATA("XLL4",'langlon (2016)'!$A$3,"MA_HT","DGT","MA_QH","NKH")</f>
        <v>0</v>
      </c>
      <c r="R29" s="48">
        <f ca="1">SUM(S29:AA29,AN29:BD29)</f>
        <v>0</v>
      </c>
      <c r="S29" s="50">
        <f ca="1">+GETPIVOTDATA("XLL4",'langlon (2016)'!$A$3,"MA_HT","DGT","MA_QH","CQP")</f>
        <v>0</v>
      </c>
      <c r="T29" s="50">
        <f ca="1">+GETPIVOTDATA("XLL4",'langlon (2016)'!$A$3,"MA_HT","DGT","MA_QH","CAN")</f>
        <v>0</v>
      </c>
      <c r="U29" s="50">
        <f ca="1">+GETPIVOTDATA("XLL4",'langlon (2016)'!$A$3,"MA_HT","DGT","MA_QH","SKK")</f>
        <v>0</v>
      </c>
      <c r="V29" s="50">
        <f ca="1">+GETPIVOTDATA("XLL4",'langlon (2016)'!$A$3,"MA_HT","DGT","MA_QH","SKT")</f>
        <v>0</v>
      </c>
      <c r="W29" s="50">
        <f ca="1">+GETPIVOTDATA("XLL4",'langlon (2016)'!$A$3,"MA_HT","DGT","MA_QH","SKN")</f>
        <v>0</v>
      </c>
      <c r="X29" s="50">
        <f ca="1">+GETPIVOTDATA("XLL4",'langlon (2016)'!$A$3,"MA_HT","DGT","MA_QH","TMD")</f>
        <v>0</v>
      </c>
      <c r="Y29" s="50">
        <f ca="1">+GETPIVOTDATA("XLL4",'langlon (2016)'!$A$3,"MA_HT","DGT","MA_QH","SKC")</f>
        <v>0</v>
      </c>
      <c r="Z29" s="50">
        <f ca="1">+GETPIVOTDATA("XLL4",'langlon (2016)'!$A$3,"MA_HT","DGT","MA_QH","SKS")</f>
        <v>0</v>
      </c>
      <c r="AA29" s="52">
        <f ca="1">+SUM(AC29:AM29)</f>
        <v>0</v>
      </c>
      <c r="AB29" s="49" t="e">
        <f ca="1">$D29-$BF29</f>
        <v>#REF!</v>
      </c>
      <c r="AC29" s="50">
        <f ca="1">+GETPIVOTDATA("XLL4",'langlon (2016)'!$A$3,"MA_HT","DGT","MA_QH","DTL")</f>
        <v>0</v>
      </c>
      <c r="AD29" s="50">
        <f ca="1">+GETPIVOTDATA("XLL4",'langlon (2016)'!$A$3,"MA_HT","DGT","MA_QH","DNL")</f>
        <v>0</v>
      </c>
      <c r="AE29" s="50">
        <f ca="1">+GETPIVOTDATA("XLL4",'langlon (2016)'!$A$3,"MA_HT","DGT","MA_QH","DBV")</f>
        <v>0</v>
      </c>
      <c r="AF29" s="50">
        <f ca="1">+GETPIVOTDATA("XLL4",'langlon (2016)'!$A$3,"MA_HT","DGT","MA_QH","DVH")</f>
        <v>0</v>
      </c>
      <c r="AG29" s="50">
        <f ca="1">+GETPIVOTDATA("XLL4",'langlon (2016)'!$A$3,"MA_HT","DGT","MA_QH","DYT")</f>
        <v>0</v>
      </c>
      <c r="AH29" s="50">
        <f ca="1">+GETPIVOTDATA("XLL4",'langlon (2016)'!$A$3,"MA_HT","DGT","MA_QH","DGD")</f>
        <v>0</v>
      </c>
      <c r="AI29" s="50">
        <f ca="1">+GETPIVOTDATA("XLL4",'langlon (2016)'!$A$3,"MA_HT","DGT","MA_QH","DTT")</f>
        <v>0</v>
      </c>
      <c r="AJ29" s="50">
        <f ca="1">+GETPIVOTDATA("XLL4",'langlon (2016)'!$A$3,"MA_HT","DGT","MA_QH","NCK")</f>
        <v>0</v>
      </c>
      <c r="AK29" s="50">
        <f ca="1">+GETPIVOTDATA("XLL4",'langlon (2016)'!$A$3,"MA_HT","DGT","MA_QH","DXH")</f>
        <v>0</v>
      </c>
      <c r="AL29" s="50">
        <f ca="1">+GETPIVOTDATA("XLL4",'langlon (2016)'!$A$3,"MA_HT","DGT","MA_QH","DCH")</f>
        <v>0</v>
      </c>
      <c r="AM29" s="50">
        <f ca="1">+GETPIVOTDATA("XLL4",'langlon (2016)'!$A$3,"MA_HT","DGT","MA_QH","DKG")</f>
        <v>0</v>
      </c>
      <c r="AN29" s="50">
        <f ca="1">+GETPIVOTDATA("XLL4",'langlon (2016)'!$A$3,"MA_HT","DGT","MA_QH","DDT")</f>
        <v>0</v>
      </c>
      <c r="AO29" s="50">
        <f ca="1">+GETPIVOTDATA("XLL4",'langlon (2016)'!$A$3,"MA_HT","DGT","MA_QH","DDL")</f>
        <v>0</v>
      </c>
      <c r="AP29" s="50">
        <f ca="1">+GETPIVOTDATA("XLL4",'langlon (2016)'!$A$3,"MA_HT","DGT","MA_QH","DRA")</f>
        <v>0</v>
      </c>
      <c r="AQ29" s="50">
        <f ca="1">+GETPIVOTDATA("XLL4",'langlon (2016)'!$A$3,"MA_HT","DGT","MA_QH","ONT")</f>
        <v>0</v>
      </c>
      <c r="AR29" s="50">
        <f ca="1">+GETPIVOTDATA("XLL4",'langlon (2016)'!$A$3,"MA_HT","DGT","MA_QH","ODT")</f>
        <v>0</v>
      </c>
      <c r="AS29" s="50">
        <f ca="1">+GETPIVOTDATA("XLL4",'langlon (2016)'!$A$3,"MA_HT","DGT","MA_QH","TSC")</f>
        <v>0</v>
      </c>
      <c r="AT29" s="50">
        <f ca="1">+GETPIVOTDATA("XLL4",'langlon (2016)'!$A$3,"MA_HT","DGT","MA_QH","DTS")</f>
        <v>0</v>
      </c>
      <c r="AU29" s="50">
        <f ca="1">+GETPIVOTDATA("XLL4",'langlon (2016)'!$A$3,"MA_HT","DGT","MA_QH","DNG")</f>
        <v>0</v>
      </c>
      <c r="AV29" s="50">
        <f ca="1">+GETPIVOTDATA("XLL4",'langlon (2016)'!$A$3,"MA_HT","DGT","MA_QH","TON")</f>
        <v>0</v>
      </c>
      <c r="AW29" s="50">
        <f ca="1">+GETPIVOTDATA("XLL4",'langlon (2016)'!$A$3,"MA_HT","DGT","MA_QH","NTD")</f>
        <v>0</v>
      </c>
      <c r="AX29" s="50">
        <f ca="1">+GETPIVOTDATA("XLL4",'langlon (2016)'!$A$3,"MA_HT","DGT","MA_QH","SKX")</f>
        <v>0</v>
      </c>
      <c r="AY29" s="50">
        <f ca="1">+GETPIVOTDATA("XLL4",'langlon (2016)'!$A$3,"MA_HT","DGT","MA_QH","DSH")</f>
        <v>0</v>
      </c>
      <c r="AZ29" s="50">
        <f ca="1">+GETPIVOTDATA("XLL4",'langlon (2016)'!$A$3,"MA_HT","DGT","MA_QH","DKV")</f>
        <v>0</v>
      </c>
      <c r="BA29" s="88">
        <f ca="1">+GETPIVOTDATA("XLL4",'langlon (2016)'!$A$3,"MA_HT","DGT","MA_QH","TIN")</f>
        <v>0</v>
      </c>
      <c r="BB29" s="50">
        <f ca="1">+GETPIVOTDATA("XLL4",'langlon (2016)'!$A$3,"MA_HT","DGT","MA_QH","SON")</f>
        <v>0</v>
      </c>
      <c r="BC29" s="50">
        <f ca="1">+GETPIVOTDATA("XLL4",'langlon (2016)'!$A$3,"MA_HT","DGT","MA_QH","MNC")</f>
        <v>0</v>
      </c>
      <c r="BD29" s="50">
        <f ca="1">+GETPIVOTDATA("XLL4",'langlon (2016)'!$A$3,"MA_HT","DGT","MA_QH","PNK")</f>
        <v>0</v>
      </c>
      <c r="BE29" s="80">
        <f ca="1">+GETPIVOTDATA("XLL4",'langlon (2016)'!$A$3,"MA_HT","DGT","MA_QH","CSD")</f>
        <v>0</v>
      </c>
      <c r="BF29" s="103">
        <f ca="1" t="shared" si="13"/>
        <v>0</v>
      </c>
      <c r="BG29" s="104">
        <f ca="1">AB$59-$BF29</f>
        <v>0</v>
      </c>
      <c r="BH29" s="47" t="e">
        <f ca="1" t="shared" si="14"/>
        <v>#REF!</v>
      </c>
      <c r="BI29" s="105"/>
      <c r="BJ29" s="105" t="e">
        <f>#REF!</f>
        <v>#REF!</v>
      </c>
      <c r="BK29" s="108" t="e">
        <f ca="1" t="shared" ref="BK29:BK40" si="19">BH29-BJ29</f>
        <v>#REF!</v>
      </c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</row>
    <row r="30" s="4" customFormat="1" ht="16.5" customHeight="1" spans="1:79">
      <c r="A30" s="45" t="s">
        <v>8378</v>
      </c>
      <c r="B30" s="45" t="s">
        <v>8379</v>
      </c>
      <c r="C30" s="46" t="s">
        <v>216</v>
      </c>
      <c r="D30" s="47" t="e">
        <f>+#REF!</f>
        <v>#REF!</v>
      </c>
      <c r="E30" s="42">
        <f ca="1" t="shared" si="15"/>
        <v>0</v>
      </c>
      <c r="F30" s="52">
        <f ca="1" t="shared" si="9"/>
        <v>0</v>
      </c>
      <c r="G30" s="50">
        <f ca="1">+GETPIVOTDATA("XLL4",'langlon (2016)'!$A$3,"MA_HT","DTL","MA_QH","LUC")</f>
        <v>0</v>
      </c>
      <c r="H30" s="50">
        <f ca="1">+GETPIVOTDATA("XLL4",'langlon (2016)'!$A$3,"MA_HT","DTL","MA_QH","LUK")</f>
        <v>0</v>
      </c>
      <c r="I30" s="50">
        <f ca="1">+GETPIVOTDATA("XLL4",'langlon (2016)'!$A$3,"MA_HT","DTL","MA_QH","LUN")</f>
        <v>0</v>
      </c>
      <c r="J30" s="50">
        <f ca="1">+GETPIVOTDATA("XLL4",'langlon (2016)'!$A$3,"MA_HT","DTL","MA_QH","HNK")</f>
        <v>0</v>
      </c>
      <c r="K30" s="50">
        <f ca="1">+GETPIVOTDATA("XLL4",'langlon (2016)'!$A$3,"MA_HT","DTL","MA_QH","CLN")</f>
        <v>0</v>
      </c>
      <c r="L30" s="50">
        <f ca="1">+GETPIVOTDATA("XLL4",'langlon (2016)'!$A$3,"MA_HT","DTL","MA_QH","RSX")</f>
        <v>0</v>
      </c>
      <c r="M30" s="50">
        <f ca="1">+GETPIVOTDATA("XLL4",'langlon (2016)'!$A$3,"MA_HT","DTL","MA_QH","RPH")</f>
        <v>0</v>
      </c>
      <c r="N30" s="50">
        <f ca="1">+GETPIVOTDATA("XLL4",'langlon (2016)'!$A$3,"MA_HT","DTL","MA_QH","RDD")</f>
        <v>0</v>
      </c>
      <c r="O30" s="50">
        <f ca="1">+GETPIVOTDATA("XLL4",'langlon (2016)'!$A$3,"MA_HT","DTL","MA_QH","NTS")</f>
        <v>0</v>
      </c>
      <c r="P30" s="50">
        <f ca="1">+GETPIVOTDATA("XLL4",'langlon (2016)'!$A$3,"MA_HT","DTL","MA_QH","LMU")</f>
        <v>0</v>
      </c>
      <c r="Q30" s="50">
        <f ca="1">+GETPIVOTDATA("XLL4",'langlon (2016)'!$A$3,"MA_HT","DTL","MA_QH","NKH")</f>
        <v>0</v>
      </c>
      <c r="R30" s="48">
        <f ca="1" t="shared" ref="R30:R40" si="20">SUM(S30:AA30,AN30:BD30)</f>
        <v>0</v>
      </c>
      <c r="S30" s="50">
        <f ca="1">+GETPIVOTDATA("XLL4",'langlon (2016)'!$A$3,"MA_HT","DTL","MA_QH","CQP")</f>
        <v>0</v>
      </c>
      <c r="T30" s="50">
        <f ca="1">+GETPIVOTDATA("XLL4",'langlon (2016)'!$A$3,"MA_HT","DTL","MA_QH","CAN")</f>
        <v>0</v>
      </c>
      <c r="U30" s="50">
        <f ca="1">+GETPIVOTDATA("XLL4",'langlon (2016)'!$A$3,"MA_HT","DTL","MA_QH","SKK")</f>
        <v>0</v>
      </c>
      <c r="V30" s="50">
        <f ca="1">+GETPIVOTDATA("XLL4",'langlon (2016)'!$A$3,"MA_HT","DTL","MA_QH","SKT")</f>
        <v>0</v>
      </c>
      <c r="W30" s="50">
        <f ca="1">+GETPIVOTDATA("XLL4",'langlon (2016)'!$A$3,"MA_HT","DTL","MA_QH","SKN")</f>
        <v>0</v>
      </c>
      <c r="X30" s="50">
        <f ca="1">+GETPIVOTDATA("XLL4",'langlon (2016)'!$A$3,"MA_HT","DTL","MA_QH","TMD")</f>
        <v>0</v>
      </c>
      <c r="Y30" s="50">
        <f ca="1">+GETPIVOTDATA("XLL4",'langlon (2016)'!$A$3,"MA_HT","DTL","MA_QH","SKC")</f>
        <v>0</v>
      </c>
      <c r="Z30" s="50">
        <f ca="1">+GETPIVOTDATA("XLL4",'langlon (2016)'!$A$3,"MA_HT","DTL","MA_QH","SKS")</f>
        <v>0</v>
      </c>
      <c r="AA30" s="52">
        <f ca="1">+SUM(AB30,AD30:AM30)</f>
        <v>0</v>
      </c>
      <c r="AB30" s="50">
        <f ca="1">+GETPIVOTDATA("XLL4",'langlon (2016)'!$A$3,"MA_HT","DTL","MA_QH","DGT")</f>
        <v>0</v>
      </c>
      <c r="AC30" s="49" t="e">
        <f ca="1">$D30-$BF30</f>
        <v>#REF!</v>
      </c>
      <c r="AD30" s="50">
        <f ca="1">+GETPIVOTDATA("XLL4",'langlon (2016)'!$A$3,"MA_HT","DTL","MA_QH","DNL")</f>
        <v>0</v>
      </c>
      <c r="AE30" s="50">
        <f ca="1">+GETPIVOTDATA("XLL4",'langlon (2016)'!$A$3,"MA_HT","DTL","MA_QH","DBV")</f>
        <v>0</v>
      </c>
      <c r="AF30" s="50">
        <f ca="1">+GETPIVOTDATA("XLL4",'langlon (2016)'!$A$3,"MA_HT","DTL","MA_QH","DVH")</f>
        <v>0</v>
      </c>
      <c r="AG30" s="50">
        <f ca="1">+GETPIVOTDATA("XLL4",'langlon (2016)'!$A$3,"MA_HT","DTL","MA_QH","DYT")</f>
        <v>0</v>
      </c>
      <c r="AH30" s="50">
        <f ca="1">+GETPIVOTDATA("XLL4",'langlon (2016)'!$A$3,"MA_HT","DTL","MA_QH","DGD")</f>
        <v>0</v>
      </c>
      <c r="AI30" s="50">
        <f ca="1">+GETPIVOTDATA("XLL4",'langlon (2016)'!$A$3,"MA_HT","DTL","MA_QH","DTT")</f>
        <v>0</v>
      </c>
      <c r="AJ30" s="50">
        <f ca="1">+GETPIVOTDATA("XLL4",'langlon (2016)'!$A$3,"MA_HT","DTL","MA_QH","NCK")</f>
        <v>0</v>
      </c>
      <c r="AK30" s="50">
        <f ca="1">+GETPIVOTDATA("XLL4",'langlon (2016)'!$A$3,"MA_HT","DTL","MA_QH","DXH")</f>
        <v>0</v>
      </c>
      <c r="AL30" s="50">
        <f ca="1">+GETPIVOTDATA("XLL4",'langlon (2016)'!$A$3,"MA_HT","DTL","MA_QH","DCH")</f>
        <v>0</v>
      </c>
      <c r="AM30" s="50">
        <f ca="1">+GETPIVOTDATA("XLL4",'langlon (2016)'!$A$3,"MA_HT","DTL","MA_QH","DKG")</f>
        <v>0</v>
      </c>
      <c r="AN30" s="50">
        <f ca="1">+GETPIVOTDATA("XLL4",'langlon (2016)'!$A$3,"MA_HT","DTL","MA_QH","DDT")</f>
        <v>0</v>
      </c>
      <c r="AO30" s="50">
        <f ca="1">+GETPIVOTDATA("XLL4",'langlon (2016)'!$A$3,"MA_HT","DTL","MA_QH","DDL")</f>
        <v>0</v>
      </c>
      <c r="AP30" s="50">
        <f ca="1">+GETPIVOTDATA("XLL4",'langlon (2016)'!$A$3,"MA_HT","DTL","MA_QH","DRA")</f>
        <v>0</v>
      </c>
      <c r="AQ30" s="50">
        <f ca="1">+GETPIVOTDATA("XLL4",'langlon (2016)'!$A$3,"MA_HT","DTL","MA_QH","ONT")</f>
        <v>0</v>
      </c>
      <c r="AR30" s="50">
        <f ca="1">+GETPIVOTDATA("XLL4",'langlon (2016)'!$A$3,"MA_HT","DTL","MA_QH","ODT")</f>
        <v>0</v>
      </c>
      <c r="AS30" s="50">
        <f ca="1">+GETPIVOTDATA("XLL4",'langlon (2016)'!$A$3,"MA_HT","DTL","MA_QH","TSC")</f>
        <v>0</v>
      </c>
      <c r="AT30" s="50">
        <f ca="1">+GETPIVOTDATA("XLL4",'langlon (2016)'!$A$3,"MA_HT","DTL","MA_QH","DTS")</f>
        <v>0</v>
      </c>
      <c r="AU30" s="50">
        <f ca="1">+GETPIVOTDATA("XLL4",'langlon (2016)'!$A$3,"MA_HT","DTL","MA_QH","DNG")</f>
        <v>0</v>
      </c>
      <c r="AV30" s="50">
        <f ca="1">+GETPIVOTDATA("XLL4",'langlon (2016)'!$A$3,"MA_HT","DTL","MA_QH","TON")</f>
        <v>0</v>
      </c>
      <c r="AW30" s="50">
        <f ca="1">+GETPIVOTDATA("XLL4",'langlon (2016)'!$A$3,"MA_HT","DTL","MA_QH","NTD")</f>
        <v>0</v>
      </c>
      <c r="AX30" s="50">
        <f ca="1">+GETPIVOTDATA("XLL4",'langlon (2016)'!$A$3,"MA_HT","DTL","MA_QH","SKX")</f>
        <v>0</v>
      </c>
      <c r="AY30" s="50">
        <f ca="1">+GETPIVOTDATA("XLL4",'langlon (2016)'!$A$3,"MA_HT","DTL","MA_QH","DSH")</f>
        <v>0</v>
      </c>
      <c r="AZ30" s="50">
        <f ca="1">+GETPIVOTDATA("XLL4",'langlon (2016)'!$A$3,"MA_HT","DTL","MA_QH","DKV")</f>
        <v>0</v>
      </c>
      <c r="BA30" s="88">
        <f ca="1">+GETPIVOTDATA("XLL4",'langlon (2016)'!$A$3,"MA_HT","DTL","MA_QH","TIN")</f>
        <v>0</v>
      </c>
      <c r="BB30" s="50">
        <f ca="1">+GETPIVOTDATA("XLL4",'langlon (2016)'!$A$3,"MA_HT","DTL","MA_QH","SON")</f>
        <v>0</v>
      </c>
      <c r="BC30" s="50">
        <f ca="1">+GETPIVOTDATA("XLL4",'langlon (2016)'!$A$3,"MA_HT","DTL","MA_QH","MNC")</f>
        <v>0</v>
      </c>
      <c r="BD30" s="50">
        <f ca="1">+GETPIVOTDATA("XLL4",'langlon (2016)'!$A$3,"MA_HT","DTL","MA_QH","PNK")</f>
        <v>0</v>
      </c>
      <c r="BE30" s="80">
        <f ca="1">+GETPIVOTDATA("XLL4",'langlon (2016)'!$A$3,"MA_HT","DTL","MA_QH","CSD")</f>
        <v>0</v>
      </c>
      <c r="BF30" s="103">
        <f ca="1" t="shared" si="13"/>
        <v>0</v>
      </c>
      <c r="BG30" s="104">
        <f ca="1">AC$59-$BF30</f>
        <v>0</v>
      </c>
      <c r="BH30" s="47" t="e">
        <f ca="1" t="shared" si="14"/>
        <v>#REF!</v>
      </c>
      <c r="BI30" s="105"/>
      <c r="BJ30" s="105" t="e">
        <f>#REF!</f>
        <v>#REF!</v>
      </c>
      <c r="BK30" s="108" t="e">
        <f ca="1" t="shared" si="19"/>
        <v>#REF!</v>
      </c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</row>
    <row r="31" s="4" customFormat="1" ht="16.5" customHeight="1" spans="1:79">
      <c r="A31" s="45" t="s">
        <v>8380</v>
      </c>
      <c r="B31" s="45" t="s">
        <v>8381</v>
      </c>
      <c r="C31" s="46" t="s">
        <v>71</v>
      </c>
      <c r="D31" s="47" t="e">
        <f>+#REF!</f>
        <v>#REF!</v>
      </c>
      <c r="E31" s="42">
        <f ca="1" t="shared" si="15"/>
        <v>0</v>
      </c>
      <c r="F31" s="52">
        <f ca="1" t="shared" si="9"/>
        <v>0</v>
      </c>
      <c r="G31" s="50">
        <f ca="1">+GETPIVOTDATA("XLL4",'langlon (2016)'!$A$3,"MA_HT","DNL","MA_QH","LUC")</f>
        <v>0</v>
      </c>
      <c r="H31" s="50">
        <f ca="1">+GETPIVOTDATA("XLL4",'langlon (2016)'!$A$3,"MA_HT","DNL","MA_QH","LUK")</f>
        <v>0</v>
      </c>
      <c r="I31" s="50">
        <f ca="1">+GETPIVOTDATA("XLL4",'langlon (2016)'!$A$3,"MA_HT","DNL","MA_QH","LUN")</f>
        <v>0</v>
      </c>
      <c r="J31" s="50">
        <f ca="1">+GETPIVOTDATA("XLL4",'langlon (2016)'!$A$3,"MA_HT","DNL","MA_QH","HNK")</f>
        <v>0</v>
      </c>
      <c r="K31" s="50">
        <f ca="1">+GETPIVOTDATA("XLL4",'langlon (2016)'!$A$3,"MA_HT","DNL","MA_QH","CLN")</f>
        <v>0</v>
      </c>
      <c r="L31" s="50">
        <f ca="1">+GETPIVOTDATA("XLL4",'langlon (2016)'!$A$3,"MA_HT","DNL","MA_QH","RSX")</f>
        <v>0</v>
      </c>
      <c r="M31" s="50">
        <f ca="1">+GETPIVOTDATA("XLL4",'langlon (2016)'!$A$3,"MA_HT","DNL","MA_QH","RPH")</f>
        <v>0</v>
      </c>
      <c r="N31" s="50">
        <f ca="1">+GETPIVOTDATA("XLL4",'langlon (2016)'!$A$3,"MA_HT","DNL","MA_QH","RDD")</f>
        <v>0</v>
      </c>
      <c r="O31" s="50">
        <f ca="1">+GETPIVOTDATA("XLL4",'langlon (2016)'!$A$3,"MA_HT","DNL","MA_QH","NTS")</f>
        <v>0</v>
      </c>
      <c r="P31" s="50">
        <f ca="1">+GETPIVOTDATA("XLL4",'langlon (2016)'!$A$3,"MA_HT","DNL","MA_QH","LMU")</f>
        <v>0</v>
      </c>
      <c r="Q31" s="50">
        <f ca="1">+GETPIVOTDATA("XLL4",'langlon (2016)'!$A$3,"MA_HT","DNL","MA_QH","NKH")</f>
        <v>0</v>
      </c>
      <c r="R31" s="48">
        <f ca="1" t="shared" si="20"/>
        <v>0</v>
      </c>
      <c r="S31" s="50">
        <f ca="1">+GETPIVOTDATA("XLL4",'langlon (2016)'!$A$3,"MA_HT","DNL","MA_QH","CQP")</f>
        <v>0</v>
      </c>
      <c r="T31" s="50">
        <f ca="1">+GETPIVOTDATA("XLL4",'langlon (2016)'!$A$3,"MA_HT","DNL","MA_QH","CAN")</f>
        <v>0</v>
      </c>
      <c r="U31" s="50">
        <f ca="1">+GETPIVOTDATA("XLL4",'langlon (2016)'!$A$3,"MA_HT","DNL","MA_QH","SKK")</f>
        <v>0</v>
      </c>
      <c r="V31" s="50">
        <f ca="1">+GETPIVOTDATA("XLL4",'langlon (2016)'!$A$3,"MA_HT","DNL","MA_QH","SKT")</f>
        <v>0</v>
      </c>
      <c r="W31" s="50">
        <f ca="1">+GETPIVOTDATA("XLL4",'langlon (2016)'!$A$3,"MA_HT","DNL","MA_QH","SKN")</f>
        <v>0</v>
      </c>
      <c r="X31" s="50">
        <f ca="1">+GETPIVOTDATA("XLL4",'langlon (2016)'!$A$3,"MA_HT","DNL","MA_QH","TMD")</f>
        <v>0</v>
      </c>
      <c r="Y31" s="50">
        <f ca="1">+GETPIVOTDATA("XLL4",'langlon (2016)'!$A$3,"MA_HT","DNL","MA_QH","SKC")</f>
        <v>0</v>
      </c>
      <c r="Z31" s="50">
        <f ca="1">+GETPIVOTDATA("XLL4",'langlon (2016)'!$A$3,"MA_HT","DNL","MA_QH","SKS")</f>
        <v>0</v>
      </c>
      <c r="AA31" s="52">
        <f ca="1">+SUM(AB31:AC31,AE31:AM31)</f>
        <v>0</v>
      </c>
      <c r="AB31" s="50">
        <f ca="1">+GETPIVOTDATA("XLL4",'langlon (2016)'!$A$3,"MA_HT","DNL","MA_QH","DGT")</f>
        <v>0</v>
      </c>
      <c r="AC31" s="50">
        <f ca="1">+GETPIVOTDATA("XLL4",'langlon (2016)'!$A$3,"MA_HT","DNL","MA_QH","DTL")</f>
        <v>0</v>
      </c>
      <c r="AD31" s="49" t="e">
        <f ca="1">$D31-$BF31</f>
        <v>#REF!</v>
      </c>
      <c r="AE31" s="50">
        <f ca="1">+GETPIVOTDATA("XLL4",'langlon (2016)'!$A$3,"MA_HT","DNL","MA_QH","DBV")</f>
        <v>0</v>
      </c>
      <c r="AF31" s="50">
        <f ca="1">+GETPIVOTDATA("XLL4",'langlon (2016)'!$A$3,"MA_HT","DNL","MA_QH","DVH")</f>
        <v>0</v>
      </c>
      <c r="AG31" s="50">
        <f ca="1">+GETPIVOTDATA("XLL4",'langlon (2016)'!$A$3,"MA_HT","DNL","MA_QH","DYT")</f>
        <v>0</v>
      </c>
      <c r="AH31" s="50">
        <f ca="1">+GETPIVOTDATA("XLL4",'langlon (2016)'!$A$3,"MA_HT","DNL","MA_QH","DGD")</f>
        <v>0</v>
      </c>
      <c r="AI31" s="50">
        <f ca="1">+GETPIVOTDATA("XLL4",'langlon (2016)'!$A$3,"MA_HT","DNL","MA_QH","DTT")</f>
        <v>0</v>
      </c>
      <c r="AJ31" s="50">
        <f ca="1">+GETPIVOTDATA("XLL4",'langlon (2016)'!$A$3,"MA_HT","DNL","MA_QH","NCK")</f>
        <v>0</v>
      </c>
      <c r="AK31" s="50">
        <f ca="1">+GETPIVOTDATA("XLL4",'langlon (2016)'!$A$3,"MA_HT","DNL","MA_QH","DXH")</f>
        <v>0</v>
      </c>
      <c r="AL31" s="50">
        <f ca="1">+GETPIVOTDATA("XLL4",'langlon (2016)'!$A$3,"MA_HT","DNL","MA_QH","DCH")</f>
        <v>0</v>
      </c>
      <c r="AM31" s="50">
        <f ca="1">+GETPIVOTDATA("XLL4",'langlon (2016)'!$A$3,"MA_HT","DNL","MA_QH","DKG")</f>
        <v>0</v>
      </c>
      <c r="AN31" s="50">
        <f ca="1">+GETPIVOTDATA("XLL4",'langlon (2016)'!$A$3,"MA_HT","DNL","MA_QH","DDT")</f>
        <v>0</v>
      </c>
      <c r="AO31" s="50">
        <f ca="1">+GETPIVOTDATA("XLL4",'langlon (2016)'!$A$3,"MA_HT","DNL","MA_QH","DDL")</f>
        <v>0</v>
      </c>
      <c r="AP31" s="50">
        <f ca="1">+GETPIVOTDATA("XLL4",'langlon (2016)'!$A$3,"MA_HT","DNL","MA_QH","DRA")</f>
        <v>0</v>
      </c>
      <c r="AQ31" s="50">
        <f ca="1">+GETPIVOTDATA("XLL4",'langlon (2016)'!$A$3,"MA_HT","DNL","MA_QH","ONT")</f>
        <v>0</v>
      </c>
      <c r="AR31" s="50">
        <f ca="1">+GETPIVOTDATA("XLL4",'langlon (2016)'!$A$3,"MA_HT","DNL","MA_QH","ODT")</f>
        <v>0</v>
      </c>
      <c r="AS31" s="50">
        <f ca="1">+GETPIVOTDATA("XLL4",'langlon (2016)'!$A$3,"MA_HT","DNL","MA_QH","TSC")</f>
        <v>0</v>
      </c>
      <c r="AT31" s="50">
        <f ca="1">+GETPIVOTDATA("XLL4",'langlon (2016)'!$A$3,"MA_HT","DNL","MA_QH","DTS")</f>
        <v>0</v>
      </c>
      <c r="AU31" s="50">
        <f ca="1">+GETPIVOTDATA("XLL4",'langlon (2016)'!$A$3,"MA_HT","DNL","MA_QH","DNG")</f>
        <v>0</v>
      </c>
      <c r="AV31" s="50">
        <f ca="1">+GETPIVOTDATA("XLL4",'langlon (2016)'!$A$3,"MA_HT","DNL","MA_QH","TON")</f>
        <v>0</v>
      </c>
      <c r="AW31" s="50">
        <f ca="1">+GETPIVOTDATA("XLL4",'langlon (2016)'!$A$3,"MA_HT","DNL","MA_QH","NTD")</f>
        <v>0</v>
      </c>
      <c r="AX31" s="50">
        <f ca="1">+GETPIVOTDATA("XLL4",'langlon (2016)'!$A$3,"MA_HT","DNL","MA_QH","SKX")</f>
        <v>0</v>
      </c>
      <c r="AY31" s="50">
        <f ca="1">+GETPIVOTDATA("XLL4",'langlon (2016)'!$A$3,"MA_HT","DNL","MA_QH","DSH")</f>
        <v>0</v>
      </c>
      <c r="AZ31" s="50">
        <f ca="1">+GETPIVOTDATA("XLL4",'langlon (2016)'!$A$3,"MA_HT","DNL","MA_QH","DKV")</f>
        <v>0</v>
      </c>
      <c r="BA31" s="88">
        <f ca="1">+GETPIVOTDATA("XLL4",'langlon (2016)'!$A$3,"MA_HT","DNL","MA_QH","TIN")</f>
        <v>0</v>
      </c>
      <c r="BB31" s="50">
        <f ca="1">+GETPIVOTDATA("XLL4",'langlon (2016)'!$A$3,"MA_HT","DNL","MA_QH","SON")</f>
        <v>0</v>
      </c>
      <c r="BC31" s="50">
        <f ca="1">+GETPIVOTDATA("XLL4",'langlon (2016)'!$A$3,"MA_HT","DNL","MA_QH","MNC")</f>
        <v>0</v>
      </c>
      <c r="BD31" s="50">
        <f ca="1">+GETPIVOTDATA("XLL4",'langlon (2016)'!$A$3,"MA_HT","DNL","MA_QH","PNK")</f>
        <v>0</v>
      </c>
      <c r="BE31" s="80">
        <f ca="1">+GETPIVOTDATA("XLL4",'langlon (2016)'!$A$3,"MA_HT","DNL","MA_QH","CSD")</f>
        <v>0</v>
      </c>
      <c r="BF31" s="103">
        <f ca="1" t="shared" si="13"/>
        <v>0</v>
      </c>
      <c r="BG31" s="104">
        <f ca="1">AD$59-$BF31</f>
        <v>0</v>
      </c>
      <c r="BH31" s="47" t="e">
        <f ca="1" t="shared" si="14"/>
        <v>#REF!</v>
      </c>
      <c r="BI31" s="105"/>
      <c r="BJ31" s="105" t="e">
        <f>#REF!</f>
        <v>#REF!</v>
      </c>
      <c r="BK31" s="108" t="e">
        <f ca="1" t="shared" si="19"/>
        <v>#REF!</v>
      </c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</row>
    <row r="32" s="4" customFormat="1" ht="16.5" customHeight="1" spans="1:79">
      <c r="A32" s="45" t="s">
        <v>8382</v>
      </c>
      <c r="B32" s="45" t="s">
        <v>8383</v>
      </c>
      <c r="C32" s="46" t="s">
        <v>8285</v>
      </c>
      <c r="D32" s="47" t="e">
        <f>+#REF!</f>
        <v>#REF!</v>
      </c>
      <c r="E32" s="42">
        <f ca="1" t="shared" si="15"/>
        <v>0</v>
      </c>
      <c r="F32" s="52">
        <f ca="1" t="shared" si="9"/>
        <v>0</v>
      </c>
      <c r="G32" s="50">
        <f ca="1">+GETPIVOTDATA("XLL4",'langlon (2016)'!$A$3,"MA_HT","DBV","MA_QH","LUC")</f>
        <v>0</v>
      </c>
      <c r="H32" s="50">
        <f ca="1">+GETPIVOTDATA("XLL4",'langlon (2016)'!$A$3,"MA_HT","DBV","MA_QH","LUK")</f>
        <v>0</v>
      </c>
      <c r="I32" s="50">
        <f ca="1">+GETPIVOTDATA("XLL4",'langlon (2016)'!$A$3,"MA_HT","DBV","MA_QH","LUN")</f>
        <v>0</v>
      </c>
      <c r="J32" s="50">
        <f ca="1">+GETPIVOTDATA("XLL4",'langlon (2016)'!$A$3,"MA_HT","DBV","MA_QH","HNK")</f>
        <v>0</v>
      </c>
      <c r="K32" s="50">
        <f ca="1">+GETPIVOTDATA("XLL4",'langlon (2016)'!$A$3,"MA_HT","DBV","MA_QH","CLN")</f>
        <v>0</v>
      </c>
      <c r="L32" s="50">
        <f ca="1">+GETPIVOTDATA("XLL4",'langlon (2016)'!$A$3,"MA_HT","DBV","MA_QH","RSX")</f>
        <v>0</v>
      </c>
      <c r="M32" s="50">
        <f ca="1">+GETPIVOTDATA("XLL4",'langlon (2016)'!$A$3,"MA_HT","DBV","MA_QH","RPH")</f>
        <v>0</v>
      </c>
      <c r="N32" s="50">
        <f ca="1">+GETPIVOTDATA("XLL4",'langlon (2016)'!$A$3,"MA_HT","DBV","MA_QH","RDD")</f>
        <v>0</v>
      </c>
      <c r="O32" s="50">
        <f ca="1">+GETPIVOTDATA("XLL4",'langlon (2016)'!$A$3,"MA_HT","DBV","MA_QH","NTS")</f>
        <v>0</v>
      </c>
      <c r="P32" s="50">
        <f ca="1">+GETPIVOTDATA("XLL4",'langlon (2016)'!$A$3,"MA_HT","DBV","MA_QH","LMU")</f>
        <v>0</v>
      </c>
      <c r="Q32" s="50">
        <f ca="1">+GETPIVOTDATA("XLL4",'langlon (2016)'!$A$3,"MA_HT","DBV","MA_QH","NKH")</f>
        <v>0</v>
      </c>
      <c r="R32" s="48">
        <f ca="1" t="shared" si="20"/>
        <v>0</v>
      </c>
      <c r="S32" s="50">
        <f ca="1">+GETPIVOTDATA("XLL4",'langlon (2016)'!$A$3,"MA_HT","DBV","MA_QH","CQP")</f>
        <v>0</v>
      </c>
      <c r="T32" s="50">
        <f ca="1">+GETPIVOTDATA("XLL4",'langlon (2016)'!$A$3,"MA_HT","DBV","MA_QH","CAN")</f>
        <v>0</v>
      </c>
      <c r="U32" s="50">
        <f ca="1">+GETPIVOTDATA("XLL4",'langlon (2016)'!$A$3,"MA_HT","DBV","MA_QH","SKK")</f>
        <v>0</v>
      </c>
      <c r="V32" s="50">
        <f ca="1">+GETPIVOTDATA("XLL4",'langlon (2016)'!$A$3,"MA_HT","DBV","MA_QH","SKT")</f>
        <v>0</v>
      </c>
      <c r="W32" s="50">
        <f ca="1">+GETPIVOTDATA("XLL4",'langlon (2016)'!$A$3,"MA_HT","DBV","MA_QH","SKN")</f>
        <v>0</v>
      </c>
      <c r="X32" s="50">
        <f ca="1">+GETPIVOTDATA("XLL4",'langlon (2016)'!$A$3,"MA_HT","DBV","MA_QH","TMD")</f>
        <v>0</v>
      </c>
      <c r="Y32" s="50">
        <f ca="1">+GETPIVOTDATA("XLL4",'langlon (2016)'!$A$3,"MA_HT","DBV","MA_QH","SKC")</f>
        <v>0</v>
      </c>
      <c r="Z32" s="50">
        <f ca="1">+GETPIVOTDATA("XLL4",'langlon (2016)'!$A$3,"MA_HT","DBV","MA_QH","SKS")</f>
        <v>0</v>
      </c>
      <c r="AA32" s="52">
        <f ca="1">+SUM(AB32:AD32,AF32:AM32)</f>
        <v>0</v>
      </c>
      <c r="AB32" s="50">
        <f ca="1">+GETPIVOTDATA("XLL4",'langlon (2016)'!$A$3,"MA_HT","DBV","MA_QH","DGT")</f>
        <v>0</v>
      </c>
      <c r="AC32" s="50">
        <f ca="1">+GETPIVOTDATA("XLL4",'langlon (2016)'!$A$3,"MA_HT","DBV","MA_QH","DTL")</f>
        <v>0</v>
      </c>
      <c r="AD32" s="50">
        <f ca="1">+GETPIVOTDATA("XLL4",'langlon (2016)'!$A$3,"MA_HT","DBV","MA_QH","DNL")</f>
        <v>0</v>
      </c>
      <c r="AE32" s="49" t="e">
        <f ca="1">$D32-$BF32</f>
        <v>#REF!</v>
      </c>
      <c r="AF32" s="50">
        <f ca="1">+GETPIVOTDATA("XLL4",'langlon (2016)'!$A$3,"MA_HT","DBV","MA_QH","DVH")</f>
        <v>0</v>
      </c>
      <c r="AG32" s="50">
        <f ca="1">+GETPIVOTDATA("XLL4",'langlon (2016)'!$A$3,"MA_HT","DBV","MA_QH","DYT")</f>
        <v>0</v>
      </c>
      <c r="AH32" s="50">
        <f ca="1">+GETPIVOTDATA("XLL4",'langlon (2016)'!$A$3,"MA_HT","DBV","MA_QH","DGD")</f>
        <v>0</v>
      </c>
      <c r="AI32" s="50">
        <f ca="1">+GETPIVOTDATA("XLL4",'langlon (2016)'!$A$3,"MA_HT","DBV","MA_QH","DTT")</f>
        <v>0</v>
      </c>
      <c r="AJ32" s="50">
        <f ca="1">+GETPIVOTDATA("XLL4",'langlon (2016)'!$A$3,"MA_HT","DBV","MA_QH","NCK")</f>
        <v>0</v>
      </c>
      <c r="AK32" s="50">
        <f ca="1">+GETPIVOTDATA("XLL4",'langlon (2016)'!$A$3,"MA_HT","DBV","MA_QH","DXH")</f>
        <v>0</v>
      </c>
      <c r="AL32" s="50">
        <f ca="1">+GETPIVOTDATA("XLL4",'langlon (2016)'!$A$3,"MA_HT","DBV","MA_QH","DCH")</f>
        <v>0</v>
      </c>
      <c r="AM32" s="50">
        <f ca="1">+GETPIVOTDATA("XLL4",'langlon (2016)'!$A$3,"MA_HT","DBV","MA_QH","DKG")</f>
        <v>0</v>
      </c>
      <c r="AN32" s="50">
        <f ca="1">+GETPIVOTDATA("XLL4",'langlon (2016)'!$A$3,"MA_HT","DBV","MA_QH","DDT")</f>
        <v>0</v>
      </c>
      <c r="AO32" s="50">
        <f ca="1">+GETPIVOTDATA("XLL4",'langlon (2016)'!$A$3,"MA_HT","DBV","MA_QH","DDL")</f>
        <v>0</v>
      </c>
      <c r="AP32" s="50">
        <f ca="1">+GETPIVOTDATA("XLL4",'langlon (2016)'!$A$3,"MA_HT","DBV","MA_QH","DRA")</f>
        <v>0</v>
      </c>
      <c r="AQ32" s="50">
        <f ca="1">+GETPIVOTDATA("XLL4",'langlon (2016)'!$A$3,"MA_HT","DBV","MA_QH","ONT")</f>
        <v>0</v>
      </c>
      <c r="AR32" s="50">
        <f ca="1">+GETPIVOTDATA("XLL4",'langlon (2016)'!$A$3,"MA_HT","DBV","MA_QH","ODT")</f>
        <v>0</v>
      </c>
      <c r="AS32" s="50">
        <f ca="1">+GETPIVOTDATA("XLL4",'langlon (2016)'!$A$3,"MA_HT","DBV","MA_QH","TSC")</f>
        <v>0</v>
      </c>
      <c r="AT32" s="50">
        <f ca="1">+GETPIVOTDATA("XLL4",'langlon (2016)'!$A$3,"MA_HT","DBV","MA_QH","DTS")</f>
        <v>0</v>
      </c>
      <c r="AU32" s="50">
        <f ca="1">+GETPIVOTDATA("XLL4",'langlon (2016)'!$A$3,"MA_HT","DBV","MA_QH","DNG")</f>
        <v>0</v>
      </c>
      <c r="AV32" s="50">
        <f ca="1">+GETPIVOTDATA("XLL4",'langlon (2016)'!$A$3,"MA_HT","DBV","MA_QH","TON")</f>
        <v>0</v>
      </c>
      <c r="AW32" s="50">
        <f ca="1">+GETPIVOTDATA("XLL4",'langlon (2016)'!$A$3,"MA_HT","DBV","MA_QH","NTD")</f>
        <v>0</v>
      </c>
      <c r="AX32" s="50">
        <f ca="1">+GETPIVOTDATA("XLL4",'langlon (2016)'!$A$3,"MA_HT","DBV","MA_QH","SKX")</f>
        <v>0</v>
      </c>
      <c r="AY32" s="50">
        <f ca="1">+GETPIVOTDATA("XLL4",'langlon (2016)'!$A$3,"MA_HT","DBV","MA_QH","DSH")</f>
        <v>0</v>
      </c>
      <c r="AZ32" s="50">
        <f ca="1">+GETPIVOTDATA("XLL4",'langlon (2016)'!$A$3,"MA_HT","DBV","MA_QH","DKV")</f>
        <v>0</v>
      </c>
      <c r="BA32" s="88">
        <f ca="1">+GETPIVOTDATA("XLL4",'langlon (2016)'!$A$3,"MA_HT","DBV","MA_QH","TIN")</f>
        <v>0</v>
      </c>
      <c r="BB32" s="50">
        <f ca="1">+GETPIVOTDATA("XLL4",'langlon (2016)'!$A$3,"MA_HT","DBV","MA_QH","SON")</f>
        <v>0</v>
      </c>
      <c r="BC32" s="50">
        <f ca="1">+GETPIVOTDATA("XLL4",'langlon (2016)'!$A$3,"MA_HT","DBV","MA_QH","MNC")</f>
        <v>0</v>
      </c>
      <c r="BD32" s="50">
        <f ca="1">+GETPIVOTDATA("XLL4",'langlon (2016)'!$A$3,"MA_HT","DBV","MA_QH","PNK")</f>
        <v>0</v>
      </c>
      <c r="BE32" s="80">
        <f ca="1">+GETPIVOTDATA("XLL4",'langlon (2016)'!$A$3,"MA_HT","DBV","MA_QH","CSD")</f>
        <v>0</v>
      </c>
      <c r="BF32" s="103">
        <f ca="1" t="shared" si="13"/>
        <v>0</v>
      </c>
      <c r="BG32" s="104">
        <f ca="1">AE$59-$BF32</f>
        <v>0</v>
      </c>
      <c r="BH32" s="47" t="e">
        <f ca="1" t="shared" si="14"/>
        <v>#REF!</v>
      </c>
      <c r="BI32" s="105"/>
      <c r="BJ32" s="105" t="e">
        <f>#REF!</f>
        <v>#REF!</v>
      </c>
      <c r="BK32" s="108" t="e">
        <f ca="1" t="shared" si="19"/>
        <v>#REF!</v>
      </c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</row>
    <row r="33" s="4" customFormat="1" ht="16.5" customHeight="1" spans="1:79">
      <c r="A33" s="45" t="s">
        <v>8384</v>
      </c>
      <c r="B33" s="45" t="s">
        <v>8385</v>
      </c>
      <c r="C33" s="46" t="s">
        <v>212</v>
      </c>
      <c r="D33" s="47" t="e">
        <f>+#REF!</f>
        <v>#REF!</v>
      </c>
      <c r="E33" s="42">
        <f ca="1" t="shared" si="15"/>
        <v>0</v>
      </c>
      <c r="F33" s="52">
        <f ca="1" t="shared" si="9"/>
        <v>0</v>
      </c>
      <c r="G33" s="50">
        <f ca="1">+GETPIVOTDATA("XLL4",'langlon (2016)'!$A$3,"MA_HT","DVH","MA_QH","LUC")</f>
        <v>0</v>
      </c>
      <c r="H33" s="50">
        <f ca="1">+GETPIVOTDATA("XLL4",'langlon (2016)'!$A$3,"MA_HT","DVH","MA_QH","LUK")</f>
        <v>0</v>
      </c>
      <c r="I33" s="50">
        <f ca="1">+GETPIVOTDATA("XLL4",'langlon (2016)'!$A$3,"MA_HT","DVH","MA_QH","LUN")</f>
        <v>0</v>
      </c>
      <c r="J33" s="50">
        <f ca="1">+GETPIVOTDATA("XLL4",'langlon (2016)'!$A$3,"MA_HT","DVH","MA_QH","HNK")</f>
        <v>0</v>
      </c>
      <c r="K33" s="50">
        <f ca="1">+GETPIVOTDATA("XLL4",'langlon (2016)'!$A$3,"MA_HT","DVH","MA_QH","CLN")</f>
        <v>0</v>
      </c>
      <c r="L33" s="50">
        <f ca="1">+GETPIVOTDATA("XLL4",'langlon (2016)'!$A$3,"MA_HT","DVH","MA_QH","RSX")</f>
        <v>0</v>
      </c>
      <c r="M33" s="50">
        <f ca="1">+GETPIVOTDATA("XLL4",'langlon (2016)'!$A$3,"MA_HT","DVH","MA_QH","RPH")</f>
        <v>0</v>
      </c>
      <c r="N33" s="50">
        <f ca="1">+GETPIVOTDATA("XLL4",'langlon (2016)'!$A$3,"MA_HT","DVH","MA_QH","RDD")</f>
        <v>0</v>
      </c>
      <c r="O33" s="50">
        <f ca="1">+GETPIVOTDATA("XLL4",'langlon (2016)'!$A$3,"MA_HT","DVH","MA_QH","NTS")</f>
        <v>0</v>
      </c>
      <c r="P33" s="50">
        <f ca="1">+GETPIVOTDATA("XLL4",'langlon (2016)'!$A$3,"MA_HT","DVH","MA_QH","LMU")</f>
        <v>0</v>
      </c>
      <c r="Q33" s="50">
        <f ca="1">+GETPIVOTDATA("XLL4",'langlon (2016)'!$A$3,"MA_HT","DVH","MA_QH","NKH")</f>
        <v>0</v>
      </c>
      <c r="R33" s="48">
        <f ca="1" t="shared" si="20"/>
        <v>0</v>
      </c>
      <c r="S33" s="50">
        <f ca="1">+GETPIVOTDATA("XLL4",'langlon (2016)'!$A$3,"MA_HT","DVH","MA_QH","CQP")</f>
        <v>0</v>
      </c>
      <c r="T33" s="50">
        <f ca="1">+GETPIVOTDATA("XLL4",'langlon (2016)'!$A$3,"MA_HT","DVH","MA_QH","CAN")</f>
        <v>0</v>
      </c>
      <c r="U33" s="50">
        <f ca="1">+GETPIVOTDATA("XLL4",'langlon (2016)'!$A$3,"MA_HT","DVH","MA_QH","SKK")</f>
        <v>0</v>
      </c>
      <c r="V33" s="50">
        <f ca="1">+GETPIVOTDATA("XLL4",'langlon (2016)'!$A$3,"MA_HT","DVH","MA_QH","SKT")</f>
        <v>0</v>
      </c>
      <c r="W33" s="50">
        <f ca="1">+GETPIVOTDATA("XLL4",'langlon (2016)'!$A$3,"MA_HT","DVH","MA_QH","SKN")</f>
        <v>0</v>
      </c>
      <c r="X33" s="50">
        <f ca="1">+GETPIVOTDATA("XLL4",'langlon (2016)'!$A$3,"MA_HT","DVH","MA_QH","TMD")</f>
        <v>0</v>
      </c>
      <c r="Y33" s="50">
        <f ca="1">+GETPIVOTDATA("XLL4",'langlon (2016)'!$A$3,"MA_HT","DVH","MA_QH","SKC")</f>
        <v>0</v>
      </c>
      <c r="Z33" s="50">
        <f ca="1">+GETPIVOTDATA("XLL4",'langlon (2016)'!$A$3,"MA_HT","DVH","MA_QH","SKS")</f>
        <v>0</v>
      </c>
      <c r="AA33" s="52">
        <f ca="1">+SUM(AB33:AE33,AG33:AM33)</f>
        <v>0</v>
      </c>
      <c r="AB33" s="50">
        <f ca="1">+GETPIVOTDATA("XLL4",'langlon (2016)'!$A$3,"MA_HT","DVH","MA_QH","DGT")</f>
        <v>0</v>
      </c>
      <c r="AC33" s="50">
        <f ca="1">+GETPIVOTDATA("XLL4",'langlon (2016)'!$A$3,"MA_HT","DVH","MA_QH","DTL")</f>
        <v>0</v>
      </c>
      <c r="AD33" s="50">
        <f ca="1">+GETPIVOTDATA("XLL4",'langlon (2016)'!$A$3,"MA_HT","DVH","MA_QH","DNL")</f>
        <v>0</v>
      </c>
      <c r="AE33" s="50">
        <f ca="1">+GETPIVOTDATA("XLL4",'langlon (2016)'!$A$3,"MA_HT","DVH","MA_QH","DBV")</f>
        <v>0</v>
      </c>
      <c r="AF33" s="49" t="e">
        <f ca="1">$D33-$BF33</f>
        <v>#REF!</v>
      </c>
      <c r="AG33" s="50">
        <f ca="1">+GETPIVOTDATA("XLL4",'langlon (2016)'!$A$3,"MA_HT","DVH","MA_QH","DYT")</f>
        <v>0</v>
      </c>
      <c r="AH33" s="50">
        <f ca="1">+GETPIVOTDATA("XLL4",'langlon (2016)'!$A$3,"MA_HT","DVH","MA_QH","DGD")</f>
        <v>0</v>
      </c>
      <c r="AI33" s="50">
        <f ca="1">+GETPIVOTDATA("XLL4",'langlon (2016)'!$A$3,"MA_HT","DVH","MA_QH","DTT")</f>
        <v>0</v>
      </c>
      <c r="AJ33" s="50">
        <f ca="1">+GETPIVOTDATA("XLL4",'langlon (2016)'!$A$3,"MA_HT","DVH","MA_QH","NCK")</f>
        <v>0</v>
      </c>
      <c r="AK33" s="50">
        <f ca="1">+GETPIVOTDATA("XLL4",'langlon (2016)'!$A$3,"MA_HT","DVH","MA_QH","DXH")</f>
        <v>0</v>
      </c>
      <c r="AL33" s="50">
        <f ca="1">+GETPIVOTDATA("XLL4",'langlon (2016)'!$A$3,"MA_HT","DVH","MA_QH","DCH")</f>
        <v>0</v>
      </c>
      <c r="AM33" s="50">
        <f ca="1">+GETPIVOTDATA("XLL4",'langlon (2016)'!$A$3,"MA_HT","DVH","MA_QH","DKG")</f>
        <v>0</v>
      </c>
      <c r="AN33" s="50">
        <f ca="1">+GETPIVOTDATA("XLL4",'langlon (2016)'!$A$3,"MA_HT","DVH","MA_QH","DDT")</f>
        <v>0</v>
      </c>
      <c r="AO33" s="50">
        <f ca="1">+GETPIVOTDATA("XLL4",'langlon (2016)'!$A$3,"MA_HT","DVH","MA_QH","DDL")</f>
        <v>0</v>
      </c>
      <c r="AP33" s="50">
        <f ca="1">+GETPIVOTDATA("XLL4",'langlon (2016)'!$A$3,"MA_HT","DVH","MA_QH","DRA")</f>
        <v>0</v>
      </c>
      <c r="AQ33" s="50">
        <f ca="1">+GETPIVOTDATA("XLL4",'langlon (2016)'!$A$3,"MA_HT","DVH","MA_QH","ONT")</f>
        <v>0</v>
      </c>
      <c r="AR33" s="50">
        <f ca="1">+GETPIVOTDATA("XLL4",'langlon (2016)'!$A$3,"MA_HT","DVH","MA_QH","ODT")</f>
        <v>0</v>
      </c>
      <c r="AS33" s="50">
        <f ca="1">+GETPIVOTDATA("XLL4",'langlon (2016)'!$A$3,"MA_HT","DVH","MA_QH","TSC")</f>
        <v>0</v>
      </c>
      <c r="AT33" s="50">
        <f ca="1">+GETPIVOTDATA("XLL4",'langlon (2016)'!$A$3,"MA_HT","DVH","MA_QH","DTS")</f>
        <v>0</v>
      </c>
      <c r="AU33" s="50">
        <f ca="1">+GETPIVOTDATA("XLL4",'langlon (2016)'!$A$3,"MA_HT","DVH","MA_QH","DNG")</f>
        <v>0</v>
      </c>
      <c r="AV33" s="50">
        <f ca="1">+GETPIVOTDATA("XLL4",'langlon (2016)'!$A$3,"MA_HT","DVH","MA_QH","TON")</f>
        <v>0</v>
      </c>
      <c r="AW33" s="50">
        <f ca="1">+GETPIVOTDATA("XLL4",'langlon (2016)'!$A$3,"MA_HT","DVH","MA_QH","NTD")</f>
        <v>0</v>
      </c>
      <c r="AX33" s="50">
        <f ca="1">+GETPIVOTDATA("XLL4",'langlon (2016)'!$A$3,"MA_HT","DVH","MA_QH","SKX")</f>
        <v>0</v>
      </c>
      <c r="AY33" s="50">
        <f ca="1">+GETPIVOTDATA("XLL4",'langlon (2016)'!$A$3,"MA_HT","DVH","MA_QH","DSH")</f>
        <v>0</v>
      </c>
      <c r="AZ33" s="50">
        <f ca="1">+GETPIVOTDATA("XLL4",'langlon (2016)'!$A$3,"MA_HT","DVH","MA_QH","DKV")</f>
        <v>0</v>
      </c>
      <c r="BA33" s="88">
        <f ca="1">+GETPIVOTDATA("XLL4",'langlon (2016)'!$A$3,"MA_HT","DVH","MA_QH","TIN")</f>
        <v>0</v>
      </c>
      <c r="BB33" s="50">
        <f ca="1">+GETPIVOTDATA("XLL4",'langlon (2016)'!$A$3,"MA_HT","DVH","MA_QH","SON")</f>
        <v>0</v>
      </c>
      <c r="BC33" s="50">
        <f ca="1">+GETPIVOTDATA("XLL4",'langlon (2016)'!$A$3,"MA_HT","DVH","MA_QH","MNC")</f>
        <v>0</v>
      </c>
      <c r="BD33" s="50">
        <f ca="1">+GETPIVOTDATA("XLL4",'langlon (2016)'!$A$3,"MA_HT","DVH","MA_QH","PNK")</f>
        <v>0</v>
      </c>
      <c r="BE33" s="80">
        <f ca="1">+GETPIVOTDATA("XLL4",'langlon (2016)'!$A$3,"MA_HT","DVH","MA_QH","CSD")</f>
        <v>0</v>
      </c>
      <c r="BF33" s="103">
        <f ca="1" t="shared" si="13"/>
        <v>0</v>
      </c>
      <c r="BG33" s="104">
        <f ca="1">AF$59-$BF33</f>
        <v>0</v>
      </c>
      <c r="BH33" s="47" t="e">
        <f ca="1" t="shared" si="14"/>
        <v>#REF!</v>
      </c>
      <c r="BI33" s="105"/>
      <c r="BJ33" s="105" t="e">
        <f>#REF!</f>
        <v>#REF!</v>
      </c>
      <c r="BK33" s="108" t="e">
        <f ca="1" t="shared" si="19"/>
        <v>#REF!</v>
      </c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</row>
    <row r="34" s="4" customFormat="1" ht="16.5" customHeight="1" spans="1:79">
      <c r="A34" s="45" t="s">
        <v>8386</v>
      </c>
      <c r="B34" s="45" t="s">
        <v>8387</v>
      </c>
      <c r="C34" s="46" t="s">
        <v>8296</v>
      </c>
      <c r="D34" s="47" t="e">
        <f>+#REF!</f>
        <v>#REF!</v>
      </c>
      <c r="E34" s="42">
        <f ca="1" t="shared" si="15"/>
        <v>0</v>
      </c>
      <c r="F34" s="52">
        <f ca="1" t="shared" si="9"/>
        <v>0</v>
      </c>
      <c r="G34" s="50">
        <f ca="1">+GETPIVOTDATA("XLL4",'langlon (2016)'!$A$3,"MA_HT","DYT","MA_QH","LUC")</f>
        <v>0</v>
      </c>
      <c r="H34" s="50">
        <f ca="1">+GETPIVOTDATA("XLL4",'langlon (2016)'!$A$3,"MA_HT","DYT","MA_QH","LUK")</f>
        <v>0</v>
      </c>
      <c r="I34" s="50">
        <f ca="1">+GETPIVOTDATA("XLL4",'langlon (2016)'!$A$3,"MA_HT","DYT","MA_QH","LUN")</f>
        <v>0</v>
      </c>
      <c r="J34" s="50">
        <f ca="1">+GETPIVOTDATA("XLL4",'langlon (2016)'!$A$3,"MA_HT","DYT","MA_QH","HNK")</f>
        <v>0</v>
      </c>
      <c r="K34" s="50">
        <f ca="1">+GETPIVOTDATA("XLL4",'langlon (2016)'!$A$3,"MA_HT","DYT","MA_QH","CLN")</f>
        <v>0</v>
      </c>
      <c r="L34" s="50">
        <f ca="1">+GETPIVOTDATA("XLL4",'langlon (2016)'!$A$3,"MA_HT","DYT","MA_QH","RSX")</f>
        <v>0</v>
      </c>
      <c r="M34" s="50">
        <f ca="1">+GETPIVOTDATA("XLL4",'langlon (2016)'!$A$3,"MA_HT","DYT","MA_QH","RPH")</f>
        <v>0</v>
      </c>
      <c r="N34" s="50">
        <f ca="1">+GETPIVOTDATA("XLL4",'langlon (2016)'!$A$3,"MA_HT","DYT","MA_QH","RDD")</f>
        <v>0</v>
      </c>
      <c r="O34" s="50">
        <f ca="1">+GETPIVOTDATA("XLL4",'langlon (2016)'!$A$3,"MA_HT","DYT","MA_QH","NTS")</f>
        <v>0</v>
      </c>
      <c r="P34" s="50">
        <f ca="1">+GETPIVOTDATA("XLL4",'langlon (2016)'!$A$3,"MA_HT","DYT","MA_QH","LMU")</f>
        <v>0</v>
      </c>
      <c r="Q34" s="50">
        <f ca="1">+GETPIVOTDATA("XLL4",'langlon (2016)'!$A$3,"MA_HT","DYT","MA_QH","NKH")</f>
        <v>0</v>
      </c>
      <c r="R34" s="48">
        <f ca="1" t="shared" si="20"/>
        <v>0</v>
      </c>
      <c r="S34" s="50">
        <f ca="1">+GETPIVOTDATA("XLL4",'langlon (2016)'!$A$3,"MA_HT","DYT","MA_QH","CQP")</f>
        <v>0</v>
      </c>
      <c r="T34" s="50">
        <f ca="1">+GETPIVOTDATA("XLL4",'langlon (2016)'!$A$3,"MA_HT","DYT","MA_QH","CAN")</f>
        <v>0</v>
      </c>
      <c r="U34" s="50">
        <f ca="1">+GETPIVOTDATA("XLL4",'langlon (2016)'!$A$3,"MA_HT","DYT","MA_QH","SKK")</f>
        <v>0</v>
      </c>
      <c r="V34" s="50">
        <f ca="1">+GETPIVOTDATA("XLL4",'langlon (2016)'!$A$3,"MA_HT","DYT","MA_QH","SKT")</f>
        <v>0</v>
      </c>
      <c r="W34" s="50">
        <f ca="1">+GETPIVOTDATA("XLL4",'langlon (2016)'!$A$3,"MA_HT","DYT","MA_QH","SKN")</f>
        <v>0</v>
      </c>
      <c r="X34" s="50">
        <f ca="1">+GETPIVOTDATA("XLL4",'langlon (2016)'!$A$3,"MA_HT","DYT","MA_QH","TMD")</f>
        <v>0</v>
      </c>
      <c r="Y34" s="50">
        <f ca="1">+GETPIVOTDATA("XLL4",'langlon (2016)'!$A$3,"MA_HT","DYT","MA_QH","SKC")</f>
        <v>0</v>
      </c>
      <c r="Z34" s="50">
        <f ca="1">+GETPIVOTDATA("XLL4",'langlon (2016)'!$A$3,"MA_HT","DYT","MA_QH","SKS")</f>
        <v>0</v>
      </c>
      <c r="AA34" s="52">
        <f ca="1">+SUM(AB34:AF34,AH34:AM34)</f>
        <v>0</v>
      </c>
      <c r="AB34" s="50">
        <f ca="1">+GETPIVOTDATA("XLL4",'langlon (2016)'!$A$3,"MA_HT","DYT","MA_QH","DGT")</f>
        <v>0</v>
      </c>
      <c r="AC34" s="50">
        <f ca="1">+GETPIVOTDATA("XLL4",'langlon (2016)'!$A$3,"MA_HT","DYT","MA_QH","DTL")</f>
        <v>0</v>
      </c>
      <c r="AD34" s="50">
        <f ca="1">+GETPIVOTDATA("XLL4",'langlon (2016)'!$A$3,"MA_HT","DYT","MA_QH","DNL")</f>
        <v>0</v>
      </c>
      <c r="AE34" s="50">
        <f ca="1">+GETPIVOTDATA("XLL4",'langlon (2016)'!$A$3,"MA_HT","DYT","MA_QH","DBV")</f>
        <v>0</v>
      </c>
      <c r="AF34" s="50">
        <f ca="1">+GETPIVOTDATA("XLL4",'langlon (2016)'!$A$3,"MA_HT","DYT","MA_QH","DVH")</f>
        <v>0</v>
      </c>
      <c r="AG34" s="49" t="e">
        <f ca="1">$D34-$BF34</f>
        <v>#REF!</v>
      </c>
      <c r="AH34" s="50">
        <f ca="1">+GETPIVOTDATA("XLL4",'langlon (2016)'!$A$3,"MA_HT","DYT","MA_QH","DGD")</f>
        <v>0</v>
      </c>
      <c r="AI34" s="50">
        <f ca="1">+GETPIVOTDATA("XLL4",'langlon (2016)'!$A$3,"MA_HT","DYT","MA_QH","DTT")</f>
        <v>0</v>
      </c>
      <c r="AJ34" s="50">
        <f ca="1">+GETPIVOTDATA("XLL4",'langlon (2016)'!$A$3,"MA_HT","DYT","MA_QH","NCK")</f>
        <v>0</v>
      </c>
      <c r="AK34" s="50">
        <f ca="1">+GETPIVOTDATA("XLL4",'langlon (2016)'!$A$3,"MA_HT","DYT","MA_QH","DXH")</f>
        <v>0</v>
      </c>
      <c r="AL34" s="50">
        <f ca="1">+GETPIVOTDATA("XLL4",'langlon (2016)'!$A$3,"MA_HT","DYT","MA_QH","DCH")</f>
        <v>0</v>
      </c>
      <c r="AM34" s="50">
        <f ca="1">+GETPIVOTDATA("XLL4",'langlon (2016)'!$A$3,"MA_HT","DYT","MA_QH","DKG")</f>
        <v>0</v>
      </c>
      <c r="AN34" s="50">
        <f ca="1">+GETPIVOTDATA("XLL4",'langlon (2016)'!$A$3,"MA_HT","DYT","MA_QH","DDT")</f>
        <v>0</v>
      </c>
      <c r="AO34" s="50">
        <f ca="1">+GETPIVOTDATA("XLL4",'langlon (2016)'!$A$3,"MA_HT","DYT","MA_QH","DDL")</f>
        <v>0</v>
      </c>
      <c r="AP34" s="50">
        <f ca="1">+GETPIVOTDATA("XLL4",'langlon (2016)'!$A$3,"MA_HT","DYT","MA_QH","DRA")</f>
        <v>0</v>
      </c>
      <c r="AQ34" s="50">
        <f ca="1">+GETPIVOTDATA("XLL4",'langlon (2016)'!$A$3,"MA_HT","DYT","MA_QH","ONT")</f>
        <v>0</v>
      </c>
      <c r="AR34" s="50">
        <f ca="1">+GETPIVOTDATA("XLL4",'langlon (2016)'!$A$3,"MA_HT","DYT","MA_QH","ODT")</f>
        <v>0</v>
      </c>
      <c r="AS34" s="50">
        <f ca="1">+GETPIVOTDATA("XLL4",'langlon (2016)'!$A$3,"MA_HT","DYT","MA_QH","TSC")</f>
        <v>0</v>
      </c>
      <c r="AT34" s="50">
        <f ca="1">+GETPIVOTDATA("XLL4",'langlon (2016)'!$A$3,"MA_HT","DYT","MA_QH","DTS")</f>
        <v>0</v>
      </c>
      <c r="AU34" s="50">
        <f ca="1">+GETPIVOTDATA("XLL4",'langlon (2016)'!$A$3,"MA_HT","DYT","MA_QH","DNG")</f>
        <v>0</v>
      </c>
      <c r="AV34" s="50">
        <f ca="1">+GETPIVOTDATA("XLL4",'langlon (2016)'!$A$3,"MA_HT","DYT","MA_QH","TON")</f>
        <v>0</v>
      </c>
      <c r="AW34" s="50">
        <f ca="1">+GETPIVOTDATA("XLL4",'langlon (2016)'!$A$3,"MA_HT","DYT","MA_QH","NTD")</f>
        <v>0</v>
      </c>
      <c r="AX34" s="50">
        <f ca="1">+GETPIVOTDATA("XLL4",'langlon (2016)'!$A$3,"MA_HT","DYT","MA_QH","SKX")</f>
        <v>0</v>
      </c>
      <c r="AY34" s="50">
        <f ca="1">+GETPIVOTDATA("XLL4",'langlon (2016)'!$A$3,"MA_HT","DYT","MA_QH","DSH")</f>
        <v>0</v>
      </c>
      <c r="AZ34" s="50">
        <f ca="1">+GETPIVOTDATA("XLL4",'langlon (2016)'!$A$3,"MA_HT","DYT","MA_QH","DKV")</f>
        <v>0</v>
      </c>
      <c r="BA34" s="88">
        <f ca="1">+GETPIVOTDATA("XLL4",'langlon (2016)'!$A$3,"MA_HT","DYT","MA_QH","TIN")</f>
        <v>0</v>
      </c>
      <c r="BB34" s="50">
        <f ca="1">+GETPIVOTDATA("XLL4",'langlon (2016)'!$A$3,"MA_HT","DYT","MA_QH","SON")</f>
        <v>0</v>
      </c>
      <c r="BC34" s="50">
        <f ca="1">+GETPIVOTDATA("XLL4",'langlon (2016)'!$A$3,"MA_HT","DYT","MA_QH","MNC")</f>
        <v>0</v>
      </c>
      <c r="BD34" s="50">
        <f ca="1">+GETPIVOTDATA("XLL4",'langlon (2016)'!$A$3,"MA_HT","DYT","MA_QH","PNK")</f>
        <v>0</v>
      </c>
      <c r="BE34" s="80">
        <f ca="1">+GETPIVOTDATA("XLL4",'langlon (2016)'!$A$3,"MA_HT","DYT","MA_QH","CSD")</f>
        <v>0</v>
      </c>
      <c r="BF34" s="103">
        <f ca="1" t="shared" si="13"/>
        <v>0</v>
      </c>
      <c r="BG34" s="104">
        <f ca="1">AG$59-$BF34</f>
        <v>0</v>
      </c>
      <c r="BH34" s="47" t="e">
        <f ca="1" t="shared" si="14"/>
        <v>#REF!</v>
      </c>
      <c r="BI34" s="105"/>
      <c r="BJ34" s="105" t="e">
        <f>#REF!</f>
        <v>#REF!</v>
      </c>
      <c r="BK34" s="108" t="e">
        <f ca="1" t="shared" si="19"/>
        <v>#REF!</v>
      </c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</row>
    <row r="35" s="4" customFormat="1" ht="16.5" customHeight="1" spans="1:79">
      <c r="A35" s="45" t="s">
        <v>8388</v>
      </c>
      <c r="B35" s="45" t="s">
        <v>8389</v>
      </c>
      <c r="C35" s="46" t="s">
        <v>165</v>
      </c>
      <c r="D35" s="47" t="e">
        <f>+#REF!</f>
        <v>#REF!</v>
      </c>
      <c r="E35" s="42">
        <f ca="1" t="shared" si="15"/>
        <v>0</v>
      </c>
      <c r="F35" s="52">
        <f ca="1" t="shared" si="9"/>
        <v>0</v>
      </c>
      <c r="G35" s="50">
        <f ca="1">+GETPIVOTDATA("XLL4",'langlon (2016)'!$A$3,"MA_HT","DGD","MA_QH","LUC")</f>
        <v>0</v>
      </c>
      <c r="H35" s="50">
        <f ca="1">+GETPIVOTDATA("XLL4",'langlon (2016)'!$A$3,"MA_HT","DGD","MA_QH","LUK")</f>
        <v>0</v>
      </c>
      <c r="I35" s="50">
        <f ca="1">+GETPIVOTDATA("XLL4",'langlon (2016)'!$A$3,"MA_HT","DGD","MA_QH","LUN")</f>
        <v>0</v>
      </c>
      <c r="J35" s="50">
        <f ca="1">+GETPIVOTDATA("XLL4",'langlon (2016)'!$A$3,"MA_HT","DGD","MA_QH","HNK")</f>
        <v>0</v>
      </c>
      <c r="K35" s="50">
        <f ca="1">+GETPIVOTDATA("XLL4",'langlon (2016)'!$A$3,"MA_HT","DGD","MA_QH","CLN")</f>
        <v>0</v>
      </c>
      <c r="L35" s="50">
        <f ca="1">+GETPIVOTDATA("XLL4",'langlon (2016)'!$A$3,"MA_HT","DGD","MA_QH","RSX")</f>
        <v>0</v>
      </c>
      <c r="M35" s="50">
        <f ca="1">+GETPIVOTDATA("XLL4",'langlon (2016)'!$A$3,"MA_HT","DGD","MA_QH","RPH")</f>
        <v>0</v>
      </c>
      <c r="N35" s="50">
        <f ca="1">+GETPIVOTDATA("XLL4",'langlon (2016)'!$A$3,"MA_HT","DGD","MA_QH","RDD")</f>
        <v>0</v>
      </c>
      <c r="O35" s="50">
        <f ca="1">+GETPIVOTDATA("XLL4",'langlon (2016)'!$A$3,"MA_HT","DGD","MA_QH","NTS")</f>
        <v>0</v>
      </c>
      <c r="P35" s="50">
        <f ca="1">+GETPIVOTDATA("XLL4",'langlon (2016)'!$A$3,"MA_HT","DGD","MA_QH","LMU")</f>
        <v>0</v>
      </c>
      <c r="Q35" s="50">
        <f ca="1">+GETPIVOTDATA("XLL4",'langlon (2016)'!$A$3,"MA_HT","DGD","MA_QH","NKH")</f>
        <v>0</v>
      </c>
      <c r="R35" s="48">
        <f ca="1" t="shared" si="20"/>
        <v>0</v>
      </c>
      <c r="S35" s="50">
        <f ca="1">+GETPIVOTDATA("XLL4",'langlon (2016)'!$A$3,"MA_HT","DGD","MA_QH","CQP")</f>
        <v>0</v>
      </c>
      <c r="T35" s="50">
        <f ca="1">+GETPIVOTDATA("XLL4",'langlon (2016)'!$A$3,"MA_HT","DGD","MA_QH","CAN")</f>
        <v>0</v>
      </c>
      <c r="U35" s="50">
        <f ca="1">+GETPIVOTDATA("XLL4",'langlon (2016)'!$A$3,"MA_HT","DGD","MA_QH","SKK")</f>
        <v>0</v>
      </c>
      <c r="V35" s="50">
        <f ca="1">+GETPIVOTDATA("XLL4",'langlon (2016)'!$A$3,"MA_HT","DGD","MA_QH","SKT")</f>
        <v>0</v>
      </c>
      <c r="W35" s="50">
        <f ca="1">+GETPIVOTDATA("XLL4",'langlon (2016)'!$A$3,"MA_HT","DGD","MA_QH","SKN")</f>
        <v>0</v>
      </c>
      <c r="X35" s="50">
        <f ca="1">+GETPIVOTDATA("XLL4",'langlon (2016)'!$A$3,"MA_HT","DGD","MA_QH","TMD")</f>
        <v>0</v>
      </c>
      <c r="Y35" s="50">
        <f ca="1">+GETPIVOTDATA("XLL4",'langlon (2016)'!$A$3,"MA_HT","DGD","MA_QH","SKC")</f>
        <v>0</v>
      </c>
      <c r="Z35" s="50">
        <f ca="1">+GETPIVOTDATA("XLL4",'langlon (2016)'!$A$3,"MA_HT","DGD","MA_QH","SKS")</f>
        <v>0</v>
      </c>
      <c r="AA35" s="52">
        <f ca="1">+SUM(AB35:AG35,AI35:AM35)</f>
        <v>0</v>
      </c>
      <c r="AB35" s="50">
        <f ca="1">+GETPIVOTDATA("XLL4",'langlon (2016)'!$A$3,"MA_HT","DGD","MA_QH","DGT")</f>
        <v>0</v>
      </c>
      <c r="AC35" s="50">
        <f ca="1">+GETPIVOTDATA("XLL4",'langlon (2016)'!$A$3,"MA_HT","DGD","MA_QH","DTL")</f>
        <v>0</v>
      </c>
      <c r="AD35" s="50">
        <f ca="1">+GETPIVOTDATA("XLL4",'langlon (2016)'!$A$3,"MA_HT","DGD","MA_QH","DNL")</f>
        <v>0</v>
      </c>
      <c r="AE35" s="50">
        <f ca="1">+GETPIVOTDATA("XLL4",'langlon (2016)'!$A$3,"MA_HT","DGD","MA_QH","DBV")</f>
        <v>0</v>
      </c>
      <c r="AF35" s="50">
        <f ca="1">+GETPIVOTDATA("XLL4",'langlon (2016)'!$A$3,"MA_HT","DGD","MA_QH","DVH")</f>
        <v>0</v>
      </c>
      <c r="AG35" s="50">
        <f ca="1">+GETPIVOTDATA("XLL4",'langlon (2016)'!$A$3,"MA_HT","DGD","MA_QH","DYT")</f>
        <v>0</v>
      </c>
      <c r="AH35" s="49" t="e">
        <f ca="1">$D35-$BF35</f>
        <v>#REF!</v>
      </c>
      <c r="AI35" s="50">
        <f ca="1">+GETPIVOTDATA("XLL4",'langlon (2016)'!$A$3,"MA_HT","DGD","MA_QH","DTT")</f>
        <v>0</v>
      </c>
      <c r="AJ35" s="50">
        <f ca="1">+GETPIVOTDATA("XLL4",'langlon (2016)'!$A$3,"MA_HT","DGD","MA_QH","NCK")</f>
        <v>0</v>
      </c>
      <c r="AK35" s="50">
        <f ca="1">+GETPIVOTDATA("XLL4",'langlon (2016)'!$A$3,"MA_HT","DGD","MA_QH","DXH")</f>
        <v>0</v>
      </c>
      <c r="AL35" s="50">
        <f ca="1">+GETPIVOTDATA("XLL4",'langlon (2016)'!$A$3,"MA_HT","DGD","MA_QH","DCH")</f>
        <v>0</v>
      </c>
      <c r="AM35" s="50">
        <f ca="1">+GETPIVOTDATA("XLL4",'langlon (2016)'!$A$3,"MA_HT","DGD","MA_QH","DKG")</f>
        <v>0</v>
      </c>
      <c r="AN35" s="50">
        <f ca="1">+GETPIVOTDATA("XLL4",'langlon (2016)'!$A$3,"MA_HT","DGD","MA_QH","DDT")</f>
        <v>0</v>
      </c>
      <c r="AO35" s="50">
        <f ca="1">+GETPIVOTDATA("XLL4",'langlon (2016)'!$A$3,"MA_HT","DGD","MA_QH","DDL")</f>
        <v>0</v>
      </c>
      <c r="AP35" s="50">
        <f ca="1">+GETPIVOTDATA("XLL4",'langlon (2016)'!$A$3,"MA_HT","DGD","MA_QH","DRA")</f>
        <v>0</v>
      </c>
      <c r="AQ35" s="50">
        <f ca="1">+GETPIVOTDATA("XLL4",'langlon (2016)'!$A$3,"MA_HT","DGD","MA_QH","ONT")</f>
        <v>0</v>
      </c>
      <c r="AR35" s="50">
        <f ca="1">+GETPIVOTDATA("XLL4",'langlon (2016)'!$A$3,"MA_HT","DGD","MA_QH","ODT")</f>
        <v>0</v>
      </c>
      <c r="AS35" s="50">
        <f ca="1">+GETPIVOTDATA("XLL4",'langlon (2016)'!$A$3,"MA_HT","DGD","MA_QH","TSC")</f>
        <v>0</v>
      </c>
      <c r="AT35" s="50">
        <f ca="1">+GETPIVOTDATA("XLL4",'langlon (2016)'!$A$3,"MA_HT","DGD","MA_QH","DTS")</f>
        <v>0</v>
      </c>
      <c r="AU35" s="50">
        <f ca="1">+GETPIVOTDATA("XLL4",'langlon (2016)'!$A$3,"MA_HT","DGD","MA_QH","DNG")</f>
        <v>0</v>
      </c>
      <c r="AV35" s="50">
        <f ca="1">+GETPIVOTDATA("XLL4",'langlon (2016)'!$A$3,"MA_HT","DGD","MA_QH","TON")</f>
        <v>0</v>
      </c>
      <c r="AW35" s="50">
        <f ca="1">+GETPIVOTDATA("XLL4",'langlon (2016)'!$A$3,"MA_HT","DGD","MA_QH","NTD")</f>
        <v>0</v>
      </c>
      <c r="AX35" s="50">
        <f ca="1">+GETPIVOTDATA("XLL4",'langlon (2016)'!$A$3,"MA_HT","DGD","MA_QH","SKX")</f>
        <v>0</v>
      </c>
      <c r="AY35" s="50">
        <f ca="1">+GETPIVOTDATA("XLL4",'langlon (2016)'!$A$3,"MA_HT","DGD","MA_QH","DSH")</f>
        <v>0</v>
      </c>
      <c r="AZ35" s="50">
        <f ca="1">+GETPIVOTDATA("XLL4",'langlon (2016)'!$A$3,"MA_HT","DGD","MA_QH","DKV")</f>
        <v>0</v>
      </c>
      <c r="BA35" s="88">
        <f ca="1">+GETPIVOTDATA("XLL4",'langlon (2016)'!$A$3,"MA_HT","DGD","MA_QH","TIN")</f>
        <v>0</v>
      </c>
      <c r="BB35" s="50">
        <f ca="1">+GETPIVOTDATA("XLL4",'langlon (2016)'!$A$3,"MA_HT","DGD","MA_QH","SON")</f>
        <v>0</v>
      </c>
      <c r="BC35" s="50">
        <f ca="1">+GETPIVOTDATA("XLL4",'langlon (2016)'!$A$3,"MA_HT","DGD","MA_QH","MNC")</f>
        <v>0</v>
      </c>
      <c r="BD35" s="50">
        <f ca="1">+GETPIVOTDATA("XLL4",'langlon (2016)'!$A$3,"MA_HT","DGD","MA_QH","PNK")</f>
        <v>0</v>
      </c>
      <c r="BE35" s="80">
        <f ca="1">+GETPIVOTDATA("XLL4",'langlon (2016)'!$A$3,"MA_HT","DGD","MA_QH","CSD")</f>
        <v>0</v>
      </c>
      <c r="BF35" s="103">
        <f ca="1" t="shared" si="13"/>
        <v>0</v>
      </c>
      <c r="BG35" s="104">
        <f ca="1">AH$59-$BF35</f>
        <v>0</v>
      </c>
      <c r="BH35" s="47" t="e">
        <f ca="1" t="shared" si="14"/>
        <v>#REF!</v>
      </c>
      <c r="BI35" s="105"/>
      <c r="BJ35" s="105" t="e">
        <f>#REF!</f>
        <v>#REF!</v>
      </c>
      <c r="BK35" s="108" t="e">
        <f ca="1" t="shared" si="19"/>
        <v>#REF!</v>
      </c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</row>
    <row r="36" s="4" customFormat="1" ht="16.5" customHeight="1" spans="1:79">
      <c r="A36" s="45" t="s">
        <v>8390</v>
      </c>
      <c r="B36" s="45" t="s">
        <v>8391</v>
      </c>
      <c r="C36" s="46" t="s">
        <v>8294</v>
      </c>
      <c r="D36" s="47" t="e">
        <f>+#REF!</f>
        <v>#REF!</v>
      </c>
      <c r="E36" s="42">
        <f ca="1" t="shared" si="15"/>
        <v>0</v>
      </c>
      <c r="F36" s="52">
        <f ca="1" t="shared" si="9"/>
        <v>0</v>
      </c>
      <c r="G36" s="50">
        <f ca="1">+GETPIVOTDATA("XLL4",'langlon (2016)'!$A$3,"MA_HT","DTT","MA_QH","LUC")</f>
        <v>0</v>
      </c>
      <c r="H36" s="50">
        <f ca="1">+GETPIVOTDATA("XLL4",'langlon (2016)'!$A$3,"MA_HT","DTT","MA_QH","LUK")</f>
        <v>0</v>
      </c>
      <c r="I36" s="50">
        <f ca="1">+GETPIVOTDATA("XLL4",'langlon (2016)'!$A$3,"MA_HT","DTT","MA_QH","LUN")</f>
        <v>0</v>
      </c>
      <c r="J36" s="50">
        <f ca="1">+GETPIVOTDATA("XLL4",'langlon (2016)'!$A$3,"MA_HT","DTT","MA_QH","HNK")</f>
        <v>0</v>
      </c>
      <c r="K36" s="50">
        <f ca="1">+GETPIVOTDATA("XLL4",'langlon (2016)'!$A$3,"MA_HT","DTT","MA_QH","CLN")</f>
        <v>0</v>
      </c>
      <c r="L36" s="50">
        <f ca="1">+GETPIVOTDATA("XLL4",'langlon (2016)'!$A$3,"MA_HT","DTT","MA_QH","RSX")</f>
        <v>0</v>
      </c>
      <c r="M36" s="50">
        <f ca="1">+GETPIVOTDATA("XLL4",'langlon (2016)'!$A$3,"MA_HT","DTT","MA_QH","RPH")</f>
        <v>0</v>
      </c>
      <c r="N36" s="50">
        <f ca="1">+GETPIVOTDATA("XLL4",'langlon (2016)'!$A$3,"MA_HT","DTT","MA_QH","RDD")</f>
        <v>0</v>
      </c>
      <c r="O36" s="50">
        <f ca="1">+GETPIVOTDATA("XLL4",'langlon (2016)'!$A$3,"MA_HT","DTT","MA_QH","NTS")</f>
        <v>0</v>
      </c>
      <c r="P36" s="50">
        <f ca="1">+GETPIVOTDATA("XLL4",'langlon (2016)'!$A$3,"MA_HT","DTT","MA_QH","LMU")</f>
        <v>0</v>
      </c>
      <c r="Q36" s="50">
        <f ca="1">+GETPIVOTDATA("XLL4",'langlon (2016)'!$A$3,"MA_HT","DTT","MA_QH","NKH")</f>
        <v>0</v>
      </c>
      <c r="R36" s="48">
        <f ca="1" t="shared" si="20"/>
        <v>0</v>
      </c>
      <c r="S36" s="50">
        <f ca="1">+GETPIVOTDATA("XLL4",'langlon (2016)'!$A$3,"MA_HT","DTT","MA_QH","CQP")</f>
        <v>0</v>
      </c>
      <c r="T36" s="50">
        <f ca="1">+GETPIVOTDATA("XLL4",'langlon (2016)'!$A$3,"MA_HT","DTT","MA_QH","CAN")</f>
        <v>0</v>
      </c>
      <c r="U36" s="50">
        <f ca="1">+GETPIVOTDATA("XLL4",'langlon (2016)'!$A$3,"MA_HT","DTT","MA_QH","SKK")</f>
        <v>0</v>
      </c>
      <c r="V36" s="50">
        <f ca="1">+GETPIVOTDATA("XLL4",'langlon (2016)'!$A$3,"MA_HT","DTT","MA_QH","SKT")</f>
        <v>0</v>
      </c>
      <c r="W36" s="50">
        <f ca="1">+GETPIVOTDATA("XLL4",'langlon (2016)'!$A$3,"MA_HT","DTT","MA_QH","SKN")</f>
        <v>0</v>
      </c>
      <c r="X36" s="50">
        <f ca="1">+GETPIVOTDATA("XLL4",'langlon (2016)'!$A$3,"MA_HT","DTT","MA_QH","TMD")</f>
        <v>0</v>
      </c>
      <c r="Y36" s="50">
        <f ca="1">+GETPIVOTDATA("XLL4",'langlon (2016)'!$A$3,"MA_HT","DTT","MA_QH","SKC")</f>
        <v>0</v>
      </c>
      <c r="Z36" s="50">
        <f ca="1">+GETPIVOTDATA("XLL4",'langlon (2016)'!$A$3,"MA_HT","DTT","MA_QH","SKS")</f>
        <v>0</v>
      </c>
      <c r="AA36" s="52">
        <f ca="1">+SUM(AB36:AH36,AJ36:AM36)</f>
        <v>0</v>
      </c>
      <c r="AB36" s="50">
        <f ca="1">+GETPIVOTDATA("XLL4",'langlon (2016)'!$A$3,"MA_HT","DTT","MA_QH","DGT")</f>
        <v>0</v>
      </c>
      <c r="AC36" s="50">
        <f ca="1">+GETPIVOTDATA("XLL4",'langlon (2016)'!$A$3,"MA_HT","DTT","MA_QH","DTL")</f>
        <v>0</v>
      </c>
      <c r="AD36" s="50">
        <f ca="1">+GETPIVOTDATA("XLL4",'langlon (2016)'!$A$3,"MA_HT","DTT","MA_QH","DNL")</f>
        <v>0</v>
      </c>
      <c r="AE36" s="50">
        <f ca="1">+GETPIVOTDATA("XLL4",'langlon (2016)'!$A$3,"MA_HT","DTT","MA_QH","DBV")</f>
        <v>0</v>
      </c>
      <c r="AF36" s="50">
        <f ca="1">+GETPIVOTDATA("XLL4",'langlon (2016)'!$A$3,"MA_HT","DTT","MA_QH","DVH")</f>
        <v>0</v>
      </c>
      <c r="AG36" s="50">
        <f ca="1">+GETPIVOTDATA("XLL4",'langlon (2016)'!$A$3,"MA_HT","DTT","MA_QH","DYT")</f>
        <v>0</v>
      </c>
      <c r="AH36" s="50">
        <f ca="1">+GETPIVOTDATA("XLL4",'langlon (2016)'!$A$3,"MA_HT","DTT","MA_QH","DGD")</f>
        <v>0</v>
      </c>
      <c r="AI36" s="49" t="e">
        <f ca="1">$D36-$BF36</f>
        <v>#REF!</v>
      </c>
      <c r="AJ36" s="50">
        <f ca="1">+GETPIVOTDATA("XLL4",'langlon (2016)'!$A$3,"MA_HT","DTT","MA_QH","NCK")</f>
        <v>0</v>
      </c>
      <c r="AK36" s="50">
        <f ca="1">+GETPIVOTDATA("XLL4",'langlon (2016)'!$A$3,"MA_HT","DTT","MA_QH","DXH")</f>
        <v>0</v>
      </c>
      <c r="AL36" s="50">
        <f ca="1">+GETPIVOTDATA("XLL4",'langlon (2016)'!$A$3,"MA_HT","DTT","MA_QH","DCH")</f>
        <v>0</v>
      </c>
      <c r="AM36" s="50">
        <f ca="1">+GETPIVOTDATA("XLL4",'langlon (2016)'!$A$3,"MA_HT","DTT","MA_QH","DKG")</f>
        <v>0</v>
      </c>
      <c r="AN36" s="50">
        <f ca="1">+GETPIVOTDATA("XLL4",'langlon (2016)'!$A$3,"MA_HT","DTT","MA_QH","DDT")</f>
        <v>0</v>
      </c>
      <c r="AO36" s="50">
        <f ca="1">+GETPIVOTDATA("XLL4",'langlon (2016)'!$A$3,"MA_HT","DTT","MA_QH","DDL")</f>
        <v>0</v>
      </c>
      <c r="AP36" s="50">
        <f ca="1">+GETPIVOTDATA("XLL4",'langlon (2016)'!$A$3,"MA_HT","DTT","MA_QH","DRA")</f>
        <v>0</v>
      </c>
      <c r="AQ36" s="50">
        <f ca="1">+GETPIVOTDATA("XLL4",'langlon (2016)'!$A$3,"MA_HT","DTT","MA_QH","ONT")</f>
        <v>0</v>
      </c>
      <c r="AR36" s="50">
        <f ca="1">+GETPIVOTDATA("XLL4",'langlon (2016)'!$A$3,"MA_HT","DTT","MA_QH","ODT")</f>
        <v>0</v>
      </c>
      <c r="AS36" s="50">
        <f ca="1">+GETPIVOTDATA("XLL4",'langlon (2016)'!$A$3,"MA_HT","DTT","MA_QH","TSC")</f>
        <v>0</v>
      </c>
      <c r="AT36" s="50">
        <f ca="1">+GETPIVOTDATA("XLL4",'langlon (2016)'!$A$3,"MA_HT","DTT","MA_QH","DTS")</f>
        <v>0</v>
      </c>
      <c r="AU36" s="50">
        <f ca="1">+GETPIVOTDATA("XLL4",'langlon (2016)'!$A$3,"MA_HT","DTT","MA_QH","DNG")</f>
        <v>0</v>
      </c>
      <c r="AV36" s="50">
        <f ca="1">+GETPIVOTDATA("XLL4",'langlon (2016)'!$A$3,"MA_HT","DTT","MA_QH","TON")</f>
        <v>0</v>
      </c>
      <c r="AW36" s="50">
        <f ca="1">+GETPIVOTDATA("XLL4",'langlon (2016)'!$A$3,"MA_HT","DTT","MA_QH","NTD")</f>
        <v>0</v>
      </c>
      <c r="AX36" s="50">
        <f ca="1">+GETPIVOTDATA("XLL4",'langlon (2016)'!$A$3,"MA_HT","DTT","MA_QH","SKX")</f>
        <v>0</v>
      </c>
      <c r="AY36" s="50">
        <f ca="1">+GETPIVOTDATA("XLL4",'langlon (2016)'!$A$3,"MA_HT","DTT","MA_QH","DSH")</f>
        <v>0</v>
      </c>
      <c r="AZ36" s="50">
        <f ca="1">+GETPIVOTDATA("XLL4",'langlon (2016)'!$A$3,"MA_HT","DTT","MA_QH","DKV")</f>
        <v>0</v>
      </c>
      <c r="BA36" s="88">
        <f ca="1">+GETPIVOTDATA("XLL4",'langlon (2016)'!$A$3,"MA_HT","DTT","MA_QH","TIN")</f>
        <v>0</v>
      </c>
      <c r="BB36" s="50">
        <f ca="1">+GETPIVOTDATA("XLL4",'langlon (2016)'!$A$3,"MA_HT","DTT","MA_QH","SON")</f>
        <v>0</v>
      </c>
      <c r="BC36" s="50">
        <f ca="1">+GETPIVOTDATA("XLL4",'langlon (2016)'!$A$3,"MA_HT","DTT","MA_QH","MNC")</f>
        <v>0</v>
      </c>
      <c r="BD36" s="50">
        <f ca="1">+GETPIVOTDATA("XLL4",'langlon (2016)'!$A$3,"MA_HT","DTT","MA_QH","PNK")</f>
        <v>0</v>
      </c>
      <c r="BE36" s="80">
        <f ca="1">+GETPIVOTDATA("XLL4",'langlon (2016)'!$A$3,"MA_HT","DTT","MA_QH","CSD")</f>
        <v>0</v>
      </c>
      <c r="BF36" s="103">
        <f ca="1" t="shared" si="13"/>
        <v>0</v>
      </c>
      <c r="BG36" s="104">
        <f ca="1">AI$59-$BF36</f>
        <v>0</v>
      </c>
      <c r="BH36" s="47" t="e">
        <f ca="1" t="shared" si="14"/>
        <v>#REF!</v>
      </c>
      <c r="BI36" s="105"/>
      <c r="BJ36" s="105" t="e">
        <f>#REF!</f>
        <v>#REF!</v>
      </c>
      <c r="BK36" s="108" t="e">
        <f ca="1" t="shared" si="19"/>
        <v>#REF!</v>
      </c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</row>
    <row r="37" s="4" customFormat="1" ht="16.5" customHeight="1" spans="1:79">
      <c r="A37" s="45" t="s">
        <v>8392</v>
      </c>
      <c r="B37" s="45" t="s">
        <v>8393</v>
      </c>
      <c r="C37" s="46" t="s">
        <v>8302</v>
      </c>
      <c r="D37" s="47" t="e">
        <f>+#REF!</f>
        <v>#REF!</v>
      </c>
      <c r="E37" s="42">
        <f ca="1" t="shared" si="15"/>
        <v>0</v>
      </c>
      <c r="F37" s="52">
        <f ca="1" t="shared" si="9"/>
        <v>0</v>
      </c>
      <c r="G37" s="50">
        <f ca="1">+GETPIVOTDATA("XLL4",'langlon (2016)'!$A$3,"MA_HT","NCK","MA_QH","LUC")</f>
        <v>0</v>
      </c>
      <c r="H37" s="50">
        <f ca="1">+GETPIVOTDATA("XLL4",'langlon (2016)'!$A$3,"MA_HT","NCK","MA_QH","LUK")</f>
        <v>0</v>
      </c>
      <c r="I37" s="50">
        <f ca="1">+GETPIVOTDATA("XLL4",'langlon (2016)'!$A$3,"MA_HT","NCK","MA_QH","LUN")</f>
        <v>0</v>
      </c>
      <c r="J37" s="50">
        <f ca="1">+GETPIVOTDATA("XLL4",'langlon (2016)'!$A$3,"MA_HT","NCK","MA_QH","HNK")</f>
        <v>0</v>
      </c>
      <c r="K37" s="50">
        <f ca="1">+GETPIVOTDATA("XLL4",'langlon (2016)'!$A$3,"MA_HT","NCK","MA_QH","CLN")</f>
        <v>0</v>
      </c>
      <c r="L37" s="50">
        <f ca="1">+GETPIVOTDATA("XLL4",'langlon (2016)'!$A$3,"MA_HT","NCK","MA_QH","RSX")</f>
        <v>0</v>
      </c>
      <c r="M37" s="50">
        <f ca="1">+GETPIVOTDATA("XLL4",'langlon (2016)'!$A$3,"MA_HT","NCK","MA_QH","RPH")</f>
        <v>0</v>
      </c>
      <c r="N37" s="50">
        <f ca="1">+GETPIVOTDATA("XLL4",'langlon (2016)'!$A$3,"MA_HT","NCK","MA_QH","RDD")</f>
        <v>0</v>
      </c>
      <c r="O37" s="50">
        <f ca="1">+GETPIVOTDATA("XLL4",'langlon (2016)'!$A$3,"MA_HT","NCK","MA_QH","NTS")</f>
        <v>0</v>
      </c>
      <c r="P37" s="50">
        <f ca="1">+GETPIVOTDATA("XLL4",'langlon (2016)'!$A$3,"MA_HT","NCK","MA_QH","LMU")</f>
        <v>0</v>
      </c>
      <c r="Q37" s="50">
        <f ca="1">+GETPIVOTDATA("XLL4",'langlon (2016)'!$A$3,"MA_HT","NCK","MA_QH","NKH")</f>
        <v>0</v>
      </c>
      <c r="R37" s="48">
        <f ca="1" t="shared" si="20"/>
        <v>0</v>
      </c>
      <c r="S37" s="50">
        <f ca="1">+GETPIVOTDATA("XLL4",'langlon (2016)'!$A$3,"MA_HT","NCK","MA_QH","CQP")</f>
        <v>0</v>
      </c>
      <c r="T37" s="50">
        <f ca="1">+GETPIVOTDATA("XLL4",'langlon (2016)'!$A$3,"MA_HT","NCK","MA_QH","CAN")</f>
        <v>0</v>
      </c>
      <c r="U37" s="50">
        <f ca="1">+GETPIVOTDATA("XLL4",'langlon (2016)'!$A$3,"MA_HT","NCK","MA_QH","SKK")</f>
        <v>0</v>
      </c>
      <c r="V37" s="50">
        <f ca="1">+GETPIVOTDATA("XLL4",'langlon (2016)'!$A$3,"MA_HT","NCK","MA_QH","SKT")</f>
        <v>0</v>
      </c>
      <c r="W37" s="50">
        <f ca="1">+GETPIVOTDATA("XLL4",'langlon (2016)'!$A$3,"MA_HT","NCK","MA_QH","SKN")</f>
        <v>0</v>
      </c>
      <c r="X37" s="50">
        <f ca="1">+GETPIVOTDATA("XLL4",'langlon (2016)'!$A$3,"MA_HT","NCK","MA_QH","TMD")</f>
        <v>0</v>
      </c>
      <c r="Y37" s="50">
        <f ca="1">+GETPIVOTDATA("XLL4",'langlon (2016)'!$A$3,"MA_HT","NCK","MA_QH","SKC")</f>
        <v>0</v>
      </c>
      <c r="Z37" s="50">
        <f ca="1">+GETPIVOTDATA("XLL4",'langlon (2016)'!$A$3,"MA_HT","NCK","MA_QH","SKS")</f>
        <v>0</v>
      </c>
      <c r="AA37" s="52">
        <f ca="1">+SUM(AB37:AI37,AK37:AM37)</f>
        <v>0</v>
      </c>
      <c r="AB37" s="50">
        <f ca="1">+GETPIVOTDATA("XLL4",'langlon (2016)'!$A$3,"MA_HT","NCK","MA_QH","DGT")</f>
        <v>0</v>
      </c>
      <c r="AC37" s="50">
        <f ca="1">+GETPIVOTDATA("XLL4",'langlon (2016)'!$A$3,"MA_HT","NCK","MA_QH","DTL")</f>
        <v>0</v>
      </c>
      <c r="AD37" s="50">
        <f ca="1">+GETPIVOTDATA("XLL4",'langlon (2016)'!$A$3,"MA_HT","NCK","MA_QH","DNL")</f>
        <v>0</v>
      </c>
      <c r="AE37" s="50">
        <f ca="1">+GETPIVOTDATA("XLL4",'langlon (2016)'!$A$3,"MA_HT","NCK","MA_QH","DBV")</f>
        <v>0</v>
      </c>
      <c r="AF37" s="50">
        <f ca="1">+GETPIVOTDATA("XLL4",'langlon (2016)'!$A$3,"MA_HT","NCK","MA_QH","DVH")</f>
        <v>0</v>
      </c>
      <c r="AG37" s="50">
        <f ca="1">+GETPIVOTDATA("XLL4",'langlon (2016)'!$A$3,"MA_HT","NCK","MA_QH","DYT")</f>
        <v>0</v>
      </c>
      <c r="AH37" s="50">
        <f ca="1">+GETPIVOTDATA("XLL4",'langlon (2016)'!$A$3,"MA_HT","NCK","MA_QH","DGD")</f>
        <v>0</v>
      </c>
      <c r="AI37" s="50">
        <f ca="1">+GETPIVOTDATA("XLL4",'langlon (2016)'!$A$3,"MA_HT","NCK","MA_QH","DTT")</f>
        <v>0</v>
      </c>
      <c r="AJ37" s="49" t="e">
        <f ca="1">$D37-$BF37</f>
        <v>#REF!</v>
      </c>
      <c r="AK37" s="50">
        <f ca="1">+GETPIVOTDATA("XLL4",'langlon (2016)'!$A$3,"MA_HT","NCK","MA_QH","DXH")</f>
        <v>0</v>
      </c>
      <c r="AL37" s="50">
        <f ca="1">+GETPIVOTDATA("XLL4",'langlon (2016)'!$A$3,"MA_HT","NCK","MA_QH","DCH")</f>
        <v>0</v>
      </c>
      <c r="AM37" s="50">
        <f ca="1">+GETPIVOTDATA("XLL4",'langlon (2016)'!$A$3,"MA_HT","NCK","MA_QH","DKG")</f>
        <v>0</v>
      </c>
      <c r="AN37" s="50">
        <f ca="1">+GETPIVOTDATA("XLL4",'langlon (2016)'!$A$3,"MA_HT","NCK","MA_QH","DDT")</f>
        <v>0</v>
      </c>
      <c r="AO37" s="50">
        <f ca="1">+GETPIVOTDATA("XLL4",'langlon (2016)'!$A$3,"MA_HT","NCK","MA_QH","DDL")</f>
        <v>0</v>
      </c>
      <c r="AP37" s="50">
        <f ca="1">+GETPIVOTDATA("XLL4",'langlon (2016)'!$A$3,"MA_HT","NCK","MA_QH","DRA")</f>
        <v>0</v>
      </c>
      <c r="AQ37" s="50">
        <f ca="1">+GETPIVOTDATA("XLL4",'langlon (2016)'!$A$3,"MA_HT","NCK","MA_QH","ONT")</f>
        <v>0</v>
      </c>
      <c r="AR37" s="50">
        <f ca="1">+GETPIVOTDATA("XLL4",'langlon (2016)'!$A$3,"MA_HT","NCK","MA_QH","ODT")</f>
        <v>0</v>
      </c>
      <c r="AS37" s="50">
        <f ca="1">+GETPIVOTDATA("XLL4",'langlon (2016)'!$A$3,"MA_HT","NCK","MA_QH","TSC")</f>
        <v>0</v>
      </c>
      <c r="AT37" s="50">
        <f ca="1">+GETPIVOTDATA("XLL4",'langlon (2016)'!$A$3,"MA_HT","NCK","MA_QH","DTS")</f>
        <v>0</v>
      </c>
      <c r="AU37" s="50">
        <f ca="1">+GETPIVOTDATA("XLL4",'langlon (2016)'!$A$3,"MA_HT","NCK","MA_QH","DNG")</f>
        <v>0</v>
      </c>
      <c r="AV37" s="50">
        <f ca="1">+GETPIVOTDATA("XLL4",'langlon (2016)'!$A$3,"MA_HT","NCK","MA_QH","TON")</f>
        <v>0</v>
      </c>
      <c r="AW37" s="50">
        <f ca="1">+GETPIVOTDATA("XLL4",'langlon (2016)'!$A$3,"MA_HT","NCK","MA_QH","NTD")</f>
        <v>0</v>
      </c>
      <c r="AX37" s="50">
        <f ca="1">+GETPIVOTDATA("XLL4",'langlon (2016)'!$A$3,"MA_HT","NCK","MA_QH","SKX")</f>
        <v>0</v>
      </c>
      <c r="AY37" s="50">
        <f ca="1">+GETPIVOTDATA("XLL4",'langlon (2016)'!$A$3,"MA_HT","NCK","MA_QH","DSH")</f>
        <v>0</v>
      </c>
      <c r="AZ37" s="50">
        <f ca="1">+GETPIVOTDATA("XLL4",'langlon (2016)'!$A$3,"MA_HT","NCK","MA_QH","DKV")</f>
        <v>0</v>
      </c>
      <c r="BA37" s="88">
        <f ca="1">+GETPIVOTDATA("XLL4",'langlon (2016)'!$A$3,"MA_HT","NCK","MA_QH","TIN")</f>
        <v>0</v>
      </c>
      <c r="BB37" s="50">
        <f ca="1">+GETPIVOTDATA("XLL4",'langlon (2016)'!$A$3,"MA_HT","NCK","MA_QH","SON")</f>
        <v>0</v>
      </c>
      <c r="BC37" s="50">
        <f ca="1">+GETPIVOTDATA("XLL4",'langlon (2016)'!$A$3,"MA_HT","NCK","MA_QH","MNC")</f>
        <v>0</v>
      </c>
      <c r="BD37" s="50">
        <f ca="1">+GETPIVOTDATA("XLL4",'langlon (2016)'!$A$3,"MA_HT","NCK","MA_QH","PNK")</f>
        <v>0</v>
      </c>
      <c r="BE37" s="80">
        <f ca="1">+GETPIVOTDATA("XLL4",'langlon (2016)'!$A$3,"MA_HT","NCK","MA_QH","CSD")</f>
        <v>0</v>
      </c>
      <c r="BF37" s="103">
        <f ca="1" t="shared" si="13"/>
        <v>0</v>
      </c>
      <c r="BG37" s="104">
        <f ca="1">AJ$59-$BF37</f>
        <v>0</v>
      </c>
      <c r="BH37" s="47" t="e">
        <f ca="1" t="shared" si="14"/>
        <v>#REF!</v>
      </c>
      <c r="BI37" s="105"/>
      <c r="BJ37" s="105" t="e">
        <f>#REF!</f>
        <v>#REF!</v>
      </c>
      <c r="BK37" s="108" t="e">
        <f ca="1" t="shared" si="19"/>
        <v>#REF!</v>
      </c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</row>
    <row r="38" s="4" customFormat="1" ht="16.5" customHeight="1" spans="1:79">
      <c r="A38" s="45" t="s">
        <v>8394</v>
      </c>
      <c r="B38" s="45" t="s">
        <v>8395</v>
      </c>
      <c r="C38" s="46" t="s">
        <v>8295</v>
      </c>
      <c r="D38" s="47" t="e">
        <f>+#REF!</f>
        <v>#REF!</v>
      </c>
      <c r="E38" s="42">
        <f ca="1" t="shared" si="15"/>
        <v>0</v>
      </c>
      <c r="F38" s="52">
        <f ca="1" t="shared" si="9"/>
        <v>0</v>
      </c>
      <c r="G38" s="50">
        <f ca="1">+GETPIVOTDATA("XLL4",'langlon (2016)'!$A$3,"MA_HT","DXH","MA_QH","LUC")</f>
        <v>0</v>
      </c>
      <c r="H38" s="50">
        <f ca="1">+GETPIVOTDATA("XLL4",'langlon (2016)'!$A$3,"MA_HT","DXH","MA_QH","LUK")</f>
        <v>0</v>
      </c>
      <c r="I38" s="50">
        <f ca="1">+GETPIVOTDATA("XLL4",'langlon (2016)'!$A$3,"MA_HT","DXH","MA_QH","LUN")</f>
        <v>0</v>
      </c>
      <c r="J38" s="50">
        <f ca="1">+GETPIVOTDATA("XLL4",'langlon (2016)'!$A$3,"MA_HT","DXH","MA_QH","HNK")</f>
        <v>0</v>
      </c>
      <c r="K38" s="50">
        <f ca="1">+GETPIVOTDATA("XLL4",'langlon (2016)'!$A$3,"MA_HT","DXH","MA_QH","CLN")</f>
        <v>0</v>
      </c>
      <c r="L38" s="50">
        <f ca="1">+GETPIVOTDATA("XLL4",'langlon (2016)'!$A$3,"MA_HT","DXH","MA_QH","RSX")</f>
        <v>0</v>
      </c>
      <c r="M38" s="50">
        <f ca="1">+GETPIVOTDATA("XLL4",'langlon (2016)'!$A$3,"MA_HT","DXH","MA_QH","RPH")</f>
        <v>0</v>
      </c>
      <c r="N38" s="50">
        <f ca="1">+GETPIVOTDATA("XLL4",'langlon (2016)'!$A$3,"MA_HT","DXH","MA_QH","RDD")</f>
        <v>0</v>
      </c>
      <c r="O38" s="50">
        <f ca="1">+GETPIVOTDATA("XLL4",'langlon (2016)'!$A$3,"MA_HT","DXH","MA_QH","NTS")</f>
        <v>0</v>
      </c>
      <c r="P38" s="50">
        <f ca="1">+GETPIVOTDATA("XLL4",'langlon (2016)'!$A$3,"MA_HT","DXH","MA_QH","LMU")</f>
        <v>0</v>
      </c>
      <c r="Q38" s="50">
        <f ca="1">+GETPIVOTDATA("XLL4",'langlon (2016)'!$A$3,"MA_HT","DXH","MA_QH","NKH")</f>
        <v>0</v>
      </c>
      <c r="R38" s="48">
        <f ca="1" t="shared" si="20"/>
        <v>0</v>
      </c>
      <c r="S38" s="50">
        <f ca="1">+GETPIVOTDATA("XLL4",'langlon (2016)'!$A$3,"MA_HT","DXH","MA_QH","CQP")</f>
        <v>0</v>
      </c>
      <c r="T38" s="50">
        <f ca="1">+GETPIVOTDATA("XLL4",'langlon (2016)'!$A$3,"MA_HT","DXH","MA_QH","CAN")</f>
        <v>0</v>
      </c>
      <c r="U38" s="50">
        <f ca="1">+GETPIVOTDATA("XLL4",'langlon (2016)'!$A$3,"MA_HT","DXH","MA_QH","SKK")</f>
        <v>0</v>
      </c>
      <c r="V38" s="50">
        <f ca="1">+GETPIVOTDATA("XLL4",'langlon (2016)'!$A$3,"MA_HT","DXH","MA_QH","SKT")</f>
        <v>0</v>
      </c>
      <c r="W38" s="50">
        <f ca="1">+GETPIVOTDATA("XLL4",'langlon (2016)'!$A$3,"MA_HT","DXH","MA_QH","SKN")</f>
        <v>0</v>
      </c>
      <c r="X38" s="50">
        <f ca="1">+GETPIVOTDATA("XLL4",'langlon (2016)'!$A$3,"MA_HT","DXH","MA_QH","TMD")</f>
        <v>0</v>
      </c>
      <c r="Y38" s="50">
        <f ca="1">+GETPIVOTDATA("XLL4",'langlon (2016)'!$A$3,"MA_HT","DXH","MA_QH","SKC")</f>
        <v>0</v>
      </c>
      <c r="Z38" s="50">
        <f ca="1">+GETPIVOTDATA("XLL4",'langlon (2016)'!$A$3,"MA_HT","DXH","MA_QH","SKS")</f>
        <v>0</v>
      </c>
      <c r="AA38" s="52">
        <f ca="1">+SUM(AB38:AJ38,AL38:AM38)</f>
        <v>0</v>
      </c>
      <c r="AB38" s="50">
        <f ca="1">+GETPIVOTDATA("XLL4",'langlon (2016)'!$A$3,"MA_HT","DXH","MA_QH","DGT")</f>
        <v>0</v>
      </c>
      <c r="AC38" s="50">
        <f ca="1">+GETPIVOTDATA("XLL4",'langlon (2016)'!$A$3,"MA_HT","DXH","MA_QH","DTL")</f>
        <v>0</v>
      </c>
      <c r="AD38" s="50">
        <f ca="1">+GETPIVOTDATA("XLL4",'langlon (2016)'!$A$3,"MA_HT","DXH","MA_QH","DNL")</f>
        <v>0</v>
      </c>
      <c r="AE38" s="50">
        <f ca="1">+GETPIVOTDATA("XLL4",'langlon (2016)'!$A$3,"MA_HT","DXH","MA_QH","DBV")</f>
        <v>0</v>
      </c>
      <c r="AF38" s="50">
        <f ca="1">+GETPIVOTDATA("XLL4",'langlon (2016)'!$A$3,"MA_HT","DXH","MA_QH","DVH")</f>
        <v>0</v>
      </c>
      <c r="AG38" s="50">
        <f ca="1">+GETPIVOTDATA("XLL4",'langlon (2016)'!$A$3,"MA_HT","DXH","MA_QH","DYT")</f>
        <v>0</v>
      </c>
      <c r="AH38" s="50">
        <f ca="1">+GETPIVOTDATA("XLL4",'langlon (2016)'!$A$3,"MA_HT","DXH","MA_QH","DGD")</f>
        <v>0</v>
      </c>
      <c r="AI38" s="50">
        <f ca="1">+GETPIVOTDATA("XLL4",'langlon (2016)'!$A$3,"MA_HT","DXH","MA_QH","DTT")</f>
        <v>0</v>
      </c>
      <c r="AJ38" s="50">
        <f ca="1">+GETPIVOTDATA("XLL4",'langlon (2016)'!$A$3,"MA_HT","DXH","MA_QH","NCK")</f>
        <v>0</v>
      </c>
      <c r="AK38" s="49" t="e">
        <f ca="1">$D38-$BF38</f>
        <v>#REF!</v>
      </c>
      <c r="AL38" s="50">
        <f ca="1">+GETPIVOTDATA("XLL4",'langlon (2016)'!$A$3,"MA_HT","DXH","MA_QH","DCH")</f>
        <v>0</v>
      </c>
      <c r="AM38" s="50">
        <f ca="1">+GETPIVOTDATA("XLL4",'langlon (2016)'!$A$3,"MA_HT","DXH","MA_QH","DKG")</f>
        <v>0</v>
      </c>
      <c r="AN38" s="50">
        <f ca="1">+GETPIVOTDATA("XLL4",'langlon (2016)'!$A$3,"MA_HT","DXH","MA_QH","DDT")</f>
        <v>0</v>
      </c>
      <c r="AO38" s="50">
        <f ca="1">+GETPIVOTDATA("XLL4",'langlon (2016)'!$A$3,"MA_HT","DXH","MA_QH","DDL")</f>
        <v>0</v>
      </c>
      <c r="AP38" s="50">
        <f ca="1">+GETPIVOTDATA("XLL4",'langlon (2016)'!$A$3,"MA_HT","DXH","MA_QH","DRA")</f>
        <v>0</v>
      </c>
      <c r="AQ38" s="50">
        <f ca="1">+GETPIVOTDATA("XLL4",'langlon (2016)'!$A$3,"MA_HT","DXH","MA_QH","ONT")</f>
        <v>0</v>
      </c>
      <c r="AR38" s="50">
        <f ca="1">+GETPIVOTDATA("XLL4",'langlon (2016)'!$A$3,"MA_HT","DXH","MA_QH","ODT")</f>
        <v>0</v>
      </c>
      <c r="AS38" s="50">
        <f ca="1">+GETPIVOTDATA("XLL4",'langlon (2016)'!$A$3,"MA_HT","DXH","MA_QH","TSC")</f>
        <v>0</v>
      </c>
      <c r="AT38" s="50">
        <f ca="1">+GETPIVOTDATA("XLL4",'langlon (2016)'!$A$3,"MA_HT","DXH","MA_QH","DTS")</f>
        <v>0</v>
      </c>
      <c r="AU38" s="50">
        <f ca="1">+GETPIVOTDATA("XLL4",'langlon (2016)'!$A$3,"MA_HT","DXH","MA_QH","DNG")</f>
        <v>0</v>
      </c>
      <c r="AV38" s="50">
        <f ca="1">+GETPIVOTDATA("XLL4",'langlon (2016)'!$A$3,"MA_HT","DXH","MA_QH","TON")</f>
        <v>0</v>
      </c>
      <c r="AW38" s="50">
        <f ca="1">+GETPIVOTDATA("XLL4",'langlon (2016)'!$A$3,"MA_HT","DXH","MA_QH","NTD")</f>
        <v>0</v>
      </c>
      <c r="AX38" s="50">
        <f ca="1">+GETPIVOTDATA("XLL4",'langlon (2016)'!$A$3,"MA_HT","DXH","MA_QH","SKX")</f>
        <v>0</v>
      </c>
      <c r="AY38" s="50">
        <f ca="1">+GETPIVOTDATA("XLL4",'langlon (2016)'!$A$3,"MA_HT","DXH","MA_QH","DSH")</f>
        <v>0</v>
      </c>
      <c r="AZ38" s="50">
        <f ca="1">+GETPIVOTDATA("XLL4",'langlon (2016)'!$A$3,"MA_HT","DXH","MA_QH","DKV")</f>
        <v>0</v>
      </c>
      <c r="BA38" s="88">
        <f ca="1">+GETPIVOTDATA("XLL4",'langlon (2016)'!$A$3,"MA_HT","DXH","MA_QH","TIN")</f>
        <v>0</v>
      </c>
      <c r="BB38" s="50">
        <f ca="1">+GETPIVOTDATA("XLL4",'langlon (2016)'!$A$3,"MA_HT","DXH","MA_QH","SON")</f>
        <v>0</v>
      </c>
      <c r="BC38" s="50">
        <f ca="1">+GETPIVOTDATA("XLL4",'langlon (2016)'!$A$3,"MA_HT","DXH","MA_QH","MNC")</f>
        <v>0</v>
      </c>
      <c r="BD38" s="50">
        <f ca="1">+GETPIVOTDATA("XLL4",'langlon (2016)'!$A$3,"MA_HT","DXH","MA_QH","PNK")</f>
        <v>0</v>
      </c>
      <c r="BE38" s="80">
        <f ca="1">+GETPIVOTDATA("XLL4",'langlon (2016)'!$A$3,"MA_HT","DXH","MA_QH","CSD")</f>
        <v>0</v>
      </c>
      <c r="BF38" s="103">
        <f ca="1" t="shared" si="13"/>
        <v>0</v>
      </c>
      <c r="BG38" s="104">
        <f ca="1">AK$59-$BF38</f>
        <v>0</v>
      </c>
      <c r="BH38" s="47" t="e">
        <f ca="1" t="shared" si="14"/>
        <v>#REF!</v>
      </c>
      <c r="BI38" s="105"/>
      <c r="BJ38" s="105" t="e">
        <f>#REF!</f>
        <v>#REF!</v>
      </c>
      <c r="BK38" s="108" t="e">
        <f ca="1" t="shared" si="19"/>
        <v>#REF!</v>
      </c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</row>
    <row r="39" s="5" customFormat="1" ht="16.5" customHeight="1" spans="1:79">
      <c r="A39" s="45" t="s">
        <v>8396</v>
      </c>
      <c r="B39" s="45" t="s">
        <v>8397</v>
      </c>
      <c r="C39" s="46" t="s">
        <v>178</v>
      </c>
      <c r="D39" s="47" t="e">
        <f>+#REF!</f>
        <v>#REF!</v>
      </c>
      <c r="E39" s="42">
        <f ca="1" t="shared" si="15"/>
        <v>0</v>
      </c>
      <c r="F39" s="52">
        <f ca="1" t="shared" si="9"/>
        <v>0</v>
      </c>
      <c r="G39" s="50">
        <f ca="1">+GETPIVOTDATA("XLL4",'langlon (2016)'!$A$3,"MA_HT","DCH","MA_QH","LUC")</f>
        <v>0</v>
      </c>
      <c r="H39" s="50">
        <f ca="1">+GETPIVOTDATA("XLL4",'langlon (2016)'!$A$3,"MA_HT","DCH","MA_QH","LUK")</f>
        <v>0</v>
      </c>
      <c r="I39" s="50">
        <f ca="1">+GETPIVOTDATA("XLL4",'langlon (2016)'!$A$3,"MA_HT","DCH","MA_QH","LUN")</f>
        <v>0</v>
      </c>
      <c r="J39" s="50">
        <f ca="1">+GETPIVOTDATA("XLL4",'langlon (2016)'!$A$3,"MA_HT","DCH","MA_QH","HNK")</f>
        <v>0</v>
      </c>
      <c r="K39" s="50">
        <f ca="1">+GETPIVOTDATA("XLL4",'langlon (2016)'!$A$3,"MA_HT","DCH","MA_QH","CLN")</f>
        <v>0</v>
      </c>
      <c r="L39" s="50">
        <f ca="1">+GETPIVOTDATA("XLL4",'langlon (2016)'!$A$3,"MA_HT","DCH","MA_QH","RSX")</f>
        <v>0</v>
      </c>
      <c r="M39" s="50">
        <f ca="1">+GETPIVOTDATA("XLL4",'langlon (2016)'!$A$3,"MA_HT","DCH","MA_QH","RPH")</f>
        <v>0</v>
      </c>
      <c r="N39" s="50">
        <f ca="1">+GETPIVOTDATA("XLL4",'langlon (2016)'!$A$3,"MA_HT","DCH","MA_QH","RDD")</f>
        <v>0</v>
      </c>
      <c r="O39" s="50">
        <f ca="1">+GETPIVOTDATA("XLL4",'langlon (2016)'!$A$3,"MA_HT","DCH","MA_QH","NTS")</f>
        <v>0</v>
      </c>
      <c r="P39" s="50">
        <f ca="1">+GETPIVOTDATA("XLL4",'langlon (2016)'!$A$3,"MA_HT","DCH","MA_QH","LMU")</f>
        <v>0</v>
      </c>
      <c r="Q39" s="50">
        <f ca="1">+GETPIVOTDATA("XLL4",'langlon (2016)'!$A$3,"MA_HT","DCH","MA_QH","NKH")</f>
        <v>0</v>
      </c>
      <c r="R39" s="48">
        <f ca="1" t="shared" si="20"/>
        <v>0</v>
      </c>
      <c r="S39" s="50">
        <f ca="1">+GETPIVOTDATA("XLL4",'langlon (2016)'!$A$3,"MA_HT","DCH","MA_QH","CQP")</f>
        <v>0</v>
      </c>
      <c r="T39" s="50">
        <f ca="1">+GETPIVOTDATA("XLL4",'langlon (2016)'!$A$3,"MA_HT","DCH","MA_QH","CAN")</f>
        <v>0</v>
      </c>
      <c r="U39" s="50">
        <f ca="1">+GETPIVOTDATA("XLL4",'langlon (2016)'!$A$3,"MA_HT","DCH","MA_QH","SKK")</f>
        <v>0</v>
      </c>
      <c r="V39" s="50">
        <f ca="1">+GETPIVOTDATA("XLL4",'langlon (2016)'!$A$3,"MA_HT","DCH","MA_QH","SKT")</f>
        <v>0</v>
      </c>
      <c r="W39" s="50">
        <f ca="1">+GETPIVOTDATA("XLL4",'langlon (2016)'!$A$3,"MA_HT","DCH","MA_QH","SKN")</f>
        <v>0</v>
      </c>
      <c r="X39" s="50">
        <f ca="1">+GETPIVOTDATA("XLL4",'langlon (2016)'!$A$3,"MA_HT","DCH","MA_QH","TMD")</f>
        <v>0</v>
      </c>
      <c r="Y39" s="50">
        <f ca="1">+GETPIVOTDATA("XLL4",'langlon (2016)'!$A$3,"MA_HT","DCH","MA_QH","SKC")</f>
        <v>0</v>
      </c>
      <c r="Z39" s="50">
        <f ca="1">+GETPIVOTDATA("XLL4",'langlon (2016)'!$A$3,"MA_HT","DCH","MA_QH","SKS")</f>
        <v>0</v>
      </c>
      <c r="AA39" s="52">
        <f ca="1">+SUM(AB39:AK39,AM39)</f>
        <v>0</v>
      </c>
      <c r="AB39" s="50">
        <f ca="1">+GETPIVOTDATA("XLL4",'langlon (2016)'!$A$3,"MA_HT","DCH","MA_QH","DGT")</f>
        <v>0</v>
      </c>
      <c r="AC39" s="50">
        <f ca="1">+GETPIVOTDATA("XLL4",'langlon (2016)'!$A$3,"MA_HT","DCH","MA_QH","DTL")</f>
        <v>0</v>
      </c>
      <c r="AD39" s="50">
        <f ca="1">+GETPIVOTDATA("XLL4",'langlon (2016)'!$A$3,"MA_HT","DCH","MA_QH","DNL")</f>
        <v>0</v>
      </c>
      <c r="AE39" s="50">
        <f ca="1">+GETPIVOTDATA("XLL4",'langlon (2016)'!$A$3,"MA_HT","DCH","MA_QH","DBV")</f>
        <v>0</v>
      </c>
      <c r="AF39" s="50">
        <f ca="1">+GETPIVOTDATA("XLL4",'langlon (2016)'!$A$3,"MA_HT","DCH","MA_QH","DVH")</f>
        <v>0</v>
      </c>
      <c r="AG39" s="50">
        <f ca="1">+GETPIVOTDATA("XLL4",'langlon (2016)'!$A$3,"MA_HT","DCH","MA_QH","DYT")</f>
        <v>0</v>
      </c>
      <c r="AH39" s="50">
        <f ca="1">+GETPIVOTDATA("XLL4",'langlon (2016)'!$A$3,"MA_HT","DCH","MA_QH","DGD")</f>
        <v>0</v>
      </c>
      <c r="AI39" s="50">
        <f ca="1">+GETPIVOTDATA("XLL4",'langlon (2016)'!$A$3,"MA_HT","DCH","MA_QH","DTT")</f>
        <v>0</v>
      </c>
      <c r="AJ39" s="50">
        <f ca="1">+GETPIVOTDATA("XLL4",'langlon (2016)'!$A$3,"MA_HT","DCH","MA_QH","NCK")</f>
        <v>0</v>
      </c>
      <c r="AK39" s="50">
        <f ca="1">+GETPIVOTDATA("XLL4",'langlon (2016)'!$A$3,"MA_HT","DCH","MA_QH","DXH")</f>
        <v>0</v>
      </c>
      <c r="AL39" s="49" t="e">
        <f ca="1">$D39-$BF39</f>
        <v>#REF!</v>
      </c>
      <c r="AM39" s="50">
        <f ca="1">+GETPIVOTDATA("XLL4",'langlon (2016)'!$A$3,"MA_HT","DXH","MA_QH","DKG")</f>
        <v>0</v>
      </c>
      <c r="AN39" s="50">
        <f ca="1">+GETPIVOTDATA("XLL4",'langlon (2016)'!$A$3,"MA_HT","DCH","MA_QH","DDT")</f>
        <v>0</v>
      </c>
      <c r="AO39" s="50">
        <f ca="1">+GETPIVOTDATA("XLL4",'langlon (2016)'!$A$3,"MA_HT","DCH","MA_QH","DDL")</f>
        <v>0</v>
      </c>
      <c r="AP39" s="50">
        <f ca="1">+GETPIVOTDATA("XLL4",'langlon (2016)'!$A$3,"MA_HT","DCH","MA_QH","DRA")</f>
        <v>0</v>
      </c>
      <c r="AQ39" s="50">
        <f ca="1">+GETPIVOTDATA("XLL4",'langlon (2016)'!$A$3,"MA_HT","DCH","MA_QH","ONT")</f>
        <v>0</v>
      </c>
      <c r="AR39" s="50">
        <f ca="1">+GETPIVOTDATA("XLL4",'langlon (2016)'!$A$3,"MA_HT","DCH","MA_QH","ODT")</f>
        <v>0</v>
      </c>
      <c r="AS39" s="50">
        <f ca="1">+GETPIVOTDATA("XLL4",'langlon (2016)'!$A$3,"MA_HT","DCH","MA_QH","TSC")</f>
        <v>0</v>
      </c>
      <c r="AT39" s="50">
        <f ca="1">+GETPIVOTDATA("XLL4",'langlon (2016)'!$A$3,"MA_HT","DCH","MA_QH","DTS")</f>
        <v>0</v>
      </c>
      <c r="AU39" s="50">
        <f ca="1">+GETPIVOTDATA("XLL4",'langlon (2016)'!$A$3,"MA_HT","DCH","MA_QH","DNG")</f>
        <v>0</v>
      </c>
      <c r="AV39" s="50">
        <f ca="1">+GETPIVOTDATA("XLL4",'langlon (2016)'!$A$3,"MA_HT","DCH","MA_QH","TON")</f>
        <v>0</v>
      </c>
      <c r="AW39" s="50">
        <f ca="1">+GETPIVOTDATA("XLL4",'langlon (2016)'!$A$3,"MA_HT","DCH","MA_QH","NTD")</f>
        <v>0</v>
      </c>
      <c r="AX39" s="50">
        <f ca="1">+GETPIVOTDATA("XLL4",'langlon (2016)'!$A$3,"MA_HT","DCH","MA_QH","SKX")</f>
        <v>0</v>
      </c>
      <c r="AY39" s="50">
        <f ca="1">+GETPIVOTDATA("XLL4",'langlon (2016)'!$A$3,"MA_HT","DCH","MA_QH","DSH")</f>
        <v>0</v>
      </c>
      <c r="AZ39" s="50">
        <f ca="1">+GETPIVOTDATA("XLL4",'langlon (2016)'!$A$3,"MA_HT","DCH","MA_QH","DKV")</f>
        <v>0</v>
      </c>
      <c r="BA39" s="88">
        <f ca="1">+GETPIVOTDATA("XLL4",'langlon (2016)'!$A$3,"MA_HT","DCH","MA_QH","TIN")</f>
        <v>0</v>
      </c>
      <c r="BB39" s="50">
        <f ca="1">+GETPIVOTDATA("XLL4",'langlon (2016)'!$A$3,"MA_HT","DCH","MA_QH","SON")</f>
        <v>0</v>
      </c>
      <c r="BC39" s="50">
        <f ca="1">+GETPIVOTDATA("XLL4",'langlon (2016)'!$A$3,"MA_HT","DCH","MA_QH","MNC")</f>
        <v>0</v>
      </c>
      <c r="BD39" s="50">
        <f ca="1">+GETPIVOTDATA("XLL4",'langlon (2016)'!$A$3,"MA_HT","DCH","MA_QH","PNK")</f>
        <v>0</v>
      </c>
      <c r="BE39" s="80">
        <f ca="1">+GETPIVOTDATA("XLL4",'langlon (2016)'!$A$3,"MA_HT","DCH","MA_QH","CSD")</f>
        <v>0</v>
      </c>
      <c r="BF39" s="103">
        <f ca="1" t="shared" si="13"/>
        <v>0</v>
      </c>
      <c r="BG39" s="104">
        <f ca="1">AL$59-$BF39</f>
        <v>0</v>
      </c>
      <c r="BH39" s="47" t="e">
        <f ca="1" t="shared" si="14"/>
        <v>#REF!</v>
      </c>
      <c r="BI39" s="109"/>
      <c r="BJ39" s="109" t="e">
        <f>#REF!</f>
        <v>#REF!</v>
      </c>
      <c r="BK39" s="110" t="e">
        <f ca="1" t="shared" si="19"/>
        <v>#REF!</v>
      </c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</row>
    <row r="40" s="5" customFormat="1" ht="16.5" customHeight="1" spans="1:79">
      <c r="A40" s="45" t="s">
        <v>8398</v>
      </c>
      <c r="B40" s="45" t="s">
        <v>8399</v>
      </c>
      <c r="C40" s="46" t="s">
        <v>8312</v>
      </c>
      <c r="D40" s="47" t="e">
        <f>+#REF!</f>
        <v>#REF!</v>
      </c>
      <c r="E40" s="42">
        <f ca="1" t="shared" si="15"/>
        <v>0</v>
      </c>
      <c r="F40" s="52">
        <f ca="1" t="shared" si="9"/>
        <v>0</v>
      </c>
      <c r="G40" s="50">
        <f ca="1">+GETPIVOTDATA("XLL4",'langlon (2016)'!$A$3,"MA_HT","DKG","MA_QH","LUC")</f>
        <v>0</v>
      </c>
      <c r="H40" s="50">
        <f ca="1">+GETPIVOTDATA("XLL4",'langlon (2016)'!$A$3,"MA_HT","DKG","MA_QH","LUK")</f>
        <v>0</v>
      </c>
      <c r="I40" s="50">
        <f ca="1">+GETPIVOTDATA("XLL4",'langlon (2016)'!$A$3,"MA_HT","DKG","MA_QH","LUN")</f>
        <v>0</v>
      </c>
      <c r="J40" s="50">
        <f ca="1">+GETPIVOTDATA("XLL4",'langlon (2016)'!$A$3,"MA_HT","DKG","MA_QH","HNK")</f>
        <v>0</v>
      </c>
      <c r="K40" s="50">
        <f ca="1">+GETPIVOTDATA("XLL4",'langlon (2016)'!$A$3,"MA_HT","DKG","MA_QH","CLN")</f>
        <v>0</v>
      </c>
      <c r="L40" s="50">
        <f ca="1">+GETPIVOTDATA("XLL4",'langlon (2016)'!$A$3,"MA_HT","DKG","MA_QH","RSX")</f>
        <v>0</v>
      </c>
      <c r="M40" s="50">
        <f ca="1">+GETPIVOTDATA("XLL4",'langlon (2016)'!$A$3,"MA_HT","DKG","MA_QH","RPH")</f>
        <v>0</v>
      </c>
      <c r="N40" s="50">
        <f ca="1">+GETPIVOTDATA("XLL4",'langlon (2016)'!$A$3,"MA_HT","DKG","MA_QH","RDD")</f>
        <v>0</v>
      </c>
      <c r="O40" s="50">
        <f ca="1">+GETPIVOTDATA("XLL4",'langlon (2016)'!$A$3,"MA_HT","DKG","MA_QH","NTS")</f>
        <v>0</v>
      </c>
      <c r="P40" s="50">
        <f ca="1">+GETPIVOTDATA("XLL4",'langlon (2016)'!$A$3,"MA_HT","DKG","MA_QH","LMU")</f>
        <v>0</v>
      </c>
      <c r="Q40" s="50">
        <f ca="1">+GETPIVOTDATA("XLL4",'langlon (2016)'!$A$3,"MA_HT","DKG","MA_QH","NKH")</f>
        <v>0</v>
      </c>
      <c r="R40" s="48">
        <f ca="1" t="shared" si="20"/>
        <v>0</v>
      </c>
      <c r="S40" s="50">
        <f ca="1">+GETPIVOTDATA("XLL4",'langlon (2016)'!$A$3,"MA_HT","DKG","MA_QH","CQP")</f>
        <v>0</v>
      </c>
      <c r="T40" s="50">
        <f ca="1">+GETPIVOTDATA("XLL4",'langlon (2016)'!$A$3,"MA_HT","DKG","MA_QH","CAN")</f>
        <v>0</v>
      </c>
      <c r="U40" s="50">
        <f ca="1">+GETPIVOTDATA("XLL4",'langlon (2016)'!$A$3,"MA_HT","DKG","MA_QH","SKK")</f>
        <v>0</v>
      </c>
      <c r="V40" s="50">
        <f ca="1">+GETPIVOTDATA("XLL4",'langlon (2016)'!$A$3,"MA_HT","DKG","MA_QH","SKT")</f>
        <v>0</v>
      </c>
      <c r="W40" s="50">
        <f ca="1">+GETPIVOTDATA("XLL4",'langlon (2016)'!$A$3,"MA_HT","DKG","MA_QH","SKN")</f>
        <v>0</v>
      </c>
      <c r="X40" s="50">
        <f ca="1">+GETPIVOTDATA("XLL4",'langlon (2016)'!$A$3,"MA_HT","DKG","MA_QH","TMD")</f>
        <v>0</v>
      </c>
      <c r="Y40" s="50">
        <f ca="1">+GETPIVOTDATA("XLL4",'langlon (2016)'!$A$3,"MA_HT","DKG","MA_QH","SKC")</f>
        <v>0</v>
      </c>
      <c r="Z40" s="50">
        <f ca="1">+GETPIVOTDATA("XLL4",'langlon (2016)'!$A$3,"MA_HT","DKG","MA_QH","SKS")</f>
        <v>0</v>
      </c>
      <c r="AA40" s="52">
        <f ca="1">+SUM(AB40:AL40)</f>
        <v>0</v>
      </c>
      <c r="AB40" s="50">
        <f ca="1">+GETPIVOTDATA("XLL4",'langlon (2016)'!$A$3,"MA_HT","DKG","MA_QH","DGT")</f>
        <v>0</v>
      </c>
      <c r="AC40" s="50">
        <f ca="1">+GETPIVOTDATA("XLL4",'langlon (2016)'!$A$3,"MA_HT","DKG","MA_QH","DTL")</f>
        <v>0</v>
      </c>
      <c r="AD40" s="50">
        <f ca="1">+GETPIVOTDATA("XLL4",'langlon (2016)'!$A$3,"MA_HT","DKG","MA_QH","DNL")</f>
        <v>0</v>
      </c>
      <c r="AE40" s="50">
        <f ca="1">+GETPIVOTDATA("XLL4",'langlon (2016)'!$A$3,"MA_HT","DKG","MA_QH","DBV")</f>
        <v>0</v>
      </c>
      <c r="AF40" s="50">
        <f ca="1">+GETPIVOTDATA("XLL4",'langlon (2016)'!$A$3,"MA_HT","DKG","MA_QH","DVH")</f>
        <v>0</v>
      </c>
      <c r="AG40" s="50">
        <f ca="1">+GETPIVOTDATA("XLL4",'langlon (2016)'!$A$3,"MA_HT","DKG","MA_QH","DYT")</f>
        <v>0</v>
      </c>
      <c r="AH40" s="50">
        <f ca="1">+GETPIVOTDATA("XLL4",'langlon (2016)'!$A$3,"MA_HT","DKG","MA_QH","DGD")</f>
        <v>0</v>
      </c>
      <c r="AI40" s="50">
        <f ca="1">+GETPIVOTDATA("XLL4",'langlon (2016)'!$A$3,"MA_HT","DKG","MA_QH","DTT")</f>
        <v>0</v>
      </c>
      <c r="AJ40" s="50">
        <f ca="1">+GETPIVOTDATA("XLL4",'langlon (2016)'!$A$3,"MA_HT","DKG","MA_QH","NCK")</f>
        <v>0</v>
      </c>
      <c r="AK40" s="50">
        <f ca="1">+GETPIVOTDATA("XLL4",'langlon (2016)'!$A$3,"MA_HT","DKG","MA_QH","DXH")</f>
        <v>0</v>
      </c>
      <c r="AL40" s="60">
        <f ca="1">+GETPIVOTDATA("XLL4",'langlon (2016)'!$A$3,"MA_HT","DDT","MA_QH","DKG")</f>
        <v>0</v>
      </c>
      <c r="AM40" s="49" t="e">
        <f ca="1">$D40-$BF40</f>
        <v>#REF!</v>
      </c>
      <c r="AN40" s="50">
        <f ca="1">+GETPIVOTDATA("XLL4",'langlon (2016)'!$A$3,"MA_HT","DKG","MA_QH","DDT")</f>
        <v>0</v>
      </c>
      <c r="AO40" s="50">
        <f ca="1">+GETPIVOTDATA("XLL4",'langlon (2016)'!$A$3,"MA_HT","DKG","MA_QH","DDL")</f>
        <v>0</v>
      </c>
      <c r="AP40" s="50">
        <f ca="1">+GETPIVOTDATA("XLL4",'langlon (2016)'!$A$3,"MA_HT","DKG","MA_QH","DRA")</f>
        <v>0</v>
      </c>
      <c r="AQ40" s="50">
        <f ca="1">+GETPIVOTDATA("XLL4",'langlon (2016)'!$A$3,"MA_HT","DKG","MA_QH","ONT")</f>
        <v>0</v>
      </c>
      <c r="AR40" s="50">
        <f ca="1">+GETPIVOTDATA("XLL4",'langlon (2016)'!$A$3,"MA_HT","DKG","MA_QH","ODT")</f>
        <v>0</v>
      </c>
      <c r="AS40" s="50">
        <f ca="1">+GETPIVOTDATA("XLL4",'langlon (2016)'!$A$3,"MA_HT","DKG","MA_QH","TSC")</f>
        <v>0</v>
      </c>
      <c r="AT40" s="50">
        <f ca="1">+GETPIVOTDATA("XLL4",'langlon (2016)'!$A$3,"MA_HT","DKG","MA_QH","DTS")</f>
        <v>0</v>
      </c>
      <c r="AU40" s="50">
        <f ca="1">+GETPIVOTDATA("XLL4",'langlon (2016)'!$A$3,"MA_HT","DKG","MA_QH","DNG")</f>
        <v>0</v>
      </c>
      <c r="AV40" s="50">
        <f ca="1">+GETPIVOTDATA("XLL4",'langlon (2016)'!$A$3,"MA_HT","DKG","MA_QH","TON")</f>
        <v>0</v>
      </c>
      <c r="AW40" s="50">
        <f ca="1">+GETPIVOTDATA("XLL4",'langlon (2016)'!$A$3,"MA_HT","DKG","MA_QH","NTD")</f>
        <v>0</v>
      </c>
      <c r="AX40" s="50">
        <f ca="1">+GETPIVOTDATA("XLL4",'langlon (2016)'!$A$3,"MA_HT","DKG","MA_QH","SKX")</f>
        <v>0</v>
      </c>
      <c r="AY40" s="50">
        <f ca="1">+GETPIVOTDATA("XLL4",'langlon (2016)'!$A$3,"MA_HT","DKG","MA_QH","DSH")</f>
        <v>0</v>
      </c>
      <c r="AZ40" s="50">
        <f ca="1">+GETPIVOTDATA("XLL4",'langlon (2016)'!$A$3,"MA_HT","DKG","MA_QH","DKV")</f>
        <v>0</v>
      </c>
      <c r="BA40" s="88">
        <f ca="1">+GETPIVOTDATA("XLL4",'langlon (2016)'!$A$3,"MA_HT","DKG","MA_QH","TIN")</f>
        <v>0</v>
      </c>
      <c r="BB40" s="50">
        <f ca="1">+GETPIVOTDATA("XLL4",'langlon (2016)'!$A$3,"MA_HT","DKG","MA_QH","SON")</f>
        <v>0</v>
      </c>
      <c r="BC40" s="50">
        <f ca="1">+GETPIVOTDATA("XLL4",'langlon (2016)'!$A$3,"MA_HT","DKG","MA_QH","MNC")</f>
        <v>0</v>
      </c>
      <c r="BD40" s="50">
        <f ca="1">+GETPIVOTDATA("XLL4",'langlon (2016)'!$A$3,"MA_HT","DKG","MA_QH","PNK")</f>
        <v>0</v>
      </c>
      <c r="BE40" s="80">
        <f ca="1">+GETPIVOTDATA("XLL4",'langlon (2016)'!$A$3,"MA_HT","DKG","MA_QH","CSD")</f>
        <v>0</v>
      </c>
      <c r="BF40" s="103">
        <f ca="1" t="shared" si="13"/>
        <v>0</v>
      </c>
      <c r="BG40" s="104">
        <f ca="1">AM$59-$BF40</f>
        <v>0</v>
      </c>
      <c r="BH40" s="47" t="e">
        <f ca="1" t="shared" si="14"/>
        <v>#REF!</v>
      </c>
      <c r="BI40" s="109"/>
      <c r="BJ40" s="109" t="e">
        <f>#REF!</f>
        <v>#REF!</v>
      </c>
      <c r="BK40" s="110" t="e">
        <f ca="1" t="shared" si="19"/>
        <v>#REF!</v>
      </c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</row>
    <row r="41" s="6" customFormat="1" ht="15.75" customHeight="1" spans="1:79">
      <c r="A41" s="54" t="s">
        <v>8400</v>
      </c>
      <c r="B41" s="55" t="s">
        <v>8401</v>
      </c>
      <c r="C41" s="56" t="s">
        <v>8287</v>
      </c>
      <c r="D41" s="57" t="e">
        <f>+#REF!</f>
        <v>#REF!</v>
      </c>
      <c r="E41" s="58">
        <f ca="1" t="shared" si="15"/>
        <v>0</v>
      </c>
      <c r="F41" s="59">
        <f ca="1" t="shared" si="9"/>
        <v>0</v>
      </c>
      <c r="G41" s="60">
        <f ca="1">+GETPIVOTDATA("XLL4",'langlon (2016)'!$A$3,"MA_HT","DDT","MA_QH","LUC")</f>
        <v>0</v>
      </c>
      <c r="H41" s="60">
        <f ca="1">+GETPIVOTDATA("XLL4",'langlon (2016)'!$A$3,"MA_HT","DDT","MA_QH","LUK")</f>
        <v>0</v>
      </c>
      <c r="I41" s="60">
        <f ca="1">+GETPIVOTDATA("XLL4",'langlon (2016)'!$A$3,"MA_HT","DDT","MA_QH","LUN")</f>
        <v>0</v>
      </c>
      <c r="J41" s="60">
        <f ca="1">+GETPIVOTDATA("XLL4",'langlon (2016)'!$A$3,"MA_HT","DDT","MA_QH","HNK")</f>
        <v>0</v>
      </c>
      <c r="K41" s="60">
        <f ca="1">+GETPIVOTDATA("XLL4",'langlon (2016)'!$A$3,"MA_HT","DDT","MA_QH","CLN")</f>
        <v>0</v>
      </c>
      <c r="L41" s="60">
        <f ca="1">+GETPIVOTDATA("XLL4",'langlon (2016)'!$A$3,"MA_HT","DDT","MA_QH","RSX")</f>
        <v>0</v>
      </c>
      <c r="M41" s="60">
        <f ca="1">+GETPIVOTDATA("XLL4",'langlon (2016)'!$A$3,"MA_HT","DDT","MA_QH","RPH")</f>
        <v>0</v>
      </c>
      <c r="N41" s="60">
        <f ca="1">+GETPIVOTDATA("XLL4",'langlon (2016)'!$A$3,"MA_HT","DDT","MA_QH","RDD")</f>
        <v>0</v>
      </c>
      <c r="O41" s="60">
        <f ca="1">+GETPIVOTDATA("XLL4",'langlon (2016)'!$A$3,"MA_HT","DDT","MA_QH","NTS")</f>
        <v>0</v>
      </c>
      <c r="P41" s="60">
        <f ca="1">+GETPIVOTDATA("XLL4",'langlon (2016)'!$A$3,"MA_HT","DDT","MA_QH","LMU")</f>
        <v>0</v>
      </c>
      <c r="Q41" s="60">
        <f ca="1">+GETPIVOTDATA("XLL4",'langlon (2016)'!$A$3,"MA_HT","DDT","MA_QH","NKH")</f>
        <v>0</v>
      </c>
      <c r="R41" s="78">
        <f ca="1">SUM(S41:AA41,AO41:BD41)</f>
        <v>0</v>
      </c>
      <c r="S41" s="60">
        <f ca="1">+GETPIVOTDATA("XLL4",'langlon (2016)'!$A$3,"MA_HT","DDT","MA_QH","CQP")</f>
        <v>0</v>
      </c>
      <c r="T41" s="60">
        <f ca="1">+GETPIVOTDATA("XLL4",'langlon (2016)'!$A$3,"MA_HT","DDT","MA_QH","CAN")</f>
        <v>0</v>
      </c>
      <c r="U41" s="60">
        <f ca="1">+GETPIVOTDATA("XLL4",'langlon (2016)'!$A$3,"MA_HT","DDT","MA_QH","SKK")</f>
        <v>0</v>
      </c>
      <c r="V41" s="60">
        <f ca="1">+GETPIVOTDATA("XLL4",'langlon (2016)'!$A$3,"MA_HT","DDT","MA_QH","SKT")</f>
        <v>0</v>
      </c>
      <c r="W41" s="60">
        <f ca="1">+GETPIVOTDATA("XLL4",'langlon (2016)'!$A$3,"MA_HT","DDT","MA_QH","SKN")</f>
        <v>0</v>
      </c>
      <c r="X41" s="60">
        <f ca="1">+GETPIVOTDATA("XLL4",'langlon (2016)'!$A$3,"MA_HT","DDT","MA_QH","TMD")</f>
        <v>0</v>
      </c>
      <c r="Y41" s="60">
        <f ca="1">+GETPIVOTDATA("XLL4",'langlon (2016)'!$A$3,"MA_HT","DDT","MA_QH","SKC")</f>
        <v>0</v>
      </c>
      <c r="Z41" s="60">
        <f ca="1">+GETPIVOTDATA("XLL4",'langlon (2016)'!$A$3,"MA_HT","DDT","MA_QH","SKS")</f>
        <v>0</v>
      </c>
      <c r="AA41" s="59">
        <f ca="1" t="shared" ref="AA41:AA58" si="21">+SUM(AB41:AM41)</f>
        <v>0</v>
      </c>
      <c r="AB41" s="60">
        <f ca="1">+GETPIVOTDATA("XLL4",'langlon (2016)'!$A$3,"MA_HT","DDT","MA_QH","DGT")</f>
        <v>0</v>
      </c>
      <c r="AC41" s="60">
        <f ca="1">+GETPIVOTDATA("XLL4",'langlon (2016)'!$A$3,"MA_HT","DDT","MA_QH","DTL")</f>
        <v>0</v>
      </c>
      <c r="AD41" s="60">
        <f ca="1">+GETPIVOTDATA("XLL4",'langlon (2016)'!$A$3,"MA_HT","DDT","MA_QH","DNL")</f>
        <v>0</v>
      </c>
      <c r="AE41" s="60">
        <f ca="1">+GETPIVOTDATA("XLL4",'langlon (2016)'!$A$3,"MA_HT","DDT","MA_QH","DBV")</f>
        <v>0</v>
      </c>
      <c r="AF41" s="60">
        <f ca="1">+GETPIVOTDATA("XLL4",'langlon (2016)'!$A$3,"MA_HT","DDT","MA_QH","DVH")</f>
        <v>0</v>
      </c>
      <c r="AG41" s="60">
        <f ca="1">+GETPIVOTDATA("XLL4",'langlon (2016)'!$A$3,"MA_HT","DDT","MA_QH","DYT")</f>
        <v>0</v>
      </c>
      <c r="AH41" s="60">
        <f ca="1">+GETPIVOTDATA("XLL4",'langlon (2016)'!$A$3,"MA_HT","DDT","MA_QH","DGD")</f>
        <v>0</v>
      </c>
      <c r="AI41" s="60">
        <f ca="1">+GETPIVOTDATA("XLL4",'langlon (2016)'!$A$3,"MA_HT","DDT","MA_QH","DTT")</f>
        <v>0</v>
      </c>
      <c r="AJ41" s="60">
        <f ca="1">+GETPIVOTDATA("XLL4",'langlon (2016)'!$A$3,"MA_HT","DDT","MA_QH","NCK")</f>
        <v>0</v>
      </c>
      <c r="AK41" s="60">
        <f ca="1">+GETPIVOTDATA("XLL4",'langlon (2016)'!$A$3,"MA_HT","DDT","MA_QH","DXH")</f>
        <v>0</v>
      </c>
      <c r="AL41" s="60">
        <f ca="1">+GETPIVOTDATA("XLL4",'langlon (2016)'!$A$3,"MA_HT","DDT","MA_QH","DCH")</f>
        <v>0</v>
      </c>
      <c r="AM41" s="60">
        <f ca="1">+GETPIVOTDATA("XLL4",'langlon (2016)'!$A$3,"MA_HT","DDT","MA_QH","DKG")</f>
        <v>0</v>
      </c>
      <c r="AN41" s="81" t="e">
        <f ca="1">$D41-$BF41</f>
        <v>#REF!</v>
      </c>
      <c r="AO41" s="60">
        <f ca="1">+GETPIVOTDATA("XLL4",'langlon (2016)'!$A$3,"MA_HT","DDT","MA_QH","DDL")</f>
        <v>0</v>
      </c>
      <c r="AP41" s="60">
        <f ca="1">+GETPIVOTDATA("XLL4",'langlon (2016)'!$A$3,"MA_HT","DDT","MA_QH","DRA")</f>
        <v>0</v>
      </c>
      <c r="AQ41" s="60">
        <f ca="1">+GETPIVOTDATA("XLL4",'langlon (2016)'!$A$3,"MA_HT","DDT","MA_QH","ONT")</f>
        <v>0</v>
      </c>
      <c r="AR41" s="60">
        <f ca="1">+GETPIVOTDATA("XLL4",'langlon (2016)'!$A$3,"MA_HT","DDT","MA_QH","ODT")</f>
        <v>0</v>
      </c>
      <c r="AS41" s="60">
        <f ca="1">+GETPIVOTDATA("XLL4",'langlon (2016)'!$A$3,"MA_HT","DDT","MA_QH","TSC")</f>
        <v>0</v>
      </c>
      <c r="AT41" s="60">
        <f ca="1">+GETPIVOTDATA("XLL4",'langlon (2016)'!$A$3,"MA_HT","DDT","MA_QH","DTS")</f>
        <v>0</v>
      </c>
      <c r="AU41" s="60">
        <f ca="1">+GETPIVOTDATA("XLL4",'langlon (2016)'!$A$3,"MA_HT","DDT","MA_QH","DNG")</f>
        <v>0</v>
      </c>
      <c r="AV41" s="60">
        <f ca="1">+GETPIVOTDATA("XLL4",'langlon (2016)'!$A$3,"MA_HT","DDT","MA_QH","TON")</f>
        <v>0</v>
      </c>
      <c r="AW41" s="60">
        <f ca="1">+GETPIVOTDATA("XLL4",'langlon (2016)'!$A$3,"MA_HT","DDT","MA_QH","NTD")</f>
        <v>0</v>
      </c>
      <c r="AX41" s="60">
        <f ca="1">+GETPIVOTDATA("XLL4",'langlon (2016)'!$A$3,"MA_HT","DDT","MA_QH","SKX")</f>
        <v>0</v>
      </c>
      <c r="AY41" s="60">
        <f ca="1">+GETPIVOTDATA("XLL4",'langlon (2016)'!$A$3,"MA_HT","DDT","MA_QH","DSH")</f>
        <v>0</v>
      </c>
      <c r="AZ41" s="60">
        <f ca="1">+GETPIVOTDATA("XLL4",'langlon (2016)'!$A$3,"MA_HT","DDT","MA_QH","DKV")</f>
        <v>0</v>
      </c>
      <c r="BA41" s="90">
        <f ca="1">+GETPIVOTDATA("XLL4",'langlon (2016)'!$A$3,"MA_HT","DDT","MA_QH","TIN")</f>
        <v>0</v>
      </c>
      <c r="BB41" s="91">
        <f ca="1">+GETPIVOTDATA("XLL4",'langlon (2016)'!$A$3,"MA_HT","DDT","MA_QH","SON")</f>
        <v>0</v>
      </c>
      <c r="BC41" s="91">
        <f ca="1">+GETPIVOTDATA("XLL4",'langlon (2016)'!$A$3,"MA_HT","DDT","MA_QH","MNC")</f>
        <v>0</v>
      </c>
      <c r="BD41" s="60">
        <f ca="1">+GETPIVOTDATA("XLL4",'langlon (2016)'!$A$3,"MA_HT","DDT","MA_QH","PNK")</f>
        <v>0</v>
      </c>
      <c r="BE41" s="111">
        <f ca="1">+GETPIVOTDATA("XLL4",'langlon (2016)'!$A$3,"MA_HT","DDT","MA_QH","CSD")</f>
        <v>0</v>
      </c>
      <c r="BF41" s="112">
        <f ca="1" t="shared" si="13"/>
        <v>0</v>
      </c>
      <c r="BG41" s="113">
        <f ca="1">AN$59-$BF41</f>
        <v>0</v>
      </c>
      <c r="BH41" s="57" t="e">
        <f ca="1" t="shared" si="14"/>
        <v>#REF!</v>
      </c>
      <c r="BI41" s="114"/>
      <c r="BJ41" s="115"/>
      <c r="BK41" s="115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</row>
    <row r="42" s="2" customFormat="1" ht="15.75" customHeight="1" spans="1:79">
      <c r="A42" s="39" t="s">
        <v>8402</v>
      </c>
      <c r="B42" s="53" t="s">
        <v>8403</v>
      </c>
      <c r="C42" s="40" t="s">
        <v>8286</v>
      </c>
      <c r="D42" s="41" t="e">
        <f>+#REF!</f>
        <v>#REF!</v>
      </c>
      <c r="E42" s="42">
        <f ca="1" t="shared" si="15"/>
        <v>0</v>
      </c>
      <c r="F42" s="52">
        <f ca="1" t="shared" si="9"/>
        <v>0</v>
      </c>
      <c r="G42" s="22">
        <f ca="1">+GETPIVOTDATA("XLL4",'langlon (2016)'!$A$3,"MA_HT","DDL","MA_QH","LUC")</f>
        <v>0</v>
      </c>
      <c r="H42" s="22">
        <f ca="1">+GETPIVOTDATA("XLL4",'langlon (2016)'!$A$3,"MA_HT","DDL","MA_QH","LUK")</f>
        <v>0</v>
      </c>
      <c r="I42" s="22">
        <f ca="1">+GETPIVOTDATA("XLL4",'langlon (2016)'!$A$3,"MA_HT","DDL","MA_QH","LUN")</f>
        <v>0</v>
      </c>
      <c r="J42" s="22">
        <f ca="1">+GETPIVOTDATA("XLL4",'langlon (2016)'!$A$3,"MA_HT","DDL","MA_QH","HNK")</f>
        <v>0</v>
      </c>
      <c r="K42" s="22">
        <f ca="1">+GETPIVOTDATA("XLL4",'langlon (2016)'!$A$3,"MA_HT","DDL","MA_QH","CLN")</f>
        <v>0</v>
      </c>
      <c r="L42" s="22">
        <f ca="1">+GETPIVOTDATA("XLL4",'langlon (2016)'!$A$3,"MA_HT","DDL","MA_QH","RSX")</f>
        <v>0</v>
      </c>
      <c r="M42" s="22">
        <f ca="1">+GETPIVOTDATA("XLL4",'langlon (2016)'!$A$3,"MA_HT","DDL","MA_QH","RPH")</f>
        <v>0</v>
      </c>
      <c r="N42" s="22">
        <f ca="1">+GETPIVOTDATA("XLL4",'langlon (2016)'!$A$3,"MA_HT","DDL","MA_QH","RDD")</f>
        <v>0</v>
      </c>
      <c r="O42" s="22">
        <f ca="1">+GETPIVOTDATA("XLL4",'langlon (2016)'!$A$3,"MA_HT","DDL","MA_QH","NTS")</f>
        <v>0</v>
      </c>
      <c r="P42" s="22">
        <f ca="1">+GETPIVOTDATA("XLL4",'langlon (2016)'!$A$3,"MA_HT","DDL","MA_QH","LMU")</f>
        <v>0</v>
      </c>
      <c r="Q42" s="22">
        <f ca="1">+GETPIVOTDATA("XLL4",'langlon (2016)'!$A$3,"MA_HT","DDL","MA_QH","NKH")</f>
        <v>0</v>
      </c>
      <c r="R42" s="79">
        <f ca="1">SUM(S42:AA42,AN42,AP42:BD42)</f>
        <v>0</v>
      </c>
      <c r="S42" s="22">
        <f ca="1">+GETPIVOTDATA("XLL4",'langlon (2016)'!$A$3,"MA_HT","DDL","MA_QH","CQP")</f>
        <v>0</v>
      </c>
      <c r="T42" s="22">
        <f ca="1">+GETPIVOTDATA("XLL4",'langlon (2016)'!$A$3,"MA_HT","DDL","MA_QH","CAN")</f>
        <v>0</v>
      </c>
      <c r="U42" s="22">
        <f ca="1">+GETPIVOTDATA("XLL4",'langlon (2016)'!$A$3,"MA_HT","DDL","MA_QH","SKK")</f>
        <v>0</v>
      </c>
      <c r="V42" s="22">
        <f ca="1">+GETPIVOTDATA("XLL4",'langlon (2016)'!$A$3,"MA_HT","DDL","MA_QH","SKT")</f>
        <v>0</v>
      </c>
      <c r="W42" s="22">
        <f ca="1">+GETPIVOTDATA("XLL4",'langlon (2016)'!$A$3,"MA_HT","DDL","MA_QH","SKN")</f>
        <v>0</v>
      </c>
      <c r="X42" s="22">
        <f ca="1">+GETPIVOTDATA("XLL4",'langlon (2016)'!$A$3,"MA_HT","DDL","MA_QH","TMD")</f>
        <v>0</v>
      </c>
      <c r="Y42" s="22">
        <f ca="1">+GETPIVOTDATA("XLL4",'langlon (2016)'!$A$3,"MA_HT","DDL","MA_QH","SKC")</f>
        <v>0</v>
      </c>
      <c r="Z42" s="22">
        <f ca="1">+GETPIVOTDATA("XLL4",'langlon (2016)'!$A$3,"MA_HT","DDL","MA_QH","SKS")</f>
        <v>0</v>
      </c>
      <c r="AA42" s="52">
        <f ca="1" t="shared" si="21"/>
        <v>0</v>
      </c>
      <c r="AB42" s="22">
        <f ca="1">+GETPIVOTDATA("XLL4",'langlon (2016)'!$A$3,"MA_HT","DDL","MA_QH","DGT")</f>
        <v>0</v>
      </c>
      <c r="AC42" s="22">
        <f ca="1">+GETPIVOTDATA("XLL4",'langlon (2016)'!$A$3,"MA_HT","DDL","MA_QH","DTL")</f>
        <v>0</v>
      </c>
      <c r="AD42" s="22">
        <f ca="1">+GETPIVOTDATA("XLL4",'langlon (2016)'!$A$3,"MA_HT","DDL","MA_QH","DNL")</f>
        <v>0</v>
      </c>
      <c r="AE42" s="22">
        <f ca="1">+GETPIVOTDATA("XLL4",'langlon (2016)'!$A$3,"MA_HT","DDL","MA_QH","DBV")</f>
        <v>0</v>
      </c>
      <c r="AF42" s="22">
        <f ca="1">+GETPIVOTDATA("XLL4",'langlon (2016)'!$A$3,"MA_HT","DDL","MA_QH","DVH")</f>
        <v>0</v>
      </c>
      <c r="AG42" s="22">
        <f ca="1">+GETPIVOTDATA("XLL4",'langlon (2016)'!$A$3,"MA_HT","DDL","MA_QH","DYT")</f>
        <v>0</v>
      </c>
      <c r="AH42" s="22">
        <f ca="1">+GETPIVOTDATA("XLL4",'langlon (2016)'!$A$3,"MA_HT","DDL","MA_QH","DGD")</f>
        <v>0</v>
      </c>
      <c r="AI42" s="22">
        <f ca="1">+GETPIVOTDATA("XLL4",'langlon (2016)'!$A$3,"MA_HT","DDL","MA_QH","DTT")</f>
        <v>0</v>
      </c>
      <c r="AJ42" s="22">
        <f ca="1">+GETPIVOTDATA("XLL4",'langlon (2016)'!$A$3,"MA_HT","DDL","MA_QH","NCK")</f>
        <v>0</v>
      </c>
      <c r="AK42" s="22">
        <f ca="1">+GETPIVOTDATA("XLL4",'langlon (2016)'!$A$3,"MA_HT","DDL","MA_QH","DXH")</f>
        <v>0</v>
      </c>
      <c r="AL42" s="22">
        <f ca="1">+GETPIVOTDATA("XLL4",'langlon (2016)'!$A$3,"MA_HT","DDL","MA_QH","DCH")</f>
        <v>0</v>
      </c>
      <c r="AM42" s="22">
        <f ca="1">+GETPIVOTDATA("XLL4",'langlon (2016)'!$A$3,"MA_HT","DDL","MA_QH","DKG")</f>
        <v>0</v>
      </c>
      <c r="AN42" s="22">
        <f ca="1">+GETPIVOTDATA("XLL4",'langlon (2016)'!$A$3,"MA_HT","DDL","MA_QH","DDT")</f>
        <v>0</v>
      </c>
      <c r="AO42" s="43" t="e">
        <f ca="1">$D42-$BF42</f>
        <v>#REF!</v>
      </c>
      <c r="AP42" s="22">
        <f ca="1">+GETPIVOTDATA("XLL4",'langlon (2016)'!$A$3,"MA_HT","DDL","MA_QH","DRA")</f>
        <v>0</v>
      </c>
      <c r="AQ42" s="22">
        <f ca="1">+GETPIVOTDATA("XLL4",'langlon (2016)'!$A$3,"MA_HT","DDL","MA_QH","ONT")</f>
        <v>0</v>
      </c>
      <c r="AR42" s="22">
        <f ca="1">+GETPIVOTDATA("XLL4",'langlon (2016)'!$A$3,"MA_HT","DDL","MA_QH","ODT")</f>
        <v>0</v>
      </c>
      <c r="AS42" s="22">
        <f ca="1">+GETPIVOTDATA("XLL4",'langlon (2016)'!$A$3,"MA_HT","DDL","MA_QH","TSC")</f>
        <v>0</v>
      </c>
      <c r="AT42" s="22">
        <f ca="1">+GETPIVOTDATA("XLL4",'langlon (2016)'!$A$3,"MA_HT","DDL","MA_QH","DTS")</f>
        <v>0</v>
      </c>
      <c r="AU42" s="22">
        <f ca="1">+GETPIVOTDATA("XLL4",'langlon (2016)'!$A$3,"MA_HT","DDL","MA_QH","DNG")</f>
        <v>0</v>
      </c>
      <c r="AV42" s="22">
        <f ca="1">+GETPIVOTDATA("XLL4",'langlon (2016)'!$A$3,"MA_HT","DDL","MA_QH","TON")</f>
        <v>0</v>
      </c>
      <c r="AW42" s="22">
        <f ca="1">+GETPIVOTDATA("XLL4",'langlon (2016)'!$A$3,"MA_HT","DDL","MA_QH","NTD")</f>
        <v>0</v>
      </c>
      <c r="AX42" s="22">
        <f ca="1">+GETPIVOTDATA("XLL4",'langlon (2016)'!$A$3,"MA_HT","DDL","MA_QH","SKX")</f>
        <v>0</v>
      </c>
      <c r="AY42" s="22">
        <f ca="1">+GETPIVOTDATA("XLL4",'langlon (2016)'!$A$3,"MA_HT","DDL","MA_QH","DSH")</f>
        <v>0</v>
      </c>
      <c r="AZ42" s="22">
        <f ca="1">+GETPIVOTDATA("XLL4",'langlon (2016)'!$A$3,"MA_HT","DDL","MA_QH","DKV")</f>
        <v>0</v>
      </c>
      <c r="BA42" s="89">
        <f ca="1">+GETPIVOTDATA("XLL4",'langlon (2016)'!$A$3,"MA_HT","DDL","MA_QH","TIN")</f>
        <v>0</v>
      </c>
      <c r="BB42" s="50">
        <f ca="1">+GETPIVOTDATA("XLL4",'langlon (2016)'!$A$3,"MA_HT","DDL","MA_QH","SON")</f>
        <v>0</v>
      </c>
      <c r="BC42" s="50">
        <f ca="1">+GETPIVOTDATA("XLL4",'langlon (2016)'!$A$3,"MA_HT","DDL","MA_QH","MNC")</f>
        <v>0</v>
      </c>
      <c r="BD42" s="22">
        <f ca="1">+GETPIVOTDATA("XLL4",'langlon (2016)'!$A$3,"MA_HT","DDL","MA_QH","PNK")</f>
        <v>0</v>
      </c>
      <c r="BE42" s="71">
        <f ca="1">+GETPIVOTDATA("XLL4",'langlon (2016)'!$A$3,"MA_HT","DDL","MA_QH","CSD")</f>
        <v>0</v>
      </c>
      <c r="BF42" s="74">
        <f ca="1" t="shared" si="13"/>
        <v>0</v>
      </c>
      <c r="BG42" s="101">
        <f ca="1">AO$59-$BF42</f>
        <v>0</v>
      </c>
      <c r="BH42" s="41" t="e">
        <f ca="1" t="shared" si="14"/>
        <v>#REF!</v>
      </c>
      <c r="BI42" s="98"/>
      <c r="BJ42" s="107"/>
      <c r="BK42" s="10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</row>
    <row r="43" s="2" customFormat="1" ht="15.75" customHeight="1" spans="1:79">
      <c r="A43" s="39" t="s">
        <v>8404</v>
      </c>
      <c r="B43" s="53" t="s">
        <v>8405</v>
      </c>
      <c r="C43" s="40" t="s">
        <v>8291</v>
      </c>
      <c r="D43" s="41" t="e">
        <f>+#REF!</f>
        <v>#REF!</v>
      </c>
      <c r="E43" s="42">
        <f ca="1" t="shared" si="15"/>
        <v>0</v>
      </c>
      <c r="F43" s="52">
        <f ca="1" t="shared" si="9"/>
        <v>0</v>
      </c>
      <c r="G43" s="22">
        <f ca="1">+GETPIVOTDATA("XLL4",'langlon (2016)'!$A$3,"MA_HT","DRA","MA_QH","LUC")</f>
        <v>0</v>
      </c>
      <c r="H43" s="22">
        <f ca="1">+GETPIVOTDATA("XLL4",'langlon (2016)'!$A$3,"MA_HT","DRA","MA_QH","LUK")</f>
        <v>0</v>
      </c>
      <c r="I43" s="22">
        <f ca="1">+GETPIVOTDATA("XLL4",'langlon (2016)'!$A$3,"MA_HT","DRA","MA_QH","LUN")</f>
        <v>0</v>
      </c>
      <c r="J43" s="22">
        <f ca="1">+GETPIVOTDATA("XLL4",'langlon (2016)'!$A$3,"MA_HT","DRA","MA_QH","HNK")</f>
        <v>0</v>
      </c>
      <c r="K43" s="22">
        <f ca="1">+GETPIVOTDATA("XLL4",'langlon (2016)'!$A$3,"MA_HT","DRA","MA_QH","CLN")</f>
        <v>0</v>
      </c>
      <c r="L43" s="22">
        <f ca="1">+GETPIVOTDATA("XLL4",'langlon (2016)'!$A$3,"MA_HT","DRA","MA_QH","RSX")</f>
        <v>0</v>
      </c>
      <c r="M43" s="22">
        <f ca="1">+GETPIVOTDATA("XLL4",'langlon (2016)'!$A$3,"MA_HT","DRA","MA_QH","RPH")</f>
        <v>0</v>
      </c>
      <c r="N43" s="22">
        <f ca="1">+GETPIVOTDATA("XLL4",'langlon (2016)'!$A$3,"MA_HT","DRA","MA_QH","RDD")</f>
        <v>0</v>
      </c>
      <c r="O43" s="22">
        <f ca="1">+GETPIVOTDATA("XLL4",'langlon (2016)'!$A$3,"MA_HT","DRA","MA_QH","NTS")</f>
        <v>0</v>
      </c>
      <c r="P43" s="22">
        <f ca="1">+GETPIVOTDATA("XLL4",'langlon (2016)'!$A$3,"MA_HT","DRA","MA_QH","LMU")</f>
        <v>0</v>
      </c>
      <c r="Q43" s="22">
        <f ca="1">+GETPIVOTDATA("XLL4",'langlon (2016)'!$A$3,"MA_HT","DRA","MA_QH","NKH")</f>
        <v>0</v>
      </c>
      <c r="R43" s="79">
        <f ca="1">SUM(S43:AA43,AN43:AO43,AQ43:BD43)</f>
        <v>0</v>
      </c>
      <c r="S43" s="22">
        <f ca="1">+GETPIVOTDATA("XLL4",'langlon (2016)'!$A$3,"MA_HT","DRA","MA_QH","CQP")</f>
        <v>0</v>
      </c>
      <c r="T43" s="22">
        <f ca="1">+GETPIVOTDATA("XLL4",'langlon (2016)'!$A$3,"MA_HT","DRA","MA_QH","CAN")</f>
        <v>0</v>
      </c>
      <c r="U43" s="22">
        <f ca="1">+GETPIVOTDATA("XLL4",'langlon (2016)'!$A$3,"MA_HT","DRA","MA_QH","SKK")</f>
        <v>0</v>
      </c>
      <c r="V43" s="22">
        <f ca="1">+GETPIVOTDATA("XLL4",'langlon (2016)'!$A$3,"MA_HT","DRA","MA_QH","SKT")</f>
        <v>0</v>
      </c>
      <c r="W43" s="22">
        <f ca="1">+GETPIVOTDATA("XLL4",'langlon (2016)'!$A$3,"MA_HT","DRA","MA_QH","SKN")</f>
        <v>0</v>
      </c>
      <c r="X43" s="22">
        <f ca="1">+GETPIVOTDATA("XLL4",'langlon (2016)'!$A$3,"MA_HT","DRA","MA_QH","TMD")</f>
        <v>0</v>
      </c>
      <c r="Y43" s="22">
        <f ca="1">+GETPIVOTDATA("XLL4",'langlon (2016)'!$A$3,"MA_HT","DRA","MA_QH","SKC")</f>
        <v>0</v>
      </c>
      <c r="Z43" s="22">
        <f ca="1">+GETPIVOTDATA("XLL4",'langlon (2016)'!$A$3,"MA_HT","DRA","MA_QH","SKS")</f>
        <v>0</v>
      </c>
      <c r="AA43" s="52">
        <f ca="1" t="shared" si="21"/>
        <v>0</v>
      </c>
      <c r="AB43" s="22">
        <f ca="1">+GETPIVOTDATA("XLL4",'langlon (2016)'!$A$3,"MA_HT","DRA","MA_QH","DGT")</f>
        <v>0</v>
      </c>
      <c r="AC43" s="22">
        <f ca="1">+GETPIVOTDATA("XLL4",'langlon (2016)'!$A$3,"MA_HT","DRA","MA_QH","DTL")</f>
        <v>0</v>
      </c>
      <c r="AD43" s="22">
        <f ca="1">+GETPIVOTDATA("XLL4",'langlon (2016)'!$A$3,"MA_HT","DRA","MA_QH","DNL")</f>
        <v>0</v>
      </c>
      <c r="AE43" s="22">
        <f ca="1">+GETPIVOTDATA("XLL4",'langlon (2016)'!$A$3,"MA_HT","DRA","MA_QH","DBV")</f>
        <v>0</v>
      </c>
      <c r="AF43" s="22">
        <f ca="1">+GETPIVOTDATA("XLL4",'langlon (2016)'!$A$3,"MA_HT","DRA","MA_QH","DVH")</f>
        <v>0</v>
      </c>
      <c r="AG43" s="22">
        <f ca="1">+GETPIVOTDATA("XLL4",'langlon (2016)'!$A$3,"MA_HT","DRA","MA_QH","DYT")</f>
        <v>0</v>
      </c>
      <c r="AH43" s="22">
        <f ca="1">+GETPIVOTDATA("XLL4",'langlon (2016)'!$A$3,"MA_HT","DRA","MA_QH","DGD")</f>
        <v>0</v>
      </c>
      <c r="AI43" s="22">
        <f ca="1">+GETPIVOTDATA("XLL4",'langlon (2016)'!$A$3,"MA_HT","DRA","MA_QH","DTT")</f>
        <v>0</v>
      </c>
      <c r="AJ43" s="22">
        <f ca="1">+GETPIVOTDATA("XLL4",'langlon (2016)'!$A$3,"MA_HT","DRA","MA_QH","NCK")</f>
        <v>0</v>
      </c>
      <c r="AK43" s="22">
        <f ca="1">+GETPIVOTDATA("XLL4",'langlon (2016)'!$A$3,"MA_HT","DRA","MA_QH","DXH")</f>
        <v>0</v>
      </c>
      <c r="AL43" s="22">
        <f ca="1">+GETPIVOTDATA("XLL4",'langlon (2016)'!$A$3,"MA_HT","DRA","MA_QH","DCH")</f>
        <v>0</v>
      </c>
      <c r="AM43" s="22">
        <f ca="1">+GETPIVOTDATA("XLL4",'langlon (2016)'!$A$3,"MA_HT","DRA","MA_QH","DKG")</f>
        <v>0</v>
      </c>
      <c r="AN43" s="22">
        <f ca="1">+GETPIVOTDATA("XLL4",'langlon (2016)'!$A$3,"MA_HT","DRA","MA_QH","DDT")</f>
        <v>0</v>
      </c>
      <c r="AO43" s="22">
        <f ca="1">+GETPIVOTDATA("XLL4",'langlon (2016)'!$A$3,"MA_HT","DRA","MA_QH","DDL")</f>
        <v>0</v>
      </c>
      <c r="AP43" s="43" t="e">
        <f ca="1">$D43-$BF43</f>
        <v>#REF!</v>
      </c>
      <c r="AQ43" s="22">
        <f ca="1">+GETPIVOTDATA("XLL4",'langlon (2016)'!$A$3,"MA_HT","DRA","MA_QH","ONT")</f>
        <v>0</v>
      </c>
      <c r="AR43" s="22">
        <f ca="1">+GETPIVOTDATA("XLL4",'langlon (2016)'!$A$3,"MA_HT","DRA","MA_QH","ODT")</f>
        <v>0</v>
      </c>
      <c r="AS43" s="22">
        <f ca="1">+GETPIVOTDATA("XLL4",'langlon (2016)'!$A$3,"MA_HT","DRA","MA_QH","TSC")</f>
        <v>0</v>
      </c>
      <c r="AT43" s="22">
        <f ca="1">+GETPIVOTDATA("XLL4",'langlon (2016)'!$A$3,"MA_HT","DRA","MA_QH","DTS")</f>
        <v>0</v>
      </c>
      <c r="AU43" s="22">
        <f ca="1">+GETPIVOTDATA("XLL4",'langlon (2016)'!$A$3,"MA_HT","DRA","MA_QH","DNG")</f>
        <v>0</v>
      </c>
      <c r="AV43" s="22">
        <f ca="1">+GETPIVOTDATA("XLL4",'langlon (2016)'!$A$3,"MA_HT","DRA","MA_QH","TON")</f>
        <v>0</v>
      </c>
      <c r="AW43" s="22">
        <f ca="1">+GETPIVOTDATA("XLL4",'langlon (2016)'!$A$3,"MA_HT","DRA","MA_QH","NTD")</f>
        <v>0</v>
      </c>
      <c r="AX43" s="22">
        <f ca="1">+GETPIVOTDATA("XLL4",'langlon (2016)'!$A$3,"MA_HT","DRA","MA_QH","SKX")</f>
        <v>0</v>
      </c>
      <c r="AY43" s="22">
        <f ca="1">+GETPIVOTDATA("XLL4",'langlon (2016)'!$A$3,"MA_HT","DRA","MA_QH","DSH")</f>
        <v>0</v>
      </c>
      <c r="AZ43" s="22">
        <f ca="1">+GETPIVOTDATA("XLL4",'langlon (2016)'!$A$3,"MA_HT","DRA","MA_QH","DKV")</f>
        <v>0</v>
      </c>
      <c r="BA43" s="89">
        <f ca="1">+GETPIVOTDATA("XLL4",'langlon (2016)'!$A$3,"MA_HT","DRA","MA_QH","TIN")</f>
        <v>0</v>
      </c>
      <c r="BB43" s="50">
        <f ca="1">+GETPIVOTDATA("XLL4",'langlon (2016)'!$A$3,"MA_HT","DRA","MA_QH","SON")</f>
        <v>0</v>
      </c>
      <c r="BC43" s="50">
        <f ca="1">+GETPIVOTDATA("XLL4",'langlon (2016)'!$A$3,"MA_HT","DRA","MA_QH","MNC")</f>
        <v>0</v>
      </c>
      <c r="BD43" s="22">
        <f ca="1">+GETPIVOTDATA("XLL4",'langlon (2016)'!$A$3,"MA_HT","DRA","MA_QH","PNK")</f>
        <v>0</v>
      </c>
      <c r="BE43" s="71">
        <f ca="1">+GETPIVOTDATA("XLL4",'langlon (2016)'!$A$3,"MA_HT","DRA","MA_QH","CSD")</f>
        <v>0</v>
      </c>
      <c r="BF43" s="74">
        <f ca="1" t="shared" si="13"/>
        <v>0</v>
      </c>
      <c r="BG43" s="101">
        <f ca="1">AP$59-$BF43</f>
        <v>0</v>
      </c>
      <c r="BH43" s="41" t="e">
        <f ca="1" t="shared" si="14"/>
        <v>#REF!</v>
      </c>
      <c r="BI43" s="98"/>
      <c r="BJ43" s="107" t="e">
        <f>#REF!</f>
        <v>#REF!</v>
      </c>
      <c r="BK43" s="107" t="e">
        <f ca="1">BH43-BJ43</f>
        <v>#REF!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</row>
    <row r="44" s="2" customFormat="1" ht="15.75" customHeight="1" spans="1:79">
      <c r="A44" s="39" t="s">
        <v>8406</v>
      </c>
      <c r="B44" s="53" t="s">
        <v>8407</v>
      </c>
      <c r="C44" s="40" t="s">
        <v>188</v>
      </c>
      <c r="D44" s="41" t="e">
        <f>+#REF!</f>
        <v>#REF!</v>
      </c>
      <c r="E44" s="42">
        <f ca="1" t="shared" si="15"/>
        <v>0</v>
      </c>
      <c r="F44" s="52">
        <f ca="1" t="shared" si="9"/>
        <v>0</v>
      </c>
      <c r="G44" s="22">
        <f ca="1">+GETPIVOTDATA("XLL4",'langlon (2016)'!$A$3,"MA_HT","ONT","MA_QH","LUC")</f>
        <v>0</v>
      </c>
      <c r="H44" s="22">
        <f ca="1">+GETPIVOTDATA("XLL4",'langlon (2016)'!$A$3,"MA_HT","ONT","MA_QH","LUK")</f>
        <v>0</v>
      </c>
      <c r="I44" s="22">
        <f ca="1">+GETPIVOTDATA("XLL4",'langlon (2016)'!$A$3,"MA_HT","ONT","MA_QH","LUN")</f>
        <v>0</v>
      </c>
      <c r="J44" s="22">
        <f ca="1">+GETPIVOTDATA("XLL4",'langlon (2016)'!$A$3,"MA_HT","ONT","MA_QH","HNK")</f>
        <v>0</v>
      </c>
      <c r="K44" s="22">
        <f ca="1">+GETPIVOTDATA("XLL4",'langlon (2016)'!$A$3,"MA_HT","ONT","MA_QH","CLN")</f>
        <v>0</v>
      </c>
      <c r="L44" s="22">
        <f ca="1">+GETPIVOTDATA("XLL4",'langlon (2016)'!$A$3,"MA_HT","ONT","MA_QH","RSX")</f>
        <v>0</v>
      </c>
      <c r="M44" s="22">
        <f ca="1">+GETPIVOTDATA("XLL4",'langlon (2016)'!$A$3,"MA_HT","ONT","MA_QH","RPH")</f>
        <v>0</v>
      </c>
      <c r="N44" s="22">
        <f ca="1">+GETPIVOTDATA("XLL4",'langlon (2016)'!$A$3,"MA_HT","ONT","MA_QH","RDD")</f>
        <v>0</v>
      </c>
      <c r="O44" s="22">
        <f ca="1">+GETPIVOTDATA("XLL4",'langlon (2016)'!$A$3,"MA_HT","ONT","MA_QH","NTS")</f>
        <v>0</v>
      </c>
      <c r="P44" s="22">
        <f ca="1">+GETPIVOTDATA("XLL4",'langlon (2016)'!$A$3,"MA_HT","ONT","MA_QH","LMU")</f>
        <v>0</v>
      </c>
      <c r="Q44" s="22">
        <f ca="1">+GETPIVOTDATA("XLL4",'langlon (2016)'!$A$3,"MA_HT","ONT","MA_QH","NKH")</f>
        <v>0</v>
      </c>
      <c r="R44" s="79">
        <f ca="1">SUM(S44:AA44,AN44:AP44,AR44:BD44)</f>
        <v>0</v>
      </c>
      <c r="S44" s="22">
        <f ca="1">+GETPIVOTDATA("XLL4",'langlon (2016)'!$A$3,"MA_HT","ONT","MA_QH","CQP")</f>
        <v>0</v>
      </c>
      <c r="T44" s="22">
        <f ca="1">+GETPIVOTDATA("XLL4",'langlon (2016)'!$A$3,"MA_HT","ONT","MA_QH","CAN")</f>
        <v>0</v>
      </c>
      <c r="U44" s="22">
        <f ca="1">+GETPIVOTDATA("XLL4",'langlon (2016)'!$A$3,"MA_HT","ONT","MA_QH","SKK")</f>
        <v>0</v>
      </c>
      <c r="V44" s="22">
        <f ca="1">+GETPIVOTDATA("XLL4",'langlon (2016)'!$A$3,"MA_HT","ONT","MA_QH","SKT")</f>
        <v>0</v>
      </c>
      <c r="W44" s="22">
        <f ca="1">+GETPIVOTDATA("XLL4",'langlon (2016)'!$A$3,"MA_HT","ONT","MA_QH","SKN")</f>
        <v>0</v>
      </c>
      <c r="X44" s="22">
        <f ca="1">+GETPIVOTDATA("XLL4",'langlon (2016)'!$A$3,"MA_HT","ONT","MA_QH","TMD")</f>
        <v>0</v>
      </c>
      <c r="Y44" s="22">
        <f ca="1">+GETPIVOTDATA("XLL4",'langlon (2016)'!$A$3,"MA_HT","ONT","MA_QH","SKC")</f>
        <v>0</v>
      </c>
      <c r="Z44" s="22">
        <f ca="1">+GETPIVOTDATA("XLL4",'langlon (2016)'!$A$3,"MA_HT","ONT","MA_QH","SKS")</f>
        <v>0</v>
      </c>
      <c r="AA44" s="52">
        <f ca="1" t="shared" si="21"/>
        <v>0</v>
      </c>
      <c r="AB44" s="22">
        <f ca="1">+GETPIVOTDATA("XLL4",'langlon (2016)'!$A$3,"MA_HT","ONT","MA_QH","DGT")</f>
        <v>0</v>
      </c>
      <c r="AC44" s="22">
        <f ca="1">+GETPIVOTDATA("XLL4",'langlon (2016)'!$A$3,"MA_HT","ONT","MA_QH","DTL")</f>
        <v>0</v>
      </c>
      <c r="AD44" s="22">
        <f ca="1">+GETPIVOTDATA("XLL4",'langlon (2016)'!$A$3,"MA_HT","ONT","MA_QH","DNL")</f>
        <v>0</v>
      </c>
      <c r="AE44" s="22">
        <f ca="1">+GETPIVOTDATA("XLL4",'langlon (2016)'!$A$3,"MA_HT","ONT","MA_QH","DBV")</f>
        <v>0</v>
      </c>
      <c r="AF44" s="22">
        <f ca="1">+GETPIVOTDATA("XLL4",'langlon (2016)'!$A$3,"MA_HT","ONT","MA_QH","DVH")</f>
        <v>0</v>
      </c>
      <c r="AG44" s="22">
        <f ca="1">+GETPIVOTDATA("XLL4",'langlon (2016)'!$A$3,"MA_HT","ONT","MA_QH","DYT")</f>
        <v>0</v>
      </c>
      <c r="AH44" s="22">
        <f ca="1">+GETPIVOTDATA("XLL4",'langlon (2016)'!$A$3,"MA_HT","ONT","MA_QH","DGD")</f>
        <v>0</v>
      </c>
      <c r="AI44" s="22">
        <f ca="1">+GETPIVOTDATA("XLL4",'langlon (2016)'!$A$3,"MA_HT","ONT","MA_QH","DTT")</f>
        <v>0</v>
      </c>
      <c r="AJ44" s="22">
        <f ca="1">+GETPIVOTDATA("XLL4",'langlon (2016)'!$A$3,"MA_HT","ONT","MA_QH","NCK")</f>
        <v>0</v>
      </c>
      <c r="AK44" s="22">
        <f ca="1">+GETPIVOTDATA("XLL4",'langlon (2016)'!$A$3,"MA_HT","ONT","MA_QH","DXH")</f>
        <v>0</v>
      </c>
      <c r="AL44" s="22">
        <f ca="1">+GETPIVOTDATA("XLL4",'langlon (2016)'!$A$3,"MA_HT","ONT","MA_QH","DCH")</f>
        <v>0</v>
      </c>
      <c r="AM44" s="22">
        <f ca="1">+GETPIVOTDATA("XLL4",'langlon (2016)'!$A$3,"MA_HT","ONT","MA_QH","DKG")</f>
        <v>0</v>
      </c>
      <c r="AN44" s="22">
        <f ca="1">+GETPIVOTDATA("XLL4",'langlon (2016)'!$A$3,"MA_HT","ONT","MA_QH","DDT")</f>
        <v>0</v>
      </c>
      <c r="AO44" s="22">
        <f ca="1">+GETPIVOTDATA("XLL4",'langlon (2016)'!$A$3,"MA_HT","ONT","MA_QH","DDL")</f>
        <v>0</v>
      </c>
      <c r="AP44" s="22">
        <f ca="1">+GETPIVOTDATA("XLL4",'langlon (2016)'!$A$3,"MA_HT","ONT","MA_QH","DRA")</f>
        <v>0</v>
      </c>
      <c r="AQ44" s="43" t="e">
        <f ca="1">$D44-$BF44</f>
        <v>#REF!</v>
      </c>
      <c r="AR44" s="22">
        <f ca="1">+GETPIVOTDATA("XLL4",'langlon (2016)'!$A$3,"MA_HT","ONT","MA_QH","ODT")</f>
        <v>0</v>
      </c>
      <c r="AS44" s="22">
        <f ca="1">+GETPIVOTDATA("XLL4",'langlon (2016)'!$A$3,"MA_HT","ONT","MA_QH","TSC")</f>
        <v>0</v>
      </c>
      <c r="AT44" s="22">
        <f ca="1">+GETPIVOTDATA("XLL4",'langlon (2016)'!$A$3,"MA_HT","ONT","MA_QH","DTS")</f>
        <v>0</v>
      </c>
      <c r="AU44" s="22">
        <f ca="1">+GETPIVOTDATA("XLL4",'langlon (2016)'!$A$3,"MA_HT","ONT","MA_QH","DNG")</f>
        <v>0</v>
      </c>
      <c r="AV44" s="22">
        <f ca="1">+GETPIVOTDATA("XLL4",'langlon (2016)'!$A$3,"MA_HT","ONT","MA_QH","TON")</f>
        <v>0</v>
      </c>
      <c r="AW44" s="22">
        <f ca="1">+GETPIVOTDATA("XLL4",'langlon (2016)'!$A$3,"MA_HT","ONT","MA_QH","NTD")</f>
        <v>0</v>
      </c>
      <c r="AX44" s="22">
        <f ca="1">+GETPIVOTDATA("XLL4",'langlon (2016)'!$A$3,"MA_HT","ONT","MA_QH","SKX")</f>
        <v>0</v>
      </c>
      <c r="AY44" s="22">
        <f ca="1">+GETPIVOTDATA("XLL4",'langlon (2016)'!$A$3,"MA_HT","ONT","MA_QH","DSH")</f>
        <v>0</v>
      </c>
      <c r="AZ44" s="22">
        <f ca="1">+GETPIVOTDATA("XLL4",'langlon (2016)'!$A$3,"MA_HT","ONT","MA_QH","DKV")</f>
        <v>0</v>
      </c>
      <c r="BA44" s="89">
        <f ca="1">+GETPIVOTDATA("XLL4",'langlon (2016)'!$A$3,"MA_HT","ONT","MA_QH","TIN")</f>
        <v>0</v>
      </c>
      <c r="BB44" s="50">
        <f ca="1">+GETPIVOTDATA("XLL4",'langlon (2016)'!$A$3,"MA_HT","ONT","MA_QH","SON")</f>
        <v>0</v>
      </c>
      <c r="BC44" s="50">
        <f ca="1">+GETPIVOTDATA("XLL4",'langlon (2016)'!$A$3,"MA_HT","ONT","MA_QH","MNC")</f>
        <v>0</v>
      </c>
      <c r="BD44" s="22">
        <f ca="1">+GETPIVOTDATA("XLL4",'langlon (2016)'!$A$3,"MA_HT","ONT","MA_QH","PNK")</f>
        <v>0</v>
      </c>
      <c r="BE44" s="71">
        <f ca="1">+GETPIVOTDATA("XLL4",'langlon (2016)'!$A$3,"MA_HT","ONT","MA_QH","CSD")</f>
        <v>0</v>
      </c>
      <c r="BF44" s="74">
        <f ca="1" t="shared" si="13"/>
        <v>0</v>
      </c>
      <c r="BG44" s="101">
        <f ca="1">AQ$59-$BF44</f>
        <v>0</v>
      </c>
      <c r="BH44" s="41" t="e">
        <f ca="1" t="shared" si="14"/>
        <v>#REF!</v>
      </c>
      <c r="BI44" s="98"/>
      <c r="BJ44" s="107" t="e">
        <f>#REF!</f>
        <v>#REF!</v>
      </c>
      <c r="BK44" s="107" t="e">
        <f ca="1">BH44-BJ44</f>
        <v>#REF!</v>
      </c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</row>
    <row r="45" s="2" customFormat="1" ht="15.75" customHeight="1" spans="1:79">
      <c r="A45" s="61" t="s">
        <v>8408</v>
      </c>
      <c r="B45" s="62" t="s">
        <v>8409</v>
      </c>
      <c r="C45" s="63" t="s">
        <v>201</v>
      </c>
      <c r="D45" s="64" t="e">
        <f>+#REF!</f>
        <v>#REF!</v>
      </c>
      <c r="E45" s="65">
        <f ca="1" t="shared" si="15"/>
        <v>0</v>
      </c>
      <c r="F45" s="66">
        <f ca="1" t="shared" si="9"/>
        <v>0</v>
      </c>
      <c r="G45" s="67">
        <f ca="1">+GETPIVOTDATA("XLL4",'langlon (2016)'!$A$3,"MA_HT","ODT","MA_QH","LUC")</f>
        <v>0</v>
      </c>
      <c r="H45" s="67">
        <f ca="1">+GETPIVOTDATA("XLL4",'langlon (2016)'!$A$3,"MA_HT","ODT","MA_QH","LUK")</f>
        <v>0</v>
      </c>
      <c r="I45" s="67">
        <f ca="1">+GETPIVOTDATA("XLL4",'langlon (2016)'!$A$3,"MA_HT","ODT","MA_QH","LUN")</f>
        <v>0</v>
      </c>
      <c r="J45" s="67">
        <f ca="1">+GETPIVOTDATA("XLL4",'langlon (2016)'!$A$3,"MA_HT","ODT","MA_QH","HNK")</f>
        <v>0</v>
      </c>
      <c r="K45" s="67">
        <f ca="1">+GETPIVOTDATA("XLL4",'langlon (2016)'!$A$3,"MA_HT","ODT","MA_QH","CLN")</f>
        <v>0</v>
      </c>
      <c r="L45" s="67">
        <f ca="1">+GETPIVOTDATA("XLL4",'langlon (2016)'!$A$3,"MA_HT","ODT","MA_QH","RSX")</f>
        <v>0</v>
      </c>
      <c r="M45" s="67">
        <f ca="1">+GETPIVOTDATA("XLL4",'langlon (2016)'!$A$3,"MA_HT","ODT","MA_QH","RPH")</f>
        <v>0</v>
      </c>
      <c r="N45" s="67">
        <f ca="1">+GETPIVOTDATA("XLL4",'langlon (2016)'!$A$3,"MA_HT","ODT","MA_QH","RDD")</f>
        <v>0</v>
      </c>
      <c r="O45" s="67">
        <f ca="1">+GETPIVOTDATA("XLL4",'langlon (2016)'!$A$3,"MA_HT","ODT","MA_QH","NTS")</f>
        <v>0</v>
      </c>
      <c r="P45" s="67">
        <f ca="1">+GETPIVOTDATA("XLL4",'langlon (2016)'!$A$3,"MA_HT","ODT","MA_QH","LMU")</f>
        <v>0</v>
      </c>
      <c r="Q45" s="67">
        <f ca="1">+GETPIVOTDATA("XLL4",'langlon (2016)'!$A$3,"MA_HT","ODT","MA_QH","NKH")</f>
        <v>0</v>
      </c>
      <c r="R45" s="79">
        <f ca="1">SUM(S45:AA45,AN45:AQ45,AS45:BD45)</f>
        <v>0</v>
      </c>
      <c r="S45" s="67">
        <f ca="1">+GETPIVOTDATA("XLL4",'langlon (2016)'!$A$3,"MA_HT","ODT","MA_QH","CQP")</f>
        <v>0</v>
      </c>
      <c r="T45" s="67">
        <f ca="1">+GETPIVOTDATA("XLL4",'langlon (2016)'!$A$3,"MA_HT","ODT","MA_QH","CAN")</f>
        <v>0</v>
      </c>
      <c r="U45" s="67">
        <f ca="1">+GETPIVOTDATA("XLL4",'langlon (2016)'!$A$3,"MA_HT","ODT","MA_QH","SKK")</f>
        <v>0</v>
      </c>
      <c r="V45" s="67">
        <f ca="1">+GETPIVOTDATA("XLL4",'langlon (2016)'!$A$3,"MA_HT","ODT","MA_QH","SKT")</f>
        <v>0</v>
      </c>
      <c r="W45" s="67">
        <f ca="1">+GETPIVOTDATA("XLL4",'langlon (2016)'!$A$3,"MA_HT","ODT","MA_QH","SKN")</f>
        <v>0</v>
      </c>
      <c r="X45" s="67">
        <f ca="1">+GETPIVOTDATA("XLL4",'langlon (2016)'!$A$3,"MA_HT","ODT","MA_QH","TMD")</f>
        <v>0</v>
      </c>
      <c r="Y45" s="67">
        <f ca="1">+GETPIVOTDATA("XLL4",'langlon (2016)'!$A$3,"MA_HT","ODT","MA_QH","SKC")</f>
        <v>0</v>
      </c>
      <c r="Z45" s="67">
        <f ca="1">+GETPIVOTDATA("XLL4",'langlon (2016)'!$A$3,"MA_HT","ODT","MA_QH","SKS")</f>
        <v>0</v>
      </c>
      <c r="AA45" s="66">
        <f ca="1" t="shared" si="21"/>
        <v>0</v>
      </c>
      <c r="AB45" s="67">
        <f ca="1">+GETPIVOTDATA("XLL4",'langlon (2016)'!$A$3,"MA_HT","ODT","MA_QH","DGT")</f>
        <v>0</v>
      </c>
      <c r="AC45" s="67">
        <f ca="1">+GETPIVOTDATA("XLL4",'langlon (2016)'!$A$3,"MA_HT","ODT","MA_QH","DTL")</f>
        <v>0</v>
      </c>
      <c r="AD45" s="67">
        <f ca="1">+GETPIVOTDATA("XLL4",'langlon (2016)'!$A$3,"MA_HT","ODT","MA_QH","DNL")</f>
        <v>0</v>
      </c>
      <c r="AE45" s="67">
        <f ca="1">+GETPIVOTDATA("XLL4",'langlon (2016)'!$A$3,"MA_HT","ODT","MA_QH","DBV")</f>
        <v>0</v>
      </c>
      <c r="AF45" s="67">
        <f ca="1">+GETPIVOTDATA("XLL4",'langlon (2016)'!$A$3,"MA_HT","ODT","MA_QH","DVH")</f>
        <v>0</v>
      </c>
      <c r="AG45" s="67">
        <f ca="1">+GETPIVOTDATA("XLL4",'langlon (2016)'!$A$3,"MA_HT","ODT","MA_QH","DYT")</f>
        <v>0</v>
      </c>
      <c r="AH45" s="67">
        <f ca="1">+GETPIVOTDATA("XLL4",'langlon (2016)'!$A$3,"MA_HT","ODT","MA_QH","DGD")</f>
        <v>0</v>
      </c>
      <c r="AI45" s="67">
        <f ca="1">+GETPIVOTDATA("XLL4",'langlon (2016)'!$A$3,"MA_HT","ODT","MA_QH","DTT")</f>
        <v>0</v>
      </c>
      <c r="AJ45" s="67">
        <f ca="1">+GETPIVOTDATA("XLL4",'langlon (2016)'!$A$3,"MA_HT","ODT","MA_QH","NCK")</f>
        <v>0</v>
      </c>
      <c r="AK45" s="67">
        <f ca="1">+GETPIVOTDATA("XLL4",'langlon (2016)'!$A$3,"MA_HT","ODT","MA_QH","DXH")</f>
        <v>0</v>
      </c>
      <c r="AL45" s="67">
        <f ca="1">+GETPIVOTDATA("XLL4",'langlon (2016)'!$A$3,"MA_HT","ODT","MA_QH","DCH")</f>
        <v>0</v>
      </c>
      <c r="AM45" s="67">
        <f ca="1">+GETPIVOTDATA("XLL4",'langlon (2016)'!$A$3,"MA_HT","ODT","MA_QH","DKG")</f>
        <v>0</v>
      </c>
      <c r="AN45" s="67">
        <f ca="1">+GETPIVOTDATA("XLL4",'langlon (2016)'!$A$3,"MA_HT","ODT","MA_QH","DDT")</f>
        <v>0</v>
      </c>
      <c r="AO45" s="67">
        <f ca="1">+GETPIVOTDATA("XLL4",'langlon (2016)'!$A$3,"MA_HT","ODT","MA_QH","DDL")</f>
        <v>0</v>
      </c>
      <c r="AP45" s="67">
        <f ca="1">+GETPIVOTDATA("XLL4",'langlon (2016)'!$A$3,"MA_HT","ODT","MA_QH","DRA")</f>
        <v>0</v>
      </c>
      <c r="AQ45" s="67">
        <f ca="1">+GETPIVOTDATA("XLL4",'langlon (2016)'!$A$3,"MA_HT","ODT","MA_QH","ONT")</f>
        <v>0</v>
      </c>
      <c r="AR45" s="82" t="e">
        <f ca="1">$D45-$BF45</f>
        <v>#REF!</v>
      </c>
      <c r="AS45" s="67">
        <f ca="1">+GETPIVOTDATA("XLL4",'langlon (2016)'!$A$3,"MA_HT","ODT","MA_QH","TSC")</f>
        <v>0</v>
      </c>
      <c r="AT45" s="67">
        <f ca="1">+GETPIVOTDATA("XLL4",'langlon (2016)'!$A$3,"MA_HT","ODT","MA_QH","DTS")</f>
        <v>0</v>
      </c>
      <c r="AU45" s="67">
        <f ca="1">+GETPIVOTDATA("XLL4",'langlon (2016)'!$A$3,"MA_HT","ODT","MA_QH","DNG")</f>
        <v>0</v>
      </c>
      <c r="AV45" s="67">
        <f ca="1">+GETPIVOTDATA("XLL4",'langlon (2016)'!$A$3,"MA_HT","ODT","MA_QH","TON")</f>
        <v>0</v>
      </c>
      <c r="AW45" s="67">
        <f ca="1">+GETPIVOTDATA("XLL4",'langlon (2016)'!$A$3,"MA_HT","ODT","MA_QH","NTD")</f>
        <v>0</v>
      </c>
      <c r="AX45" s="67">
        <f ca="1">+GETPIVOTDATA("XLL4",'langlon (2016)'!$A$3,"MA_HT","ODT","MA_QH","SKX")</f>
        <v>0</v>
      </c>
      <c r="AY45" s="67">
        <f ca="1">+GETPIVOTDATA("XLL4",'langlon (2016)'!$A$3,"MA_HT","ODT","MA_QH","DSH")</f>
        <v>0</v>
      </c>
      <c r="AZ45" s="67">
        <f ca="1">+GETPIVOTDATA("XLL4",'langlon (2016)'!$A$3,"MA_HT","ODT","MA_QH","DKV")</f>
        <v>0</v>
      </c>
      <c r="BA45" s="92">
        <f ca="1">+GETPIVOTDATA("XLL4",'langlon (2016)'!$A$3,"MA_HT","ODT","MA_QH","TIN")</f>
        <v>0</v>
      </c>
      <c r="BB45" s="93">
        <f ca="1">+GETPIVOTDATA("XLL4",'langlon (2016)'!$A$3,"MA_HT","ODT","MA_QH","SON")</f>
        <v>0</v>
      </c>
      <c r="BC45" s="93">
        <f ca="1">+GETPIVOTDATA("XLL4",'langlon (2016)'!$A$3,"MA_HT","ODT","MA_QH","MNC")</f>
        <v>0</v>
      </c>
      <c r="BD45" s="67">
        <f ca="1">+GETPIVOTDATA("XLL4",'langlon (2016)'!$A$3,"MA_HT","ODT","MA_QH","PNK")</f>
        <v>0</v>
      </c>
      <c r="BE45" s="116">
        <f ca="1">+GETPIVOTDATA("XLL4",'langlon (2016)'!$A$3,"MA_HT","ODT","MA_QH","CSD")</f>
        <v>0</v>
      </c>
      <c r="BF45" s="117">
        <f ca="1" t="shared" si="13"/>
        <v>0</v>
      </c>
      <c r="BG45" s="118">
        <f ca="1">AR$59-$BF45</f>
        <v>0</v>
      </c>
      <c r="BH45" s="64" t="e">
        <f ca="1" t="shared" si="14"/>
        <v>#REF!</v>
      </c>
      <c r="BI45" s="98"/>
      <c r="BJ45" s="107" t="e">
        <f>#REF!</f>
        <v>#REF!</v>
      </c>
      <c r="BK45" s="107" t="e">
        <f ca="1">BH45-BJ45</f>
        <v>#REF!</v>
      </c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</row>
    <row r="46" s="6" customFormat="1" ht="15.75" customHeight="1" spans="1:79">
      <c r="A46" s="39" t="s">
        <v>8410</v>
      </c>
      <c r="B46" s="53" t="s">
        <v>8411</v>
      </c>
      <c r="C46" s="40" t="s">
        <v>336</v>
      </c>
      <c r="D46" s="41" t="e">
        <f>+#REF!</f>
        <v>#REF!</v>
      </c>
      <c r="E46" s="42">
        <f ca="1" t="shared" si="15"/>
        <v>0</v>
      </c>
      <c r="F46" s="52">
        <f ca="1" t="shared" si="9"/>
        <v>0</v>
      </c>
      <c r="G46" s="22">
        <f ca="1">+GETPIVOTDATA("XLL4",'langlon (2016)'!$A$3,"MA_HT","TSC","MA_QH","LUC")</f>
        <v>0</v>
      </c>
      <c r="H46" s="22">
        <f ca="1">+GETPIVOTDATA("XLL4",'langlon (2016)'!$A$3,"MA_HT","TSC","MA_QH","LUK")</f>
        <v>0</v>
      </c>
      <c r="I46" s="22">
        <f ca="1">+GETPIVOTDATA("XLL4",'langlon (2016)'!$A$3,"MA_HT","TSC","MA_QH","LUN")</f>
        <v>0</v>
      </c>
      <c r="J46" s="22">
        <f ca="1">+GETPIVOTDATA("XLL4",'langlon (2016)'!$A$3,"MA_HT","TSC","MA_QH","HNK")</f>
        <v>0</v>
      </c>
      <c r="K46" s="22">
        <f ca="1">+GETPIVOTDATA("XLL4",'langlon (2016)'!$A$3,"MA_HT","TSC","MA_QH","CLN")</f>
        <v>0</v>
      </c>
      <c r="L46" s="22">
        <f ca="1">+GETPIVOTDATA("XLL4",'langlon (2016)'!$A$3,"MA_HT","TSC","MA_QH","RSX")</f>
        <v>0</v>
      </c>
      <c r="M46" s="22">
        <f ca="1">+GETPIVOTDATA("XLL4",'langlon (2016)'!$A$3,"MA_HT","TSC","MA_QH","RPH")</f>
        <v>0</v>
      </c>
      <c r="N46" s="22">
        <f ca="1">+GETPIVOTDATA("XLL4",'langlon (2016)'!$A$3,"MA_HT","TSC","MA_QH","RDD")</f>
        <v>0</v>
      </c>
      <c r="O46" s="22">
        <f ca="1">+GETPIVOTDATA("XLL4",'langlon (2016)'!$A$3,"MA_HT","TSC","MA_QH","NTS")</f>
        <v>0</v>
      </c>
      <c r="P46" s="22">
        <f ca="1">+GETPIVOTDATA("XLL4",'langlon (2016)'!$A$3,"MA_HT","TSC","MA_QH","LMU")</f>
        <v>0</v>
      </c>
      <c r="Q46" s="22">
        <f ca="1">+GETPIVOTDATA("XLL4",'langlon (2016)'!$A$3,"MA_HT","TSC","MA_QH","NKH")</f>
        <v>0</v>
      </c>
      <c r="R46" s="48">
        <f ca="1">SUM(S46:AA46,AN46:AR46,AT46:BD46)</f>
        <v>0</v>
      </c>
      <c r="S46" s="22">
        <f ca="1">+GETPIVOTDATA("XLL4",'langlon (2016)'!$A$3,"MA_HT","TSC","MA_QH","CQP")</f>
        <v>0</v>
      </c>
      <c r="T46" s="22">
        <f ca="1">+GETPIVOTDATA("XLL4",'langlon (2016)'!$A$3,"MA_HT","TSC","MA_QH","CAN")</f>
        <v>0</v>
      </c>
      <c r="U46" s="22">
        <f ca="1">+GETPIVOTDATA("XLL4",'langlon (2016)'!$A$3,"MA_HT","TSC","MA_QH","SKK")</f>
        <v>0</v>
      </c>
      <c r="V46" s="22">
        <f ca="1">+GETPIVOTDATA("XLL4",'langlon (2016)'!$A$3,"MA_HT","TSC","MA_QH","SKT")</f>
        <v>0</v>
      </c>
      <c r="W46" s="22">
        <f ca="1">+GETPIVOTDATA("XLL4",'langlon (2016)'!$A$3,"MA_HT","TSC","MA_QH","SKN")</f>
        <v>0</v>
      </c>
      <c r="X46" s="22">
        <f ca="1">+GETPIVOTDATA("XLL4",'langlon (2016)'!$A$3,"MA_HT","TSC","MA_QH","TMD")</f>
        <v>0</v>
      </c>
      <c r="Y46" s="22">
        <f ca="1">+GETPIVOTDATA("XLL4",'langlon (2016)'!$A$3,"MA_HT","TSC","MA_QH","SKC")</f>
        <v>0</v>
      </c>
      <c r="Z46" s="22">
        <f ca="1">+GETPIVOTDATA("XLL4",'langlon (2016)'!$A$3,"MA_HT","TSC","MA_QH","SKS")</f>
        <v>0</v>
      </c>
      <c r="AA46" s="52">
        <f ca="1" t="shared" si="21"/>
        <v>0</v>
      </c>
      <c r="AB46" s="22">
        <f ca="1">+GETPIVOTDATA("XLL4",'langlon (2016)'!$A$3,"MA_HT","TSC","MA_QH","DGT")</f>
        <v>0</v>
      </c>
      <c r="AC46" s="22">
        <f ca="1">+GETPIVOTDATA("XLL4",'langlon (2016)'!$A$3,"MA_HT","TSC","MA_QH","DTL")</f>
        <v>0</v>
      </c>
      <c r="AD46" s="22">
        <f ca="1">+GETPIVOTDATA("XLL4",'langlon (2016)'!$A$3,"MA_HT","TSC","MA_QH","DNL")</f>
        <v>0</v>
      </c>
      <c r="AE46" s="22">
        <f ca="1">+GETPIVOTDATA("XLL4",'langlon (2016)'!$A$3,"MA_HT","TSC","MA_QH","DBV")</f>
        <v>0</v>
      </c>
      <c r="AF46" s="22">
        <f ca="1">+GETPIVOTDATA("XLL4",'langlon (2016)'!$A$3,"MA_HT","TSC","MA_QH","DVH")</f>
        <v>0</v>
      </c>
      <c r="AG46" s="22">
        <f ca="1">+GETPIVOTDATA("XLL4",'langlon (2016)'!$A$3,"MA_HT","TSC","MA_QH","DYT")</f>
        <v>0</v>
      </c>
      <c r="AH46" s="22">
        <f ca="1">+GETPIVOTDATA("XLL4",'langlon (2016)'!$A$3,"MA_HT","TSC","MA_QH","DGD")</f>
        <v>0</v>
      </c>
      <c r="AI46" s="22">
        <f ca="1">+GETPIVOTDATA("XLL4",'langlon (2016)'!$A$3,"MA_HT","TSC","MA_QH","DTT")</f>
        <v>0</v>
      </c>
      <c r="AJ46" s="22">
        <f ca="1">+GETPIVOTDATA("XLL4",'langlon (2016)'!$A$3,"MA_HT","TSC","MA_QH","NCK")</f>
        <v>0</v>
      </c>
      <c r="AK46" s="22">
        <f ca="1">+GETPIVOTDATA("XLL4",'langlon (2016)'!$A$3,"MA_HT","TSC","MA_QH","DXH")</f>
        <v>0</v>
      </c>
      <c r="AL46" s="22">
        <f ca="1">+GETPIVOTDATA("XLL4",'langlon (2016)'!$A$3,"MA_HT","TSC","MA_QH","DCH")</f>
        <v>0</v>
      </c>
      <c r="AM46" s="22">
        <f ca="1">+GETPIVOTDATA("XLL4",'langlon (2016)'!$A$3,"MA_HT","TSC","MA_QH","DKG")</f>
        <v>0</v>
      </c>
      <c r="AN46" s="22">
        <f ca="1">+GETPIVOTDATA("XLL4",'langlon (2016)'!$A$3,"MA_HT","TSC","MA_QH","DDT")</f>
        <v>0</v>
      </c>
      <c r="AO46" s="22">
        <f ca="1">+GETPIVOTDATA("XLL4",'langlon (2016)'!$A$3,"MA_HT","TSC","MA_QH","DDL")</f>
        <v>0</v>
      </c>
      <c r="AP46" s="22">
        <f ca="1">+GETPIVOTDATA("XLL4",'langlon (2016)'!$A$3,"MA_HT","TSC","MA_QH","DRA")</f>
        <v>0</v>
      </c>
      <c r="AQ46" s="22">
        <f ca="1">+GETPIVOTDATA("XLL4",'langlon (2016)'!$A$3,"MA_HT","TSC","MA_QH","ONT")</f>
        <v>0</v>
      </c>
      <c r="AR46" s="22">
        <f ca="1">+GETPIVOTDATA("XLL4",'langlon (2016)'!$A$3,"MA_HT","TSC","MA_QH","ODT")</f>
        <v>0</v>
      </c>
      <c r="AS46" s="43" t="e">
        <f ca="1">$D46-$BF46</f>
        <v>#REF!</v>
      </c>
      <c r="AT46" s="22">
        <f ca="1">+GETPIVOTDATA("XLL4",'langlon (2016)'!$A$3,"MA_HT","TSC","MA_QH","DTS")</f>
        <v>0</v>
      </c>
      <c r="AU46" s="22">
        <f ca="1">+GETPIVOTDATA("XLL4",'langlon (2016)'!$A$3,"MA_HT","TSC","MA_QH","DNG")</f>
        <v>0</v>
      </c>
      <c r="AV46" s="22">
        <f ca="1">+GETPIVOTDATA("XLL4",'langlon (2016)'!$A$3,"MA_HT","TSC","MA_QH","TON")</f>
        <v>0</v>
      </c>
      <c r="AW46" s="22">
        <f ca="1">+GETPIVOTDATA("XLL4",'langlon (2016)'!$A$3,"MA_HT","TSC","MA_QH","NTD")</f>
        <v>0</v>
      </c>
      <c r="AX46" s="22">
        <f ca="1">+GETPIVOTDATA("XLL4",'langlon (2016)'!$A$3,"MA_HT","TSC","MA_QH","SKX")</f>
        <v>0</v>
      </c>
      <c r="AY46" s="22">
        <f ca="1">+GETPIVOTDATA("XLL4",'langlon (2016)'!$A$3,"MA_HT","TSC","MA_QH","DSH")</f>
        <v>0</v>
      </c>
      <c r="AZ46" s="22">
        <f ca="1">+GETPIVOTDATA("XLL4",'langlon (2016)'!$A$3,"MA_HT","TSC","MA_QH","DKV")</f>
        <v>0</v>
      </c>
      <c r="BA46" s="89">
        <f ca="1">+GETPIVOTDATA("XLL4",'langlon (2016)'!$A$3,"MA_HT","TSC","MA_QH","TIN")</f>
        <v>0</v>
      </c>
      <c r="BB46" s="50">
        <f ca="1">+GETPIVOTDATA("XLL4",'langlon (2016)'!$A$3,"MA_HT","TSC","MA_QH","SON")</f>
        <v>0</v>
      </c>
      <c r="BC46" s="50">
        <f ca="1">+GETPIVOTDATA("XLL4",'langlon (2016)'!$A$3,"MA_HT","TSC","MA_QH","MNC")</f>
        <v>0</v>
      </c>
      <c r="BD46" s="22">
        <f ca="1">+GETPIVOTDATA("XLL4",'langlon (2016)'!$A$3,"MA_HT","TSC","MA_QH","PNK")</f>
        <v>0</v>
      </c>
      <c r="BE46" s="71">
        <f ca="1">+GETPIVOTDATA("XLL4",'langlon (2016)'!$A$3,"MA_HT","TSC","MA_QH","CSD")</f>
        <v>0</v>
      </c>
      <c r="BF46" s="74">
        <f ca="1" t="shared" si="13"/>
        <v>0</v>
      </c>
      <c r="BG46" s="101">
        <f ca="1">AS$59-$BF46</f>
        <v>0</v>
      </c>
      <c r="BH46" s="41" t="e">
        <f ca="1" t="shared" si="14"/>
        <v>#REF!</v>
      </c>
      <c r="BI46" s="114"/>
      <c r="BJ46" s="114" t="e">
        <f>#REF!</f>
        <v>#REF!</v>
      </c>
      <c r="BK46" s="115" t="e">
        <f ca="1">BH46-BJ46</f>
        <v>#REF!</v>
      </c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</row>
    <row r="47" s="2" customFormat="1" ht="15.75" customHeight="1" spans="1:79">
      <c r="A47" s="54" t="s">
        <v>8412</v>
      </c>
      <c r="B47" s="55" t="s">
        <v>8413</v>
      </c>
      <c r="C47" s="56" t="s">
        <v>8293</v>
      </c>
      <c r="D47" s="57" t="e">
        <f>+#REF!</f>
        <v>#REF!</v>
      </c>
      <c r="E47" s="58">
        <f ca="1" t="shared" si="15"/>
        <v>0</v>
      </c>
      <c r="F47" s="59">
        <f ca="1" t="shared" si="9"/>
        <v>0</v>
      </c>
      <c r="G47" s="60">
        <f ca="1">+GETPIVOTDATA("XLL4",'langlon (2016)'!$A$3,"MA_HT","DTS","MA_QH","LUC")</f>
        <v>0</v>
      </c>
      <c r="H47" s="60">
        <f ca="1">+GETPIVOTDATA("XLL4",'langlon (2016)'!$A$3,"MA_HT","DTS","MA_QH","LUK")</f>
        <v>0</v>
      </c>
      <c r="I47" s="60">
        <f ca="1">+GETPIVOTDATA("XLL4",'langlon (2016)'!$A$3,"MA_HT","DTS","MA_QH","LUN")</f>
        <v>0</v>
      </c>
      <c r="J47" s="60">
        <f ca="1">+GETPIVOTDATA("XLL4",'langlon (2016)'!$A$3,"MA_HT","DTS","MA_QH","HNK")</f>
        <v>0</v>
      </c>
      <c r="K47" s="60">
        <f ca="1">+GETPIVOTDATA("XLL4",'langlon (2016)'!$A$3,"MA_HT","DTS","MA_QH","CLN")</f>
        <v>0</v>
      </c>
      <c r="L47" s="60">
        <f ca="1">+GETPIVOTDATA("XLL4",'langlon (2016)'!$A$3,"MA_HT","DTS","MA_QH","RSX")</f>
        <v>0</v>
      </c>
      <c r="M47" s="60">
        <f ca="1">+GETPIVOTDATA("XLL4",'langlon (2016)'!$A$3,"MA_HT","DTS","MA_QH","RPH")</f>
        <v>0</v>
      </c>
      <c r="N47" s="60">
        <f ca="1">+GETPIVOTDATA("XLL4",'langlon (2016)'!$A$3,"MA_HT","DTS","MA_QH","RDD")</f>
        <v>0</v>
      </c>
      <c r="O47" s="60">
        <f ca="1">+GETPIVOTDATA("XLL4",'langlon (2016)'!$A$3,"MA_HT","DTS","MA_QH","NTS")</f>
        <v>0</v>
      </c>
      <c r="P47" s="60">
        <f ca="1">+GETPIVOTDATA("XLL4",'langlon (2016)'!$A$3,"MA_HT","DTS","MA_QH","LMU")</f>
        <v>0</v>
      </c>
      <c r="Q47" s="60">
        <f ca="1">+GETPIVOTDATA("XLL4",'langlon (2016)'!$A$3,"MA_HT","DTS","MA_QH","NKH")</f>
        <v>0</v>
      </c>
      <c r="R47" s="78">
        <f ca="1">SUM(S47:AA47,AN47:AS47,AU47:BD47)</f>
        <v>0</v>
      </c>
      <c r="S47" s="60">
        <f ca="1">+GETPIVOTDATA("XLL4",'langlon (2016)'!$A$3,"MA_HT","DTS","MA_QH","CQP")</f>
        <v>0</v>
      </c>
      <c r="T47" s="60">
        <f ca="1">+GETPIVOTDATA("XLL4",'langlon (2016)'!$A$3,"MA_HT","DTS","MA_QH","CAN")</f>
        <v>0</v>
      </c>
      <c r="U47" s="60">
        <f ca="1">+GETPIVOTDATA("XLL4",'langlon (2016)'!$A$3,"MA_HT","DTS","MA_QH","SKK")</f>
        <v>0</v>
      </c>
      <c r="V47" s="60">
        <f ca="1">+GETPIVOTDATA("XLL4",'langlon (2016)'!$A$3,"MA_HT","DTS","MA_QH","SKT")</f>
        <v>0</v>
      </c>
      <c r="W47" s="60">
        <f ca="1">+GETPIVOTDATA("XLL4",'langlon (2016)'!$A$3,"MA_HT","DTS","MA_QH","SKN")</f>
        <v>0</v>
      </c>
      <c r="X47" s="60">
        <f ca="1">+GETPIVOTDATA("XLL4",'langlon (2016)'!$A$3,"MA_HT","DTS","MA_QH","TMD")</f>
        <v>0</v>
      </c>
      <c r="Y47" s="60">
        <f ca="1">+GETPIVOTDATA("XLL4",'langlon (2016)'!$A$3,"MA_HT","DTS","MA_QH","SKC")</f>
        <v>0</v>
      </c>
      <c r="Z47" s="60">
        <f ca="1">+GETPIVOTDATA("XLL4",'langlon (2016)'!$A$3,"MA_HT","DTS","MA_QH","SKS")</f>
        <v>0</v>
      </c>
      <c r="AA47" s="59">
        <f ca="1" t="shared" si="21"/>
        <v>0</v>
      </c>
      <c r="AB47" s="60">
        <f ca="1">+GETPIVOTDATA("XLL4",'langlon (2016)'!$A$3,"MA_HT","DTS","MA_QH","DGT")</f>
        <v>0</v>
      </c>
      <c r="AC47" s="60">
        <f ca="1">+GETPIVOTDATA("XLL4",'langlon (2016)'!$A$3,"MA_HT","DTS","MA_QH","DTL")</f>
        <v>0</v>
      </c>
      <c r="AD47" s="60">
        <f ca="1">+GETPIVOTDATA("XLL4",'langlon (2016)'!$A$3,"MA_HT","DTS","MA_QH","DNL")</f>
        <v>0</v>
      </c>
      <c r="AE47" s="60">
        <f ca="1">+GETPIVOTDATA("XLL4",'langlon (2016)'!$A$3,"MA_HT","DTS","MA_QH","DBV")</f>
        <v>0</v>
      </c>
      <c r="AF47" s="60">
        <f ca="1">+GETPIVOTDATA("XLL4",'langlon (2016)'!$A$3,"MA_HT","DTS","MA_QH","DVH")</f>
        <v>0</v>
      </c>
      <c r="AG47" s="60">
        <f ca="1">+GETPIVOTDATA("XLL4",'langlon (2016)'!$A$3,"MA_HT","DTS","MA_QH","DYT")</f>
        <v>0</v>
      </c>
      <c r="AH47" s="60">
        <f ca="1">+GETPIVOTDATA("XLL4",'langlon (2016)'!$A$3,"MA_HT","DTS","MA_QH","DGD")</f>
        <v>0</v>
      </c>
      <c r="AI47" s="60">
        <f ca="1">+GETPIVOTDATA("XLL4",'langlon (2016)'!$A$3,"MA_HT","DTS","MA_QH","DTT")</f>
        <v>0</v>
      </c>
      <c r="AJ47" s="60">
        <f ca="1">+GETPIVOTDATA("XLL4",'langlon (2016)'!$A$3,"MA_HT","DTS","MA_QH","NCK")</f>
        <v>0</v>
      </c>
      <c r="AK47" s="60">
        <f ca="1">+GETPIVOTDATA("XLL4",'langlon (2016)'!$A$3,"MA_HT","DTS","MA_QH","DXH")</f>
        <v>0</v>
      </c>
      <c r="AL47" s="60">
        <f ca="1">+GETPIVOTDATA("XLL4",'langlon (2016)'!$A$3,"MA_HT","DTS","MA_QH","DCH")</f>
        <v>0</v>
      </c>
      <c r="AM47" s="60">
        <f ca="1">+GETPIVOTDATA("XLL4",'langlon (2016)'!$A$3,"MA_HT","DTS","MA_QH","DKG")</f>
        <v>0</v>
      </c>
      <c r="AN47" s="60">
        <f ca="1">+GETPIVOTDATA("XLL4",'langlon (2016)'!$A$3,"MA_HT","DTS","MA_QH","DDT")</f>
        <v>0</v>
      </c>
      <c r="AO47" s="60">
        <f ca="1">+GETPIVOTDATA("XLL4",'langlon (2016)'!$A$3,"MA_HT","DTS","MA_QH","DDL")</f>
        <v>0</v>
      </c>
      <c r="AP47" s="60">
        <f ca="1">+GETPIVOTDATA("XLL4",'langlon (2016)'!$A$3,"MA_HT","DTS","MA_QH","DRA")</f>
        <v>0</v>
      </c>
      <c r="AQ47" s="60">
        <f ca="1">+GETPIVOTDATA("XLL4",'langlon (2016)'!$A$3,"MA_HT","DTS","MA_QH","ONT")</f>
        <v>0</v>
      </c>
      <c r="AR47" s="60">
        <f ca="1">+GETPIVOTDATA("XLL4",'langlon (2016)'!$A$3,"MA_HT","DTS","MA_QH","ODT")</f>
        <v>0</v>
      </c>
      <c r="AS47" s="60">
        <f ca="1">+GETPIVOTDATA("XLL4",'langlon (2016)'!$A$3,"MA_HT","DTS","MA_QH","TSC")</f>
        <v>0</v>
      </c>
      <c r="AT47" s="81" t="e">
        <f ca="1">$D47-$BF47</f>
        <v>#REF!</v>
      </c>
      <c r="AU47" s="60">
        <f ca="1">+GETPIVOTDATA("XLL4",'langlon (2016)'!$A$3,"MA_HT","DTS","MA_QH","DNG")</f>
        <v>0</v>
      </c>
      <c r="AV47" s="60">
        <f ca="1">+GETPIVOTDATA("XLL4",'langlon (2016)'!$A$3,"MA_HT","DTS","MA_QH","TON")</f>
        <v>0</v>
      </c>
      <c r="AW47" s="60">
        <f ca="1">+GETPIVOTDATA("XLL4",'langlon (2016)'!$A$3,"MA_HT","DTS","MA_QH","NTD")</f>
        <v>0</v>
      </c>
      <c r="AX47" s="60">
        <f ca="1">+GETPIVOTDATA("XLL4",'langlon (2016)'!$A$3,"MA_HT","DTS","MA_QH","SKX")</f>
        <v>0</v>
      </c>
      <c r="AY47" s="60">
        <f ca="1">+GETPIVOTDATA("XLL4",'langlon (2016)'!$A$3,"MA_HT","DTS","MA_QH","DSH")</f>
        <v>0</v>
      </c>
      <c r="AZ47" s="60">
        <f ca="1">+GETPIVOTDATA("XLL4",'langlon (2016)'!$A$3,"MA_HT","DTS","MA_QH","DKV")</f>
        <v>0</v>
      </c>
      <c r="BA47" s="90">
        <f ca="1">+GETPIVOTDATA("XLL4",'langlon (2016)'!$A$3,"MA_HT","DTS","MA_QH","TIN")</f>
        <v>0</v>
      </c>
      <c r="BB47" s="91">
        <f ca="1">+GETPIVOTDATA("XLL4",'langlon (2016)'!$A$3,"MA_HT","DTS","MA_QH","SON")</f>
        <v>0</v>
      </c>
      <c r="BC47" s="91">
        <f ca="1">+GETPIVOTDATA("XLL4",'langlon (2016)'!$A$3,"MA_HT","DTS","MA_QH","MNC")</f>
        <v>0</v>
      </c>
      <c r="BD47" s="60">
        <f ca="1">+GETPIVOTDATA("XLL4",'langlon (2016)'!$A$3,"MA_HT","DTS","MA_QH","PNK")</f>
        <v>0</v>
      </c>
      <c r="BE47" s="111">
        <f ca="1">+GETPIVOTDATA("XLL4",'langlon (2016)'!$A$3,"MA_HT","DTS","MA_QH","CSD")</f>
        <v>0</v>
      </c>
      <c r="BF47" s="112">
        <f ca="1" t="shared" si="13"/>
        <v>0</v>
      </c>
      <c r="BG47" s="113">
        <f ca="1">AT$59-$BF47</f>
        <v>0</v>
      </c>
      <c r="BH47" s="57" t="e">
        <f ca="1" t="shared" si="14"/>
        <v>#REF!</v>
      </c>
      <c r="BI47" s="98"/>
      <c r="BJ47" s="98"/>
      <c r="BK47" s="107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</row>
    <row r="48" s="2" customFormat="1" ht="15.75" customHeight="1" spans="1:79">
      <c r="A48" s="39" t="s">
        <v>8414</v>
      </c>
      <c r="B48" s="53" t="s">
        <v>8415</v>
      </c>
      <c r="C48" s="40" t="s">
        <v>8290</v>
      </c>
      <c r="D48" s="41" t="e">
        <f>+#REF!</f>
        <v>#REF!</v>
      </c>
      <c r="E48" s="42">
        <f ca="1" t="shared" si="15"/>
        <v>0</v>
      </c>
      <c r="F48" s="52">
        <f ca="1" t="shared" si="9"/>
        <v>0</v>
      </c>
      <c r="G48" s="22">
        <f ca="1">+GETPIVOTDATA("XLL4",'langlon (2016)'!$A$3,"MA_HT","DNG","MA_QH","LUC")</f>
        <v>0</v>
      </c>
      <c r="H48" s="22">
        <f ca="1">+GETPIVOTDATA("XLL4",'langlon (2016)'!$A$3,"MA_HT","DNG","MA_QH","LUK")</f>
        <v>0</v>
      </c>
      <c r="I48" s="22">
        <f ca="1">+GETPIVOTDATA("XLL4",'langlon (2016)'!$A$3,"MA_HT","DNG","MA_QH","LUN")</f>
        <v>0</v>
      </c>
      <c r="J48" s="22">
        <f ca="1">+GETPIVOTDATA("XLL4",'langlon (2016)'!$A$3,"MA_HT","DNG","MA_QH","HNK")</f>
        <v>0</v>
      </c>
      <c r="K48" s="22">
        <f ca="1">+GETPIVOTDATA("XLL4",'langlon (2016)'!$A$3,"MA_HT","DNG","MA_QH","CLN")</f>
        <v>0</v>
      </c>
      <c r="L48" s="22">
        <f ca="1">+GETPIVOTDATA("XLL4",'langlon (2016)'!$A$3,"MA_HT","DNG","MA_QH","RSX")</f>
        <v>0</v>
      </c>
      <c r="M48" s="22">
        <f ca="1">+GETPIVOTDATA("XLL4",'langlon (2016)'!$A$3,"MA_HT","DNG","MA_QH","RPH")</f>
        <v>0</v>
      </c>
      <c r="N48" s="22">
        <f ca="1">+GETPIVOTDATA("XLL4",'langlon (2016)'!$A$3,"MA_HT","DNG","MA_QH","RDD")</f>
        <v>0</v>
      </c>
      <c r="O48" s="22">
        <f ca="1">+GETPIVOTDATA("XLL4",'langlon (2016)'!$A$3,"MA_HT","DNG","MA_QH","NTS")</f>
        <v>0</v>
      </c>
      <c r="P48" s="22">
        <f ca="1">+GETPIVOTDATA("XLL4",'langlon (2016)'!$A$3,"MA_HT","DNG","MA_QH","LMU")</f>
        <v>0</v>
      </c>
      <c r="Q48" s="22">
        <f ca="1">+GETPIVOTDATA("XLL4",'langlon (2016)'!$A$3,"MA_HT","DNG","MA_QH","NKH")</f>
        <v>0</v>
      </c>
      <c r="R48" s="79">
        <f ca="1">SUM(S48:AA48,AN48:AT48,AV48:BD48)</f>
        <v>0</v>
      </c>
      <c r="S48" s="22">
        <f ca="1">+GETPIVOTDATA("XLL4",'langlon (2016)'!$A$3,"MA_HT","DNG","MA_QH","CQP")</f>
        <v>0</v>
      </c>
      <c r="T48" s="22">
        <f ca="1">+GETPIVOTDATA("XLL4",'langlon (2016)'!$A$3,"MA_HT","DNG","MA_QH","CAN")</f>
        <v>0</v>
      </c>
      <c r="U48" s="22">
        <f ca="1">+GETPIVOTDATA("XLL4",'langlon (2016)'!$A$3,"MA_HT","DNG","MA_QH","SKK")</f>
        <v>0</v>
      </c>
      <c r="V48" s="22">
        <f ca="1">+GETPIVOTDATA("XLL4",'langlon (2016)'!$A$3,"MA_HT","DNG","MA_QH","SKT")</f>
        <v>0</v>
      </c>
      <c r="W48" s="22">
        <f ca="1">+GETPIVOTDATA("XLL4",'langlon (2016)'!$A$3,"MA_HT","DNG","MA_QH","SKN")</f>
        <v>0</v>
      </c>
      <c r="X48" s="22">
        <f ca="1">+GETPIVOTDATA("XLL4",'langlon (2016)'!$A$3,"MA_HT","DNG","MA_QH","TMD")</f>
        <v>0</v>
      </c>
      <c r="Y48" s="22">
        <f ca="1">+GETPIVOTDATA("XLL4",'langlon (2016)'!$A$3,"MA_HT","DNG","MA_QH","SKC")</f>
        <v>0</v>
      </c>
      <c r="Z48" s="22">
        <f ca="1">+GETPIVOTDATA("XLL4",'langlon (2016)'!$A$3,"MA_HT","DNG","MA_QH","SKS")</f>
        <v>0</v>
      </c>
      <c r="AA48" s="52">
        <f ca="1" t="shared" si="21"/>
        <v>0</v>
      </c>
      <c r="AB48" s="22">
        <f ca="1">+GETPIVOTDATA("XLL4",'langlon (2016)'!$A$3,"MA_HT","DNG","MA_QH","DGT")</f>
        <v>0</v>
      </c>
      <c r="AC48" s="22">
        <f ca="1">+GETPIVOTDATA("XLL4",'langlon (2016)'!$A$3,"MA_HT","DNG","MA_QH","DTL")</f>
        <v>0</v>
      </c>
      <c r="AD48" s="22">
        <f ca="1">+GETPIVOTDATA("XLL4",'langlon (2016)'!$A$3,"MA_HT","DNG","MA_QH","DNL")</f>
        <v>0</v>
      </c>
      <c r="AE48" s="22">
        <f ca="1">+GETPIVOTDATA("XLL4",'langlon (2016)'!$A$3,"MA_HT","DNG","MA_QH","DBV")</f>
        <v>0</v>
      </c>
      <c r="AF48" s="22">
        <f ca="1">+GETPIVOTDATA("XLL4",'langlon (2016)'!$A$3,"MA_HT","DNG","MA_QH","DVH")</f>
        <v>0</v>
      </c>
      <c r="AG48" s="22">
        <f ca="1">+GETPIVOTDATA("XLL4",'langlon (2016)'!$A$3,"MA_HT","DNG","MA_QH","DYT")</f>
        <v>0</v>
      </c>
      <c r="AH48" s="22">
        <f ca="1">+GETPIVOTDATA("XLL4",'langlon (2016)'!$A$3,"MA_HT","DNG","MA_QH","DGD")</f>
        <v>0</v>
      </c>
      <c r="AI48" s="22">
        <f ca="1">+GETPIVOTDATA("XLL4",'langlon (2016)'!$A$3,"MA_HT","DNG","MA_QH","DTT")</f>
        <v>0</v>
      </c>
      <c r="AJ48" s="22">
        <f ca="1">+GETPIVOTDATA("XLL4",'langlon (2016)'!$A$3,"MA_HT","DNG","MA_QH","NCK")</f>
        <v>0</v>
      </c>
      <c r="AK48" s="22">
        <f ca="1">+GETPIVOTDATA("XLL4",'langlon (2016)'!$A$3,"MA_HT","DNG","MA_QH","DXH")</f>
        <v>0</v>
      </c>
      <c r="AL48" s="22">
        <f ca="1">+GETPIVOTDATA("XLL4",'langlon (2016)'!$A$3,"MA_HT","DNG","MA_QH","DCH")</f>
        <v>0</v>
      </c>
      <c r="AM48" s="22">
        <f ca="1">+GETPIVOTDATA("XLL4",'langlon (2016)'!$A$3,"MA_HT","DNG","MA_QH","DKG")</f>
        <v>0</v>
      </c>
      <c r="AN48" s="22">
        <f ca="1">+GETPIVOTDATA("XLL4",'langlon (2016)'!$A$3,"MA_HT","DNG","MA_QH","DDT")</f>
        <v>0</v>
      </c>
      <c r="AO48" s="22">
        <f ca="1">+GETPIVOTDATA("XLL4",'langlon (2016)'!$A$3,"MA_HT","DNG","MA_QH","DDL")</f>
        <v>0</v>
      </c>
      <c r="AP48" s="22">
        <f ca="1">+GETPIVOTDATA("XLL4",'langlon (2016)'!$A$3,"MA_HT","DNG","MA_QH","DRA")</f>
        <v>0</v>
      </c>
      <c r="AQ48" s="22">
        <f ca="1">+GETPIVOTDATA("XLL4",'langlon (2016)'!$A$3,"MA_HT","DNG","MA_QH","ONT")</f>
        <v>0</v>
      </c>
      <c r="AR48" s="22">
        <f ca="1">+GETPIVOTDATA("XLL4",'langlon (2016)'!$A$3,"MA_HT","DNG","MA_QH","ODT")</f>
        <v>0</v>
      </c>
      <c r="AS48" s="22">
        <f ca="1">+GETPIVOTDATA("XLL4",'langlon (2016)'!$A$3,"MA_HT","DNG","MA_QH","TSC")</f>
        <v>0</v>
      </c>
      <c r="AT48" s="22">
        <f ca="1">+GETPIVOTDATA("XLL4",'langlon (2016)'!$A$3,"MA_HT","DNG","MA_QH","DTS")</f>
        <v>0</v>
      </c>
      <c r="AU48" s="43" t="e">
        <f ca="1">$D48-$BF48</f>
        <v>#REF!</v>
      </c>
      <c r="AV48" s="22">
        <f ca="1">+GETPIVOTDATA("XLL4",'langlon (2016)'!$A$3,"MA_HT","DNG","MA_QH","TON")</f>
        <v>0</v>
      </c>
      <c r="AW48" s="22">
        <f ca="1">+GETPIVOTDATA("XLL4",'langlon (2016)'!$A$3,"MA_HT","DNG","MA_QH","NTD")</f>
        <v>0</v>
      </c>
      <c r="AX48" s="22">
        <f ca="1">+GETPIVOTDATA("XLL4",'langlon (2016)'!$A$3,"MA_HT","DNG","MA_QH","SKX")</f>
        <v>0</v>
      </c>
      <c r="AY48" s="22">
        <f ca="1">+GETPIVOTDATA("XLL4",'langlon (2016)'!$A$3,"MA_HT","DNG","MA_QH","DSH")</f>
        <v>0</v>
      </c>
      <c r="AZ48" s="22">
        <f ca="1">+GETPIVOTDATA("XLL4",'langlon (2016)'!$A$3,"MA_HT","DNG","MA_QH","DKV")</f>
        <v>0</v>
      </c>
      <c r="BA48" s="89">
        <f ca="1">+GETPIVOTDATA("XLL4",'langlon (2016)'!$A$3,"MA_HT","DNG","MA_QH","TIN")</f>
        <v>0</v>
      </c>
      <c r="BB48" s="50">
        <f ca="1">+GETPIVOTDATA("XLL4",'langlon (2016)'!$A$3,"MA_HT","DNG","MA_QH","SON")</f>
        <v>0</v>
      </c>
      <c r="BC48" s="50">
        <f ca="1">+GETPIVOTDATA("XLL4",'langlon (2016)'!$A$3,"MA_HT","DNG","MA_QH","MNC")</f>
        <v>0</v>
      </c>
      <c r="BD48" s="22">
        <f ca="1">+GETPIVOTDATA("XLL4",'langlon (2016)'!$A$3,"MA_HT","DNG","MA_QH","PNK")</f>
        <v>0</v>
      </c>
      <c r="BE48" s="71">
        <f ca="1">+GETPIVOTDATA("XLL4",'langlon (2016)'!$A$3,"MA_HT","DNG","MA_QH","CSD")</f>
        <v>0</v>
      </c>
      <c r="BF48" s="74">
        <f ca="1" t="shared" si="13"/>
        <v>0</v>
      </c>
      <c r="BG48" s="101">
        <f ca="1">AU$59-$BF48</f>
        <v>0</v>
      </c>
      <c r="BH48" s="41" t="e">
        <f ca="1" t="shared" si="14"/>
        <v>#REF!</v>
      </c>
      <c r="BI48" s="98"/>
      <c r="BJ48" s="98" t="e">
        <f>#REF!</f>
        <v>#REF!</v>
      </c>
      <c r="BK48" s="107" t="e">
        <f ca="1">BH48-BJ48</f>
        <v>#REF!</v>
      </c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</row>
    <row r="49" s="2" customFormat="1" ht="15.75" customHeight="1" spans="1:79">
      <c r="A49" s="39" t="s">
        <v>8416</v>
      </c>
      <c r="B49" s="53" t="s">
        <v>8417</v>
      </c>
      <c r="C49" s="40" t="s">
        <v>324</v>
      </c>
      <c r="D49" s="41" t="e">
        <f>+#REF!</f>
        <v>#REF!</v>
      </c>
      <c r="E49" s="42">
        <f ca="1" t="shared" si="15"/>
        <v>0</v>
      </c>
      <c r="F49" s="52">
        <f ca="1" t="shared" si="9"/>
        <v>0</v>
      </c>
      <c r="G49" s="22">
        <f ca="1">+GETPIVOTDATA("XLL4",'langlon (2016)'!$A$3,"MA_HT","TON","MA_QH","LUC")</f>
        <v>0</v>
      </c>
      <c r="H49" s="22">
        <f ca="1">+GETPIVOTDATA("XLL4",'langlon (2016)'!$A$3,"MA_HT","TON","MA_QH","LUK")</f>
        <v>0</v>
      </c>
      <c r="I49" s="22">
        <f ca="1">+GETPIVOTDATA("XLL4",'langlon (2016)'!$A$3,"MA_HT","TON","MA_QH","LUN")</f>
        <v>0</v>
      </c>
      <c r="J49" s="22">
        <f ca="1">+GETPIVOTDATA("XLL4",'langlon (2016)'!$A$3,"MA_HT","TON","MA_QH","HNK")</f>
        <v>0</v>
      </c>
      <c r="K49" s="22">
        <f ca="1">+GETPIVOTDATA("XLL4",'langlon (2016)'!$A$3,"MA_HT","TON","MA_QH","CLN")</f>
        <v>0</v>
      </c>
      <c r="L49" s="22">
        <f ca="1">+GETPIVOTDATA("XLL4",'langlon (2016)'!$A$3,"MA_HT","TON","MA_QH","RSX")</f>
        <v>0</v>
      </c>
      <c r="M49" s="22">
        <f ca="1">+GETPIVOTDATA("XLL4",'langlon (2016)'!$A$3,"MA_HT","TON","MA_QH","RPH")</f>
        <v>0</v>
      </c>
      <c r="N49" s="22">
        <f ca="1">+GETPIVOTDATA("XLL4",'langlon (2016)'!$A$3,"MA_HT","TON","MA_QH","RDD")</f>
        <v>0</v>
      </c>
      <c r="O49" s="22">
        <f ca="1">+GETPIVOTDATA("XLL4",'langlon (2016)'!$A$3,"MA_HT","TON","MA_QH","NTS")</f>
        <v>0</v>
      </c>
      <c r="P49" s="22">
        <f ca="1">+GETPIVOTDATA("XLL4",'langlon (2016)'!$A$3,"MA_HT","TON","MA_QH","LMU")</f>
        <v>0</v>
      </c>
      <c r="Q49" s="22">
        <f ca="1">+GETPIVOTDATA("XLL4",'langlon (2016)'!$A$3,"MA_HT","TON","MA_QH","NKH")</f>
        <v>0</v>
      </c>
      <c r="R49" s="79">
        <f ca="1">SUM(S49:AA49,AN49:AU49,AW49:BD49)</f>
        <v>0</v>
      </c>
      <c r="S49" s="22">
        <f ca="1">+GETPIVOTDATA("XLL4",'langlon (2016)'!$A$3,"MA_HT","TON","MA_QH","CQP")</f>
        <v>0</v>
      </c>
      <c r="T49" s="22">
        <f ca="1">+GETPIVOTDATA("XLL4",'langlon (2016)'!$A$3,"MA_HT","TON","MA_QH","CAN")</f>
        <v>0</v>
      </c>
      <c r="U49" s="22">
        <f ca="1">+GETPIVOTDATA("XLL4",'langlon (2016)'!$A$3,"MA_HT","TON","MA_QH","SKK")</f>
        <v>0</v>
      </c>
      <c r="V49" s="22">
        <f ca="1">+GETPIVOTDATA("XLL4",'langlon (2016)'!$A$3,"MA_HT","TON","MA_QH","SKT")</f>
        <v>0</v>
      </c>
      <c r="W49" s="22">
        <f ca="1">+GETPIVOTDATA("XLL4",'langlon (2016)'!$A$3,"MA_HT","TON","MA_QH","SKN")</f>
        <v>0</v>
      </c>
      <c r="X49" s="22">
        <f ca="1">+GETPIVOTDATA("XLL4",'langlon (2016)'!$A$3,"MA_HT","TON","MA_QH","TMD")</f>
        <v>0</v>
      </c>
      <c r="Y49" s="22">
        <f ca="1">+GETPIVOTDATA("XLL4",'langlon (2016)'!$A$3,"MA_HT","TON","MA_QH","SKC")</f>
        <v>0</v>
      </c>
      <c r="Z49" s="22">
        <f ca="1">+GETPIVOTDATA("XLL4",'langlon (2016)'!$A$3,"MA_HT","TON","MA_QH","SKS")</f>
        <v>0</v>
      </c>
      <c r="AA49" s="52">
        <f ca="1" t="shared" si="21"/>
        <v>0</v>
      </c>
      <c r="AB49" s="22">
        <f ca="1">+GETPIVOTDATA("XLL4",'langlon (2016)'!$A$3,"MA_HT","TON","MA_QH","DGT")</f>
        <v>0</v>
      </c>
      <c r="AC49" s="22">
        <f ca="1">+GETPIVOTDATA("XLL4",'langlon (2016)'!$A$3,"MA_HT","TON","MA_QH","DTL")</f>
        <v>0</v>
      </c>
      <c r="AD49" s="22">
        <f ca="1">+GETPIVOTDATA("XLL4",'langlon (2016)'!$A$3,"MA_HT","TON","MA_QH","DNL")</f>
        <v>0</v>
      </c>
      <c r="AE49" s="22">
        <f ca="1">+GETPIVOTDATA("XLL4",'langlon (2016)'!$A$3,"MA_HT","TON","MA_QH","DBV")</f>
        <v>0</v>
      </c>
      <c r="AF49" s="22">
        <f ca="1">+GETPIVOTDATA("XLL4",'langlon (2016)'!$A$3,"MA_HT","TON","MA_QH","DVH")</f>
        <v>0</v>
      </c>
      <c r="AG49" s="22">
        <f ca="1">+GETPIVOTDATA("XLL4",'langlon (2016)'!$A$3,"MA_HT","TON","MA_QH","DYT")</f>
        <v>0</v>
      </c>
      <c r="AH49" s="22">
        <f ca="1">+GETPIVOTDATA("XLL4",'langlon (2016)'!$A$3,"MA_HT","TON","MA_QH","DGD")</f>
        <v>0</v>
      </c>
      <c r="AI49" s="22">
        <f ca="1">+GETPIVOTDATA("XLL4",'langlon (2016)'!$A$3,"MA_HT","TON","MA_QH","DTT")</f>
        <v>0</v>
      </c>
      <c r="AJ49" s="22">
        <f ca="1">+GETPIVOTDATA("XLL4",'langlon (2016)'!$A$3,"MA_HT","TON","MA_QH","NCK")</f>
        <v>0</v>
      </c>
      <c r="AK49" s="22">
        <f ca="1">+GETPIVOTDATA("XLL4",'langlon (2016)'!$A$3,"MA_HT","TON","MA_QH","DXH")</f>
        <v>0</v>
      </c>
      <c r="AL49" s="22">
        <f ca="1">+GETPIVOTDATA("XLL4",'langlon (2016)'!$A$3,"MA_HT","TON","MA_QH","DCH")</f>
        <v>0</v>
      </c>
      <c r="AM49" s="22">
        <f ca="1">+GETPIVOTDATA("XLL4",'langlon (2016)'!$A$3,"MA_HT","TON","MA_QH","DKG")</f>
        <v>0</v>
      </c>
      <c r="AN49" s="22">
        <f ca="1">+GETPIVOTDATA("XLL4",'langlon (2016)'!$A$3,"MA_HT","TON","MA_QH","DDT")</f>
        <v>0</v>
      </c>
      <c r="AO49" s="22">
        <f ca="1">+GETPIVOTDATA("XLL4",'langlon (2016)'!$A$3,"MA_HT","TON","MA_QH","DDL")</f>
        <v>0</v>
      </c>
      <c r="AP49" s="22">
        <f ca="1">+GETPIVOTDATA("XLL4",'langlon (2016)'!$A$3,"MA_HT","TON","MA_QH","DRA")</f>
        <v>0</v>
      </c>
      <c r="AQ49" s="22">
        <f ca="1">+GETPIVOTDATA("XLL4",'langlon (2016)'!$A$3,"MA_HT","TON","MA_QH","ONT")</f>
        <v>0</v>
      </c>
      <c r="AR49" s="22">
        <f ca="1">+GETPIVOTDATA("XLL4",'langlon (2016)'!$A$3,"MA_HT","TON","MA_QH","ODT")</f>
        <v>0</v>
      </c>
      <c r="AS49" s="22">
        <f ca="1">+GETPIVOTDATA("XLL4",'langlon (2016)'!$A$3,"MA_HT","TON","MA_QH","TSC")</f>
        <v>0</v>
      </c>
      <c r="AT49" s="22">
        <f ca="1">+GETPIVOTDATA("XLL4",'langlon (2016)'!$A$3,"MA_HT","TON","MA_QH","DTS")</f>
        <v>0</v>
      </c>
      <c r="AU49" s="22">
        <f ca="1">+GETPIVOTDATA("XLL4",'langlon (2016)'!$A$3,"MA_HT","TON","MA_QH","DNG")</f>
        <v>0</v>
      </c>
      <c r="AV49" s="43" t="e">
        <f ca="1">$D49-$BF49</f>
        <v>#REF!</v>
      </c>
      <c r="AW49" s="22">
        <f ca="1">+GETPIVOTDATA("XLL4",'langlon (2016)'!$A$3,"MA_HT","TON","MA_QH","NTD")</f>
        <v>0</v>
      </c>
      <c r="AX49" s="22">
        <f ca="1">+GETPIVOTDATA("XLL4",'langlon (2016)'!$A$3,"MA_HT","TON","MA_QH","SKX")</f>
        <v>0</v>
      </c>
      <c r="AY49" s="22">
        <f ca="1">+GETPIVOTDATA("XLL4",'langlon (2016)'!$A$3,"MA_HT","TON","MA_QH","DSH")</f>
        <v>0</v>
      </c>
      <c r="AZ49" s="22">
        <f ca="1">+GETPIVOTDATA("XLL4",'langlon (2016)'!$A$3,"MA_HT","TON","MA_QH","DKV")</f>
        <v>0</v>
      </c>
      <c r="BA49" s="89">
        <f ca="1">+GETPIVOTDATA("XLL4",'langlon (2016)'!$A$3,"MA_HT","TON","MA_QH","TIN")</f>
        <v>0</v>
      </c>
      <c r="BB49" s="50">
        <f ca="1">+GETPIVOTDATA("XLL4",'langlon (2016)'!$A$3,"MA_HT","TON","MA_QH","SON")</f>
        <v>0</v>
      </c>
      <c r="BC49" s="50">
        <f ca="1">+GETPIVOTDATA("XLL4",'langlon (2016)'!$A$3,"MA_HT","TON","MA_QH","MNC")</f>
        <v>0</v>
      </c>
      <c r="BD49" s="22">
        <f ca="1">+GETPIVOTDATA("XLL4",'langlon (2016)'!$A$3,"MA_HT","TON","MA_QH","PNK")</f>
        <v>0</v>
      </c>
      <c r="BE49" s="71">
        <f ca="1">+GETPIVOTDATA("XLL4",'langlon (2016)'!$A$3,"MA_HT","TON","MA_QH","CSD")</f>
        <v>0</v>
      </c>
      <c r="BF49" s="74">
        <f ca="1" t="shared" si="13"/>
        <v>0</v>
      </c>
      <c r="BG49" s="101">
        <f ca="1">AV$59-$BF49</f>
        <v>0</v>
      </c>
      <c r="BH49" s="41" t="e">
        <f ca="1" t="shared" si="14"/>
        <v>#REF!</v>
      </c>
      <c r="BI49" s="98"/>
      <c r="BJ49" s="98" t="e">
        <f>#REF!</f>
        <v>#REF!</v>
      </c>
      <c r="BK49" s="107" t="e">
        <f ca="1">BH49-BJ49</f>
        <v>#REF!</v>
      </c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</row>
    <row r="50" s="2" customFormat="1" ht="15.75" customHeight="1" spans="1:79">
      <c r="A50" s="39" t="s">
        <v>8418</v>
      </c>
      <c r="B50" s="53" t="s">
        <v>8419</v>
      </c>
      <c r="C50" s="40" t="s">
        <v>182</v>
      </c>
      <c r="D50" s="41" t="e">
        <f>+#REF!</f>
        <v>#REF!</v>
      </c>
      <c r="E50" s="42">
        <f ca="1" t="shared" si="15"/>
        <v>0</v>
      </c>
      <c r="F50" s="52">
        <f ca="1" t="shared" si="9"/>
        <v>0</v>
      </c>
      <c r="G50" s="22">
        <f ca="1">+GETPIVOTDATA("XLL4",'langlon (2016)'!$A$3,"MA_HT","NTD","MA_QH","LUC")</f>
        <v>0</v>
      </c>
      <c r="H50" s="22">
        <f ca="1">+GETPIVOTDATA("XLL4",'langlon (2016)'!$A$3,"MA_HT","NTD","MA_QH","LUK")</f>
        <v>0</v>
      </c>
      <c r="I50" s="22">
        <f ca="1">+GETPIVOTDATA("XLL4",'langlon (2016)'!$A$3,"MA_HT","NTD","MA_QH","LUN")</f>
        <v>0</v>
      </c>
      <c r="J50" s="22">
        <f ca="1">+GETPIVOTDATA("XLL4",'langlon (2016)'!$A$3,"MA_HT","NTD","MA_QH","HNK")</f>
        <v>0</v>
      </c>
      <c r="K50" s="22">
        <f ca="1">+GETPIVOTDATA("XLL4",'langlon (2016)'!$A$3,"MA_HT","NTD","MA_QH","CLN")</f>
        <v>0</v>
      </c>
      <c r="L50" s="22">
        <f ca="1">+GETPIVOTDATA("XLL4",'langlon (2016)'!$A$3,"MA_HT","NTD","MA_QH","RSX")</f>
        <v>0</v>
      </c>
      <c r="M50" s="22">
        <f ca="1">+GETPIVOTDATA("XLL4",'langlon (2016)'!$A$3,"MA_HT","NTD","MA_QH","RPH")</f>
        <v>0</v>
      </c>
      <c r="N50" s="22">
        <f ca="1">+GETPIVOTDATA("XLL4",'langlon (2016)'!$A$3,"MA_HT","NTD","MA_QH","RDD")</f>
        <v>0</v>
      </c>
      <c r="O50" s="22">
        <f ca="1">+GETPIVOTDATA("XLL4",'langlon (2016)'!$A$3,"MA_HT","NTD","MA_QH","NTS")</f>
        <v>0</v>
      </c>
      <c r="P50" s="22">
        <f ca="1">+GETPIVOTDATA("XLL4",'langlon (2016)'!$A$3,"MA_HT","NTD","MA_QH","LMU")</f>
        <v>0</v>
      </c>
      <c r="Q50" s="22">
        <f ca="1">+GETPIVOTDATA("XLL4",'langlon (2016)'!$A$3,"MA_HT","NTD","MA_QH","NKH")</f>
        <v>0</v>
      </c>
      <c r="R50" s="79">
        <f ca="1">SUM(S50:AA50,AN50:AV50,AX50:BD50)</f>
        <v>0</v>
      </c>
      <c r="S50" s="22">
        <f ca="1">+GETPIVOTDATA("XLL4",'langlon (2016)'!$A$3,"MA_HT","NTD","MA_QH","CQP")</f>
        <v>0</v>
      </c>
      <c r="T50" s="22">
        <f ca="1">+GETPIVOTDATA("XLL4",'langlon (2016)'!$A$3,"MA_HT","NTD","MA_QH","CAN")</f>
        <v>0</v>
      </c>
      <c r="U50" s="22">
        <f ca="1">+GETPIVOTDATA("XLL4",'langlon (2016)'!$A$3,"MA_HT","NTD","MA_QH","SKK")</f>
        <v>0</v>
      </c>
      <c r="V50" s="22">
        <f ca="1">+GETPIVOTDATA("XLL4",'langlon (2016)'!$A$3,"MA_HT","NTD","MA_QH","SKT")</f>
        <v>0</v>
      </c>
      <c r="W50" s="22">
        <f ca="1">+GETPIVOTDATA("XLL4",'langlon (2016)'!$A$3,"MA_HT","NTD","MA_QH","SKN")</f>
        <v>0</v>
      </c>
      <c r="X50" s="22">
        <f ca="1">+GETPIVOTDATA("XLL4",'langlon (2016)'!$A$3,"MA_HT","NTD","MA_QH","TMD")</f>
        <v>0</v>
      </c>
      <c r="Y50" s="22">
        <f ca="1">+GETPIVOTDATA("XLL4",'langlon (2016)'!$A$3,"MA_HT","NTD","MA_QH","SKC")</f>
        <v>0</v>
      </c>
      <c r="Z50" s="22">
        <f ca="1">+GETPIVOTDATA("XLL4",'langlon (2016)'!$A$3,"MA_HT","NTD","MA_QH","SKS")</f>
        <v>0</v>
      </c>
      <c r="AA50" s="52">
        <f ca="1" t="shared" si="21"/>
        <v>0</v>
      </c>
      <c r="AB50" s="22">
        <f ca="1">+GETPIVOTDATA("XLL4",'langlon (2016)'!$A$3,"MA_HT","NTD","MA_QH","DGT")</f>
        <v>0</v>
      </c>
      <c r="AC50" s="22">
        <f ca="1">+GETPIVOTDATA("XLL4",'langlon (2016)'!$A$3,"MA_HT","NTD","MA_QH","DTL")</f>
        <v>0</v>
      </c>
      <c r="AD50" s="22">
        <f ca="1">+GETPIVOTDATA("XLL4",'langlon (2016)'!$A$3,"MA_HT","NTD","MA_QH","DNL")</f>
        <v>0</v>
      </c>
      <c r="AE50" s="22">
        <f ca="1">+GETPIVOTDATA("XLL4",'langlon (2016)'!$A$3,"MA_HT","NTD","MA_QH","DBV")</f>
        <v>0</v>
      </c>
      <c r="AF50" s="22">
        <f ca="1">+GETPIVOTDATA("XLL4",'langlon (2016)'!$A$3,"MA_HT","NTD","MA_QH","DVH")</f>
        <v>0</v>
      </c>
      <c r="AG50" s="22">
        <f ca="1">+GETPIVOTDATA("XLL4",'langlon (2016)'!$A$3,"MA_HT","NTD","MA_QH","DYT")</f>
        <v>0</v>
      </c>
      <c r="AH50" s="22">
        <f ca="1">+GETPIVOTDATA("XLL4",'langlon (2016)'!$A$3,"MA_HT","NTD","MA_QH","DGD")</f>
        <v>0</v>
      </c>
      <c r="AI50" s="22">
        <f ca="1">+GETPIVOTDATA("XLL4",'langlon (2016)'!$A$3,"MA_HT","NTD","MA_QH","DTT")</f>
        <v>0</v>
      </c>
      <c r="AJ50" s="22">
        <f ca="1">+GETPIVOTDATA("XLL4",'langlon (2016)'!$A$3,"MA_HT","NTD","MA_QH","NCK")</f>
        <v>0</v>
      </c>
      <c r="AK50" s="22">
        <f ca="1">+GETPIVOTDATA("XLL4",'langlon (2016)'!$A$3,"MA_HT","NTD","MA_QH","DXH")</f>
        <v>0</v>
      </c>
      <c r="AL50" s="22">
        <f ca="1">+GETPIVOTDATA("XLL4",'langlon (2016)'!$A$3,"MA_HT","NTD","MA_QH","DCH")</f>
        <v>0</v>
      </c>
      <c r="AM50" s="22">
        <f ca="1">+GETPIVOTDATA("XLL4",'langlon (2016)'!$A$3,"MA_HT","NTD","MA_QH","DKG")</f>
        <v>0</v>
      </c>
      <c r="AN50" s="22">
        <f ca="1">+GETPIVOTDATA("XLL4",'langlon (2016)'!$A$3,"MA_HT","NTD","MA_QH","DDT")</f>
        <v>0</v>
      </c>
      <c r="AO50" s="22">
        <f ca="1">+GETPIVOTDATA("XLL4",'langlon (2016)'!$A$3,"MA_HT","NTD","MA_QH","DDL")</f>
        <v>0</v>
      </c>
      <c r="AP50" s="22">
        <f ca="1">+GETPIVOTDATA("XLL4",'langlon (2016)'!$A$3,"MA_HT","NTD","MA_QH","DRA")</f>
        <v>0</v>
      </c>
      <c r="AQ50" s="22">
        <f ca="1">+GETPIVOTDATA("XLL4",'langlon (2016)'!$A$3,"MA_HT","NTD","MA_QH","ONT")</f>
        <v>0</v>
      </c>
      <c r="AR50" s="22">
        <f ca="1">+GETPIVOTDATA("XLL4",'langlon (2016)'!$A$3,"MA_HT","NTD","MA_QH","ODT")</f>
        <v>0</v>
      </c>
      <c r="AS50" s="22">
        <f ca="1">+GETPIVOTDATA("XLL4",'langlon (2016)'!$A$3,"MA_HT","NTD","MA_QH","TSC")</f>
        <v>0</v>
      </c>
      <c r="AT50" s="22">
        <f ca="1">+GETPIVOTDATA("XLL4",'langlon (2016)'!$A$3,"MA_HT","NTD","MA_QH","DTS")</f>
        <v>0</v>
      </c>
      <c r="AU50" s="22">
        <f ca="1">+GETPIVOTDATA("XLL4",'langlon (2016)'!$A$3,"MA_HT","NTD","MA_QH","DNG")</f>
        <v>0</v>
      </c>
      <c r="AV50" s="22">
        <f ca="1">+GETPIVOTDATA("XLL4",'langlon (2016)'!$A$3,"MA_HT","NTD","MA_QH","TON")</f>
        <v>0</v>
      </c>
      <c r="AW50" s="43" t="e">
        <f ca="1">$D50-$BF50</f>
        <v>#REF!</v>
      </c>
      <c r="AX50" s="22">
        <f ca="1">+GETPIVOTDATA("XLL4",'langlon (2016)'!$A$3,"MA_HT","NTD","MA_QH","SKX")</f>
        <v>0</v>
      </c>
      <c r="AY50" s="22">
        <f ca="1">+GETPIVOTDATA("XLL4",'langlon (2016)'!$A$3,"MA_HT","NTD","MA_QH","DSH")</f>
        <v>0</v>
      </c>
      <c r="AZ50" s="22">
        <f ca="1">+GETPIVOTDATA("XLL4",'langlon (2016)'!$A$3,"MA_HT","NTD","MA_QH","DKV")</f>
        <v>0</v>
      </c>
      <c r="BA50" s="89">
        <f ca="1">+GETPIVOTDATA("XLL4",'langlon (2016)'!$A$3,"MA_HT","NTD","MA_QH","TIN")</f>
        <v>0</v>
      </c>
      <c r="BB50" s="50">
        <f ca="1">+GETPIVOTDATA("XLL4",'langlon (2016)'!$A$3,"MA_HT","NTD","MA_QH","SON")</f>
        <v>0</v>
      </c>
      <c r="BC50" s="50">
        <f ca="1">+GETPIVOTDATA("XLL4",'langlon (2016)'!$A$3,"MA_HT","NTD","MA_QH","MNC")</f>
        <v>0</v>
      </c>
      <c r="BD50" s="22">
        <f ca="1">+GETPIVOTDATA("XLL4",'langlon (2016)'!$A$3,"MA_HT","NTD","MA_QH","PNK")</f>
        <v>0</v>
      </c>
      <c r="BE50" s="71">
        <f ca="1">+GETPIVOTDATA("XLL4",'langlon (2016)'!$A$3,"MA_HT","NTD","MA_QH","CSD")</f>
        <v>0</v>
      </c>
      <c r="BF50" s="74">
        <f ca="1" t="shared" si="13"/>
        <v>0</v>
      </c>
      <c r="BG50" s="101">
        <f ca="1">AW$59-$BF50</f>
        <v>0</v>
      </c>
      <c r="BH50" s="41" t="e">
        <f ca="1" t="shared" si="14"/>
        <v>#REF!</v>
      </c>
      <c r="BI50" s="98"/>
      <c r="BJ50" s="98"/>
      <c r="BK50" s="107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</row>
    <row r="51" s="2" customFormat="1" ht="15.75" customHeight="1" spans="1:79">
      <c r="A51" s="39" t="s">
        <v>8420</v>
      </c>
      <c r="B51" s="39" t="s">
        <v>8421</v>
      </c>
      <c r="C51" s="40" t="s">
        <v>236</v>
      </c>
      <c r="D51" s="41" t="e">
        <f>+#REF!</f>
        <v>#REF!</v>
      </c>
      <c r="E51" s="42">
        <f ca="1" t="shared" si="15"/>
        <v>0</v>
      </c>
      <c r="F51" s="52">
        <f ca="1" t="shared" si="9"/>
        <v>0</v>
      </c>
      <c r="G51" s="22">
        <f ca="1">+GETPIVOTDATA("XLL4",'langlon (2016)'!$A$3,"MA_HT","SKX","MA_QH","LUC")</f>
        <v>0</v>
      </c>
      <c r="H51" s="22">
        <f ca="1">+GETPIVOTDATA("XLL4",'langlon (2016)'!$A$3,"MA_HT","SKX","MA_QH","LUK")</f>
        <v>0</v>
      </c>
      <c r="I51" s="22">
        <f ca="1">+GETPIVOTDATA("XLL4",'langlon (2016)'!$A$3,"MA_HT","SKX","MA_QH","LUN")</f>
        <v>0</v>
      </c>
      <c r="J51" s="22">
        <f ca="1">+GETPIVOTDATA("XLL4",'langlon (2016)'!$A$3,"MA_HT","SKX","MA_QH","HNK")</f>
        <v>0</v>
      </c>
      <c r="K51" s="22">
        <f ca="1">+GETPIVOTDATA("XLL4",'langlon (2016)'!$A$3,"MA_HT","SKX","MA_QH","CLN")</f>
        <v>0</v>
      </c>
      <c r="L51" s="22">
        <f ca="1">+GETPIVOTDATA("XLL4",'langlon (2016)'!$A$3,"MA_HT","SKX","MA_QH","RSX")</f>
        <v>0</v>
      </c>
      <c r="M51" s="22">
        <f ca="1">+GETPIVOTDATA("XLL4",'langlon (2016)'!$A$3,"MA_HT","SKX","MA_QH","RPH")</f>
        <v>0</v>
      </c>
      <c r="N51" s="22">
        <f ca="1">+GETPIVOTDATA("XLL4",'langlon (2016)'!$A$3,"MA_HT","SKX","MA_QH","RDD")</f>
        <v>0</v>
      </c>
      <c r="O51" s="22">
        <f ca="1">+GETPIVOTDATA("XLL4",'langlon (2016)'!$A$3,"MA_HT","SKX","MA_QH","NTS")</f>
        <v>0</v>
      </c>
      <c r="P51" s="22">
        <f ca="1">+GETPIVOTDATA("XLL4",'langlon (2016)'!$A$3,"MA_HT","SKX","MA_QH","LMU")</f>
        <v>0</v>
      </c>
      <c r="Q51" s="22">
        <f ca="1">+GETPIVOTDATA("XLL4",'langlon (2016)'!$A$3,"MA_HT","SKX","MA_QH","NKH")</f>
        <v>0</v>
      </c>
      <c r="R51" s="79">
        <f ca="1">SUM(S51:AA51,AN51:AW51,AY51:BD51)</f>
        <v>0</v>
      </c>
      <c r="S51" s="22">
        <f ca="1">+GETPIVOTDATA("XLL4",'langlon (2016)'!$A$3,"MA_HT","SKX","MA_QH","CQP")</f>
        <v>0</v>
      </c>
      <c r="T51" s="22">
        <f ca="1">+GETPIVOTDATA("XLL4",'langlon (2016)'!$A$3,"MA_HT","SKX","MA_QH","CAN")</f>
        <v>0</v>
      </c>
      <c r="U51" s="22">
        <f ca="1">+GETPIVOTDATA("XLL4",'langlon (2016)'!$A$3,"MA_HT","SKX","MA_QH","SKK")</f>
        <v>0</v>
      </c>
      <c r="V51" s="22">
        <f ca="1">+GETPIVOTDATA("XLL4",'langlon (2016)'!$A$3,"MA_HT","SKX","MA_QH","SKT")</f>
        <v>0</v>
      </c>
      <c r="W51" s="22">
        <f ca="1">+GETPIVOTDATA("XLL4",'langlon (2016)'!$A$3,"MA_HT","SKX","MA_QH","SKN")</f>
        <v>0</v>
      </c>
      <c r="X51" s="22">
        <f ca="1">+GETPIVOTDATA("XLL4",'langlon (2016)'!$A$3,"MA_HT","SKX","MA_QH","TMD")</f>
        <v>0</v>
      </c>
      <c r="Y51" s="22">
        <f ca="1">+GETPIVOTDATA("XLL4",'langlon (2016)'!$A$3,"MA_HT","SKX","MA_QH","SKC")</f>
        <v>0</v>
      </c>
      <c r="Z51" s="22">
        <f ca="1">+GETPIVOTDATA("XLL4",'langlon (2016)'!$A$3,"MA_HT","SKX","MA_QH","SKS")</f>
        <v>0</v>
      </c>
      <c r="AA51" s="52">
        <f ca="1" t="shared" si="21"/>
        <v>0</v>
      </c>
      <c r="AB51" s="22">
        <f ca="1">+GETPIVOTDATA("XLL4",'langlon (2016)'!$A$3,"MA_HT","SKX","MA_QH","DGT")</f>
        <v>0</v>
      </c>
      <c r="AC51" s="22">
        <f ca="1">+GETPIVOTDATA("XLL4",'langlon (2016)'!$A$3,"MA_HT","SKX","MA_QH","DTL")</f>
        <v>0</v>
      </c>
      <c r="AD51" s="22">
        <f ca="1">+GETPIVOTDATA("XLL4",'langlon (2016)'!$A$3,"MA_HT","SKX","MA_QH","DNL")</f>
        <v>0</v>
      </c>
      <c r="AE51" s="22">
        <f ca="1">+GETPIVOTDATA("XLL4",'langlon (2016)'!$A$3,"MA_HT","SKX","MA_QH","DBV")</f>
        <v>0</v>
      </c>
      <c r="AF51" s="22">
        <f ca="1">+GETPIVOTDATA("XLL4",'langlon (2016)'!$A$3,"MA_HT","SKX","MA_QH","DVH")</f>
        <v>0</v>
      </c>
      <c r="AG51" s="22">
        <f ca="1">+GETPIVOTDATA("XLL4",'langlon (2016)'!$A$3,"MA_HT","SKX","MA_QH","DYT")</f>
        <v>0</v>
      </c>
      <c r="AH51" s="22">
        <f ca="1">+GETPIVOTDATA("XLL4",'langlon (2016)'!$A$3,"MA_HT","SKX","MA_QH","DGD")</f>
        <v>0</v>
      </c>
      <c r="AI51" s="22">
        <f ca="1">+GETPIVOTDATA("XLL4",'langlon (2016)'!$A$3,"MA_HT","SKX","MA_QH","DTT")</f>
        <v>0</v>
      </c>
      <c r="AJ51" s="22">
        <f ca="1">+GETPIVOTDATA("XLL4",'langlon (2016)'!$A$3,"MA_HT","SKX","MA_QH","NCK")</f>
        <v>0</v>
      </c>
      <c r="AK51" s="22">
        <f ca="1">+GETPIVOTDATA("XLL4",'langlon (2016)'!$A$3,"MA_HT","SKX","MA_QH","DXH")</f>
        <v>0</v>
      </c>
      <c r="AL51" s="22">
        <f ca="1">+GETPIVOTDATA("XLL4",'langlon (2016)'!$A$3,"MA_HT","SKX","MA_QH","DCH")</f>
        <v>0</v>
      </c>
      <c r="AM51" s="22">
        <f ca="1">+GETPIVOTDATA("XLL4",'langlon (2016)'!$A$3,"MA_HT","SKX","MA_QH","DKG")</f>
        <v>0</v>
      </c>
      <c r="AN51" s="22">
        <f ca="1">+GETPIVOTDATA("XLL4",'langlon (2016)'!$A$3,"MA_HT","SKX","MA_QH","DDT")</f>
        <v>0</v>
      </c>
      <c r="AO51" s="22">
        <f ca="1">+GETPIVOTDATA("XLL4",'langlon (2016)'!$A$3,"MA_HT","SKX","MA_QH","DDL")</f>
        <v>0</v>
      </c>
      <c r="AP51" s="22">
        <f ca="1">+GETPIVOTDATA("XLL4",'langlon (2016)'!$A$3,"MA_HT","SKX","MA_QH","DRA")</f>
        <v>0</v>
      </c>
      <c r="AQ51" s="22">
        <f ca="1">+GETPIVOTDATA("XLL4",'langlon (2016)'!$A$3,"MA_HT","SKX","MA_QH","ONT")</f>
        <v>0</v>
      </c>
      <c r="AR51" s="22">
        <f ca="1">+GETPIVOTDATA("XLL4",'langlon (2016)'!$A$3,"MA_HT","SKX","MA_QH","ODT")</f>
        <v>0</v>
      </c>
      <c r="AS51" s="22">
        <f ca="1">+GETPIVOTDATA("XLL4",'langlon (2016)'!$A$3,"MA_HT","SKX","MA_QH","TSC")</f>
        <v>0</v>
      </c>
      <c r="AT51" s="22">
        <f ca="1">+GETPIVOTDATA("XLL4",'langlon (2016)'!$A$3,"MA_HT","SKX","MA_QH","DTS")</f>
        <v>0</v>
      </c>
      <c r="AU51" s="22">
        <f ca="1">+GETPIVOTDATA("XLL4",'langlon (2016)'!$A$3,"MA_HT","SKX","MA_QH","DNG")</f>
        <v>0</v>
      </c>
      <c r="AV51" s="22">
        <f ca="1">+GETPIVOTDATA("XLL4",'langlon (2016)'!$A$3,"MA_HT","SKX","MA_QH","TON")</f>
        <v>0</v>
      </c>
      <c r="AW51" s="22">
        <f ca="1">+GETPIVOTDATA("XLL4",'langlon (2016)'!$A$3,"MA_HT","SKX","MA_QH","NTD")</f>
        <v>0</v>
      </c>
      <c r="AX51" s="43" t="e">
        <f ca="1">$D51-$BF51</f>
        <v>#REF!</v>
      </c>
      <c r="AY51" s="22">
        <f ca="1">+GETPIVOTDATA("XLL4",'langlon (2016)'!$A$3,"MA_HT","SKX","MA_QH","DSH")</f>
        <v>0</v>
      </c>
      <c r="AZ51" s="22">
        <f ca="1">+GETPIVOTDATA("XLL4",'langlon (2016)'!$A$3,"MA_HT","SKX","MA_QH","DKV")</f>
        <v>0</v>
      </c>
      <c r="BA51" s="89">
        <f ca="1">+GETPIVOTDATA("XLL4",'langlon (2016)'!$A$3,"MA_HT","SKX","MA_QH","TIN")</f>
        <v>0</v>
      </c>
      <c r="BB51" s="50">
        <f ca="1">+GETPIVOTDATA("XLL4",'langlon (2016)'!$A$3,"MA_HT","SKX","MA_QH","SON")</f>
        <v>0</v>
      </c>
      <c r="BC51" s="50">
        <f ca="1">+GETPIVOTDATA("XLL4",'langlon (2016)'!$A$3,"MA_HT","SKX","MA_QH","MNC")</f>
        <v>0</v>
      </c>
      <c r="BD51" s="22">
        <f ca="1">+GETPIVOTDATA("XLL4",'langlon (2016)'!$A$3,"MA_HT","SKX","MA_QH","PNK")</f>
        <v>0</v>
      </c>
      <c r="BE51" s="71">
        <f ca="1">+GETPIVOTDATA("XLL4",'langlon (2016)'!$A$3,"MA_HT","SKX","MA_QH","CSD")</f>
        <v>0</v>
      </c>
      <c r="BF51" s="74">
        <f ca="1" t="shared" si="13"/>
        <v>0</v>
      </c>
      <c r="BG51" s="101">
        <f ca="1">AX$59-$BF51</f>
        <v>0</v>
      </c>
      <c r="BH51" s="41" t="e">
        <f ca="1" t="shared" si="14"/>
        <v>#REF!</v>
      </c>
      <c r="BI51" s="98"/>
      <c r="BJ51" s="98" t="e">
        <f>#REF!</f>
        <v>#REF!</v>
      </c>
      <c r="BK51" s="107" t="e">
        <f ca="1">BH51-BJ51</f>
        <v>#REF!</v>
      </c>
      <c r="BL51" s="98"/>
      <c r="BM51" s="122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</row>
    <row r="52" s="2" customFormat="1" ht="15.75" customHeight="1" spans="1:79">
      <c r="A52" s="39" t="s">
        <v>8422</v>
      </c>
      <c r="B52" s="39" t="s">
        <v>8423</v>
      </c>
      <c r="C52" s="40" t="s">
        <v>8292</v>
      </c>
      <c r="D52" s="41" t="e">
        <f>+#REF!</f>
        <v>#REF!</v>
      </c>
      <c r="E52" s="42">
        <f ca="1" t="shared" si="15"/>
        <v>0</v>
      </c>
      <c r="F52" s="52">
        <f ca="1" t="shared" si="9"/>
        <v>0</v>
      </c>
      <c r="G52" s="22">
        <f ca="1">+GETPIVOTDATA("XLL4",'langlon (2016)'!$A$3,"MA_HT","DSH","MA_QH","LUC")</f>
        <v>0</v>
      </c>
      <c r="H52" s="22">
        <f ca="1">+GETPIVOTDATA("XLL4",'langlon (2016)'!$A$3,"MA_HT","DSH","MA_QH","LUK")</f>
        <v>0</v>
      </c>
      <c r="I52" s="22">
        <f ca="1">+GETPIVOTDATA("XLL4",'langlon (2016)'!$A$3,"MA_HT","DSH","MA_QH","LUN")</f>
        <v>0</v>
      </c>
      <c r="J52" s="22">
        <f ca="1">+GETPIVOTDATA("XLL4",'langlon (2016)'!$A$3,"MA_HT","DSH","MA_QH","HNK")</f>
        <v>0</v>
      </c>
      <c r="K52" s="22">
        <f ca="1">+GETPIVOTDATA("XLL4",'langlon (2016)'!$A$3,"MA_HT","DSH","MA_QH","CLN")</f>
        <v>0</v>
      </c>
      <c r="L52" s="22">
        <f ca="1">+GETPIVOTDATA("XLL4",'langlon (2016)'!$A$3,"MA_HT","DSH","MA_QH","RSX")</f>
        <v>0</v>
      </c>
      <c r="M52" s="22">
        <f ca="1">+GETPIVOTDATA("XLL4",'langlon (2016)'!$A$3,"MA_HT","DSH","MA_QH","RPH")</f>
        <v>0</v>
      </c>
      <c r="N52" s="22">
        <f ca="1">+GETPIVOTDATA("XLL4",'langlon (2016)'!$A$3,"MA_HT","DSH","MA_QH","RDD")</f>
        <v>0</v>
      </c>
      <c r="O52" s="22">
        <f ca="1">+GETPIVOTDATA("XLL4",'langlon (2016)'!$A$3,"MA_HT","DSH","MA_QH","NTS")</f>
        <v>0</v>
      </c>
      <c r="P52" s="22">
        <f ca="1">+GETPIVOTDATA("XLL4",'langlon (2016)'!$A$3,"MA_HT","DSH","MA_QH","LMU")</f>
        <v>0</v>
      </c>
      <c r="Q52" s="22">
        <f ca="1">+GETPIVOTDATA("XLL4",'langlon (2016)'!$A$3,"MA_HT","DSH","MA_QH","NKH")</f>
        <v>0</v>
      </c>
      <c r="R52" s="79">
        <f ca="1">SUM(S52:AA52,AN52:AX52,AZ52:BD52)</f>
        <v>0</v>
      </c>
      <c r="S52" s="22">
        <f ca="1">+GETPIVOTDATA("XLL4",'langlon (2016)'!$A$3,"MA_HT","DSH","MA_QH","CQP")</f>
        <v>0</v>
      </c>
      <c r="T52" s="22">
        <f ca="1">+GETPIVOTDATA("XLL4",'langlon (2016)'!$A$3,"MA_HT","DSH","MA_QH","CAN")</f>
        <v>0</v>
      </c>
      <c r="U52" s="22">
        <f ca="1">+GETPIVOTDATA("XLL4",'langlon (2016)'!$A$3,"MA_HT","DSH","MA_QH","SKK")</f>
        <v>0</v>
      </c>
      <c r="V52" s="22">
        <f ca="1">+GETPIVOTDATA("XLL4",'langlon (2016)'!$A$3,"MA_HT","DSH","MA_QH","SKT")</f>
        <v>0</v>
      </c>
      <c r="W52" s="22">
        <f ca="1">+GETPIVOTDATA("XLL4",'langlon (2016)'!$A$3,"MA_HT","DSH","MA_QH","SKN")</f>
        <v>0</v>
      </c>
      <c r="X52" s="22">
        <f ca="1">+GETPIVOTDATA("XLL4",'langlon (2016)'!$A$3,"MA_HT","DSH","MA_QH","TMD")</f>
        <v>0</v>
      </c>
      <c r="Y52" s="22">
        <f ca="1">+GETPIVOTDATA("XLL4",'langlon (2016)'!$A$3,"MA_HT","DSH","MA_QH","SKC")</f>
        <v>0</v>
      </c>
      <c r="Z52" s="22">
        <f ca="1">+GETPIVOTDATA("XLL4",'langlon (2016)'!$A$3,"MA_HT","DSH","MA_QH","SKS")</f>
        <v>0</v>
      </c>
      <c r="AA52" s="52">
        <f ca="1" t="shared" si="21"/>
        <v>0</v>
      </c>
      <c r="AB52" s="22">
        <f ca="1">+GETPIVOTDATA("XLL4",'langlon (2016)'!$A$3,"MA_HT","DSH","MA_QH","DGT")</f>
        <v>0</v>
      </c>
      <c r="AC52" s="22">
        <f ca="1">+GETPIVOTDATA("XLL4",'langlon (2016)'!$A$3,"MA_HT","DSH","MA_QH","DTL")</f>
        <v>0</v>
      </c>
      <c r="AD52" s="22">
        <f ca="1">+GETPIVOTDATA("XLL4",'langlon (2016)'!$A$3,"MA_HT","DSH","MA_QH","DNL")</f>
        <v>0</v>
      </c>
      <c r="AE52" s="22">
        <f ca="1">+GETPIVOTDATA("XLL4",'langlon (2016)'!$A$3,"MA_HT","DSH","MA_QH","DBV")</f>
        <v>0</v>
      </c>
      <c r="AF52" s="22">
        <f ca="1">+GETPIVOTDATA("XLL4",'langlon (2016)'!$A$3,"MA_HT","DSH","MA_QH","DVH")</f>
        <v>0</v>
      </c>
      <c r="AG52" s="22">
        <f ca="1">+GETPIVOTDATA("XLL4",'langlon (2016)'!$A$3,"MA_HT","DSH","MA_QH","DYT")</f>
        <v>0</v>
      </c>
      <c r="AH52" s="22">
        <f ca="1">+GETPIVOTDATA("XLL4",'langlon (2016)'!$A$3,"MA_HT","DSH","MA_QH","DGD")</f>
        <v>0</v>
      </c>
      <c r="AI52" s="22">
        <f ca="1">+GETPIVOTDATA("XLL4",'langlon (2016)'!$A$3,"MA_HT","DSH","MA_QH","DTT")</f>
        <v>0</v>
      </c>
      <c r="AJ52" s="22">
        <f ca="1">+GETPIVOTDATA("XLL4",'langlon (2016)'!$A$3,"MA_HT","DSH","MA_QH","NCK")</f>
        <v>0</v>
      </c>
      <c r="AK52" s="22">
        <f ca="1">+GETPIVOTDATA("XLL4",'langlon (2016)'!$A$3,"MA_HT","DSH","MA_QH","DXH")</f>
        <v>0</v>
      </c>
      <c r="AL52" s="22">
        <f ca="1">+GETPIVOTDATA("XLL4",'langlon (2016)'!$A$3,"MA_HT","DSH","MA_QH","DCH")</f>
        <v>0</v>
      </c>
      <c r="AM52" s="22">
        <f ca="1">+GETPIVOTDATA("XLL4",'langlon (2016)'!$A$3,"MA_HT","DSH","MA_QH","DKG")</f>
        <v>0</v>
      </c>
      <c r="AN52" s="22">
        <f ca="1">+GETPIVOTDATA("XLL4",'langlon (2016)'!$A$3,"MA_HT","DSH","MA_QH","DDT")</f>
        <v>0</v>
      </c>
      <c r="AO52" s="22">
        <f ca="1">+GETPIVOTDATA("XLL4",'langlon (2016)'!$A$3,"MA_HT","DSH","MA_QH","DDL")</f>
        <v>0</v>
      </c>
      <c r="AP52" s="22">
        <f ca="1">+GETPIVOTDATA("XLL4",'langlon (2016)'!$A$3,"MA_HT","DSH","MA_QH","DRA")</f>
        <v>0</v>
      </c>
      <c r="AQ52" s="22">
        <f ca="1">+GETPIVOTDATA("XLL4",'langlon (2016)'!$A$3,"MA_HT","DSH","MA_QH","ONT")</f>
        <v>0</v>
      </c>
      <c r="AR52" s="22">
        <f ca="1">+GETPIVOTDATA("XLL4",'langlon (2016)'!$A$3,"MA_HT","DSH","MA_QH","ODT")</f>
        <v>0</v>
      </c>
      <c r="AS52" s="22">
        <f ca="1">+GETPIVOTDATA("XLL4",'langlon (2016)'!$A$3,"MA_HT","DSH","MA_QH","TSC")</f>
        <v>0</v>
      </c>
      <c r="AT52" s="22">
        <f ca="1">+GETPIVOTDATA("XLL4",'langlon (2016)'!$A$3,"MA_HT","DSH","MA_QH","DTS")</f>
        <v>0</v>
      </c>
      <c r="AU52" s="22">
        <f ca="1">+GETPIVOTDATA("XLL4",'langlon (2016)'!$A$3,"MA_HT","DSH","MA_QH","DNG")</f>
        <v>0</v>
      </c>
      <c r="AV52" s="22">
        <f ca="1">+GETPIVOTDATA("XLL4",'langlon (2016)'!$A$3,"MA_HT","DSH","MA_QH","TON")</f>
        <v>0</v>
      </c>
      <c r="AW52" s="22">
        <f ca="1">+GETPIVOTDATA("XLL4",'langlon (2016)'!$A$3,"MA_HT","DSH","MA_QH","NTD")</f>
        <v>0</v>
      </c>
      <c r="AX52" s="22">
        <f ca="1">+GETPIVOTDATA("XLL4",'langlon (2016)'!$A$3,"MA_HT","DSH","MA_QH","SKX")</f>
        <v>0</v>
      </c>
      <c r="AY52" s="43" t="e">
        <f ca="1">$D52-$BF52</f>
        <v>#REF!</v>
      </c>
      <c r="AZ52" s="22">
        <f ca="1">+GETPIVOTDATA("XLL4",'langlon (2016)'!$A$3,"MA_HT","DSH","MA_QH","DKV")</f>
        <v>0</v>
      </c>
      <c r="BA52" s="89">
        <f ca="1">+GETPIVOTDATA("XLL4",'langlon (2016)'!$A$3,"MA_HT","DSH","MA_QH","TIN")</f>
        <v>0</v>
      </c>
      <c r="BB52" s="50">
        <f ca="1">+GETPIVOTDATA("XLL4",'langlon (2016)'!$A$3,"MA_HT","DSH","MA_QH","SON")</f>
        <v>0</v>
      </c>
      <c r="BC52" s="50">
        <f ca="1">+GETPIVOTDATA("XLL4",'langlon (2016)'!$A$3,"MA_HT","DSH","MA_QH","MNC")</f>
        <v>0</v>
      </c>
      <c r="BD52" s="22">
        <f ca="1">+GETPIVOTDATA("XLL4",'langlon (2016)'!$A$3,"MA_HT","DSH","MA_QH","PNK")</f>
        <v>0</v>
      </c>
      <c r="BE52" s="71">
        <f ca="1">+GETPIVOTDATA("XLL4",'langlon (2016)'!$A$3,"MA_HT","DSH","MA_QH","CSD")</f>
        <v>0</v>
      </c>
      <c r="BF52" s="74">
        <f ca="1" t="shared" si="13"/>
        <v>0</v>
      </c>
      <c r="BG52" s="101">
        <f ca="1">AY$59-$BF52</f>
        <v>0</v>
      </c>
      <c r="BH52" s="41" t="e">
        <f ca="1" t="shared" si="14"/>
        <v>#REF!</v>
      </c>
      <c r="BI52" s="98"/>
      <c r="BJ52" s="98" t="e">
        <f>#REF!</f>
        <v>#REF!</v>
      </c>
      <c r="BK52" s="107" t="e">
        <f ca="1">BH52-BJ52</f>
        <v>#REF!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</row>
    <row r="53" s="2" customFormat="1" ht="15.75" customHeight="1" spans="1:79">
      <c r="A53" s="39" t="s">
        <v>8424</v>
      </c>
      <c r="B53" s="39" t="s">
        <v>8425</v>
      </c>
      <c r="C53" s="40" t="s">
        <v>8289</v>
      </c>
      <c r="D53" s="41" t="e">
        <f>+#REF!</f>
        <v>#REF!</v>
      </c>
      <c r="E53" s="42">
        <f ca="1" t="shared" si="15"/>
        <v>0</v>
      </c>
      <c r="F53" s="52">
        <f ca="1" t="shared" si="9"/>
        <v>0</v>
      </c>
      <c r="G53" s="22">
        <f ca="1">+GETPIVOTDATA("XLL4",'langlon (2016)'!$A$3,"MA_HT","DKV","MA_QH","LUC")</f>
        <v>0</v>
      </c>
      <c r="H53" s="22">
        <f ca="1">+GETPIVOTDATA("XLL4",'langlon (2016)'!$A$3,"MA_HT","DKV","MA_QH","LUK")</f>
        <v>0</v>
      </c>
      <c r="I53" s="22">
        <f ca="1">+GETPIVOTDATA("XLL4",'langlon (2016)'!$A$3,"MA_HT","DKV","MA_QH","LUN")</f>
        <v>0</v>
      </c>
      <c r="J53" s="22">
        <f ca="1">+GETPIVOTDATA("XLL4",'langlon (2016)'!$A$3,"MA_HT","DKV","MA_QH","HNK")</f>
        <v>0</v>
      </c>
      <c r="K53" s="22">
        <f ca="1">+GETPIVOTDATA("XLL4",'langlon (2016)'!$A$3,"MA_HT","DKV","MA_QH","CLN")</f>
        <v>0</v>
      </c>
      <c r="L53" s="22">
        <f ca="1">+GETPIVOTDATA("XLL4",'langlon (2016)'!$A$3,"MA_HT","DKV","MA_QH","RSX")</f>
        <v>0</v>
      </c>
      <c r="M53" s="22">
        <f ca="1">+GETPIVOTDATA("XLL4",'langlon (2016)'!$A$3,"MA_HT","DKV","MA_QH","RPH")</f>
        <v>0</v>
      </c>
      <c r="N53" s="22">
        <f ca="1">+GETPIVOTDATA("XLL4",'langlon (2016)'!$A$3,"MA_HT","DKV","MA_QH","RDD")</f>
        <v>0</v>
      </c>
      <c r="O53" s="22">
        <f ca="1">+GETPIVOTDATA("XLL4",'langlon (2016)'!$A$3,"MA_HT","DKV","MA_QH","NTS")</f>
        <v>0</v>
      </c>
      <c r="P53" s="22">
        <f ca="1">+GETPIVOTDATA("XLL4",'langlon (2016)'!$A$3,"MA_HT","DKV","MA_QH","LMU")</f>
        <v>0</v>
      </c>
      <c r="Q53" s="22">
        <f ca="1">+GETPIVOTDATA("XLL4",'langlon (2016)'!$A$3,"MA_HT","DKV","MA_QH","NKH")</f>
        <v>0</v>
      </c>
      <c r="R53" s="79">
        <f ca="1">SUM(S53:AA53,AN53:AY53,BB53:BD53)</f>
        <v>0</v>
      </c>
      <c r="S53" s="22">
        <f ca="1">+GETPIVOTDATA("XLL4",'langlon (2016)'!$A$3,"MA_HT","DKV","MA_QH","CQP")</f>
        <v>0</v>
      </c>
      <c r="T53" s="22">
        <f ca="1">+GETPIVOTDATA("XLL4",'langlon (2016)'!$A$3,"MA_HT","DKV","MA_QH","CAN")</f>
        <v>0</v>
      </c>
      <c r="U53" s="22">
        <f ca="1">+GETPIVOTDATA("XLL4",'langlon (2016)'!$A$3,"MA_HT","DKV","MA_QH","SKK")</f>
        <v>0</v>
      </c>
      <c r="V53" s="22">
        <f ca="1">+GETPIVOTDATA("XLL4",'langlon (2016)'!$A$3,"MA_HT","DKV","MA_QH","SKT")</f>
        <v>0</v>
      </c>
      <c r="W53" s="22">
        <f ca="1">+GETPIVOTDATA("XLL4",'langlon (2016)'!$A$3,"MA_HT","DKV","MA_QH","SKN")</f>
        <v>0</v>
      </c>
      <c r="X53" s="22">
        <f ca="1">+GETPIVOTDATA("XLL4",'langlon (2016)'!$A$3,"MA_HT","DKV","MA_QH","TMD")</f>
        <v>0</v>
      </c>
      <c r="Y53" s="22">
        <f ca="1">+GETPIVOTDATA("XLL4",'langlon (2016)'!$A$3,"MA_HT","DKV","MA_QH","SKC")</f>
        <v>0</v>
      </c>
      <c r="Z53" s="22">
        <f ca="1">+GETPIVOTDATA("XLL4",'langlon (2016)'!$A$3,"MA_HT","DKV","MA_QH","SKS")</f>
        <v>0</v>
      </c>
      <c r="AA53" s="52">
        <f ca="1" t="shared" si="21"/>
        <v>0</v>
      </c>
      <c r="AB53" s="22">
        <f ca="1">+GETPIVOTDATA("XLL4",'langlon (2016)'!$A$3,"MA_HT","DKV","MA_QH","DGT")</f>
        <v>0</v>
      </c>
      <c r="AC53" s="22">
        <f ca="1">+GETPIVOTDATA("XLL4",'langlon (2016)'!$A$3,"MA_HT","DKV","MA_QH","DTL")</f>
        <v>0</v>
      </c>
      <c r="AD53" s="22">
        <f ca="1">+GETPIVOTDATA("XLL4",'langlon (2016)'!$A$3,"MA_HT","DKV","MA_QH","DNL")</f>
        <v>0</v>
      </c>
      <c r="AE53" s="22">
        <f ca="1">+GETPIVOTDATA("XLL4",'langlon (2016)'!$A$3,"MA_HT","DKV","MA_QH","DBV")</f>
        <v>0</v>
      </c>
      <c r="AF53" s="22">
        <f ca="1">+GETPIVOTDATA("XLL4",'langlon (2016)'!$A$3,"MA_HT","DKV","MA_QH","DVH")</f>
        <v>0</v>
      </c>
      <c r="AG53" s="22">
        <f ca="1">+GETPIVOTDATA("XLL4",'langlon (2016)'!$A$3,"MA_HT","DKV","MA_QH","DYT")</f>
        <v>0</v>
      </c>
      <c r="AH53" s="22">
        <f ca="1">+GETPIVOTDATA("XLL4",'langlon (2016)'!$A$3,"MA_HT","DKV","MA_QH","DGD")</f>
        <v>0</v>
      </c>
      <c r="AI53" s="22">
        <f ca="1">+GETPIVOTDATA("XLL4",'langlon (2016)'!$A$3,"MA_HT","DKV","MA_QH","DTT")</f>
        <v>0</v>
      </c>
      <c r="AJ53" s="22">
        <f ca="1">+GETPIVOTDATA("XLL4",'langlon (2016)'!$A$3,"MA_HT","DKV","MA_QH","NCK")</f>
        <v>0</v>
      </c>
      <c r="AK53" s="22">
        <f ca="1">+GETPIVOTDATA("XLL4",'langlon (2016)'!$A$3,"MA_HT","DKV","MA_QH","DXH")</f>
        <v>0</v>
      </c>
      <c r="AL53" s="22">
        <f ca="1">+GETPIVOTDATA("XLL4",'langlon (2016)'!$A$3,"MA_HT","DKV","MA_QH","DCH")</f>
        <v>0</v>
      </c>
      <c r="AM53" s="22">
        <f ca="1">+GETPIVOTDATA("XLL4",'langlon (2016)'!$A$3,"MA_HT","DKV","MA_QH","DKG")</f>
        <v>0</v>
      </c>
      <c r="AN53" s="22">
        <f ca="1">+GETPIVOTDATA("XLL4",'langlon (2016)'!$A$3,"MA_HT","DKV","MA_QH","DDT")</f>
        <v>0</v>
      </c>
      <c r="AO53" s="22">
        <f ca="1">+GETPIVOTDATA("XLL4",'langlon (2016)'!$A$3,"MA_HT","DKV","MA_QH","DDL")</f>
        <v>0</v>
      </c>
      <c r="AP53" s="22">
        <f ca="1">+GETPIVOTDATA("XLL4",'langlon (2016)'!$A$3,"MA_HT","DKV","MA_QH","DRA")</f>
        <v>0</v>
      </c>
      <c r="AQ53" s="22">
        <f ca="1">+GETPIVOTDATA("XLL4",'langlon (2016)'!$A$3,"MA_HT","DKV","MA_QH","ONT")</f>
        <v>0</v>
      </c>
      <c r="AR53" s="22">
        <f ca="1">+GETPIVOTDATA("XLL4",'langlon (2016)'!$A$3,"MA_HT","DKV","MA_QH","ODT")</f>
        <v>0</v>
      </c>
      <c r="AS53" s="22">
        <f ca="1">+GETPIVOTDATA("XLL4",'langlon (2016)'!$A$3,"MA_HT","DKV","MA_QH","TSC")</f>
        <v>0</v>
      </c>
      <c r="AT53" s="22">
        <f ca="1">+GETPIVOTDATA("XLL4",'langlon (2016)'!$A$3,"MA_HT","DKV","MA_QH","DTS")</f>
        <v>0</v>
      </c>
      <c r="AU53" s="22">
        <f ca="1">+GETPIVOTDATA("XLL4",'langlon (2016)'!$A$3,"MA_HT","DKV","MA_QH","DNG")</f>
        <v>0</v>
      </c>
      <c r="AV53" s="22">
        <f ca="1">+GETPIVOTDATA("XLL4",'langlon (2016)'!$A$3,"MA_HT","DKV","MA_QH","TON")</f>
        <v>0</v>
      </c>
      <c r="AW53" s="22">
        <f ca="1">+GETPIVOTDATA("XLL4",'langlon (2016)'!$A$3,"MA_HT","DKV","MA_QH","NTD")</f>
        <v>0</v>
      </c>
      <c r="AX53" s="22">
        <f ca="1">+GETPIVOTDATA("XLL4",'langlon (2016)'!$A$3,"MA_HT","DKV","MA_QH","SKX")</f>
        <v>0</v>
      </c>
      <c r="AY53" s="22">
        <f ca="1">+GETPIVOTDATA("XLL4",'langlon (2016)'!$A$3,"MA_HT","DKV","MA_QH","DSH")</f>
        <v>0</v>
      </c>
      <c r="AZ53" s="43" t="e">
        <f ca="1">$D53-$BF53</f>
        <v>#REF!</v>
      </c>
      <c r="BA53" s="89">
        <f ca="1">+GETPIVOTDATA("XLL4",'langlon (2016)'!$A$3,"MA_HT","DKV","MA_QH","TIN")</f>
        <v>0</v>
      </c>
      <c r="BB53" s="50">
        <f ca="1">+GETPIVOTDATA("XLL4",'langlon (2016)'!$A$3,"MA_HT","DKV","MA_QH","SON")</f>
        <v>0</v>
      </c>
      <c r="BC53" s="50">
        <f ca="1">+GETPIVOTDATA("XLL4",'langlon (2016)'!$A$3,"MA_HT","DKV","MA_QH","MNC")</f>
        <v>0</v>
      </c>
      <c r="BD53" s="22">
        <f ca="1">+GETPIVOTDATA("XLL4",'langlon (2016)'!$A$3,"MA_HT","DKV","MA_QH","PNK")</f>
        <v>0</v>
      </c>
      <c r="BE53" s="71">
        <f ca="1">+GETPIVOTDATA("XLL4",'langlon (2016)'!$A$3,"MA_HT","DKV","MA_QH","CSD")</f>
        <v>0</v>
      </c>
      <c r="BF53" s="74">
        <f ca="1" t="shared" si="13"/>
        <v>0</v>
      </c>
      <c r="BG53" s="101">
        <f ca="1">AZ$59-$BF53</f>
        <v>0</v>
      </c>
      <c r="BH53" s="41" t="e">
        <f ca="1" t="shared" si="14"/>
        <v>#REF!</v>
      </c>
      <c r="BI53" s="98"/>
      <c r="BJ53" s="98" t="e">
        <f>#REF!</f>
        <v>#REF!</v>
      </c>
      <c r="BK53" s="107" t="e">
        <f ca="1">BH53-BJ53</f>
        <v>#REF!</v>
      </c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</row>
    <row r="54" s="2" customFormat="1" ht="15.75" customHeight="1" spans="1:75">
      <c r="A54" s="39" t="s">
        <v>8426</v>
      </c>
      <c r="B54" s="39" t="s">
        <v>8427</v>
      </c>
      <c r="C54" s="40" t="s">
        <v>8310</v>
      </c>
      <c r="D54" s="41" t="e">
        <f>+#REF!</f>
        <v>#REF!</v>
      </c>
      <c r="E54" s="33">
        <f ca="1" t="shared" si="15"/>
        <v>0</v>
      </c>
      <c r="F54" s="52">
        <f ca="1">SUM(F29:F39)</f>
        <v>0</v>
      </c>
      <c r="G54" s="22">
        <f ca="1">+GETPIVOTDATA("XLL4",'langlon (2016)'!$A$3,"MA_HT","TIN","MA_QH","LUC")</f>
        <v>0</v>
      </c>
      <c r="H54" s="22">
        <f ca="1">+GETPIVOTDATA("XLL4",'langlon (2016)'!$A$3,"MA_HT","TIN","MA_QH","LUK")</f>
        <v>0</v>
      </c>
      <c r="I54" s="22">
        <f ca="1">+GETPIVOTDATA("XLL4",'langlon (2016)'!$A$3,"MA_HT","TIN","MA_QH","LUN")</f>
        <v>0</v>
      </c>
      <c r="J54" s="22">
        <f ca="1">+GETPIVOTDATA("XLL4",'langlon (2016)'!$A$3,"MA_HT","TIN","MA_QH","HNK")</f>
        <v>0</v>
      </c>
      <c r="K54" s="22">
        <f ca="1">+GETPIVOTDATA("XLL4",'langlon (2016)'!$A$3,"MA_HT","TIN","MA_QH","CLN")</f>
        <v>0</v>
      </c>
      <c r="L54" s="22">
        <f ca="1">+GETPIVOTDATA("XLL4",'langlon (2016)'!$A$3,"MA_HT","TIN","MA_QH","RSX")</f>
        <v>0</v>
      </c>
      <c r="M54" s="22">
        <f ca="1">+GETPIVOTDATA("XLL4",'langlon (2016)'!$A$3,"MA_HT","TIN","MA_QH","RPH")</f>
        <v>0</v>
      </c>
      <c r="N54" s="22">
        <f ca="1">+GETPIVOTDATA("XLL4",'langlon (2016)'!$A$3,"MA_HT","TIN","MA_QH","RDD")</f>
        <v>0</v>
      </c>
      <c r="O54" s="22">
        <f ca="1">+GETPIVOTDATA("XLL4",'langlon (2016)'!$A$3,"MA_HT","TIN","MA_QH","NTS")</f>
        <v>0</v>
      </c>
      <c r="P54" s="22">
        <f ca="1">+GETPIVOTDATA("XLL4",'langlon (2016)'!$A$3,"MA_HT","TIN","MA_QH","LMU")</f>
        <v>0</v>
      </c>
      <c r="Q54" s="22">
        <f ca="1">+GETPIVOTDATA("XLL4",'langlon (2016)'!$A$3,"MA_HT","TIN","MA_QH","NKH")</f>
        <v>0</v>
      </c>
      <c r="R54" s="79">
        <f ca="1">SUM(S54:AA54,AN54:AZ54,BB54:BD54)</f>
        <v>0</v>
      </c>
      <c r="S54" s="22">
        <f ca="1">+GETPIVOTDATA("XLL4",'langlon (2016)'!$A$3,"MA_HT","TIN","MA_QH","CQP")</f>
        <v>0</v>
      </c>
      <c r="T54" s="22">
        <f ca="1">+GETPIVOTDATA("XLL4",'langlon (2016)'!$A$3,"MA_HT","TIN","MA_QH","CAN")</f>
        <v>0</v>
      </c>
      <c r="U54" s="22">
        <f ca="1">+GETPIVOTDATA("XLL4",'langlon (2016)'!$A$3,"MA_HT","TIN","MA_QH","SKK")</f>
        <v>0</v>
      </c>
      <c r="V54" s="22">
        <f ca="1">+GETPIVOTDATA("XLL4",'langlon (2016)'!$A$3,"MA_HT","TIN","MA_QH","SKT")</f>
        <v>0</v>
      </c>
      <c r="W54" s="22">
        <f ca="1">+GETPIVOTDATA("XLL4",'langlon (2016)'!$A$3,"MA_HT","TIN","MA_QH","SKN")</f>
        <v>0</v>
      </c>
      <c r="X54" s="22">
        <f ca="1">+GETPIVOTDATA("XLL4",'langlon (2016)'!$A$3,"MA_HT","TIN","MA_QH","TMD")</f>
        <v>0</v>
      </c>
      <c r="Y54" s="22">
        <f ca="1">+GETPIVOTDATA("XLL4",'langlon (2016)'!$A$3,"MA_HT","TIN","MA_QH","SKC")</f>
        <v>0</v>
      </c>
      <c r="Z54" s="22">
        <f ca="1">+GETPIVOTDATA("XLL4",'langlon (2016)'!$A$3,"MA_HT","TIN","MA_QH","SKS")</f>
        <v>0</v>
      </c>
      <c r="AA54" s="52">
        <f ca="1" t="shared" si="21"/>
        <v>0</v>
      </c>
      <c r="AB54" s="22">
        <f ca="1">+GETPIVOTDATA("XLL4",'langlon (2016)'!$A$3,"MA_HT","TIN","MA_QH","DGT")</f>
        <v>0</v>
      </c>
      <c r="AC54" s="22">
        <f ca="1">+GETPIVOTDATA("XLL4",'langlon (2016)'!$A$3,"MA_HT","TIN","MA_QH","DTL")</f>
        <v>0</v>
      </c>
      <c r="AD54" s="22">
        <f ca="1">+GETPIVOTDATA("XLL4",'langlon (2016)'!$A$3,"MA_HT","TIN","MA_QH","DNL")</f>
        <v>0</v>
      </c>
      <c r="AE54" s="22">
        <f ca="1">+GETPIVOTDATA("XLL4",'langlon (2016)'!$A$3,"MA_HT","TIN","MA_QH","DBV")</f>
        <v>0</v>
      </c>
      <c r="AF54" s="22">
        <f ca="1">+GETPIVOTDATA("XLL4",'langlon (2016)'!$A$3,"MA_HT","TIN","MA_QH","DVH")</f>
        <v>0</v>
      </c>
      <c r="AG54" s="22">
        <f ca="1">+GETPIVOTDATA("XLL4",'langlon (2016)'!$A$3,"MA_HT","TIN","MA_QH","DYT")</f>
        <v>0</v>
      </c>
      <c r="AH54" s="22">
        <f ca="1">+GETPIVOTDATA("XLL4",'langlon (2016)'!$A$3,"MA_HT","TIN","MA_QH","DGD")</f>
        <v>0</v>
      </c>
      <c r="AI54" s="22">
        <f ca="1">+GETPIVOTDATA("XLL4",'langlon (2016)'!$A$3,"MA_HT","TIN","MA_QH","DTT")</f>
        <v>0</v>
      </c>
      <c r="AJ54" s="22">
        <f ca="1">+GETPIVOTDATA("XLL4",'langlon (2016)'!$A$3,"MA_HT","TIN","MA_QH","NCK")</f>
        <v>0</v>
      </c>
      <c r="AK54" s="22">
        <f ca="1">+GETPIVOTDATA("XLL4",'langlon (2016)'!$A$3,"MA_HT","TIN","MA_QH","DXH")</f>
        <v>0</v>
      </c>
      <c r="AL54" s="22">
        <f ca="1">+GETPIVOTDATA("XLL4",'langlon (2016)'!$A$3,"MA_HT","TIN","MA_QH","DCH")</f>
        <v>0</v>
      </c>
      <c r="AM54" s="22">
        <f ca="1">+GETPIVOTDATA("XLL4",'langlon (2016)'!$A$3,"MA_HT","TIN","MA_QH","DKG")</f>
        <v>0</v>
      </c>
      <c r="AN54" s="22">
        <f ca="1">+GETPIVOTDATA("XLL4",'langlon (2016)'!$A$3,"MA_HT","TIN","MA_QH","DDT")</f>
        <v>0</v>
      </c>
      <c r="AO54" s="22">
        <f ca="1">+GETPIVOTDATA("XLL4",'langlon (2016)'!$A$3,"MA_HT","TIN","MA_QH","DDL")</f>
        <v>0</v>
      </c>
      <c r="AP54" s="22">
        <f ca="1">+GETPIVOTDATA("XLL4",'langlon (2016)'!$A$3,"MA_HT","TIN","MA_QH","DRA")</f>
        <v>0</v>
      </c>
      <c r="AQ54" s="22">
        <f ca="1">+GETPIVOTDATA("XLL4",'langlon (2016)'!$A$3,"MA_HT","TIN","MA_QH","ONT")</f>
        <v>0</v>
      </c>
      <c r="AR54" s="22">
        <f ca="1">+GETPIVOTDATA("XLL4",'langlon (2016)'!$A$3,"MA_HT","TIN","MA_QH","ODT")</f>
        <v>0</v>
      </c>
      <c r="AS54" s="22">
        <f ca="1">+GETPIVOTDATA("XLL4",'langlon (2016)'!$A$3,"MA_HT","TIN","MA_QH","TSC")</f>
        <v>0</v>
      </c>
      <c r="AT54" s="22">
        <f ca="1">+GETPIVOTDATA("XLL4",'langlon (2016)'!$A$3,"MA_HT","TIN","MA_QH","DTS")</f>
        <v>0</v>
      </c>
      <c r="AU54" s="22">
        <f ca="1">+GETPIVOTDATA("XLL4",'langlon (2016)'!$A$3,"MA_HT","TIN","MA_QH","DNG")</f>
        <v>0</v>
      </c>
      <c r="AV54" s="22">
        <f ca="1">+GETPIVOTDATA("XLL4",'langlon (2016)'!$A$3,"MA_HT","TIN","MA_QH","TON")</f>
        <v>0</v>
      </c>
      <c r="AW54" s="22">
        <f ca="1">+GETPIVOTDATA("XLL4",'langlon (2016)'!$A$3,"MA_HT","TIN","MA_QH","NTD")</f>
        <v>0</v>
      </c>
      <c r="AX54" s="22">
        <f ca="1">+GETPIVOTDATA("XLL4",'langlon (2016)'!$A$3,"MA_HT","TIN","MA_QH","SKX")</f>
        <v>0</v>
      </c>
      <c r="AY54" s="22">
        <f ca="1">+GETPIVOTDATA("XLL4",'langlon (2016)'!$A$3,"MA_HT","TIN","MA_QH","DSH")</f>
        <v>0</v>
      </c>
      <c r="AZ54" s="22">
        <f ca="1">+GETPIVOTDATA("XLL4",'langlon (2016)'!$A$3,"MA_HT","TIN","MA_QH","DKV")</f>
        <v>0</v>
      </c>
      <c r="BA54" s="43" t="e">
        <f ca="1">$D54-$BF54</f>
        <v>#REF!</v>
      </c>
      <c r="BB54" s="22">
        <f ca="1">+GETPIVOTDATA("XLL4",'langlon (2016)'!$A$3,"MA_HT","TIN","MA_QH","SON")</f>
        <v>0</v>
      </c>
      <c r="BC54" s="22">
        <f ca="1">+GETPIVOTDATA("XLL4",'langlon (2016)'!$A$3,"MA_HT","TIN","MA_QH","MNC")</f>
        <v>0</v>
      </c>
      <c r="BD54" s="22">
        <f ca="1">+GETPIVOTDATA("XLL4",'langlon (2016)'!$A$3,"MA_HT","TIN","MA_QH","PNK")</f>
        <v>0</v>
      </c>
      <c r="BE54" s="71">
        <f ca="1">+GETPIVOTDATA("XLL4",'langlon (2016)'!$A$3,"MA_HT","TIN","MA_QH","CSD")</f>
        <v>0</v>
      </c>
      <c r="BF54" s="74">
        <f ca="1" t="shared" si="13"/>
        <v>0</v>
      </c>
      <c r="BG54" s="101">
        <f ca="1">BA59-BF54</f>
        <v>0</v>
      </c>
      <c r="BH54" s="41" t="e">
        <f ca="1" t="shared" si="14"/>
        <v>#REF!</v>
      </c>
      <c r="BI54" s="98"/>
      <c r="BJ54" s="39" t="e">
        <f>SUM(BJ29:BJ39)</f>
        <v>#REF!</v>
      </c>
      <c r="BK54" s="107" t="e">
        <f ca="1">BH54-BJ54</f>
        <v>#REF!</v>
      </c>
      <c r="BL54" s="107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</row>
    <row r="55" s="2" customFormat="1" ht="15.75" customHeight="1" spans="1:79">
      <c r="A55" s="68" t="s">
        <v>8428</v>
      </c>
      <c r="B55" s="69" t="s">
        <v>8429</v>
      </c>
      <c r="C55" s="40" t="s">
        <v>8309</v>
      </c>
      <c r="D55" s="41" t="e">
        <f>+#REF!</f>
        <v>#REF!</v>
      </c>
      <c r="E55" s="42">
        <f ca="1" t="shared" si="15"/>
        <v>0</v>
      </c>
      <c r="F55" s="52">
        <f ca="1" t="shared" si="9"/>
        <v>0</v>
      </c>
      <c r="G55" s="22">
        <f ca="1">+GETPIVOTDATA("XLL4",'langlon (2016)'!$A$3,"MA_HT","SON","MA_QH","LUC")</f>
        <v>0</v>
      </c>
      <c r="H55" s="22">
        <f ca="1">+GETPIVOTDATA("XLL4",'langlon (2016)'!$A$3,"MA_HT","SON","MA_QH","LUK")</f>
        <v>0</v>
      </c>
      <c r="I55" s="22">
        <f ca="1">+GETPIVOTDATA("XLL4",'langlon (2016)'!$A$3,"MA_HT","SON","MA_QH","LUN")</f>
        <v>0</v>
      </c>
      <c r="J55" s="22">
        <f ca="1">+GETPIVOTDATA("XLL4",'langlon (2016)'!$A$3,"MA_HT","SON","MA_QH","HNK")</f>
        <v>0</v>
      </c>
      <c r="K55" s="22">
        <f ca="1">+GETPIVOTDATA("XLL4",'langlon (2016)'!$A$3,"MA_HT","SON","MA_QH","CLN")</f>
        <v>0</v>
      </c>
      <c r="L55" s="22">
        <f ca="1">+GETPIVOTDATA("XLL4",'langlon (2016)'!$A$3,"MA_HT","SON","MA_QH","RSX")</f>
        <v>0</v>
      </c>
      <c r="M55" s="22">
        <f ca="1">+GETPIVOTDATA("XLL4",'langlon (2016)'!$A$3,"MA_HT","SON","MA_QH","RPH")</f>
        <v>0</v>
      </c>
      <c r="N55" s="22">
        <f ca="1">+GETPIVOTDATA("XLL4",'langlon (2016)'!$A$3,"MA_HT","SON","MA_QH","RDD")</f>
        <v>0</v>
      </c>
      <c r="O55" s="22">
        <f ca="1">+GETPIVOTDATA("XLL4",'langlon (2016)'!$A$3,"MA_HT","SON","MA_QH","NTS")</f>
        <v>0</v>
      </c>
      <c r="P55" s="22">
        <f ca="1">+GETPIVOTDATA("XLL4",'langlon (2016)'!$A$3,"MA_HT","SON","MA_QH","LMU")</f>
        <v>0</v>
      </c>
      <c r="Q55" s="22">
        <f ca="1">+GETPIVOTDATA("XLL4",'langlon (2016)'!$A$3,"MA_HT","SON","MA_QH","NKH")</f>
        <v>0</v>
      </c>
      <c r="R55" s="79">
        <f ca="1">SUM(S55:AA55,AN55:AZ55,BC55:BD55)</f>
        <v>0</v>
      </c>
      <c r="S55" s="22">
        <f ca="1">+GETPIVOTDATA("XLL4",'langlon (2016)'!$A$3,"MA_HT","SON","MA_QH","CQP")</f>
        <v>0</v>
      </c>
      <c r="T55" s="22">
        <f ca="1">+GETPIVOTDATA("XLL4",'langlon (2016)'!$A$3,"MA_HT","SON","MA_QH","CAN")</f>
        <v>0</v>
      </c>
      <c r="U55" s="22">
        <f ca="1">+GETPIVOTDATA("XLL4",'langlon (2016)'!$A$3,"MA_HT","SON","MA_QH","SKK")</f>
        <v>0</v>
      </c>
      <c r="V55" s="22">
        <f ca="1">+GETPIVOTDATA("XLL4",'langlon (2016)'!$A$3,"MA_HT","SON","MA_QH","SKT")</f>
        <v>0</v>
      </c>
      <c r="W55" s="22">
        <f ca="1">+GETPIVOTDATA("XLL4",'langlon (2016)'!$A$3,"MA_HT","SON","MA_QH","SKN")</f>
        <v>0</v>
      </c>
      <c r="X55" s="22">
        <f ca="1">+GETPIVOTDATA("XLL4",'langlon (2016)'!$A$3,"MA_HT","SON","MA_QH","TMD")</f>
        <v>0</v>
      </c>
      <c r="Y55" s="22">
        <f ca="1">+GETPIVOTDATA("XLL4",'langlon (2016)'!$A$3,"MA_HT","SON","MA_QH","SKC")</f>
        <v>0</v>
      </c>
      <c r="Z55" s="22">
        <f ca="1">+GETPIVOTDATA("XLL4",'langlon (2016)'!$A$3,"MA_HT","SON","MA_QH","SKS")</f>
        <v>0</v>
      </c>
      <c r="AA55" s="52">
        <f ca="1" t="shared" si="21"/>
        <v>0</v>
      </c>
      <c r="AB55" s="22">
        <f ca="1">+GETPIVOTDATA("XLL4",'langlon (2016)'!$A$3,"MA_HT","SON","MA_QH","DGT")</f>
        <v>0</v>
      </c>
      <c r="AC55" s="22">
        <f ca="1">+GETPIVOTDATA("XLL4",'langlon (2016)'!$A$3,"MA_HT","SON","MA_QH","DTL")</f>
        <v>0</v>
      </c>
      <c r="AD55" s="22">
        <f ca="1">+GETPIVOTDATA("XLL4",'langlon (2016)'!$A$3,"MA_HT","SON","MA_QH","DNL")</f>
        <v>0</v>
      </c>
      <c r="AE55" s="22">
        <f ca="1">+GETPIVOTDATA("XLL4",'langlon (2016)'!$A$3,"MA_HT","SON","MA_QH","DBV")</f>
        <v>0</v>
      </c>
      <c r="AF55" s="22">
        <f ca="1">+GETPIVOTDATA("XLL4",'langlon (2016)'!$A$3,"MA_HT","SON","MA_QH","DVH")</f>
        <v>0</v>
      </c>
      <c r="AG55" s="22">
        <f ca="1">+GETPIVOTDATA("XLL4",'langlon (2016)'!$A$3,"MA_HT","SON","MA_QH","DYT")</f>
        <v>0</v>
      </c>
      <c r="AH55" s="22">
        <f ca="1">+GETPIVOTDATA("XLL4",'langlon (2016)'!$A$3,"MA_HT","SON","MA_QH","DGD")</f>
        <v>0</v>
      </c>
      <c r="AI55" s="22">
        <f ca="1">+GETPIVOTDATA("XLL4",'langlon (2016)'!$A$3,"MA_HT","SON","MA_QH","DTT")</f>
        <v>0</v>
      </c>
      <c r="AJ55" s="22">
        <f ca="1">+GETPIVOTDATA("XLL4",'langlon (2016)'!$A$3,"MA_HT","SON","MA_QH","NCK")</f>
        <v>0</v>
      </c>
      <c r="AK55" s="22">
        <f ca="1">+GETPIVOTDATA("XLL4",'langlon (2016)'!$A$3,"MA_HT","SON","MA_QH","DXH")</f>
        <v>0</v>
      </c>
      <c r="AL55" s="22">
        <f ca="1">+GETPIVOTDATA("XLL4",'langlon (2016)'!$A$3,"MA_HT","SON","MA_QH","DCH")</f>
        <v>0</v>
      </c>
      <c r="AM55" s="22">
        <f ca="1">+GETPIVOTDATA("XLL4",'langlon (2016)'!$A$3,"MA_HT","SON","MA_QH","DKG")</f>
        <v>0</v>
      </c>
      <c r="AN55" s="22">
        <f ca="1">+GETPIVOTDATA("XLL4",'langlon (2016)'!$A$3,"MA_HT","SON","MA_QH","DDT")</f>
        <v>0</v>
      </c>
      <c r="AO55" s="22">
        <f ca="1">+GETPIVOTDATA("XLL4",'langlon (2016)'!$A$3,"MA_HT","SON","MA_QH","DDL")</f>
        <v>0</v>
      </c>
      <c r="AP55" s="22">
        <f ca="1">+GETPIVOTDATA("XLL4",'langlon (2016)'!$A$3,"MA_HT","SON","MA_QH","DRA")</f>
        <v>0</v>
      </c>
      <c r="AQ55" s="22">
        <f ca="1">+GETPIVOTDATA("XLL4",'langlon (2016)'!$A$3,"MA_HT","SON","MA_QH","ONT")</f>
        <v>0</v>
      </c>
      <c r="AR55" s="22">
        <f ca="1">+GETPIVOTDATA("XLL4",'langlon (2016)'!$A$3,"MA_HT","SON","MA_QH","ODT")</f>
        <v>0</v>
      </c>
      <c r="AS55" s="22">
        <f ca="1">+GETPIVOTDATA("XLL4",'langlon (2016)'!$A$3,"MA_HT","SON","MA_QH","TSC")</f>
        <v>0</v>
      </c>
      <c r="AT55" s="22">
        <f ca="1">+GETPIVOTDATA("XLL4",'langlon (2016)'!$A$3,"MA_HT","SON","MA_QH","DTS")</f>
        <v>0</v>
      </c>
      <c r="AU55" s="22">
        <f ca="1">+GETPIVOTDATA("XLL4",'langlon (2016)'!$A$3,"MA_HT","SON","MA_QH","DNG")</f>
        <v>0</v>
      </c>
      <c r="AV55" s="22">
        <f ca="1">+GETPIVOTDATA("XLL4",'langlon (2016)'!$A$3,"MA_HT","SON","MA_QH","TON")</f>
        <v>0</v>
      </c>
      <c r="AW55" s="22">
        <f ca="1">+GETPIVOTDATA("XLL4",'langlon (2016)'!$A$3,"MA_HT","SON","MA_QH","NTD")</f>
        <v>0</v>
      </c>
      <c r="AX55" s="22">
        <f ca="1">+GETPIVOTDATA("XLL4",'langlon (2016)'!$A$3,"MA_HT","SON","MA_QH","SKX")</f>
        <v>0</v>
      </c>
      <c r="AY55" s="22">
        <f ca="1">+GETPIVOTDATA("XLL4",'langlon (2016)'!$A$3,"MA_HT","SON","MA_QH","DSH")</f>
        <v>0</v>
      </c>
      <c r="AZ55" s="22">
        <f ca="1">+GETPIVOTDATA("XLL4",'langlon (2016)'!$A$3,"MA_HT","SON","MA_QH","DKV")</f>
        <v>0</v>
      </c>
      <c r="BA55" s="89">
        <f ca="1">+GETPIVOTDATA("XLL4",'langlon (2016)'!$A$3,"MA_HT","SON","MA_QH","TIN")</f>
        <v>0</v>
      </c>
      <c r="BB55" s="43" t="e">
        <f ca="1">$D55-$BF55</f>
        <v>#REF!</v>
      </c>
      <c r="BC55" s="50">
        <f ca="1">+GETPIVOTDATA("XLL4",'langlon (2016)'!$A$3,"MA_HT","SON","MA_QH","MNC")</f>
        <v>0</v>
      </c>
      <c r="BD55" s="22">
        <f ca="1">+GETPIVOTDATA("XLL4",'langlon (2016)'!$A$3,"MA_HT","SON","MA_QH","PNK")</f>
        <v>0</v>
      </c>
      <c r="BE55" s="71">
        <f ca="1">+GETPIVOTDATA("XLL4",'langlon (2016)'!$A$3,"MA_HT","SON","MA_QH","CSD")</f>
        <v>0</v>
      </c>
      <c r="BF55" s="74">
        <f ca="1" t="shared" si="13"/>
        <v>0</v>
      </c>
      <c r="BG55" s="101">
        <f ca="1">BB$59-$BF55</f>
        <v>0</v>
      </c>
      <c r="BH55" s="41" t="e">
        <f ca="1" t="shared" si="14"/>
        <v>#REF!</v>
      </c>
      <c r="BI55" s="98"/>
      <c r="BJ55" s="98"/>
      <c r="BK55" s="107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</row>
    <row r="56" s="2" customFormat="1" ht="15.75" customHeight="1" spans="1:79">
      <c r="A56" s="68" t="s">
        <v>8430</v>
      </c>
      <c r="B56" s="69" t="s">
        <v>8431</v>
      </c>
      <c r="C56" s="40" t="s">
        <v>8301</v>
      </c>
      <c r="D56" s="41" t="e">
        <f>+#REF!</f>
        <v>#REF!</v>
      </c>
      <c r="E56" s="42">
        <f ca="1" t="shared" si="15"/>
        <v>0</v>
      </c>
      <c r="F56" s="52">
        <f ca="1" t="shared" si="9"/>
        <v>0</v>
      </c>
      <c r="G56" s="22">
        <f ca="1">+GETPIVOTDATA("XLL4",'langlon (2016)'!$A$3,"MA_HT","MNC","MA_QH","LUC")</f>
        <v>0</v>
      </c>
      <c r="H56" s="22">
        <f ca="1">+GETPIVOTDATA("XLL4",'langlon (2016)'!$A$3,"MA_HT","MNC","MA_QH","LUK")</f>
        <v>0</v>
      </c>
      <c r="I56" s="22">
        <f ca="1">+GETPIVOTDATA("XLL4",'langlon (2016)'!$A$3,"MA_HT","MNC","MA_QH","LUN")</f>
        <v>0</v>
      </c>
      <c r="J56" s="22">
        <f ca="1">+GETPIVOTDATA("XLL4",'langlon (2016)'!$A$3,"MA_HT","MNC","MA_QH","HNK")</f>
        <v>0</v>
      </c>
      <c r="K56" s="22">
        <f ca="1">+GETPIVOTDATA("XLL4",'langlon (2016)'!$A$3,"MA_HT","MNC","MA_QH","CLN")</f>
        <v>0</v>
      </c>
      <c r="L56" s="22">
        <f ca="1">+GETPIVOTDATA("XLL4",'langlon (2016)'!$A$3,"MA_HT","MNC","MA_QH","RSX")</f>
        <v>0</v>
      </c>
      <c r="M56" s="22">
        <f ca="1">+GETPIVOTDATA("XLL4",'langlon (2016)'!$A$3,"MA_HT","MNC","MA_QH","RPH")</f>
        <v>0</v>
      </c>
      <c r="N56" s="22">
        <f ca="1">+GETPIVOTDATA("XLL4",'langlon (2016)'!$A$3,"MA_HT","MNC","MA_QH","RDD")</f>
        <v>0</v>
      </c>
      <c r="O56" s="22">
        <f ca="1">+GETPIVOTDATA("XLL4",'langlon (2016)'!$A$3,"MA_HT","MNC","MA_QH","NTS")</f>
        <v>0</v>
      </c>
      <c r="P56" s="22">
        <f ca="1">+GETPIVOTDATA("XLL4",'langlon (2016)'!$A$3,"MA_HT","MNC","MA_QH","LMU")</f>
        <v>0</v>
      </c>
      <c r="Q56" s="22">
        <f ca="1">+GETPIVOTDATA("XLL4",'langlon (2016)'!$A$3,"MA_HT","MNC","MA_QH","NKH")</f>
        <v>0</v>
      </c>
      <c r="R56" s="79">
        <f ca="1">SUM(S56:AA56,AN56:BB56,BD56)</f>
        <v>0</v>
      </c>
      <c r="S56" s="22">
        <f ca="1">+GETPIVOTDATA("XLL4",'langlon (2016)'!$A$3,"MA_HT","MNC","MA_QH","CQP")</f>
        <v>0</v>
      </c>
      <c r="T56" s="22">
        <f ca="1">+GETPIVOTDATA("XLL4",'langlon (2016)'!$A$3,"MA_HT","MNC","MA_QH","CAN")</f>
        <v>0</v>
      </c>
      <c r="U56" s="22">
        <f ca="1">+GETPIVOTDATA("XLL4",'langlon (2016)'!$A$3,"MA_HT","MNC","MA_QH","SKK")</f>
        <v>0</v>
      </c>
      <c r="V56" s="22">
        <f ca="1">+GETPIVOTDATA("XLL4",'langlon (2016)'!$A$3,"MA_HT","MNC","MA_QH","SKT")</f>
        <v>0</v>
      </c>
      <c r="W56" s="22">
        <f ca="1">+GETPIVOTDATA("XLL4",'langlon (2016)'!$A$3,"MA_HT","MNC","MA_QH","SKN")</f>
        <v>0</v>
      </c>
      <c r="X56" s="22">
        <f ca="1">+GETPIVOTDATA("XLL4",'langlon (2016)'!$A$3,"MA_HT","MNC","MA_QH","TMD")</f>
        <v>0</v>
      </c>
      <c r="Y56" s="22">
        <f ca="1">+GETPIVOTDATA("XLL4",'langlon (2016)'!$A$3,"MA_HT","MNC","MA_QH","SKC")</f>
        <v>0</v>
      </c>
      <c r="Z56" s="22">
        <f ca="1">+GETPIVOTDATA("XLL4",'langlon (2016)'!$A$3,"MA_HT","MNC","MA_QH","SKS")</f>
        <v>0</v>
      </c>
      <c r="AA56" s="52">
        <f ca="1" t="shared" si="21"/>
        <v>0</v>
      </c>
      <c r="AB56" s="22">
        <f ca="1">+GETPIVOTDATA("XLL4",'langlon (2016)'!$A$3,"MA_HT","MNC","MA_QH","DGT")</f>
        <v>0</v>
      </c>
      <c r="AC56" s="22">
        <f ca="1">+GETPIVOTDATA("XLL4",'langlon (2016)'!$A$3,"MA_HT","MNC","MA_QH","DTL")</f>
        <v>0</v>
      </c>
      <c r="AD56" s="22">
        <f ca="1">+GETPIVOTDATA("XLL4",'langlon (2016)'!$A$3,"MA_HT","MNC","MA_QH","DNL")</f>
        <v>0</v>
      </c>
      <c r="AE56" s="22">
        <f ca="1">+GETPIVOTDATA("XLL4",'langlon (2016)'!$A$3,"MA_HT","MNC","MA_QH","DBV")</f>
        <v>0</v>
      </c>
      <c r="AF56" s="22">
        <f ca="1">+GETPIVOTDATA("XLL4",'langlon (2016)'!$A$3,"MA_HT","MNC","MA_QH","DVH")</f>
        <v>0</v>
      </c>
      <c r="AG56" s="22">
        <f ca="1">+GETPIVOTDATA("XLL4",'langlon (2016)'!$A$3,"MA_HT","MNC","MA_QH","DYT")</f>
        <v>0</v>
      </c>
      <c r="AH56" s="22">
        <f ca="1">+GETPIVOTDATA("XLL4",'langlon (2016)'!$A$3,"MA_HT","MNC","MA_QH","DGD")</f>
        <v>0</v>
      </c>
      <c r="AI56" s="22">
        <f ca="1">+GETPIVOTDATA("XLL4",'langlon (2016)'!$A$3,"MA_HT","MNC","MA_QH","DTT")</f>
        <v>0</v>
      </c>
      <c r="AJ56" s="22">
        <f ca="1">+GETPIVOTDATA("XLL4",'langlon (2016)'!$A$3,"MA_HT","MNC","MA_QH","NCK")</f>
        <v>0</v>
      </c>
      <c r="AK56" s="22">
        <f ca="1">+GETPIVOTDATA("XLL4",'langlon (2016)'!$A$3,"MA_HT","MNC","MA_QH","DXH")</f>
        <v>0</v>
      </c>
      <c r="AL56" s="22">
        <f ca="1">+GETPIVOTDATA("XLL4",'langlon (2016)'!$A$3,"MA_HT","MNC","MA_QH","DCH")</f>
        <v>0</v>
      </c>
      <c r="AM56" s="22">
        <f ca="1">+GETPIVOTDATA("XLL4",'langlon (2016)'!$A$3,"MA_HT","MNC","MA_QH","DKG")</f>
        <v>0</v>
      </c>
      <c r="AN56" s="22">
        <f ca="1">+GETPIVOTDATA("XLL4",'langlon (2016)'!$A$3,"MA_HT","MNC","MA_QH","DDT")</f>
        <v>0</v>
      </c>
      <c r="AO56" s="22">
        <f ca="1">+GETPIVOTDATA("XLL4",'langlon (2016)'!$A$3,"MA_HT","MNC","MA_QH","DDL")</f>
        <v>0</v>
      </c>
      <c r="AP56" s="22">
        <f ca="1">+GETPIVOTDATA("XLL4",'langlon (2016)'!$A$3,"MA_HT","MNC","MA_QH","DRA")</f>
        <v>0</v>
      </c>
      <c r="AQ56" s="22">
        <f ca="1">+GETPIVOTDATA("XLL4",'langlon (2016)'!$A$3,"MA_HT","MNC","MA_QH","ONT")</f>
        <v>0</v>
      </c>
      <c r="AR56" s="22">
        <f ca="1">+GETPIVOTDATA("XLL4",'langlon (2016)'!$A$3,"MA_HT","MNC","MA_QH","ODT")</f>
        <v>0</v>
      </c>
      <c r="AS56" s="22">
        <f ca="1">+GETPIVOTDATA("XLL4",'langlon (2016)'!$A$3,"MA_HT","MNC","MA_QH","TSC")</f>
        <v>0</v>
      </c>
      <c r="AT56" s="22">
        <f ca="1">+GETPIVOTDATA("XLL4",'langlon (2016)'!$A$3,"MA_HT","MNC","MA_QH","DTS")</f>
        <v>0</v>
      </c>
      <c r="AU56" s="22">
        <f ca="1">+GETPIVOTDATA("XLL4",'langlon (2016)'!$A$3,"MA_HT","MNC","MA_QH","DNG")</f>
        <v>0</v>
      </c>
      <c r="AV56" s="22">
        <f ca="1">+GETPIVOTDATA("XLL4",'langlon (2016)'!$A$3,"MA_HT","MNC","MA_QH","TON")</f>
        <v>0</v>
      </c>
      <c r="AW56" s="22">
        <f ca="1">+GETPIVOTDATA("XLL4",'langlon (2016)'!$A$3,"MA_HT","MNC","MA_QH","NTD")</f>
        <v>0</v>
      </c>
      <c r="AX56" s="22">
        <f ca="1">+GETPIVOTDATA("XLL4",'langlon (2016)'!$A$3,"MA_HT","MNC","MA_QH","SKX")</f>
        <v>0</v>
      </c>
      <c r="AY56" s="22">
        <f ca="1">+GETPIVOTDATA("XLL4",'langlon (2016)'!$A$3,"MA_HT","MNC","MA_QH","DSH")</f>
        <v>0</v>
      </c>
      <c r="AZ56" s="22">
        <f ca="1">+GETPIVOTDATA("XLL4",'langlon (2016)'!$A$3,"MA_HT","MNC","MA_QH","DKV")</f>
        <v>0</v>
      </c>
      <c r="BA56" s="89">
        <f ca="1">+GETPIVOTDATA("XLL4",'langlon (2016)'!$A$3,"MA_HT","MNC","MA_QH","TIN")</f>
        <v>0</v>
      </c>
      <c r="BB56" s="50">
        <f ca="1">+GETPIVOTDATA("XLL4",'langlon (2016)'!$A$3,"MA_HT","MNC","MA_QH","SON")</f>
        <v>0</v>
      </c>
      <c r="BC56" s="43" t="e">
        <f ca="1">$D56-$BF56</f>
        <v>#REF!</v>
      </c>
      <c r="BD56" s="22">
        <f ca="1">+GETPIVOTDATA("XLL4",'langlon (2016)'!$A$3,"MA_HT","MNC","MA_QH","PNK")</f>
        <v>0</v>
      </c>
      <c r="BE56" s="71">
        <f ca="1">+GETPIVOTDATA("XLL4",'langlon (2016)'!$A$3,"MA_HT","MNC","MA_QH","CSD")</f>
        <v>0</v>
      </c>
      <c r="BF56" s="74">
        <f ca="1" t="shared" si="13"/>
        <v>0</v>
      </c>
      <c r="BG56" s="101">
        <f ca="1">BC$59-$BF56</f>
        <v>0</v>
      </c>
      <c r="BH56" s="41" t="e">
        <f ca="1" t="shared" si="14"/>
        <v>#REF!</v>
      </c>
      <c r="BI56" s="98"/>
      <c r="BJ56" s="98"/>
      <c r="BK56" s="107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</row>
    <row r="57" s="2" customFormat="1" ht="15.75" customHeight="1" spans="1:79">
      <c r="A57" s="68" t="s">
        <v>8432</v>
      </c>
      <c r="B57" s="69" t="s">
        <v>8433</v>
      </c>
      <c r="C57" s="40" t="s">
        <v>59</v>
      </c>
      <c r="D57" s="41" t="e">
        <f>+#REF!</f>
        <v>#REF!</v>
      </c>
      <c r="E57" s="42">
        <f ca="1" t="shared" si="15"/>
        <v>0</v>
      </c>
      <c r="F57" s="52">
        <f ca="1" t="shared" si="9"/>
        <v>0</v>
      </c>
      <c r="G57" s="22">
        <f ca="1">+GETPIVOTDATA("XLL4",'langlon (2016)'!$A$3,"MA_HT","PNK","MA_QH","LUC")</f>
        <v>0</v>
      </c>
      <c r="H57" s="22">
        <f ca="1">+GETPIVOTDATA("XLL4",'langlon (2016)'!$A$3,"MA_HT","PNK","MA_QH","LUK")</f>
        <v>0</v>
      </c>
      <c r="I57" s="22">
        <f ca="1">+GETPIVOTDATA("XLL4",'langlon (2016)'!$A$3,"MA_HT","PNK","MA_QH","LUN")</f>
        <v>0</v>
      </c>
      <c r="J57" s="22">
        <f ca="1">+GETPIVOTDATA("XLL4",'langlon (2016)'!$A$3,"MA_HT","PNK","MA_QH","HNK")</f>
        <v>0</v>
      </c>
      <c r="K57" s="22">
        <f ca="1">+GETPIVOTDATA("XLL4",'langlon (2016)'!$A$3,"MA_HT","PNK","MA_QH","CLN")</f>
        <v>0</v>
      </c>
      <c r="L57" s="22">
        <f ca="1">+GETPIVOTDATA("XLL4",'langlon (2016)'!$A$3,"MA_HT","PNK","MA_QH","RSX")</f>
        <v>0</v>
      </c>
      <c r="M57" s="22">
        <f ca="1">+GETPIVOTDATA("XLL4",'langlon (2016)'!$A$3,"MA_HT","PNK","MA_QH","RPH")</f>
        <v>0</v>
      </c>
      <c r="N57" s="22">
        <f ca="1">+GETPIVOTDATA("XLL4",'langlon (2016)'!$A$3,"MA_HT","PNK","MA_QH","RDD")</f>
        <v>0</v>
      </c>
      <c r="O57" s="22">
        <f ca="1">+GETPIVOTDATA("XLL4",'langlon (2016)'!$A$3,"MA_HT","PNK","MA_QH","NTS")</f>
        <v>0</v>
      </c>
      <c r="P57" s="22">
        <f ca="1">+GETPIVOTDATA("XLL4",'langlon (2016)'!$A$3,"MA_HT","PNK","MA_QH","LMU")</f>
        <v>0</v>
      </c>
      <c r="Q57" s="22">
        <f ca="1">+GETPIVOTDATA("XLL4",'langlon (2016)'!$A$3,"MA_HT","PNK","MA_QH","NKH")</f>
        <v>0</v>
      </c>
      <c r="R57" s="79">
        <f ca="1">SUM(S57:AA57,AN57:BC57)</f>
        <v>0</v>
      </c>
      <c r="S57" s="22">
        <f ca="1">+GETPIVOTDATA("XLL4",'langlon (2016)'!$A$3,"MA_HT","PNK","MA_QH","CQP")</f>
        <v>0</v>
      </c>
      <c r="T57" s="22">
        <f ca="1">+GETPIVOTDATA("XLL4",'langlon (2016)'!$A$3,"MA_HT","PNK","MA_QH","CAN")</f>
        <v>0</v>
      </c>
      <c r="U57" s="22">
        <f ca="1">+GETPIVOTDATA("XLL4",'langlon (2016)'!$A$3,"MA_HT","PNK","MA_QH","SKK")</f>
        <v>0</v>
      </c>
      <c r="V57" s="22">
        <f ca="1">+GETPIVOTDATA("XLL4",'langlon (2016)'!$A$3,"MA_HT","PNK","MA_QH","SKT")</f>
        <v>0</v>
      </c>
      <c r="W57" s="22">
        <f ca="1">+GETPIVOTDATA("XLL4",'langlon (2016)'!$A$3,"MA_HT","PNK","MA_QH","SKN")</f>
        <v>0</v>
      </c>
      <c r="X57" s="22">
        <f ca="1">+GETPIVOTDATA("XLL4",'langlon (2016)'!$A$3,"MA_HT","PNK","MA_QH","TMD")</f>
        <v>0</v>
      </c>
      <c r="Y57" s="22">
        <f ca="1">+GETPIVOTDATA("XLL4",'langlon (2016)'!$A$3,"MA_HT","PNK","MA_QH","SKC")</f>
        <v>0</v>
      </c>
      <c r="Z57" s="22">
        <f ca="1">+GETPIVOTDATA("XLL4",'langlon (2016)'!$A$3,"MA_HT","PNK","MA_QH","SKS")</f>
        <v>0</v>
      </c>
      <c r="AA57" s="52">
        <f ca="1" t="shared" si="21"/>
        <v>0</v>
      </c>
      <c r="AB57" s="22">
        <f ca="1">+GETPIVOTDATA("XLL4",'langlon (2016)'!$A$3,"MA_HT","PNK","MA_QH","DGT")</f>
        <v>0</v>
      </c>
      <c r="AC57" s="22">
        <f ca="1">+GETPIVOTDATA("XLL4",'langlon (2016)'!$A$3,"MA_HT","PNK","MA_QH","DTL")</f>
        <v>0</v>
      </c>
      <c r="AD57" s="22">
        <f ca="1">+GETPIVOTDATA("XLL4",'langlon (2016)'!$A$3,"MA_HT","PNK","MA_QH","DNL")</f>
        <v>0</v>
      </c>
      <c r="AE57" s="22">
        <f ca="1">+GETPIVOTDATA("XLL4",'langlon (2016)'!$A$3,"MA_HT","PNK","MA_QH","DBV")</f>
        <v>0</v>
      </c>
      <c r="AF57" s="22">
        <f ca="1">+GETPIVOTDATA("XLL4",'langlon (2016)'!$A$3,"MA_HT","PNK","MA_QH","DVH")</f>
        <v>0</v>
      </c>
      <c r="AG57" s="22">
        <f ca="1">+GETPIVOTDATA("XLL4",'langlon (2016)'!$A$3,"MA_HT","PNK","MA_QH","DYT")</f>
        <v>0</v>
      </c>
      <c r="AH57" s="22">
        <f ca="1">+GETPIVOTDATA("XLL4",'langlon (2016)'!$A$3,"MA_HT","PNK","MA_QH","DGD")</f>
        <v>0</v>
      </c>
      <c r="AI57" s="22">
        <f ca="1">+GETPIVOTDATA("XLL4",'langlon (2016)'!$A$3,"MA_HT","PNK","MA_QH","DTT")</f>
        <v>0</v>
      </c>
      <c r="AJ57" s="22">
        <f ca="1">+GETPIVOTDATA("XLL4",'langlon (2016)'!$A$3,"MA_HT","PNK","MA_QH","NCK")</f>
        <v>0</v>
      </c>
      <c r="AK57" s="22">
        <f ca="1">+GETPIVOTDATA("XLL4",'langlon (2016)'!$A$3,"MA_HT","PNK","MA_QH","DXH")</f>
        <v>0</v>
      </c>
      <c r="AL57" s="22">
        <f ca="1">+GETPIVOTDATA("XLL4",'langlon (2016)'!$A$3,"MA_HT","PNK","MA_QH","DCH")</f>
        <v>0</v>
      </c>
      <c r="AM57" s="22">
        <f ca="1">+GETPIVOTDATA("XLL4",'langlon (2016)'!$A$3,"MA_HT","PNK","MA_QH","DKG")</f>
        <v>0</v>
      </c>
      <c r="AN57" s="22">
        <f ca="1">+GETPIVOTDATA("XLL4",'langlon (2016)'!$A$3,"MA_HT","PNK","MA_QH","DDT")</f>
        <v>0</v>
      </c>
      <c r="AO57" s="22">
        <f ca="1">+GETPIVOTDATA("XLL4",'langlon (2016)'!$A$3,"MA_HT","PNK","MA_QH","DDL")</f>
        <v>0</v>
      </c>
      <c r="AP57" s="22">
        <f ca="1">+GETPIVOTDATA("XLL4",'langlon (2016)'!$A$3,"MA_HT","PNK","MA_QH","DRA")</f>
        <v>0</v>
      </c>
      <c r="AQ57" s="22">
        <f ca="1">+GETPIVOTDATA("XLL4",'langlon (2016)'!$A$3,"MA_HT","PNK","MA_QH","ONT")</f>
        <v>0</v>
      </c>
      <c r="AR57" s="22">
        <f ca="1">+GETPIVOTDATA("XLL4",'langlon (2016)'!$A$3,"MA_HT","PNK","MA_QH","ODT")</f>
        <v>0</v>
      </c>
      <c r="AS57" s="22">
        <f ca="1">+GETPIVOTDATA("XLL4",'langlon (2016)'!$A$3,"MA_HT","PNK","MA_QH","TSC")</f>
        <v>0</v>
      </c>
      <c r="AT57" s="22">
        <f ca="1">+GETPIVOTDATA("XLL4",'langlon (2016)'!$A$3,"MA_HT","PNK","MA_QH","DTS")</f>
        <v>0</v>
      </c>
      <c r="AU57" s="22">
        <f ca="1">+GETPIVOTDATA("XLL4",'langlon (2016)'!$A$3,"MA_HT","PNK","MA_QH","DNG")</f>
        <v>0</v>
      </c>
      <c r="AV57" s="22">
        <f ca="1">+GETPIVOTDATA("XLL4",'langlon (2016)'!$A$3,"MA_HT","PNK","MA_QH","TON")</f>
        <v>0</v>
      </c>
      <c r="AW57" s="22">
        <f ca="1">+GETPIVOTDATA("XLL4",'langlon (2016)'!$A$3,"MA_HT","PNK","MA_QH","NTD")</f>
        <v>0</v>
      </c>
      <c r="AX57" s="22">
        <f ca="1">+GETPIVOTDATA("XLL4",'langlon (2016)'!$A$3,"MA_HT","PNK","MA_QH","SKX")</f>
        <v>0</v>
      </c>
      <c r="AY57" s="22">
        <f ca="1">+GETPIVOTDATA("XLL4",'langlon (2016)'!$A$3,"MA_HT","PNK","MA_QH","DSH")</f>
        <v>0</v>
      </c>
      <c r="AZ57" s="22">
        <f ca="1">+GETPIVOTDATA("XLL4",'langlon (2016)'!$A$3,"MA_HT","PNK","MA_QH","DKV")</f>
        <v>0</v>
      </c>
      <c r="BA57" s="89">
        <f ca="1">+GETPIVOTDATA("XLL4",'langlon (2016)'!$A$3,"MA_HT","PNK","MA_QH","TIN")</f>
        <v>0</v>
      </c>
      <c r="BB57" s="50">
        <f ca="1">+GETPIVOTDATA("XLL4",'langlon (2016)'!$A$3,"MA_HT","PNK","MA_QH","SON")</f>
        <v>0</v>
      </c>
      <c r="BC57" s="50">
        <f ca="1">+GETPIVOTDATA("XLL4",'langlon (2016)'!$A$3,"MA_HT","PNK","MA_QH","MNC")</f>
        <v>0</v>
      </c>
      <c r="BD57" s="43" t="e">
        <f ca="1">$D57-$BF57</f>
        <v>#REF!</v>
      </c>
      <c r="BE57" s="71">
        <f ca="1">+GETPIVOTDATA("XLL4",'langlon (2016)'!$A$3,"MA_HT","PNK","MA_QH","CSD")</f>
        <v>0</v>
      </c>
      <c r="BF57" s="74">
        <f ca="1" t="shared" si="13"/>
        <v>0</v>
      </c>
      <c r="BG57" s="101">
        <f ca="1">BD$59-$BF57</f>
        <v>0</v>
      </c>
      <c r="BH57" s="41" t="e">
        <f ca="1" t="shared" si="14"/>
        <v>#REF!</v>
      </c>
      <c r="BI57" s="98"/>
      <c r="BJ57" s="98" t="e">
        <f>#REF!</f>
        <v>#REF!</v>
      </c>
      <c r="BK57" s="107" t="e">
        <f ca="1">BH57-BJ57</f>
        <v>#REF!</v>
      </c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</row>
    <row r="58" s="3" customFormat="1" ht="15.75" customHeight="1" spans="1:79">
      <c r="A58" s="70" t="s">
        <v>8434</v>
      </c>
      <c r="B58" s="36" t="s">
        <v>8435</v>
      </c>
      <c r="C58" s="37" t="s">
        <v>8284</v>
      </c>
      <c r="D58" s="32" t="e">
        <f>+#REF!</f>
        <v>#REF!</v>
      </c>
      <c r="E58" s="42">
        <f ca="1" t="shared" si="15"/>
        <v>0</v>
      </c>
      <c r="F58" s="33">
        <f ca="1" t="shared" si="9"/>
        <v>0</v>
      </c>
      <c r="G58" s="71">
        <f ca="1">+GETPIVOTDATA("XLL4",'langlon (2016)'!$A$3,"MA_HT","CSD","MA_QH","LUC")</f>
        <v>0</v>
      </c>
      <c r="H58" s="71">
        <f ca="1">+GETPIVOTDATA("XLL4",'langlon (2016)'!$A$3,"MA_HT","CSD","MA_QH","LUK")</f>
        <v>0</v>
      </c>
      <c r="I58" s="71">
        <f ca="1">+GETPIVOTDATA("XLL4",'langlon (2016)'!$A$3,"MA_HT","CSD","MA_QH","LUN")</f>
        <v>0</v>
      </c>
      <c r="J58" s="71">
        <f ca="1">+GETPIVOTDATA("XLL4",'langlon (2016)'!$A$3,"MA_HT","CSD","MA_QH","HNK")</f>
        <v>0</v>
      </c>
      <c r="K58" s="71">
        <f ca="1">+GETPIVOTDATA("XLL4",'langlon (2016)'!$A$3,"MA_HT","CSD","MA_QH","CLN")</f>
        <v>0</v>
      </c>
      <c r="L58" s="71">
        <f ca="1">+GETPIVOTDATA("XLL4",'langlon (2016)'!$A$3,"MA_HT","CSD","MA_QH","RSX")</f>
        <v>0</v>
      </c>
      <c r="M58" s="71">
        <f ca="1">+GETPIVOTDATA("XLL4",'langlon (2016)'!$A$3,"MA_HT","CSD","MA_QH","RPH")</f>
        <v>0</v>
      </c>
      <c r="N58" s="71">
        <f ca="1">+GETPIVOTDATA("XLL4",'langlon (2016)'!$A$3,"MA_HT","CSD","MA_QH","RDD")</f>
        <v>0</v>
      </c>
      <c r="O58" s="71">
        <f ca="1">+GETPIVOTDATA("XLL4",'langlon (2016)'!$A$3,"MA_HT","CSD","MA_QH","NTS")</f>
        <v>0</v>
      </c>
      <c r="P58" s="71">
        <f ca="1">+GETPIVOTDATA("XLL4",'langlon (2016)'!$A$3,"MA_HT","CSD","MA_QH","LMU")</f>
        <v>0</v>
      </c>
      <c r="Q58" s="71">
        <f ca="1">+GETPIVOTDATA("XLL4",'langlon (2016)'!$A$3,"MA_HT","CSD","MA_QH","NKH")</f>
        <v>0</v>
      </c>
      <c r="R58" s="79">
        <f ca="1">SUM(S58:AA58,AN58:BD58)</f>
        <v>0</v>
      </c>
      <c r="S58" s="80">
        <f ca="1">+GETPIVOTDATA("XLL4",'langlon (2016)'!$A$3,"MA_HT","CSD","MA_QH","CQP")</f>
        <v>0</v>
      </c>
      <c r="T58" s="80">
        <f ca="1">+GETPIVOTDATA("XLL4",'langlon (2016)'!$A$3,"MA_HT","CSD","MA_QH","CAN")</f>
        <v>0</v>
      </c>
      <c r="U58" s="71">
        <f ca="1">+GETPIVOTDATA("XLL4",'langlon (2016)'!$A$3,"MA_HT","CSD","MA_QH","SKK")</f>
        <v>0</v>
      </c>
      <c r="V58" s="71">
        <f ca="1">+GETPIVOTDATA("XLL4",'langlon (2016)'!$A$3,"MA_HT","CSD","MA_QH","SKT")</f>
        <v>0</v>
      </c>
      <c r="W58" s="71">
        <f ca="1">+GETPIVOTDATA("XLL4",'langlon (2016)'!$A$3,"MA_HT","CSD","MA_QH","SKN")</f>
        <v>0</v>
      </c>
      <c r="X58" s="71">
        <f ca="1">+GETPIVOTDATA("XLL4",'langlon (2016)'!$A$3,"MA_HT","CSD","MA_QH","TMD")</f>
        <v>0</v>
      </c>
      <c r="Y58" s="71">
        <f ca="1">+GETPIVOTDATA("XLL4",'langlon (2016)'!$A$3,"MA_HT","CSD","MA_QH","SKC")</f>
        <v>0</v>
      </c>
      <c r="Z58" s="71">
        <f ca="1">+GETPIVOTDATA("XLL4",'langlon (2016)'!$A$3,"MA_HT","CSD","MA_QH","SKS")</f>
        <v>0</v>
      </c>
      <c r="AA58" s="52">
        <f ca="1" t="shared" si="21"/>
        <v>0</v>
      </c>
      <c r="AB58" s="80">
        <f ca="1">+GETPIVOTDATA("XLL4",'langlon (2016)'!$A$3,"MA_HT","CSD","MA_QH","DGT")</f>
        <v>0</v>
      </c>
      <c r="AC58" s="80">
        <f ca="1">+GETPIVOTDATA("XLL4",'langlon (2016)'!$A$3,"MA_HT","CSD","MA_QH","DTL")</f>
        <v>0</v>
      </c>
      <c r="AD58" s="80">
        <f ca="1">+GETPIVOTDATA("XLL4",'langlon (2016)'!$A$3,"MA_HT","CSD","MA_QH","DNL")</f>
        <v>0</v>
      </c>
      <c r="AE58" s="80">
        <f ca="1">+GETPIVOTDATA("XLL4",'langlon (2016)'!$A$3,"MA_HT","CSD","MA_QH","DBV")</f>
        <v>0</v>
      </c>
      <c r="AF58" s="80">
        <f ca="1">+GETPIVOTDATA("XLL4",'langlon (2016)'!$A$3,"MA_HT","CSD","MA_QH","DVH")</f>
        <v>0</v>
      </c>
      <c r="AG58" s="80">
        <f ca="1">+GETPIVOTDATA("XLL4",'langlon (2016)'!$A$3,"MA_HT","CSD","MA_QH","DYT")</f>
        <v>0</v>
      </c>
      <c r="AH58" s="80">
        <f ca="1">+GETPIVOTDATA("XLL4",'langlon (2016)'!$A$3,"MA_HT","CSD","MA_QH","DGD")</f>
        <v>0</v>
      </c>
      <c r="AI58" s="80">
        <f ca="1">+GETPIVOTDATA("XLL4",'langlon (2016)'!$A$3,"MA_HT","CSD","MA_QH","DTT")</f>
        <v>0</v>
      </c>
      <c r="AJ58" s="80">
        <f ca="1">+GETPIVOTDATA("XLL4",'langlon (2016)'!$A$3,"MA_HT","CSD","MA_QH","NCK")</f>
        <v>0</v>
      </c>
      <c r="AK58" s="80">
        <f ca="1">+GETPIVOTDATA("XLL4",'langlon (2016)'!$A$3,"MA_HT","CSD","MA_QH","DXH")</f>
        <v>0</v>
      </c>
      <c r="AL58" s="80">
        <f ca="1">+GETPIVOTDATA("XLL4",'langlon (2016)'!$A$3,"MA_HT","CSD","MA_QH","DCH")</f>
        <v>0</v>
      </c>
      <c r="AM58" s="80">
        <f ca="1">+GETPIVOTDATA("XLL4",'langlon (2016)'!$A$3,"MA_HT","CSD","MA_QH","DKG")</f>
        <v>0</v>
      </c>
      <c r="AN58" s="71">
        <f ca="1">+GETPIVOTDATA("XLL4",'langlon (2016)'!$A$3,"MA_HT","CSD","MA_QH","DDT")</f>
        <v>0</v>
      </c>
      <c r="AO58" s="71">
        <f ca="1">+GETPIVOTDATA("XLL4",'langlon (2016)'!$A$3,"MA_HT","CSD","MA_QH","DDL")</f>
        <v>0</v>
      </c>
      <c r="AP58" s="71">
        <f ca="1">+GETPIVOTDATA("XLL4",'langlon (2016)'!$A$3,"MA_HT","CSD","MA_QH","DRA")</f>
        <v>0</v>
      </c>
      <c r="AQ58" s="71">
        <f ca="1">+GETPIVOTDATA("XLL4",'langlon (2016)'!$A$3,"MA_HT","CSD","MA_QH","ONT")</f>
        <v>0</v>
      </c>
      <c r="AR58" s="71">
        <f ca="1">+GETPIVOTDATA("XLL4",'langlon (2016)'!$A$3,"MA_HT","CSD","MA_QH","ODT")</f>
        <v>0</v>
      </c>
      <c r="AS58" s="71">
        <f ca="1">+GETPIVOTDATA("XLL4",'langlon (2016)'!$A$3,"MA_HT","CSD","MA_QH","TSC")</f>
        <v>0</v>
      </c>
      <c r="AT58" s="71">
        <f ca="1">+GETPIVOTDATA("XLL4",'langlon (2016)'!$A$3,"MA_HT","CSD","MA_QH","DTS")</f>
        <v>0</v>
      </c>
      <c r="AU58" s="71">
        <f ca="1">+GETPIVOTDATA("XLL4",'langlon (2016)'!$A$3,"MA_HT","CSD","MA_QH","DNG")</f>
        <v>0</v>
      </c>
      <c r="AV58" s="71">
        <f ca="1">+GETPIVOTDATA("XLL4",'langlon (2016)'!$A$3,"MA_HT","CSD","MA_QH","TON")</f>
        <v>0</v>
      </c>
      <c r="AW58" s="71">
        <f ca="1">+GETPIVOTDATA("XLL4",'langlon (2016)'!$A$3,"MA_HT","CSD","MA_QH","NTD")</f>
        <v>0</v>
      </c>
      <c r="AX58" s="71">
        <f ca="1">+GETPIVOTDATA("XLL4",'langlon (2016)'!$A$3,"MA_HT","CSD","MA_QH","SKX")</f>
        <v>0</v>
      </c>
      <c r="AY58" s="71">
        <f ca="1">+GETPIVOTDATA("XLL4",'langlon (2016)'!$A$3,"MA_HT","CSD","MA_QH","DSH")</f>
        <v>0</v>
      </c>
      <c r="AZ58" s="71">
        <f ca="1">+GETPIVOTDATA("XLL4",'langlon (2016)'!$A$3,"MA_HT","CSD","MA_QH","DKV")</f>
        <v>0</v>
      </c>
      <c r="BA58" s="89">
        <f ca="1">+GETPIVOTDATA("XLL4",'langlon (2016)'!$A$3,"MA_HT","CSD","MA_QH","TIN")</f>
        <v>0</v>
      </c>
      <c r="BB58" s="80">
        <f ca="1">+GETPIVOTDATA("XLL4",'langlon (2016)'!$A$3,"MA_HT","CSD","MA_QH","SON")</f>
        <v>0</v>
      </c>
      <c r="BC58" s="80">
        <f ca="1">+GETPIVOTDATA("XLL4",'langlon (2016)'!$A$3,"MA_HT","CSD","MA_QH","MNC")</f>
        <v>0</v>
      </c>
      <c r="BD58" s="71">
        <f ca="1">+GETPIVOTDATA("XLL4",'langlon (2016)'!$A$3,"MA_HT","CSD","MA_QH","PNK")</f>
        <v>0</v>
      </c>
      <c r="BE58" s="38" t="e">
        <f ca="1">$D58-$BF58</f>
        <v>#REF!</v>
      </c>
      <c r="BF58" s="74">
        <f ca="1">R58+E58</f>
        <v>0</v>
      </c>
      <c r="BG58" s="119">
        <f ca="1">BE$59-$BF58</f>
        <v>0</v>
      </c>
      <c r="BH58" s="41" t="e">
        <f ca="1" t="shared" si="14"/>
        <v>#REF!</v>
      </c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</row>
    <row r="59" s="2" customFormat="1" ht="13.5" spans="1:246">
      <c r="A59" s="72"/>
      <c r="B59" s="72" t="s">
        <v>8436</v>
      </c>
      <c r="C59" s="73"/>
      <c r="D59" s="74"/>
      <c r="E59" s="75">
        <f ca="1">E58+E19</f>
        <v>0</v>
      </c>
      <c r="F59" s="74">
        <f ca="1" t="shared" ref="F59:Q59" si="22">F58+F19+F6</f>
        <v>0</v>
      </c>
      <c r="G59" s="74">
        <f ca="1" t="shared" si="22"/>
        <v>0</v>
      </c>
      <c r="H59" s="74">
        <f ca="1" t="shared" si="22"/>
        <v>0</v>
      </c>
      <c r="I59" s="74">
        <f ca="1" t="shared" si="22"/>
        <v>0</v>
      </c>
      <c r="J59" s="74">
        <f ca="1" t="shared" si="22"/>
        <v>0</v>
      </c>
      <c r="K59" s="74">
        <f ca="1" t="shared" si="22"/>
        <v>0</v>
      </c>
      <c r="L59" s="74">
        <f ca="1" t="shared" si="22"/>
        <v>0</v>
      </c>
      <c r="M59" s="74">
        <f ca="1" t="shared" si="22"/>
        <v>0</v>
      </c>
      <c r="N59" s="74">
        <f ca="1" t="shared" si="22"/>
        <v>0</v>
      </c>
      <c r="O59" s="74">
        <f ca="1" t="shared" si="22"/>
        <v>0</v>
      </c>
      <c r="P59" s="74">
        <f ca="1" t="shared" si="22"/>
        <v>0</v>
      </c>
      <c r="Q59" s="74">
        <f ca="1" t="shared" si="22"/>
        <v>0</v>
      </c>
      <c r="R59" s="75">
        <f ca="1">+R58+R6</f>
        <v>0</v>
      </c>
      <c r="S59" s="74">
        <f ca="1" t="shared" ref="S59:BD59" si="23">S58+S19+S6</f>
        <v>0</v>
      </c>
      <c r="T59" s="74">
        <f ca="1" t="shared" si="23"/>
        <v>0</v>
      </c>
      <c r="U59" s="74">
        <f ca="1" t="shared" si="23"/>
        <v>0</v>
      </c>
      <c r="V59" s="74">
        <f ca="1" t="shared" si="23"/>
        <v>0</v>
      </c>
      <c r="W59" s="74">
        <f ca="1" t="shared" si="23"/>
        <v>0</v>
      </c>
      <c r="X59" s="74">
        <f ca="1" t="shared" si="23"/>
        <v>0</v>
      </c>
      <c r="Y59" s="74">
        <f ca="1" t="shared" si="23"/>
        <v>0</v>
      </c>
      <c r="Z59" s="74">
        <f ca="1" t="shared" si="23"/>
        <v>0</v>
      </c>
      <c r="AA59" s="74">
        <f ca="1" t="shared" si="23"/>
        <v>0</v>
      </c>
      <c r="AB59" s="74">
        <f ca="1" t="shared" si="23"/>
        <v>0</v>
      </c>
      <c r="AC59" s="74">
        <f ca="1" t="shared" si="23"/>
        <v>0</v>
      </c>
      <c r="AD59" s="74">
        <f ca="1" t="shared" si="23"/>
        <v>0</v>
      </c>
      <c r="AE59" s="74">
        <f ca="1" t="shared" si="23"/>
        <v>0</v>
      </c>
      <c r="AF59" s="74">
        <f ca="1" t="shared" si="23"/>
        <v>0</v>
      </c>
      <c r="AG59" s="74">
        <f ca="1" t="shared" si="23"/>
        <v>0</v>
      </c>
      <c r="AH59" s="74">
        <f ca="1" t="shared" si="23"/>
        <v>0</v>
      </c>
      <c r="AI59" s="74">
        <f ca="1" t="shared" si="23"/>
        <v>0</v>
      </c>
      <c r="AJ59" s="74">
        <f ca="1" t="shared" si="23"/>
        <v>0</v>
      </c>
      <c r="AK59" s="74">
        <f ca="1" t="shared" si="23"/>
        <v>0</v>
      </c>
      <c r="AL59" s="74">
        <f ca="1" t="shared" si="23"/>
        <v>0</v>
      </c>
      <c r="AM59" s="74">
        <f ca="1" t="shared" si="23"/>
        <v>0</v>
      </c>
      <c r="AN59" s="74">
        <f ca="1" t="shared" si="23"/>
        <v>0</v>
      </c>
      <c r="AO59" s="74">
        <f ca="1" t="shared" si="23"/>
        <v>0</v>
      </c>
      <c r="AP59" s="74">
        <f ca="1" t="shared" si="23"/>
        <v>0</v>
      </c>
      <c r="AQ59" s="74">
        <f ca="1" t="shared" si="23"/>
        <v>0</v>
      </c>
      <c r="AR59" s="74">
        <f ca="1" t="shared" si="23"/>
        <v>0</v>
      </c>
      <c r="AS59" s="74">
        <f ca="1" t="shared" si="23"/>
        <v>0</v>
      </c>
      <c r="AT59" s="74">
        <f ca="1" t="shared" si="23"/>
        <v>0</v>
      </c>
      <c r="AU59" s="74">
        <f ca="1" t="shared" si="23"/>
        <v>0</v>
      </c>
      <c r="AV59" s="74">
        <f ca="1" t="shared" si="23"/>
        <v>0</v>
      </c>
      <c r="AW59" s="74">
        <f ca="1" t="shared" si="23"/>
        <v>0</v>
      </c>
      <c r="AX59" s="74">
        <f ca="1" t="shared" si="23"/>
        <v>0</v>
      </c>
      <c r="AY59" s="74">
        <f ca="1" t="shared" si="23"/>
        <v>0</v>
      </c>
      <c r="AZ59" s="74">
        <f ca="1" t="shared" si="23"/>
        <v>0</v>
      </c>
      <c r="BA59" s="75">
        <f ca="1" t="shared" si="23"/>
        <v>0</v>
      </c>
      <c r="BB59" s="74">
        <f ca="1" t="shared" si="23"/>
        <v>0</v>
      </c>
      <c r="BC59" s="74">
        <f ca="1" t="shared" si="23"/>
        <v>0</v>
      </c>
      <c r="BD59" s="74">
        <f ca="1" t="shared" si="23"/>
        <v>0</v>
      </c>
      <c r="BE59" s="120">
        <f ca="1">BE19+BE6</f>
        <v>0</v>
      </c>
      <c r="BF59" s="74"/>
      <c r="BG59" s="74"/>
      <c r="BH59" s="74"/>
      <c r="BI59" s="121"/>
      <c r="BJ59" s="121"/>
      <c r="BK59" s="121"/>
      <c r="BL59" s="1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3"/>
      <c r="CB59" s="123"/>
      <c r="CC59" s="124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</row>
    <row r="61" spans="61:76"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</row>
  </sheetData>
  <mergeCells count="3">
    <mergeCell ref="A3:A4"/>
    <mergeCell ref="B3:B4"/>
    <mergeCell ref="C3:C4"/>
  </mergeCells>
  <pageMargins left="0.65" right="0" top="0.5" bottom="0.25" header="0.5" footer="0.5"/>
  <pageSetup paperSize="8" orientation="landscape" horizontalDpi="360" verticalDpi="36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8">
    <tabColor rgb="FFFF0000"/>
  </sheetPr>
  <dimension ref="A1:IL61"/>
  <sheetViews>
    <sheetView workbookViewId="0">
      <selection activeCell="A1" sqref="A1"/>
    </sheetView>
  </sheetViews>
  <sheetFormatPr defaultColWidth="9" defaultRowHeight="15"/>
  <cols>
    <col min="1" max="1" width="6.375" style="7" customWidth="1"/>
    <col min="2" max="2" width="29.125" style="7" customWidth="1"/>
    <col min="3" max="3" width="6" style="7" customWidth="1"/>
    <col min="4" max="4" width="9.75" style="8" customWidth="1"/>
    <col min="5" max="5" width="9.375" style="9" customWidth="1"/>
    <col min="6" max="6" width="7" style="8" customWidth="1"/>
    <col min="7" max="7" width="7.75" style="8" customWidth="1"/>
    <col min="8" max="8" width="7" style="8" customWidth="1"/>
    <col min="9" max="9" width="6.875" style="8" customWidth="1"/>
    <col min="10" max="10" width="7.625" style="8" customWidth="1"/>
    <col min="11" max="11" width="9.125" style="8" customWidth="1"/>
    <col min="12" max="12" width="8.25" style="8" customWidth="1"/>
    <col min="13" max="13" width="6" style="8" customWidth="1"/>
    <col min="14" max="14" width="6.25" style="8" customWidth="1"/>
    <col min="15" max="15" width="5.875" style="8" customWidth="1"/>
    <col min="16" max="16" width="5.75" style="8" customWidth="1"/>
    <col min="17" max="17" width="6.25" style="8" customWidth="1"/>
    <col min="18" max="18" width="8.75" style="10" customWidth="1"/>
    <col min="19" max="19" width="7.125" style="8" customWidth="1"/>
    <col min="20" max="20" width="7.75" style="8" customWidth="1"/>
    <col min="21" max="23" width="6.125" style="8" customWidth="1"/>
    <col min="24" max="24" width="7.125" style="8" customWidth="1"/>
    <col min="25" max="25" width="7.75" style="8" customWidth="1"/>
    <col min="26" max="26" width="6.875" style="8" customWidth="1"/>
    <col min="27" max="27" width="7.375" style="8" customWidth="1"/>
    <col min="28" max="28" width="9" style="8"/>
    <col min="29" max="29" width="7.25" style="8" customWidth="1"/>
    <col min="30" max="30" width="7" style="8" customWidth="1"/>
    <col min="31" max="31" width="6.125" style="8" customWidth="1"/>
    <col min="32" max="33" width="6.625" style="8" customWidth="1"/>
    <col min="34" max="34" width="6.125" style="8" customWidth="1"/>
    <col min="35" max="35" width="8.5" style="8" customWidth="1"/>
    <col min="36" max="36" width="8.875" style="8" customWidth="1"/>
    <col min="37" max="37" width="8.75" style="8" customWidth="1"/>
    <col min="38" max="39" width="6.625" style="8" customWidth="1"/>
    <col min="40" max="41" width="6.875" style="8" customWidth="1"/>
    <col min="42" max="42" width="6.75" style="8" customWidth="1"/>
    <col min="43" max="43" width="6.375" style="8" customWidth="1"/>
    <col min="44" max="44" width="6.125" style="8" customWidth="1"/>
    <col min="45" max="46" width="5.75" style="8" customWidth="1"/>
    <col min="47" max="47" width="6.5" style="8" customWidth="1"/>
    <col min="48" max="49" width="5.625" style="8" customWidth="1"/>
    <col min="50" max="51" width="6.125" style="8" customWidth="1"/>
    <col min="52" max="52" width="7.625" style="8" customWidth="1"/>
    <col min="53" max="53" width="9.375" style="11" customWidth="1"/>
    <col min="54" max="54" width="6.625" style="12" customWidth="1"/>
    <col min="55" max="55" width="6.25" style="12" customWidth="1"/>
    <col min="56" max="56" width="7.125" style="8" customWidth="1"/>
    <col min="57" max="57" width="6.25" style="9" customWidth="1"/>
    <col min="58" max="58" width="7.25" style="11" customWidth="1"/>
    <col min="59" max="59" width="8.25" style="11" customWidth="1"/>
    <col min="60" max="60" width="10.125" style="11" customWidth="1"/>
    <col min="61" max="61" width="5.125" style="7" customWidth="1"/>
    <col min="62" max="62" width="8.375" style="7" hidden="1" customWidth="1"/>
    <col min="63" max="63" width="9" style="7" hidden="1" customWidth="1"/>
    <col min="64" max="64" width="4.875" style="7" customWidth="1"/>
    <col min="65" max="65" width="6.25" style="7" customWidth="1"/>
    <col min="66" max="66" width="5" style="7" customWidth="1"/>
    <col min="67" max="67" width="4.25" style="7" customWidth="1"/>
    <col min="68" max="68" width="5.375" style="7" customWidth="1"/>
    <col min="69" max="69" width="5.125" style="7" customWidth="1"/>
    <col min="70" max="70" width="4.625" style="7" customWidth="1"/>
    <col min="71" max="71" width="5.625" style="7" customWidth="1"/>
    <col min="72" max="72" width="5.875" style="7" customWidth="1"/>
    <col min="73" max="73" width="5" style="7" customWidth="1"/>
    <col min="74" max="74" width="3.875" style="7" customWidth="1"/>
    <col min="75" max="75" width="4.625" style="7" customWidth="1"/>
    <col min="76" max="76" width="5.5" style="7" customWidth="1"/>
    <col min="77" max="77" width="7.625" style="13" customWidth="1"/>
    <col min="78" max="79" width="8.375" style="13" customWidth="1"/>
    <col min="80" max="80" width="7.5" style="7" customWidth="1"/>
    <col min="81" max="16384" width="9" style="7"/>
  </cols>
  <sheetData>
    <row r="1" ht="21" customHeight="1" spans="1:82">
      <c r="A1" s="14" t="s">
        <v>8330</v>
      </c>
      <c r="B1" s="15"/>
      <c r="C1" s="16" t="e">
        <f>+"CHU CHUYỂN ĐẤT ĐAI TRONG KẾ HOẠCH SỬ DỤNG ĐẤT NĂM 2015 CỦA "&amp;#REF!</f>
        <v>#REF!</v>
      </c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83"/>
      <c r="BC1" s="83"/>
      <c r="BD1" s="18"/>
      <c r="BE1" s="18"/>
      <c r="BF1" s="18"/>
      <c r="BG1" s="18"/>
      <c r="BH1" s="18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7"/>
      <c r="BZ1" s="7"/>
      <c r="CA1" s="7"/>
      <c r="CB1" s="8"/>
      <c r="CC1" s="8"/>
      <c r="CD1" s="8"/>
    </row>
    <row r="2" s="1" customFormat="1" ht="7.5" customHeight="1" spans="1:82">
      <c r="A2" s="1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9"/>
      <c r="BA2" s="20"/>
      <c r="BB2" s="84"/>
      <c r="BC2" s="84"/>
      <c r="BD2" s="20"/>
      <c r="BE2" s="20"/>
      <c r="BF2" s="20"/>
      <c r="BG2" s="20"/>
      <c r="BH2" s="95" t="s">
        <v>8331</v>
      </c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CB2" s="9"/>
      <c r="CC2" s="9"/>
      <c r="CD2" s="9"/>
    </row>
    <row r="3" s="2" customFormat="1" ht="15.75" customHeight="1" spans="1:79">
      <c r="A3" s="21" t="s">
        <v>3</v>
      </c>
      <c r="B3" s="21" t="s">
        <v>8332</v>
      </c>
      <c r="C3" s="21" t="s">
        <v>8333</v>
      </c>
      <c r="D3" s="22"/>
      <c r="E3" s="23" t="s">
        <v>8334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7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85"/>
      <c r="BC3" s="85"/>
      <c r="BD3" s="24"/>
      <c r="BE3" s="97"/>
      <c r="BF3" s="22"/>
      <c r="BG3" s="22"/>
      <c r="BH3" s="22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</row>
    <row r="4" s="2" customFormat="1" ht="31.5" customHeight="1" spans="1:79">
      <c r="A4" s="25"/>
      <c r="B4" s="25"/>
      <c r="C4" s="25"/>
      <c r="D4" s="26" t="s">
        <v>8335</v>
      </c>
      <c r="E4" s="27" t="s">
        <v>8303</v>
      </c>
      <c r="F4" s="28" t="s">
        <v>8298</v>
      </c>
      <c r="G4" s="29" t="s">
        <v>8299</v>
      </c>
      <c r="H4" s="29" t="s">
        <v>221</v>
      </c>
      <c r="I4" s="29" t="s">
        <v>8300</v>
      </c>
      <c r="J4" s="28" t="s">
        <v>2492</v>
      </c>
      <c r="K4" s="28" t="s">
        <v>30</v>
      </c>
      <c r="L4" s="28" t="s">
        <v>8307</v>
      </c>
      <c r="M4" s="28" t="s">
        <v>8306</v>
      </c>
      <c r="N4" s="28" t="s">
        <v>8305</v>
      </c>
      <c r="O4" s="76" t="s">
        <v>318</v>
      </c>
      <c r="P4" s="28" t="s">
        <v>8297</v>
      </c>
      <c r="Q4" s="28" t="s">
        <v>553</v>
      </c>
      <c r="R4" s="37" t="s">
        <v>8304</v>
      </c>
      <c r="S4" s="40" t="s">
        <v>31</v>
      </c>
      <c r="T4" s="40" t="s">
        <v>8283</v>
      </c>
      <c r="U4" s="40" t="s">
        <v>47</v>
      </c>
      <c r="V4" s="40" t="s">
        <v>8308</v>
      </c>
      <c r="W4" s="40" t="s">
        <v>56</v>
      </c>
      <c r="X4" s="40" t="s">
        <v>265</v>
      </c>
      <c r="Y4" s="40" t="s">
        <v>204</v>
      </c>
      <c r="Z4" s="40" t="s">
        <v>174</v>
      </c>
      <c r="AA4" s="40" t="s">
        <v>8288</v>
      </c>
      <c r="AB4" s="46" t="s">
        <v>94</v>
      </c>
      <c r="AC4" s="46" t="s">
        <v>216</v>
      </c>
      <c r="AD4" s="46" t="s">
        <v>71</v>
      </c>
      <c r="AE4" s="46" t="s">
        <v>8285</v>
      </c>
      <c r="AF4" s="46" t="s">
        <v>212</v>
      </c>
      <c r="AG4" s="46" t="s">
        <v>8296</v>
      </c>
      <c r="AH4" s="46" t="s">
        <v>165</v>
      </c>
      <c r="AI4" s="46" t="s">
        <v>8294</v>
      </c>
      <c r="AJ4" s="46" t="s">
        <v>8302</v>
      </c>
      <c r="AK4" s="46" t="s">
        <v>8295</v>
      </c>
      <c r="AL4" s="46" t="s">
        <v>178</v>
      </c>
      <c r="AM4" s="46" t="s">
        <v>8312</v>
      </c>
      <c r="AN4" s="40" t="s">
        <v>8287</v>
      </c>
      <c r="AO4" s="40" t="s">
        <v>8286</v>
      </c>
      <c r="AP4" s="40" t="s">
        <v>8291</v>
      </c>
      <c r="AQ4" s="40" t="s">
        <v>188</v>
      </c>
      <c r="AR4" s="40" t="s">
        <v>201</v>
      </c>
      <c r="AS4" s="40" t="s">
        <v>336</v>
      </c>
      <c r="AT4" s="40" t="s">
        <v>8293</v>
      </c>
      <c r="AU4" s="40" t="s">
        <v>8290</v>
      </c>
      <c r="AV4" s="40" t="s">
        <v>324</v>
      </c>
      <c r="AW4" s="40" t="s">
        <v>182</v>
      </c>
      <c r="AX4" s="40" t="s">
        <v>236</v>
      </c>
      <c r="AY4" s="40" t="s">
        <v>8292</v>
      </c>
      <c r="AZ4" s="40" t="s">
        <v>8289</v>
      </c>
      <c r="BA4" s="40" t="s">
        <v>8310</v>
      </c>
      <c r="BB4" s="40" t="s">
        <v>8309</v>
      </c>
      <c r="BC4" s="40" t="s">
        <v>8301</v>
      </c>
      <c r="BD4" s="40" t="s">
        <v>59</v>
      </c>
      <c r="BE4" s="27" t="s">
        <v>8284</v>
      </c>
      <c r="BF4" s="99" t="s">
        <v>8336</v>
      </c>
      <c r="BG4" s="100" t="s">
        <v>8337</v>
      </c>
      <c r="BH4" s="26" t="s">
        <v>8335</v>
      </c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</row>
    <row r="5" s="2" customFormat="1" ht="15.75" customHeight="1" spans="1:79">
      <c r="A5" s="30"/>
      <c r="B5" s="30" t="s">
        <v>8338</v>
      </c>
      <c r="C5" s="31"/>
      <c r="D5" s="32" t="e">
        <f>+#REF!</f>
        <v>#REF!</v>
      </c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86"/>
      <c r="BC5" s="86"/>
      <c r="BD5" s="34"/>
      <c r="BE5" s="33"/>
      <c r="BF5" s="34"/>
      <c r="BG5" s="34"/>
      <c r="BH5" s="34" t="e">
        <f ca="1">BH6+BH19+BH58</f>
        <v>#REF!</v>
      </c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</row>
    <row r="6" s="3" customFormat="1" ht="15.75" customHeight="1" spans="1:79">
      <c r="A6" s="35">
        <v>1</v>
      </c>
      <c r="B6" s="36" t="s">
        <v>8339</v>
      </c>
      <c r="C6" s="37" t="s">
        <v>8303</v>
      </c>
      <c r="D6" s="33" t="e">
        <f>+#REF!</f>
        <v>#REF!</v>
      </c>
      <c r="E6" s="38" t="e">
        <f ca="1">$D6-$BF6</f>
        <v>#REF!</v>
      </c>
      <c r="F6" s="33">
        <f ca="1">SUM(F11:F18)</f>
        <v>0</v>
      </c>
      <c r="G6" s="33">
        <f ca="1">SUM(G7,G11:G18)</f>
        <v>0</v>
      </c>
      <c r="H6" s="33">
        <f ca="1">SUM(H7,H11:H18)</f>
        <v>0</v>
      </c>
      <c r="I6" s="33">
        <f ca="1">SUM(I7,I11:I18)</f>
        <v>0</v>
      </c>
      <c r="J6" s="33">
        <f ca="1">SUM(J7,J12:J18)</f>
        <v>0</v>
      </c>
      <c r="K6" s="33">
        <f ca="1">SUM(K7,K11,K13:K18)</f>
        <v>0</v>
      </c>
      <c r="L6" s="33">
        <f ca="1">SUM(L7,L11:L12,L14:L18)</f>
        <v>0</v>
      </c>
      <c r="M6" s="33">
        <f ca="1">SUM(M7,M11:M13,M15:M18)</f>
        <v>0</v>
      </c>
      <c r="N6" s="33">
        <f ca="1">SUM(N7,N11:N14,N16:N18)</f>
        <v>0</v>
      </c>
      <c r="O6" s="33">
        <f ca="1">SUM(O7,O11:O15,O17:O18)</f>
        <v>0</v>
      </c>
      <c r="P6" s="33">
        <f ca="1">SUM(P7,P11:P16,P18:P18)</f>
        <v>0</v>
      </c>
      <c r="Q6" s="33">
        <f ca="1">SUM(Q7,Q11:Q17)</f>
        <v>0</v>
      </c>
      <c r="R6" s="33">
        <f ca="1">SUM(R7,R11:R18)</f>
        <v>0</v>
      </c>
      <c r="S6" s="33">
        <f ca="1">SUM(S7,S11:S18)</f>
        <v>0</v>
      </c>
      <c r="T6" s="33">
        <f ca="1" t="shared" ref="T6:BE6" si="0">SUM(T7,T11:T18)</f>
        <v>0</v>
      </c>
      <c r="U6" s="33">
        <f ca="1" t="shared" si="0"/>
        <v>0</v>
      </c>
      <c r="V6" s="33">
        <f ca="1" t="shared" si="0"/>
        <v>0</v>
      </c>
      <c r="W6" s="33">
        <f ca="1" t="shared" si="0"/>
        <v>0</v>
      </c>
      <c r="X6" s="33">
        <f ca="1" t="shared" si="0"/>
        <v>0</v>
      </c>
      <c r="Y6" s="33">
        <f ca="1" t="shared" si="0"/>
        <v>0</v>
      </c>
      <c r="Z6" s="33">
        <f ca="1" t="shared" si="0"/>
        <v>0</v>
      </c>
      <c r="AA6" s="33">
        <f ca="1" t="shared" si="0"/>
        <v>0</v>
      </c>
      <c r="AB6" s="33">
        <f ca="1" t="shared" si="0"/>
        <v>0</v>
      </c>
      <c r="AC6" s="33">
        <f ca="1" t="shared" si="0"/>
        <v>0</v>
      </c>
      <c r="AD6" s="33">
        <f ca="1" t="shared" si="0"/>
        <v>0</v>
      </c>
      <c r="AE6" s="33">
        <f ca="1" t="shared" si="0"/>
        <v>0</v>
      </c>
      <c r="AF6" s="33">
        <f ca="1" t="shared" si="0"/>
        <v>0</v>
      </c>
      <c r="AG6" s="33">
        <f ca="1" t="shared" si="0"/>
        <v>0</v>
      </c>
      <c r="AH6" s="33">
        <f ca="1" t="shared" si="0"/>
        <v>0</v>
      </c>
      <c r="AI6" s="33">
        <f ca="1" t="shared" si="0"/>
        <v>0</v>
      </c>
      <c r="AJ6" s="33">
        <f ca="1" t="shared" si="0"/>
        <v>0</v>
      </c>
      <c r="AK6" s="33">
        <f ca="1" t="shared" si="0"/>
        <v>0</v>
      </c>
      <c r="AL6" s="33">
        <f ca="1" t="shared" si="0"/>
        <v>0</v>
      </c>
      <c r="AM6" s="33">
        <f ca="1" t="shared" si="0"/>
        <v>0</v>
      </c>
      <c r="AN6" s="33">
        <f ca="1" t="shared" si="0"/>
        <v>0</v>
      </c>
      <c r="AO6" s="33">
        <f ca="1" t="shared" si="0"/>
        <v>0</v>
      </c>
      <c r="AP6" s="33">
        <f ca="1" t="shared" si="0"/>
        <v>0</v>
      </c>
      <c r="AQ6" s="33">
        <f ca="1" t="shared" si="0"/>
        <v>0</v>
      </c>
      <c r="AR6" s="33">
        <f ca="1" t="shared" si="0"/>
        <v>0</v>
      </c>
      <c r="AS6" s="33">
        <f ca="1" t="shared" si="0"/>
        <v>0</v>
      </c>
      <c r="AT6" s="33">
        <f ca="1" t="shared" si="0"/>
        <v>0</v>
      </c>
      <c r="AU6" s="33">
        <f ca="1" t="shared" si="0"/>
        <v>0</v>
      </c>
      <c r="AV6" s="33">
        <f ca="1" t="shared" si="0"/>
        <v>0</v>
      </c>
      <c r="AW6" s="33">
        <f ca="1" t="shared" si="0"/>
        <v>0</v>
      </c>
      <c r="AX6" s="33">
        <f ca="1" t="shared" si="0"/>
        <v>0</v>
      </c>
      <c r="AY6" s="33">
        <f ca="1" t="shared" si="0"/>
        <v>0</v>
      </c>
      <c r="AZ6" s="33">
        <f ca="1" t="shared" si="0"/>
        <v>0</v>
      </c>
      <c r="BA6" s="33">
        <f ca="1" t="shared" si="0"/>
        <v>0</v>
      </c>
      <c r="BB6" s="33">
        <f ca="1" t="shared" si="0"/>
        <v>0</v>
      </c>
      <c r="BC6" s="33">
        <f ca="1" t="shared" si="0"/>
        <v>0</v>
      </c>
      <c r="BD6" s="33">
        <f ca="1" t="shared" si="0"/>
        <v>0</v>
      </c>
      <c r="BE6" s="33">
        <f ca="1" t="shared" si="0"/>
        <v>0</v>
      </c>
      <c r="BF6" s="74">
        <f ca="1">BE6+R6</f>
        <v>0</v>
      </c>
      <c r="BG6" s="101">
        <f ca="1">E$59-$BF6</f>
        <v>0</v>
      </c>
      <c r="BH6" s="33" t="e">
        <f ca="1">SUM(BH7,BH11:BH18)</f>
        <v>#REF!</v>
      </c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</row>
    <row r="7" s="2" customFormat="1" ht="15.75" customHeight="1" spans="1:79">
      <c r="A7" s="39" t="s">
        <v>27</v>
      </c>
      <c r="B7" s="39" t="s">
        <v>8340</v>
      </c>
      <c r="C7" s="40" t="s">
        <v>8298</v>
      </c>
      <c r="D7" s="41" t="e">
        <f>+#REF!</f>
        <v>#REF!</v>
      </c>
      <c r="E7" s="42">
        <f ca="1">SUM(J7:Q7)</f>
        <v>0</v>
      </c>
      <c r="F7" s="43" t="e">
        <f ca="1">$D7-$BF7</f>
        <v>#REF!</v>
      </c>
      <c r="G7" s="44">
        <f ca="1">SUM(G9:G10)</f>
        <v>0</v>
      </c>
      <c r="H7" s="44">
        <f ca="1">SUM(H8,H10)</f>
        <v>0</v>
      </c>
      <c r="I7" s="44">
        <f ca="1">SUM(I8:I9)</f>
        <v>0</v>
      </c>
      <c r="J7" s="44">
        <f ca="1">SUM(J8:J10)</f>
        <v>0</v>
      </c>
      <c r="K7" s="44">
        <f ca="1" t="shared" ref="K7:Q7" si="1">SUM(K8:K10)</f>
        <v>0</v>
      </c>
      <c r="L7" s="44">
        <f ca="1" t="shared" si="1"/>
        <v>0</v>
      </c>
      <c r="M7" s="44">
        <f ca="1" t="shared" si="1"/>
        <v>0</v>
      </c>
      <c r="N7" s="44">
        <f ca="1" t="shared" si="1"/>
        <v>0</v>
      </c>
      <c r="O7" s="44">
        <f ca="1" t="shared" si="1"/>
        <v>0</v>
      </c>
      <c r="P7" s="44">
        <f ca="1" t="shared" si="1"/>
        <v>0</v>
      </c>
      <c r="Q7" s="44">
        <f ca="1" t="shared" si="1"/>
        <v>0</v>
      </c>
      <c r="R7" s="42">
        <f ca="1" t="shared" ref="R7:R18" si="2">SUM(S7:AA7,AN7:BD7)</f>
        <v>0</v>
      </c>
      <c r="S7" s="52">
        <f ca="1" t="shared" ref="S7:AY7" si="3">SUM(S8:S10)</f>
        <v>0</v>
      </c>
      <c r="T7" s="52">
        <f ca="1" t="shared" si="3"/>
        <v>0</v>
      </c>
      <c r="U7" s="52">
        <f ca="1" t="shared" si="3"/>
        <v>0</v>
      </c>
      <c r="V7" s="52">
        <f ca="1" t="shared" si="3"/>
        <v>0</v>
      </c>
      <c r="W7" s="52">
        <f ca="1" t="shared" si="3"/>
        <v>0</v>
      </c>
      <c r="X7" s="52">
        <f ca="1" t="shared" si="3"/>
        <v>0</v>
      </c>
      <c r="Y7" s="52">
        <f ca="1" t="shared" si="3"/>
        <v>0</v>
      </c>
      <c r="Z7" s="52">
        <f ca="1" t="shared" si="3"/>
        <v>0</v>
      </c>
      <c r="AA7" s="52">
        <f ca="1" t="shared" ref="AA7:AA18" si="4">+SUM(AB7:AM7)</f>
        <v>0</v>
      </c>
      <c r="AB7" s="52">
        <f ca="1" t="shared" ref="AB7:AM7" si="5">SUM(AB8:AB10)</f>
        <v>0</v>
      </c>
      <c r="AC7" s="52">
        <f ca="1" t="shared" si="5"/>
        <v>0</v>
      </c>
      <c r="AD7" s="52">
        <f ca="1" t="shared" si="5"/>
        <v>0</v>
      </c>
      <c r="AE7" s="52">
        <f ca="1" t="shared" si="5"/>
        <v>0</v>
      </c>
      <c r="AF7" s="52">
        <f ca="1" t="shared" si="5"/>
        <v>0</v>
      </c>
      <c r="AG7" s="52">
        <f ca="1" t="shared" si="5"/>
        <v>0</v>
      </c>
      <c r="AH7" s="52">
        <f ca="1" t="shared" si="5"/>
        <v>0</v>
      </c>
      <c r="AI7" s="52">
        <f ca="1" t="shared" si="5"/>
        <v>0</v>
      </c>
      <c r="AJ7" s="52">
        <f ca="1" t="shared" si="5"/>
        <v>0</v>
      </c>
      <c r="AK7" s="52">
        <f ca="1" t="shared" si="5"/>
        <v>0</v>
      </c>
      <c r="AL7" s="52">
        <f ca="1" t="shared" si="5"/>
        <v>0</v>
      </c>
      <c r="AM7" s="52">
        <f ca="1" t="shared" si="5"/>
        <v>0</v>
      </c>
      <c r="AN7" s="52">
        <f ca="1" t="shared" si="3"/>
        <v>0</v>
      </c>
      <c r="AO7" s="52">
        <f ca="1" t="shared" si="3"/>
        <v>0</v>
      </c>
      <c r="AP7" s="52">
        <f ca="1" t="shared" si="3"/>
        <v>0</v>
      </c>
      <c r="AQ7" s="52">
        <f ca="1" t="shared" si="3"/>
        <v>0</v>
      </c>
      <c r="AR7" s="52">
        <f ca="1" t="shared" si="3"/>
        <v>0</v>
      </c>
      <c r="AS7" s="52">
        <f ca="1" t="shared" si="3"/>
        <v>0</v>
      </c>
      <c r="AT7" s="52">
        <f ca="1" t="shared" si="3"/>
        <v>0</v>
      </c>
      <c r="AU7" s="52">
        <f ca="1" t="shared" si="3"/>
        <v>0</v>
      </c>
      <c r="AV7" s="52">
        <f ca="1" t="shared" si="3"/>
        <v>0</v>
      </c>
      <c r="AW7" s="52">
        <f ca="1" t="shared" si="3"/>
        <v>0</v>
      </c>
      <c r="AX7" s="52">
        <f ca="1" t="shared" si="3"/>
        <v>0</v>
      </c>
      <c r="AY7" s="52">
        <f ca="1" t="shared" si="3"/>
        <v>0</v>
      </c>
      <c r="AZ7" s="52">
        <f ca="1" t="shared" ref="AZ7:BE7" si="6">SUM(AZ8:AZ10)</f>
        <v>0</v>
      </c>
      <c r="BA7" s="87">
        <f ca="1" t="shared" si="6"/>
        <v>0</v>
      </c>
      <c r="BB7" s="52">
        <f ca="1" t="shared" si="6"/>
        <v>0</v>
      </c>
      <c r="BC7" s="52">
        <f ca="1" t="shared" si="6"/>
        <v>0</v>
      </c>
      <c r="BD7" s="52">
        <f ca="1" t="shared" si="6"/>
        <v>0</v>
      </c>
      <c r="BE7" s="52">
        <f ca="1" t="shared" si="6"/>
        <v>0</v>
      </c>
      <c r="BF7" s="74">
        <f ca="1" t="shared" ref="BF7:BF18" si="7">BE7+R7+E7</f>
        <v>0</v>
      </c>
      <c r="BG7" s="101">
        <f ca="1">F$59-$BF7</f>
        <v>0</v>
      </c>
      <c r="BH7" s="41" t="e">
        <f ca="1" t="shared" ref="BH7:BH18" si="8">BG7+D7</f>
        <v>#REF!</v>
      </c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</row>
    <row r="8" s="4" customFormat="1" ht="15.75" customHeight="1" spans="1:79">
      <c r="A8" s="45"/>
      <c r="B8" s="316" t="s">
        <v>8341</v>
      </c>
      <c r="C8" s="46" t="s">
        <v>8299</v>
      </c>
      <c r="D8" s="47" t="e">
        <f>+#REF!</f>
        <v>#REF!</v>
      </c>
      <c r="E8" s="48">
        <f ca="1">SUM(F8,J8:Q8)</f>
        <v>0</v>
      </c>
      <c r="F8" s="44">
        <f ca="1">SUM(H8:I8)</f>
        <v>0</v>
      </c>
      <c r="G8" s="49" t="e">
        <f ca="1">$D8-$BF8</f>
        <v>#REF!</v>
      </c>
      <c r="H8" s="50">
        <f ca="1">+GETPIVOTDATA("XNT4",'nghiathanh (2016)'!$A$3,"MA_HT","LUC","MA_QH","LUK")</f>
        <v>0</v>
      </c>
      <c r="I8" s="50">
        <f ca="1">+GETPIVOTDATA("XNT4",'nghiathanh (2016)'!$A$3,"MA_HT","LUC","MA_QH","LUN")</f>
        <v>0</v>
      </c>
      <c r="J8" s="50">
        <f ca="1">+GETPIVOTDATA("XNT4",'nghiathanh (2016)'!$A$3,"MA_HT","LUC","MA_QH","HNK")</f>
        <v>0</v>
      </c>
      <c r="K8" s="50">
        <f ca="1">+GETPIVOTDATA("XNT4",'nghiathanh (2016)'!$A$3,"MA_HT","LUC","MA_QH","CLN")</f>
        <v>0</v>
      </c>
      <c r="L8" s="50">
        <f ca="1">+GETPIVOTDATA("XNT4",'nghiathanh (2016)'!$A$3,"MA_HT","LUC","MA_QH","RSX")</f>
        <v>0</v>
      </c>
      <c r="M8" s="50">
        <f ca="1">+GETPIVOTDATA("XNT4",'nghiathanh (2016)'!$A$3,"MA_HT","LUC","MA_QH","RPH")</f>
        <v>0</v>
      </c>
      <c r="N8" s="50">
        <f ca="1">+GETPIVOTDATA("XNT4",'nghiathanh (2016)'!$A$3,"MA_HT","LUC","MA_QH","RDD")</f>
        <v>0</v>
      </c>
      <c r="O8" s="50">
        <f ca="1">+GETPIVOTDATA("XNT4",'nghiathanh (2016)'!$A$3,"MA_HT","LUC","MA_QH","NTS")</f>
        <v>0</v>
      </c>
      <c r="P8" s="50">
        <f ca="1">+GETPIVOTDATA("XNT4",'nghiathanh (2016)'!$A$3,"MA_HT","LUC","MA_QH","LMU")</f>
        <v>0</v>
      </c>
      <c r="Q8" s="50">
        <f ca="1">+GETPIVOTDATA("XNT4",'nghiathanh (2016)'!$A$3,"MA_HT","LUC","MA_QH","NKH")</f>
        <v>0</v>
      </c>
      <c r="R8" s="48">
        <f ca="1" t="shared" si="2"/>
        <v>0</v>
      </c>
      <c r="S8" s="50">
        <f ca="1">+GETPIVOTDATA("XNT4",'nghiathanh (2016)'!$A$3,"MA_HT","LUC","MA_QH","CQP")</f>
        <v>0</v>
      </c>
      <c r="T8" s="50">
        <f ca="1">+GETPIVOTDATA("XNT4",'nghiathanh (2016)'!$A$3,"MA_HT","LUC","MA_QH","CAN")</f>
        <v>0</v>
      </c>
      <c r="U8" s="50">
        <f ca="1">+GETPIVOTDATA("XNT4",'nghiathanh (2016)'!$A$3,"MA_HT","LUC","MA_QH","SKK")</f>
        <v>0</v>
      </c>
      <c r="V8" s="50">
        <f ca="1">+GETPIVOTDATA("XNT4",'nghiathanh (2016)'!$A$3,"MA_HT","LUC","MA_QH","SKT")</f>
        <v>0</v>
      </c>
      <c r="W8" s="50">
        <f ca="1">+GETPIVOTDATA("XNT4",'nghiathanh (2016)'!$A$3,"MA_HT","LUC","MA_QH","SKN")</f>
        <v>0</v>
      </c>
      <c r="X8" s="50">
        <f ca="1">+GETPIVOTDATA("XNT4",'nghiathanh (2016)'!$A$3,"MA_HT","LUC","MA_QH","TMD")</f>
        <v>0</v>
      </c>
      <c r="Y8" s="50">
        <f ca="1">+GETPIVOTDATA("XNT4",'nghiathanh (2016)'!$A$3,"MA_HT","LUC","MA_QH","SKC")</f>
        <v>0</v>
      </c>
      <c r="Z8" s="50">
        <f ca="1">+GETPIVOTDATA("XNT4",'nghiathanh (2016)'!$A$3,"MA_HT","LUC","MA_QH","SKS")</f>
        <v>0</v>
      </c>
      <c r="AA8" s="52">
        <f ca="1" t="shared" si="4"/>
        <v>0</v>
      </c>
      <c r="AB8" s="50">
        <f ca="1">+GETPIVOTDATA("XNT4",'nghiathanh (2016)'!$A$3,"MA_HT","LUC","MA_QH","DGT")</f>
        <v>0</v>
      </c>
      <c r="AC8" s="50">
        <f ca="1">+GETPIVOTDATA("XNT4",'nghiathanh (2016)'!$A$3,"MA_HT","LUC","MA_QH","DTL")</f>
        <v>0</v>
      </c>
      <c r="AD8" s="50">
        <f ca="1">+GETPIVOTDATA("XNT4",'nghiathanh (2016)'!$A$3,"MA_HT","LUC","MA_QH","DNL")</f>
        <v>0</v>
      </c>
      <c r="AE8" s="50">
        <f ca="1">+GETPIVOTDATA("XNT4",'nghiathanh (2016)'!$A$3,"MA_HT","LUC","MA_QH","DBV")</f>
        <v>0</v>
      </c>
      <c r="AF8" s="50">
        <f ca="1">+GETPIVOTDATA("XNT4",'nghiathanh (2016)'!$A$3,"MA_HT","LUC","MA_QH","DVH")</f>
        <v>0</v>
      </c>
      <c r="AG8" s="50">
        <f ca="1">+GETPIVOTDATA("XNT4",'nghiathanh (2016)'!$A$3,"MA_HT","LUC","MA_QH","DYT")</f>
        <v>0</v>
      </c>
      <c r="AH8" s="50">
        <f ca="1">+GETPIVOTDATA("XNT4",'nghiathanh (2016)'!$A$3,"MA_HT","LUC","MA_QH","DGD")</f>
        <v>0</v>
      </c>
      <c r="AI8" s="50">
        <f ca="1">+GETPIVOTDATA("XNT4",'nghiathanh (2016)'!$A$3,"MA_HT","LUC","MA_QH","DTT")</f>
        <v>0</v>
      </c>
      <c r="AJ8" s="50">
        <f ca="1">+GETPIVOTDATA("XNT4",'nghiathanh (2016)'!$A$3,"MA_HT","LUC","MA_QH","NCK")</f>
        <v>0</v>
      </c>
      <c r="AK8" s="50">
        <f ca="1">+GETPIVOTDATA("XNT4",'nghiathanh (2016)'!$A$3,"MA_HT","LUC","MA_QH","DXH")</f>
        <v>0</v>
      </c>
      <c r="AL8" s="50">
        <f ca="1">+GETPIVOTDATA("XNT4",'nghiathanh (2016)'!$A$3,"MA_HT","LUC","MA_QH","DCH")</f>
        <v>0</v>
      </c>
      <c r="AM8" s="50">
        <f ca="1">+GETPIVOTDATA("XNT4",'nghiathanh (2016)'!$A$3,"MA_HT","LUC","MA_QH","DKG")</f>
        <v>0</v>
      </c>
      <c r="AN8" s="50">
        <f ca="1">+GETPIVOTDATA("XNT4",'nghiathanh (2016)'!$A$3,"MA_HT","LUC","MA_QH","DDT")</f>
        <v>0</v>
      </c>
      <c r="AO8" s="50">
        <f ca="1">+GETPIVOTDATA("XNT4",'nghiathanh (2016)'!$A$3,"MA_HT","LUC","MA_QH","DDL")</f>
        <v>0</v>
      </c>
      <c r="AP8" s="50">
        <f ca="1">+GETPIVOTDATA("XNT4",'nghiathanh (2016)'!$A$3,"MA_HT","LUC","MA_QH","DRA")</f>
        <v>0</v>
      </c>
      <c r="AQ8" s="50">
        <f ca="1">+GETPIVOTDATA("XNT4",'nghiathanh (2016)'!$A$3,"MA_HT","LUC","MA_QH","ONT")</f>
        <v>0</v>
      </c>
      <c r="AR8" s="50">
        <f ca="1">+GETPIVOTDATA("XNT4",'nghiathanh (2016)'!$A$3,"MA_HT","LUC","MA_QH","ODT")</f>
        <v>0</v>
      </c>
      <c r="AS8" s="50">
        <f ca="1">+GETPIVOTDATA("XNT4",'nghiathanh (2016)'!$A$3,"MA_HT","LUC","MA_QH","TSC")</f>
        <v>0</v>
      </c>
      <c r="AT8" s="50">
        <f ca="1">+GETPIVOTDATA("XNT4",'nghiathanh (2016)'!$A$3,"MA_HT","LUC","MA_QH","DTS")</f>
        <v>0</v>
      </c>
      <c r="AU8" s="50">
        <f ca="1">+GETPIVOTDATA("XNT4",'nghiathanh (2016)'!$A$3,"MA_HT","LUC","MA_QH","DNG")</f>
        <v>0</v>
      </c>
      <c r="AV8" s="50">
        <f ca="1">+GETPIVOTDATA("XNT4",'nghiathanh (2016)'!$A$3,"MA_HT","LUC","MA_QH","TON")</f>
        <v>0</v>
      </c>
      <c r="AW8" s="50">
        <f ca="1">+GETPIVOTDATA("XNT4",'nghiathanh (2016)'!$A$3,"MA_HT","LUC","MA_QH","NTD")</f>
        <v>0</v>
      </c>
      <c r="AX8" s="50">
        <f ca="1">+GETPIVOTDATA("XNT4",'nghiathanh (2016)'!$A$3,"MA_HT","LUC","MA_QH","SKX")</f>
        <v>0</v>
      </c>
      <c r="AY8" s="50">
        <f ca="1">+GETPIVOTDATA("XNT4",'nghiathanh (2016)'!$A$3,"MA_HT","LUC","MA_QH","DSH")</f>
        <v>0</v>
      </c>
      <c r="AZ8" s="50">
        <f ca="1">+GETPIVOTDATA("XNT4",'nghiathanh (2016)'!$A$3,"MA_HT","LUC","MA_QH","DKV")</f>
        <v>0</v>
      </c>
      <c r="BA8" s="88">
        <f ca="1">+GETPIVOTDATA("XNT4",'nghiathanh (2016)'!$A$3,"MA_HT","LUC","MA_QH","TIN")</f>
        <v>0</v>
      </c>
      <c r="BB8" s="50">
        <f ca="1">+GETPIVOTDATA("XNT4",'nghiathanh (2016)'!$A$3,"MA_HT","LUC","MA_QH","SON")</f>
        <v>0</v>
      </c>
      <c r="BC8" s="50">
        <f ca="1">+GETPIVOTDATA("XNT4",'nghiathanh (2016)'!$A$3,"MA_HT","LUC","MA_QH","MNC")</f>
        <v>0</v>
      </c>
      <c r="BD8" s="50">
        <f ca="1">+GETPIVOTDATA("XNT4",'nghiathanh (2016)'!$A$3,"MA_HT","LUC","MA_QH","PNK")</f>
        <v>0</v>
      </c>
      <c r="BE8" s="80">
        <f ca="1">+GETPIVOTDATA("XNT4",'nghiathanh (2016)'!$A$3,"MA_HT","LUC","MA_QH","CSD")</f>
        <v>0</v>
      </c>
      <c r="BF8" s="103">
        <f ca="1" t="shared" si="7"/>
        <v>0</v>
      </c>
      <c r="BG8" s="104">
        <f ca="1">G$59-$BF8</f>
        <v>0</v>
      </c>
      <c r="BH8" s="47" t="e">
        <f ca="1" t="shared" si="8"/>
        <v>#REF!</v>
      </c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</row>
    <row r="9" s="4" customFormat="1" ht="15.75" customHeight="1" spans="1:79">
      <c r="A9" s="45"/>
      <c r="B9" s="316" t="s">
        <v>8342</v>
      </c>
      <c r="C9" s="46" t="s">
        <v>221</v>
      </c>
      <c r="D9" s="47" t="e">
        <f>+#REF!</f>
        <v>#REF!</v>
      </c>
      <c r="E9" s="48">
        <f ca="1">SUM(F9,J9:Q9)</f>
        <v>0</v>
      </c>
      <c r="F9" s="44">
        <f ca="1">SUM(G9,I9)</f>
        <v>0</v>
      </c>
      <c r="G9" s="51">
        <f ca="1">+GETPIVOTDATA("XNT4",'nghiathanh (2016)'!$A$3,"MA_HT","LUK","MA_QH","LUC")</f>
        <v>0</v>
      </c>
      <c r="H9" s="49" t="e">
        <f ca="1">$D9-$BF9</f>
        <v>#REF!</v>
      </c>
      <c r="I9" s="50">
        <f ca="1">+GETPIVOTDATA("XNT4",'nghiathanh (2016)'!$A$3,"MA_HT","LUK","MA_QH","LUN")</f>
        <v>0</v>
      </c>
      <c r="J9" s="50">
        <f ca="1">+GETPIVOTDATA("XNT4",'nghiathanh (2016)'!$A$3,"MA_HT","LUK","MA_QH","HNK")</f>
        <v>0</v>
      </c>
      <c r="K9" s="50">
        <f ca="1">+GETPIVOTDATA("XNT4",'nghiathanh (2016)'!$A$3,"MA_HT","LUK","MA_QH","CLN")</f>
        <v>0</v>
      </c>
      <c r="L9" s="50">
        <f ca="1">+GETPIVOTDATA("XNT4",'nghiathanh (2016)'!$A$3,"MA_HT","LUK","MA_QH","RSX")</f>
        <v>0</v>
      </c>
      <c r="M9" s="50">
        <f ca="1">+GETPIVOTDATA("XNT4",'nghiathanh (2016)'!$A$3,"MA_HT","LUK","MA_QH","RPH")</f>
        <v>0</v>
      </c>
      <c r="N9" s="50">
        <f ca="1">+GETPIVOTDATA("XNT4",'nghiathanh (2016)'!$A$3,"MA_HT","LUK","MA_QH","RDD")</f>
        <v>0</v>
      </c>
      <c r="O9" s="50">
        <f ca="1">+GETPIVOTDATA("XNT4",'nghiathanh (2016)'!$A$3,"MA_HT","LUK","MA_QH","NTS")</f>
        <v>0</v>
      </c>
      <c r="P9" s="50">
        <f ca="1">+GETPIVOTDATA("XNT4",'nghiathanh (2016)'!$A$3,"MA_HT","LUK","MA_QH","LMU")</f>
        <v>0</v>
      </c>
      <c r="Q9" s="50">
        <f ca="1">+GETPIVOTDATA("XNT4",'nghiathanh (2016)'!$A$3,"MA_HT","LUK","MA_QH","NKH")</f>
        <v>0</v>
      </c>
      <c r="R9" s="48">
        <f ca="1" t="shared" si="2"/>
        <v>0</v>
      </c>
      <c r="S9" s="50">
        <f ca="1">+GETPIVOTDATA("XNT4",'nghiathanh (2016)'!$A$3,"MA_HT","LUK","MA_QH","CQP")</f>
        <v>0</v>
      </c>
      <c r="T9" s="50">
        <f ca="1">+GETPIVOTDATA("XNT4",'nghiathanh (2016)'!$A$3,"MA_HT","LUK","MA_QH","CAN")</f>
        <v>0</v>
      </c>
      <c r="U9" s="50">
        <f ca="1">+GETPIVOTDATA("XNT4",'nghiathanh (2016)'!$A$3,"MA_HT","LUK","MA_QH","SKK")</f>
        <v>0</v>
      </c>
      <c r="V9" s="50">
        <f ca="1">+GETPIVOTDATA("XNT4",'nghiathanh (2016)'!$A$3,"MA_HT","LUK","MA_QH","SKT")</f>
        <v>0</v>
      </c>
      <c r="W9" s="50">
        <f ca="1">+GETPIVOTDATA("XNT4",'nghiathanh (2016)'!$A$3,"MA_HT","LUK","MA_QH","SKN")</f>
        <v>0</v>
      </c>
      <c r="X9" s="50">
        <f ca="1">+GETPIVOTDATA("XNT4",'nghiathanh (2016)'!$A$3,"MA_HT","LUK","MA_QH","TMD")</f>
        <v>0</v>
      </c>
      <c r="Y9" s="50">
        <f ca="1">+GETPIVOTDATA("XNT4",'nghiathanh (2016)'!$A$3,"MA_HT","LUK","MA_QH","SKC")</f>
        <v>0</v>
      </c>
      <c r="Z9" s="50">
        <f ca="1">+GETPIVOTDATA("XNT4",'nghiathanh (2016)'!$A$3,"MA_HT","LUK","MA_QH","SKS")</f>
        <v>0</v>
      </c>
      <c r="AA9" s="52">
        <f ca="1" t="shared" si="4"/>
        <v>0</v>
      </c>
      <c r="AB9" s="50">
        <f ca="1">+GETPIVOTDATA("XNT4",'nghiathanh (2016)'!$A$3,"MA_HT","LUK","MA_QH","DGT")</f>
        <v>0</v>
      </c>
      <c r="AC9" s="50">
        <f ca="1">+GETPIVOTDATA("XNT4",'nghiathanh (2016)'!$A$3,"MA_HT","LUK","MA_QH","DTL")</f>
        <v>0</v>
      </c>
      <c r="AD9" s="50">
        <f ca="1">+GETPIVOTDATA("XNT4",'nghiathanh (2016)'!$A$3,"MA_HT","LUK","MA_QH","DNL")</f>
        <v>0</v>
      </c>
      <c r="AE9" s="50">
        <f ca="1">+GETPIVOTDATA("XNT4",'nghiathanh (2016)'!$A$3,"MA_HT","LUK","MA_QH","DBV")</f>
        <v>0</v>
      </c>
      <c r="AF9" s="50">
        <f ca="1">+GETPIVOTDATA("XNT4",'nghiathanh (2016)'!$A$3,"MA_HT","LUK","MA_QH","DVH")</f>
        <v>0</v>
      </c>
      <c r="AG9" s="50">
        <f ca="1">+GETPIVOTDATA("XNT4",'nghiathanh (2016)'!$A$3,"MA_HT","LUK","MA_QH","DYT")</f>
        <v>0</v>
      </c>
      <c r="AH9" s="50">
        <f ca="1">+GETPIVOTDATA("XNT4",'nghiathanh (2016)'!$A$3,"MA_HT","LUK","MA_QH","DGD")</f>
        <v>0</v>
      </c>
      <c r="AI9" s="50">
        <f ca="1">+GETPIVOTDATA("XNT4",'nghiathanh (2016)'!$A$3,"MA_HT","LUK","MA_QH","DTT")</f>
        <v>0</v>
      </c>
      <c r="AJ9" s="50">
        <f ca="1">+GETPIVOTDATA("XNT4",'nghiathanh (2016)'!$A$3,"MA_HT","LUK","MA_QH","NCK")</f>
        <v>0</v>
      </c>
      <c r="AK9" s="50">
        <f ca="1">+GETPIVOTDATA("XNT4",'nghiathanh (2016)'!$A$3,"MA_HT","LUK","MA_QH","DXH")</f>
        <v>0</v>
      </c>
      <c r="AL9" s="50">
        <f ca="1">+GETPIVOTDATA("XNT4",'nghiathanh (2016)'!$A$3,"MA_HT","LUK","MA_QH","DCH")</f>
        <v>0</v>
      </c>
      <c r="AM9" s="50">
        <f ca="1">+GETPIVOTDATA("XNT4",'nghiathanh (2016)'!$A$3,"MA_HT","LUK","MA_QH","DKG")</f>
        <v>0</v>
      </c>
      <c r="AN9" s="50">
        <f ca="1">+GETPIVOTDATA("XNT4",'nghiathanh (2016)'!$A$3,"MA_HT","LUK","MA_QH","DDT")</f>
        <v>0</v>
      </c>
      <c r="AO9" s="50">
        <f ca="1">+GETPIVOTDATA("XNT4",'nghiathanh (2016)'!$A$3,"MA_HT","LUK","MA_QH","DDL")</f>
        <v>0</v>
      </c>
      <c r="AP9" s="50">
        <f ca="1">+GETPIVOTDATA("XNT4",'nghiathanh (2016)'!$A$3,"MA_HT","LUK","MA_QH","DRA")</f>
        <v>0</v>
      </c>
      <c r="AQ9" s="50">
        <f ca="1">+GETPIVOTDATA("XNT4",'nghiathanh (2016)'!$A$3,"MA_HT","LUK","MA_QH","ONT")</f>
        <v>0</v>
      </c>
      <c r="AR9" s="50">
        <f ca="1">+GETPIVOTDATA("XNT4",'nghiathanh (2016)'!$A$3,"MA_HT","LUK","MA_QH","ODT")</f>
        <v>0</v>
      </c>
      <c r="AS9" s="50">
        <f ca="1">+GETPIVOTDATA("XNT4",'nghiathanh (2016)'!$A$3,"MA_HT","LUK","MA_QH","TSC")</f>
        <v>0</v>
      </c>
      <c r="AT9" s="50">
        <f ca="1">+GETPIVOTDATA("XNT4",'nghiathanh (2016)'!$A$3,"MA_HT","LUK","MA_QH","DTS")</f>
        <v>0</v>
      </c>
      <c r="AU9" s="50">
        <f ca="1">+GETPIVOTDATA("XNT4",'nghiathanh (2016)'!$A$3,"MA_HT","LUK","MA_QH","DNG")</f>
        <v>0</v>
      </c>
      <c r="AV9" s="50">
        <f ca="1">+GETPIVOTDATA("XNT4",'nghiathanh (2016)'!$A$3,"MA_HT","LUK","MA_QH","TON")</f>
        <v>0</v>
      </c>
      <c r="AW9" s="50">
        <f ca="1">+GETPIVOTDATA("XNT4",'nghiathanh (2016)'!$A$3,"MA_HT","LUK","MA_QH","NTD")</f>
        <v>0</v>
      </c>
      <c r="AX9" s="50">
        <f ca="1">+GETPIVOTDATA("XNT4",'nghiathanh (2016)'!$A$3,"MA_HT","LUK","MA_QH","SKX")</f>
        <v>0</v>
      </c>
      <c r="AY9" s="50">
        <f ca="1">+GETPIVOTDATA("XNT4",'nghiathanh (2016)'!$A$3,"MA_HT","LUK","MA_QH","DSH")</f>
        <v>0</v>
      </c>
      <c r="AZ9" s="50">
        <f ca="1">+GETPIVOTDATA("XNT4",'nghiathanh (2016)'!$A$3,"MA_HT","LUK","MA_QH","DKV")</f>
        <v>0</v>
      </c>
      <c r="BA9" s="88">
        <f ca="1">+GETPIVOTDATA("XNT4",'nghiathanh (2016)'!$A$3,"MA_HT","LUK","MA_QH","TIN")</f>
        <v>0</v>
      </c>
      <c r="BB9" s="50">
        <f ca="1">+GETPIVOTDATA("XNT4",'nghiathanh (2016)'!$A$3,"MA_HT","LUK","MA_QH","SON")</f>
        <v>0</v>
      </c>
      <c r="BC9" s="50">
        <f ca="1">+GETPIVOTDATA("XNT4",'nghiathanh (2016)'!$A$3,"MA_HT","LUK","MA_QH","MNC")</f>
        <v>0</v>
      </c>
      <c r="BD9" s="50">
        <f ca="1">+GETPIVOTDATA("XNT4",'nghiathanh (2016)'!$A$3,"MA_HT","LUK","MA_QH","PNK")</f>
        <v>0</v>
      </c>
      <c r="BE9" s="80">
        <f ca="1">+GETPIVOTDATA("XNT4",'nghiathanh (2016)'!$A$3,"MA_HT","LUK","MA_QH","CSD")</f>
        <v>0</v>
      </c>
      <c r="BF9" s="103">
        <f ca="1" t="shared" si="7"/>
        <v>0</v>
      </c>
      <c r="BG9" s="104">
        <f ca="1">H$59-$BF9</f>
        <v>0</v>
      </c>
      <c r="BH9" s="47" t="e">
        <f ca="1" t="shared" si="8"/>
        <v>#REF!</v>
      </c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</row>
    <row r="10" s="4" customFormat="1" ht="15.75" customHeight="1" spans="1:79">
      <c r="A10" s="45"/>
      <c r="B10" s="316" t="s">
        <v>8343</v>
      </c>
      <c r="C10" s="46" t="s">
        <v>8300</v>
      </c>
      <c r="D10" s="47" t="e">
        <f>+#REF!</f>
        <v>#REF!</v>
      </c>
      <c r="E10" s="48">
        <f ca="1">SUM(J10:Q10,F10)</f>
        <v>0</v>
      </c>
      <c r="F10" s="44">
        <f ca="1">SUM(G10:H10)</f>
        <v>0</v>
      </c>
      <c r="G10" s="50">
        <f ca="1">+GETPIVOTDATA("XNT4",'nghiathanh (2016)'!$A$3,"MA_HT","LUN","MA_QH","LUC")</f>
        <v>0</v>
      </c>
      <c r="H10" s="50">
        <f ca="1">+GETPIVOTDATA("XNT4",'nghiathanh (2016)'!$A$3,"MA_HT","LUN","MA_QH","LUK")</f>
        <v>0</v>
      </c>
      <c r="I10" s="49" t="e">
        <f ca="1">$D10-$BF10</f>
        <v>#REF!</v>
      </c>
      <c r="J10" s="50">
        <f ca="1">+GETPIVOTDATA("XNT4",'nghiathanh (2016)'!$A$3,"MA_HT","LUN","MA_QH","HNK")</f>
        <v>0</v>
      </c>
      <c r="K10" s="50">
        <f ca="1">+GETPIVOTDATA("XNT4",'nghiathanh (2016)'!$A$3,"MA_HT","LUN","MA_QH","CLN")</f>
        <v>0</v>
      </c>
      <c r="L10" s="50">
        <f ca="1">+GETPIVOTDATA("XNT4",'nghiathanh (2016)'!$A$3,"MA_HT","LUN","MA_QH","RSX")</f>
        <v>0</v>
      </c>
      <c r="M10" s="50">
        <f ca="1">+GETPIVOTDATA("XNT4",'nghiathanh (2016)'!$A$3,"MA_HT","LUN","MA_QH","RPH")</f>
        <v>0</v>
      </c>
      <c r="N10" s="50">
        <f ca="1">+GETPIVOTDATA("XNT4",'nghiathanh (2016)'!$A$3,"MA_HT","LUN","MA_QH","RDD")</f>
        <v>0</v>
      </c>
      <c r="O10" s="50">
        <f ca="1">+GETPIVOTDATA("XNT4",'nghiathanh (2016)'!$A$3,"MA_HT","LUN","MA_QH","NTS")</f>
        <v>0</v>
      </c>
      <c r="P10" s="50">
        <f ca="1">+GETPIVOTDATA("XNT4",'nghiathanh (2016)'!$A$3,"MA_HT","LUN","MA_QH","LMU")</f>
        <v>0</v>
      </c>
      <c r="Q10" s="50">
        <f ca="1">+GETPIVOTDATA("XNT4",'nghiathanh (2016)'!$A$3,"MA_HT","LUN","MA_QH","NKH")</f>
        <v>0</v>
      </c>
      <c r="R10" s="48">
        <f ca="1" t="shared" si="2"/>
        <v>0</v>
      </c>
      <c r="S10" s="50">
        <f ca="1">+GETPIVOTDATA("XNT4",'nghiathanh (2016)'!$A$3,"MA_HT","LUN","MA_QH","CQP")</f>
        <v>0</v>
      </c>
      <c r="T10" s="50">
        <f ca="1">+GETPIVOTDATA("XNT4",'nghiathanh (2016)'!$A$3,"MA_HT","LUN","MA_QH","CAN")</f>
        <v>0</v>
      </c>
      <c r="U10" s="50">
        <f ca="1">+GETPIVOTDATA("XNT4",'nghiathanh (2016)'!$A$3,"MA_HT","LUN","MA_QH","SKK")</f>
        <v>0</v>
      </c>
      <c r="V10" s="50">
        <f ca="1">+GETPIVOTDATA("XNT4",'nghiathanh (2016)'!$A$3,"MA_HT","LUN","MA_QH","SKT")</f>
        <v>0</v>
      </c>
      <c r="W10" s="50">
        <f ca="1">+GETPIVOTDATA("XNT4",'nghiathanh (2016)'!$A$3,"MA_HT","LUN","MA_QH","SKN")</f>
        <v>0</v>
      </c>
      <c r="X10" s="50">
        <f ca="1">+GETPIVOTDATA("XNT4",'nghiathanh (2016)'!$A$3,"MA_HT","LUN","MA_QH","TMD")</f>
        <v>0</v>
      </c>
      <c r="Y10" s="50">
        <f ca="1">+GETPIVOTDATA("XNT4",'nghiathanh (2016)'!$A$3,"MA_HT","LUN","MA_QH","SKC")</f>
        <v>0</v>
      </c>
      <c r="Z10" s="50">
        <f ca="1">+GETPIVOTDATA("XNT4",'nghiathanh (2016)'!$A$3,"MA_HT","LUN","MA_QH","SKS")</f>
        <v>0</v>
      </c>
      <c r="AA10" s="52">
        <f ca="1" t="shared" si="4"/>
        <v>0</v>
      </c>
      <c r="AB10" s="50">
        <f ca="1">+GETPIVOTDATA("XNT4",'nghiathanh (2016)'!$A$3,"MA_HT","LUN","MA_QH","DGT")</f>
        <v>0</v>
      </c>
      <c r="AC10" s="50">
        <f ca="1">+GETPIVOTDATA("XNT4",'nghiathanh (2016)'!$A$3,"MA_HT","LUN","MA_QH","DTL")</f>
        <v>0</v>
      </c>
      <c r="AD10" s="50">
        <f ca="1">+GETPIVOTDATA("XNT4",'nghiathanh (2016)'!$A$3,"MA_HT","LUN","MA_QH","DNL")</f>
        <v>0</v>
      </c>
      <c r="AE10" s="50">
        <f ca="1">+GETPIVOTDATA("XNT4",'nghiathanh (2016)'!$A$3,"MA_HT","LUN","MA_QH","DBV")</f>
        <v>0</v>
      </c>
      <c r="AF10" s="50">
        <f ca="1">+GETPIVOTDATA("XNT4",'nghiathanh (2016)'!$A$3,"MA_HT","LUN","MA_QH","DVH")</f>
        <v>0</v>
      </c>
      <c r="AG10" s="50">
        <f ca="1">+GETPIVOTDATA("XNT4",'nghiathanh (2016)'!$A$3,"MA_HT","LUN","MA_QH","DYT")</f>
        <v>0</v>
      </c>
      <c r="AH10" s="50">
        <f ca="1">+GETPIVOTDATA("XNT4",'nghiathanh (2016)'!$A$3,"MA_HT","LUN","MA_QH","DGD")</f>
        <v>0</v>
      </c>
      <c r="AI10" s="50">
        <f ca="1">+GETPIVOTDATA("XNT4",'nghiathanh (2016)'!$A$3,"MA_HT","LUN","MA_QH","DTT")</f>
        <v>0</v>
      </c>
      <c r="AJ10" s="50">
        <f ca="1">+GETPIVOTDATA("XNT4",'nghiathanh (2016)'!$A$3,"MA_HT","LUN","MA_QH","NCK")</f>
        <v>0</v>
      </c>
      <c r="AK10" s="50">
        <f ca="1">+GETPIVOTDATA("XNT4",'nghiathanh (2016)'!$A$3,"MA_HT","LUN","MA_QH","DXH")</f>
        <v>0</v>
      </c>
      <c r="AL10" s="50">
        <f ca="1">+GETPIVOTDATA("XNT4",'nghiathanh (2016)'!$A$3,"MA_HT","LUN","MA_QH","DCH")</f>
        <v>0</v>
      </c>
      <c r="AM10" s="50">
        <f ca="1">+GETPIVOTDATA("XNT4",'nghiathanh (2016)'!$A$3,"MA_HT","LUN","MA_QH","DKG")</f>
        <v>0</v>
      </c>
      <c r="AN10" s="50">
        <f ca="1">+GETPIVOTDATA("XNT4",'nghiathanh (2016)'!$A$3,"MA_HT","LUN","MA_QH","DDT")</f>
        <v>0</v>
      </c>
      <c r="AO10" s="50">
        <f ca="1">+GETPIVOTDATA("XNT4",'nghiathanh (2016)'!$A$3,"MA_HT","LUN","MA_QH","DDL")</f>
        <v>0</v>
      </c>
      <c r="AP10" s="50">
        <f ca="1">+GETPIVOTDATA("XNT4",'nghiathanh (2016)'!$A$3,"MA_HT","LUN","MA_QH","DRA")</f>
        <v>0</v>
      </c>
      <c r="AQ10" s="50">
        <f ca="1">+GETPIVOTDATA("XNT4",'nghiathanh (2016)'!$A$3,"MA_HT","LUN","MA_QH","ONT")</f>
        <v>0</v>
      </c>
      <c r="AR10" s="50">
        <f ca="1">+GETPIVOTDATA("XNT4",'nghiathanh (2016)'!$A$3,"MA_HT","LUN","MA_QH","ODT")</f>
        <v>0</v>
      </c>
      <c r="AS10" s="50">
        <f ca="1">+GETPIVOTDATA("XNT4",'nghiathanh (2016)'!$A$3,"MA_HT","LUN","MA_QH","TSC")</f>
        <v>0</v>
      </c>
      <c r="AT10" s="50">
        <f ca="1">+GETPIVOTDATA("XNT4",'nghiathanh (2016)'!$A$3,"MA_HT","LUN","MA_QH","DTS")</f>
        <v>0</v>
      </c>
      <c r="AU10" s="50">
        <f ca="1">+GETPIVOTDATA("XNT4",'nghiathanh (2016)'!$A$3,"MA_HT","LUN","MA_QH","DNG")</f>
        <v>0</v>
      </c>
      <c r="AV10" s="50">
        <f ca="1">+GETPIVOTDATA("XNT4",'nghiathanh (2016)'!$A$3,"MA_HT","LUN","MA_QH","TON")</f>
        <v>0</v>
      </c>
      <c r="AW10" s="50">
        <f ca="1">+GETPIVOTDATA("XNT4",'nghiathanh (2016)'!$A$3,"MA_HT","LUN","MA_QH","NTD")</f>
        <v>0</v>
      </c>
      <c r="AX10" s="50">
        <f ca="1">+GETPIVOTDATA("XNT4",'nghiathanh (2016)'!$A$3,"MA_HT","LUN","MA_QH","SKX")</f>
        <v>0</v>
      </c>
      <c r="AY10" s="50">
        <f ca="1">+GETPIVOTDATA("XNT4",'nghiathanh (2016)'!$A$3,"MA_HT","LUN","MA_QH","DSH")</f>
        <v>0</v>
      </c>
      <c r="AZ10" s="50">
        <f ca="1">+GETPIVOTDATA("XNT4",'nghiathanh (2016)'!$A$3,"MA_HT","LUN","MA_QH","DKV")</f>
        <v>0</v>
      </c>
      <c r="BA10" s="88">
        <f ca="1">+GETPIVOTDATA("XNT4",'nghiathanh (2016)'!$A$3,"MA_HT","LUN","MA_QH","TIN")</f>
        <v>0</v>
      </c>
      <c r="BB10" s="50">
        <f ca="1">+GETPIVOTDATA("XNT4",'nghiathanh (2016)'!$A$3,"MA_HT","LUN","MA_QH","SON")</f>
        <v>0</v>
      </c>
      <c r="BC10" s="50">
        <f ca="1">+GETPIVOTDATA("XNT4",'nghiathanh (2016)'!$A$3,"MA_HT","LUN","MA_QH","MNC")</f>
        <v>0</v>
      </c>
      <c r="BD10" s="50">
        <f ca="1">+GETPIVOTDATA("XNT4",'nghiathanh (2016)'!$A$3,"MA_HT","LUN","MA_QH","PNK")</f>
        <v>0</v>
      </c>
      <c r="BE10" s="80">
        <f ca="1">+GETPIVOTDATA("XNT4",'nghiathanh (2016)'!$A$3,"MA_HT","LUN","MA_QH","CSD")</f>
        <v>0</v>
      </c>
      <c r="BF10" s="103">
        <f ca="1" t="shared" si="7"/>
        <v>0</v>
      </c>
      <c r="BG10" s="104">
        <f ca="1">I$59-$BF10</f>
        <v>0</v>
      </c>
      <c r="BH10" s="47" t="e">
        <f ca="1" t="shared" si="8"/>
        <v>#REF!</v>
      </c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</row>
    <row r="11" s="2" customFormat="1" ht="15.75" customHeight="1" spans="1:79">
      <c r="A11" s="39" t="s">
        <v>40</v>
      </c>
      <c r="B11" s="39" t="s">
        <v>8344</v>
      </c>
      <c r="C11" s="40" t="s">
        <v>2492</v>
      </c>
      <c r="D11" s="47" t="e">
        <f>+#REF!</f>
        <v>#REF!</v>
      </c>
      <c r="E11" s="42">
        <f ca="1">SUM(K11:Q11,F11)</f>
        <v>0</v>
      </c>
      <c r="F11" s="52">
        <f ca="1">SUM(G11:I11)</f>
        <v>0</v>
      </c>
      <c r="G11" s="22">
        <f ca="1">+GETPIVOTDATA("XNT4",'nghiathanh (2016)'!$A$3,"MA_HT","HNK","MA_QH","LUC")</f>
        <v>0</v>
      </c>
      <c r="H11" s="22">
        <f ca="1">+GETPIVOTDATA("XNT4",'nghiathanh (2016)'!$A$3,"MA_HT","HNK","MA_QH","LUK")</f>
        <v>0</v>
      </c>
      <c r="I11" s="22">
        <f ca="1">+GETPIVOTDATA("XNT4",'nghiathanh (2016)'!$A$3,"MA_HT","HNK","MA_QH","LUN")</f>
        <v>0</v>
      </c>
      <c r="J11" s="43" t="e">
        <f ca="1">$D11-$BF11</f>
        <v>#REF!</v>
      </c>
      <c r="K11" s="22">
        <f ca="1">+GETPIVOTDATA("XNT4",'nghiathanh (2016)'!$A$3,"MA_HT","HNK","MA_QH","CLN")</f>
        <v>0</v>
      </c>
      <c r="L11" s="22">
        <f ca="1">+GETPIVOTDATA("XNT4",'nghiathanh (2016)'!$A$3,"MA_HT","HNK","MA_QH","RSX")</f>
        <v>0</v>
      </c>
      <c r="M11" s="22">
        <f ca="1">+GETPIVOTDATA("XNT4",'nghiathanh (2016)'!$A$3,"MA_HT","HNK","MA_QH","RPH")</f>
        <v>0</v>
      </c>
      <c r="N11" s="22">
        <f ca="1">+GETPIVOTDATA("XNT4",'nghiathanh (2016)'!$A$3,"MA_HT","HNK","MA_QH","RDD")</f>
        <v>0</v>
      </c>
      <c r="O11" s="22">
        <f ca="1">+GETPIVOTDATA("XNT4",'nghiathanh (2016)'!$A$3,"MA_HT","HNK","MA_QH","NTS")</f>
        <v>0</v>
      </c>
      <c r="P11" s="22">
        <f ca="1">+GETPIVOTDATA("XNT4",'nghiathanh (2016)'!$A$3,"MA_HT","HNK","MA_QH","LMU")</f>
        <v>0</v>
      </c>
      <c r="Q11" s="22">
        <f ca="1">+GETPIVOTDATA("XNT4",'nghiathanh (2016)'!$A$3,"MA_HT","HNK","MA_QH","NKH")</f>
        <v>0</v>
      </c>
      <c r="R11" s="42">
        <f ca="1" t="shared" si="2"/>
        <v>0</v>
      </c>
      <c r="S11" s="22">
        <f ca="1">+GETPIVOTDATA("XNT4",'nghiathanh (2016)'!$A$3,"MA_HT","HNK","MA_QH","CQP")</f>
        <v>0</v>
      </c>
      <c r="T11" s="22">
        <f ca="1">+GETPIVOTDATA("XNT4",'nghiathanh (2016)'!$A$3,"MA_HT","HNK","MA_QH","CAN")</f>
        <v>0</v>
      </c>
      <c r="U11" s="22">
        <f ca="1">+GETPIVOTDATA("XNT4",'nghiathanh (2016)'!$A$3,"MA_HT","HNK","MA_QH","SKK")</f>
        <v>0</v>
      </c>
      <c r="V11" s="22">
        <f ca="1">+GETPIVOTDATA("XNT4",'nghiathanh (2016)'!$A$3,"MA_HT","HNK","MA_QH","SKT")</f>
        <v>0</v>
      </c>
      <c r="W11" s="22">
        <f ca="1">+GETPIVOTDATA("XNT4",'nghiathanh (2016)'!$A$3,"MA_HT","HNK","MA_QH","SKN")</f>
        <v>0</v>
      </c>
      <c r="X11" s="22">
        <f ca="1">+GETPIVOTDATA("XNT4",'nghiathanh (2016)'!$A$3,"MA_HT","HNK","MA_QH","TMD")</f>
        <v>0</v>
      </c>
      <c r="Y11" s="22">
        <f ca="1">+GETPIVOTDATA("XNT4",'nghiathanh (2016)'!$A$3,"MA_HT","HNK","MA_QH","SKC")</f>
        <v>0</v>
      </c>
      <c r="Z11" s="22">
        <f ca="1">+GETPIVOTDATA("XNT4",'nghiathanh (2016)'!$A$3,"MA_HT","HNK","MA_QH","SKS")</f>
        <v>0</v>
      </c>
      <c r="AA11" s="52">
        <f ca="1" t="shared" si="4"/>
        <v>0</v>
      </c>
      <c r="AB11" s="22">
        <f ca="1">+GETPIVOTDATA("XNT4",'nghiathanh (2016)'!$A$3,"MA_HT","HNK","MA_QH","DGT")</f>
        <v>0</v>
      </c>
      <c r="AC11" s="22">
        <f ca="1">+GETPIVOTDATA("XNT4",'nghiathanh (2016)'!$A$3,"MA_HT","HNK","MA_QH","DTL")</f>
        <v>0</v>
      </c>
      <c r="AD11" s="22">
        <f ca="1">+GETPIVOTDATA("XNT4",'nghiathanh (2016)'!$A$3,"MA_HT","HNK","MA_QH","DNL")</f>
        <v>0</v>
      </c>
      <c r="AE11" s="22">
        <f ca="1">+GETPIVOTDATA("XNT4",'nghiathanh (2016)'!$A$3,"MA_HT","HNK","MA_QH","DBV")</f>
        <v>0</v>
      </c>
      <c r="AF11" s="22">
        <f ca="1">+GETPIVOTDATA("XNT4",'nghiathanh (2016)'!$A$3,"MA_HT","HNK","MA_QH","DVH")</f>
        <v>0</v>
      </c>
      <c r="AG11" s="22">
        <f ca="1">+GETPIVOTDATA("XNT4",'nghiathanh (2016)'!$A$3,"MA_HT","HNK","MA_QH","DYT")</f>
        <v>0</v>
      </c>
      <c r="AH11" s="22">
        <f ca="1">+GETPIVOTDATA("XNT4",'nghiathanh (2016)'!$A$3,"MA_HT","HNK","MA_QH","DGD")</f>
        <v>0</v>
      </c>
      <c r="AI11" s="22">
        <f ca="1">+GETPIVOTDATA("XNT4",'nghiathanh (2016)'!$A$3,"MA_HT","HNK","MA_QH","DTT")</f>
        <v>0</v>
      </c>
      <c r="AJ11" s="22">
        <f ca="1">+GETPIVOTDATA("XNT4",'nghiathanh (2016)'!$A$3,"MA_HT","HNK","MA_QH","NCK")</f>
        <v>0</v>
      </c>
      <c r="AK11" s="22">
        <f ca="1">+GETPIVOTDATA("XNT4",'nghiathanh (2016)'!$A$3,"MA_HT","HNK","MA_QH","DXH")</f>
        <v>0</v>
      </c>
      <c r="AL11" s="22">
        <f ca="1">+GETPIVOTDATA("XNT4",'nghiathanh (2016)'!$A$3,"MA_HT","HNK","MA_QH","DCH")</f>
        <v>0</v>
      </c>
      <c r="AM11" s="22">
        <f ca="1">+GETPIVOTDATA("XNT4",'nghiathanh (2016)'!$A$3,"MA_HT","HNK","MA_QH","DKG")</f>
        <v>0</v>
      </c>
      <c r="AN11" s="22">
        <f ca="1">+GETPIVOTDATA("XNT4",'nghiathanh (2016)'!$A$3,"MA_HT","HNK","MA_QH","DDT")</f>
        <v>0</v>
      </c>
      <c r="AO11" s="22">
        <f ca="1">+GETPIVOTDATA("XNT4",'nghiathanh (2016)'!$A$3,"MA_HT","HNK","MA_QH","DDL")</f>
        <v>0</v>
      </c>
      <c r="AP11" s="22">
        <f ca="1">+GETPIVOTDATA("XNT4",'nghiathanh (2016)'!$A$3,"MA_HT","HNK","MA_QH","DRA")</f>
        <v>0</v>
      </c>
      <c r="AQ11" s="22">
        <f ca="1">+GETPIVOTDATA("XNT4",'nghiathanh (2016)'!$A$3,"MA_HT","HNK","MA_QH","ONT")</f>
        <v>0</v>
      </c>
      <c r="AR11" s="22">
        <f ca="1">+GETPIVOTDATA("XNT4",'nghiathanh (2016)'!$A$3,"MA_HT","HNK","MA_QH","ODT")</f>
        <v>0</v>
      </c>
      <c r="AS11" s="22">
        <f ca="1">+GETPIVOTDATA("XNT4",'nghiathanh (2016)'!$A$3,"MA_HT","HNK","MA_QH","TSC")</f>
        <v>0</v>
      </c>
      <c r="AT11" s="22">
        <f ca="1">+GETPIVOTDATA("XNT4",'nghiathanh (2016)'!$A$3,"MA_HT","HNK","MA_QH","DTS")</f>
        <v>0</v>
      </c>
      <c r="AU11" s="22">
        <f ca="1">+GETPIVOTDATA("XNT4",'nghiathanh (2016)'!$A$3,"MA_HT","HNK","MA_QH","DNG")</f>
        <v>0</v>
      </c>
      <c r="AV11" s="22">
        <f ca="1">+GETPIVOTDATA("XNT4",'nghiathanh (2016)'!$A$3,"MA_HT","HNK","MA_QH","TON")</f>
        <v>0</v>
      </c>
      <c r="AW11" s="22">
        <f ca="1">+GETPIVOTDATA("XNT4",'nghiathanh (2016)'!$A$3,"MA_HT","HNK","MA_QH","NTD")</f>
        <v>0</v>
      </c>
      <c r="AX11" s="22">
        <f ca="1">+GETPIVOTDATA("XNT4",'nghiathanh (2016)'!$A$3,"MA_HT","HNK","MA_QH","SKX")</f>
        <v>0</v>
      </c>
      <c r="AY11" s="22">
        <f ca="1">+GETPIVOTDATA("XNT4",'nghiathanh (2016)'!$A$3,"MA_HT","HNK","MA_QH","DSH")</f>
        <v>0</v>
      </c>
      <c r="AZ11" s="22">
        <f ca="1">+GETPIVOTDATA("XNT4",'nghiathanh (2016)'!$A$3,"MA_HT","HNK","MA_QH","DKV")</f>
        <v>0</v>
      </c>
      <c r="BA11" s="89">
        <f ca="1">+GETPIVOTDATA("XNT4",'nghiathanh (2016)'!$A$3,"MA_HT","HNK","MA_QH","TIN")</f>
        <v>0</v>
      </c>
      <c r="BB11" s="50">
        <f ca="1">+GETPIVOTDATA("XNT4",'nghiathanh (2016)'!$A$3,"MA_HT","HNK","MA_QH","SON")</f>
        <v>0</v>
      </c>
      <c r="BC11" s="50">
        <f ca="1">+GETPIVOTDATA("XNT4",'nghiathanh (2016)'!$A$3,"MA_HT","HNK","MA_QH","MNC")</f>
        <v>0</v>
      </c>
      <c r="BD11" s="22">
        <f ca="1">+GETPIVOTDATA("XNT4",'nghiathanh (2016)'!$A$3,"MA_HT","HNK","MA_QH","PNK")</f>
        <v>0</v>
      </c>
      <c r="BE11" s="71">
        <f ca="1">+GETPIVOTDATA("XNT4",'nghiathanh (2016)'!$A$3,"MA_HT","HNK","MA_QH","CSD")</f>
        <v>0</v>
      </c>
      <c r="BF11" s="74">
        <f ca="1" t="shared" si="7"/>
        <v>0</v>
      </c>
      <c r="BG11" s="101">
        <f ca="1">J$59-$BF11</f>
        <v>0</v>
      </c>
      <c r="BH11" s="41" t="e">
        <f ca="1" t="shared" si="8"/>
        <v>#REF!</v>
      </c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</row>
    <row r="12" s="2" customFormat="1" ht="15.75" customHeight="1" spans="1:79">
      <c r="A12" s="39" t="s">
        <v>8345</v>
      </c>
      <c r="B12" s="39" t="s">
        <v>8346</v>
      </c>
      <c r="C12" s="40" t="s">
        <v>30</v>
      </c>
      <c r="D12" s="47" t="e">
        <f>+#REF!</f>
        <v>#REF!</v>
      </c>
      <c r="E12" s="42">
        <f ca="1">SUM(L12:Q12,F12,J12)</f>
        <v>0</v>
      </c>
      <c r="F12" s="52">
        <f ca="1" t="shared" ref="F12:F58" si="9">SUM(G12:I12)</f>
        <v>0</v>
      </c>
      <c r="G12" s="22">
        <f ca="1">+GETPIVOTDATA("XNT4",'nghiathanh (2016)'!$A$3,"MA_HT","CLN","MA_QH","LUC")</f>
        <v>0</v>
      </c>
      <c r="H12" s="22">
        <f ca="1">+GETPIVOTDATA("XNT4",'nghiathanh (2016)'!$A$3,"MA_HT","CLN","MA_QH","LUK")</f>
        <v>0</v>
      </c>
      <c r="I12" s="22">
        <f ca="1">+GETPIVOTDATA("XNT4",'nghiathanh (2016)'!$A$3,"MA_HT","CLN","MA_QH","LUN")</f>
        <v>0</v>
      </c>
      <c r="J12" s="22">
        <f ca="1">+GETPIVOTDATA("XNT4",'nghiathanh (2016)'!$A$3,"MA_HT","CLN","MA_QH","HNK")</f>
        <v>0</v>
      </c>
      <c r="K12" s="43" t="e">
        <f ca="1">$D12-$BF12</f>
        <v>#REF!</v>
      </c>
      <c r="L12" s="22">
        <f ca="1">+GETPIVOTDATA("XNT4",'nghiathanh (2016)'!$A$3,"MA_HT","CLN","MA_QH","RSX")</f>
        <v>0</v>
      </c>
      <c r="M12" s="22">
        <f ca="1">+GETPIVOTDATA("XNT4",'nghiathanh (2016)'!$A$3,"MA_HT","CLN","MA_QH","RPH")</f>
        <v>0</v>
      </c>
      <c r="N12" s="22">
        <f ca="1">+GETPIVOTDATA("XNT4",'nghiathanh (2016)'!$A$3,"MA_HT","CLN","MA_QH","RDD")</f>
        <v>0</v>
      </c>
      <c r="O12" s="22">
        <f ca="1">+GETPIVOTDATA("XNT4",'nghiathanh (2016)'!$A$3,"MA_HT","CLN","MA_QH","NTS")</f>
        <v>0</v>
      </c>
      <c r="P12" s="22">
        <f ca="1">+GETPIVOTDATA("XNT4",'nghiathanh (2016)'!$A$3,"MA_HT","CLN","MA_QH","LMU")</f>
        <v>0</v>
      </c>
      <c r="Q12" s="22">
        <f ca="1">+GETPIVOTDATA("XNT4",'nghiathanh (2016)'!$A$3,"MA_HT","CLN","MA_QH","NKH")</f>
        <v>0</v>
      </c>
      <c r="R12" s="42">
        <f ca="1" t="shared" si="2"/>
        <v>0</v>
      </c>
      <c r="S12" s="22">
        <f ca="1">+GETPIVOTDATA("XNT4",'nghiathanh (2016)'!$A$3,"MA_HT","CLN","MA_QH","CQP")</f>
        <v>0</v>
      </c>
      <c r="T12" s="22">
        <f ca="1">+GETPIVOTDATA("XNT4",'nghiathanh (2016)'!$A$3,"MA_HT","CLN","MA_QH","CAN")</f>
        <v>0</v>
      </c>
      <c r="U12" s="22">
        <f ca="1">+GETPIVOTDATA("XNT4",'nghiathanh (2016)'!$A$3,"MA_HT","CLN","MA_QH","SKK")</f>
        <v>0</v>
      </c>
      <c r="V12" s="22">
        <f ca="1">+GETPIVOTDATA("XNT4",'nghiathanh (2016)'!$A$3,"MA_HT","CLN","MA_QH","SKT")</f>
        <v>0</v>
      </c>
      <c r="W12" s="22">
        <f ca="1">+GETPIVOTDATA("XNT4",'nghiathanh (2016)'!$A$3,"MA_HT","CLN","MA_QH","SKN")</f>
        <v>0</v>
      </c>
      <c r="X12" s="22">
        <f ca="1">+GETPIVOTDATA("XNT4",'nghiathanh (2016)'!$A$3,"MA_HT","CLN","MA_QH","TMD")</f>
        <v>0</v>
      </c>
      <c r="Y12" s="22">
        <f ca="1">+GETPIVOTDATA("XNT4",'nghiathanh (2016)'!$A$3,"MA_HT","CLN","MA_QH","SKC")</f>
        <v>0</v>
      </c>
      <c r="Z12" s="22">
        <f ca="1">+GETPIVOTDATA("XNT4",'nghiathanh (2016)'!$A$3,"MA_HT","CLN","MA_QH","SKS")</f>
        <v>0</v>
      </c>
      <c r="AA12" s="52">
        <f ca="1" t="shared" si="4"/>
        <v>0</v>
      </c>
      <c r="AB12" s="22">
        <f ca="1">+GETPIVOTDATA("XNT4",'nghiathanh (2016)'!$A$3,"MA_HT","CLN","MA_QH","DGT")</f>
        <v>0</v>
      </c>
      <c r="AC12" s="22">
        <f ca="1">+GETPIVOTDATA("XNT4",'nghiathanh (2016)'!$A$3,"MA_HT","CLN","MA_QH","DTL")</f>
        <v>0</v>
      </c>
      <c r="AD12" s="22">
        <f ca="1">+GETPIVOTDATA("XNT4",'nghiathanh (2016)'!$A$3,"MA_HT","CLN","MA_QH","DNL")</f>
        <v>0</v>
      </c>
      <c r="AE12" s="22">
        <f ca="1">+GETPIVOTDATA("XNT4",'nghiathanh (2016)'!$A$3,"MA_HT","CLN","MA_QH","DBV")</f>
        <v>0</v>
      </c>
      <c r="AF12" s="22">
        <f ca="1">+GETPIVOTDATA("XNT4",'nghiathanh (2016)'!$A$3,"MA_HT","CLN","MA_QH","DVH")</f>
        <v>0</v>
      </c>
      <c r="AG12" s="22">
        <f ca="1">+GETPIVOTDATA("XNT4",'nghiathanh (2016)'!$A$3,"MA_HT","CLN","MA_QH","DYT")</f>
        <v>0</v>
      </c>
      <c r="AH12" s="22">
        <f ca="1">+GETPIVOTDATA("XNT4",'nghiathanh (2016)'!$A$3,"MA_HT","CLN","MA_QH","DGD")</f>
        <v>0</v>
      </c>
      <c r="AI12" s="22">
        <f ca="1">+GETPIVOTDATA("XNT4",'nghiathanh (2016)'!$A$3,"MA_HT","CLN","MA_QH","DTT")</f>
        <v>0</v>
      </c>
      <c r="AJ12" s="22">
        <f ca="1">+GETPIVOTDATA("XNT4",'nghiathanh (2016)'!$A$3,"MA_HT","CLN","MA_QH","NCK")</f>
        <v>0</v>
      </c>
      <c r="AK12" s="22">
        <f ca="1">+GETPIVOTDATA("XNT4",'nghiathanh (2016)'!$A$3,"MA_HT","CLN","MA_QH","DXH")</f>
        <v>0</v>
      </c>
      <c r="AL12" s="22">
        <f ca="1">+GETPIVOTDATA("XNT4",'nghiathanh (2016)'!$A$3,"MA_HT","CLN","MA_QH","DCH")</f>
        <v>0</v>
      </c>
      <c r="AM12" s="22">
        <f ca="1">+GETPIVOTDATA("XNT4",'nghiathanh (2016)'!$A$3,"MA_HT","CLN","MA_QH","DKG")</f>
        <v>0</v>
      </c>
      <c r="AN12" s="22">
        <f ca="1">+GETPIVOTDATA("XNT4",'nghiathanh (2016)'!$A$3,"MA_HT","CLN","MA_QH","DDT")</f>
        <v>0</v>
      </c>
      <c r="AO12" s="22">
        <f ca="1">+GETPIVOTDATA("XNT4",'nghiathanh (2016)'!$A$3,"MA_HT","CLN","MA_QH","DDL")</f>
        <v>0</v>
      </c>
      <c r="AP12" s="22">
        <f ca="1">+GETPIVOTDATA("XNT4",'nghiathanh (2016)'!$A$3,"MA_HT","CLN","MA_QH","DRA")</f>
        <v>0</v>
      </c>
      <c r="AQ12" s="22">
        <f ca="1">+GETPIVOTDATA("XNT4",'nghiathanh (2016)'!$A$3,"MA_HT","CLN","MA_QH","ONT")</f>
        <v>0</v>
      </c>
      <c r="AR12" s="22">
        <f ca="1">+GETPIVOTDATA("XNT4",'nghiathanh (2016)'!$A$3,"MA_HT","CLN","MA_QH","ODT")</f>
        <v>0</v>
      </c>
      <c r="AS12" s="22">
        <f ca="1">+GETPIVOTDATA("XNT4",'nghiathanh (2016)'!$A$3,"MA_HT","CLN","MA_QH","TSC")</f>
        <v>0</v>
      </c>
      <c r="AT12" s="22">
        <f ca="1">+GETPIVOTDATA("XNT4",'nghiathanh (2016)'!$A$3,"MA_HT","CLN","MA_QH","DTS")</f>
        <v>0</v>
      </c>
      <c r="AU12" s="22">
        <f ca="1">+GETPIVOTDATA("XNT4",'nghiathanh (2016)'!$A$3,"MA_HT","CLN","MA_QH","DNG")</f>
        <v>0</v>
      </c>
      <c r="AV12" s="22">
        <f ca="1">+GETPIVOTDATA("XNT4",'nghiathanh (2016)'!$A$3,"MA_HT","CLN","MA_QH","TON")</f>
        <v>0</v>
      </c>
      <c r="AW12" s="22">
        <f ca="1">+GETPIVOTDATA("XNT4",'nghiathanh (2016)'!$A$3,"MA_HT","CLN","MA_QH","NTD")</f>
        <v>0</v>
      </c>
      <c r="AX12" s="22">
        <f ca="1">+GETPIVOTDATA("XNT4",'nghiathanh (2016)'!$A$3,"MA_HT","CLN","MA_QH","SKX")</f>
        <v>0</v>
      </c>
      <c r="AY12" s="22">
        <f ca="1">+GETPIVOTDATA("XNT4",'nghiathanh (2016)'!$A$3,"MA_HT","CLN","MA_QH","DSH")</f>
        <v>0</v>
      </c>
      <c r="AZ12" s="22">
        <f ca="1">+GETPIVOTDATA("XNT4",'nghiathanh (2016)'!$A$3,"MA_HT","CLN","MA_QH","DKV")</f>
        <v>0</v>
      </c>
      <c r="BA12" s="89">
        <f ca="1">+GETPIVOTDATA("XNT4",'nghiathanh (2016)'!$A$3,"MA_HT","CLN","MA_QH","TIN")</f>
        <v>0</v>
      </c>
      <c r="BB12" s="50">
        <f ca="1">+GETPIVOTDATA("XNT4",'nghiathanh (2016)'!$A$3,"MA_HT","CLN","MA_QH","SON")</f>
        <v>0</v>
      </c>
      <c r="BC12" s="50">
        <f ca="1">+GETPIVOTDATA("XNT4",'nghiathanh (2016)'!$A$3,"MA_HT","CLN","MA_QH","MNC")</f>
        <v>0</v>
      </c>
      <c r="BD12" s="22">
        <f ca="1">+GETPIVOTDATA("XNT4",'nghiathanh (2016)'!$A$3,"MA_HT","CLN","MA_QH","PNK")</f>
        <v>0</v>
      </c>
      <c r="BE12" s="71">
        <f ca="1">+GETPIVOTDATA("XNT4",'nghiathanh (2016)'!$A$3,"MA_HT","CLN","MA_QH","CSD")</f>
        <v>0</v>
      </c>
      <c r="BF12" s="74">
        <f ca="1" t="shared" si="7"/>
        <v>0</v>
      </c>
      <c r="BG12" s="101">
        <f ca="1">K$59-$BF12</f>
        <v>0</v>
      </c>
      <c r="BH12" s="41" t="e">
        <f ca="1" t="shared" si="8"/>
        <v>#REF!</v>
      </c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</row>
    <row r="13" s="2" customFormat="1" ht="15.75" customHeight="1" spans="1:79">
      <c r="A13" s="39" t="s">
        <v>8347</v>
      </c>
      <c r="B13" s="39" t="s">
        <v>8348</v>
      </c>
      <c r="C13" s="40" t="s">
        <v>8307</v>
      </c>
      <c r="D13" s="47" t="e">
        <f>+#REF!</f>
        <v>#REF!</v>
      </c>
      <c r="E13" s="42">
        <f ca="1">SUM(F13,J13:K13,M13:Q13)</f>
        <v>0</v>
      </c>
      <c r="F13" s="52">
        <f ca="1" t="shared" si="9"/>
        <v>0</v>
      </c>
      <c r="G13" s="22">
        <f ca="1">+GETPIVOTDATA("XNT4",'nghiathanh (2016)'!$A$3,"MA_HT","RSX","MA_QH","LUC")</f>
        <v>0</v>
      </c>
      <c r="H13" s="22">
        <f ca="1">+GETPIVOTDATA("XNT4",'nghiathanh (2016)'!$A$3,"MA_HT","RSX","MA_QH","LUK")</f>
        <v>0</v>
      </c>
      <c r="I13" s="22">
        <f ca="1">+GETPIVOTDATA("XNT4",'nghiathanh (2016)'!$A$3,"MA_HT","RSX","MA_QH","LUN")</f>
        <v>0</v>
      </c>
      <c r="J13" s="22">
        <f ca="1">+GETPIVOTDATA("XNT4",'nghiathanh (2016)'!$A$3,"MA_HT","RSX","MA_QH","HNK")</f>
        <v>0</v>
      </c>
      <c r="K13" s="22">
        <f ca="1">+GETPIVOTDATA("XNT4",'nghiathanh (2016)'!$A$3,"MA_HT","RSX","MA_QH","CLN")</f>
        <v>0</v>
      </c>
      <c r="L13" s="43" t="e">
        <f ca="1">$D13-$BF13</f>
        <v>#REF!</v>
      </c>
      <c r="M13" s="22">
        <f ca="1">+GETPIVOTDATA("XNT4",'nghiathanh (2016)'!$A$3,"MA_HT","RSX","MA_QH","RPH")</f>
        <v>0</v>
      </c>
      <c r="N13" s="22">
        <f ca="1">+GETPIVOTDATA("XNT4",'nghiathanh (2016)'!$A$3,"MA_HT","RSX","MA_QH","RDD")</f>
        <v>0</v>
      </c>
      <c r="O13" s="22">
        <f ca="1">+GETPIVOTDATA("XNT4",'nghiathanh (2016)'!$A$3,"MA_HT","RSX","MA_QH","NTS")</f>
        <v>0</v>
      </c>
      <c r="P13" s="22">
        <f ca="1">+GETPIVOTDATA("XNT4",'nghiathanh (2016)'!$A$3,"MA_HT","RSX","MA_QH","LMU")</f>
        <v>0</v>
      </c>
      <c r="Q13" s="22">
        <f ca="1">+GETPIVOTDATA("XNT4",'nghiathanh (2016)'!$A$3,"MA_HT","RSX","MA_QH","NKH")</f>
        <v>0</v>
      </c>
      <c r="R13" s="42">
        <f ca="1" t="shared" si="2"/>
        <v>0</v>
      </c>
      <c r="S13" s="22">
        <f ca="1">+GETPIVOTDATA("XNT4",'nghiathanh (2016)'!$A$3,"MA_HT","RSX","MA_QH","CQP")</f>
        <v>0</v>
      </c>
      <c r="T13" s="22">
        <f ca="1">+GETPIVOTDATA("XNT4",'nghiathanh (2016)'!$A$3,"MA_HT","RSX","MA_QH","CAN")</f>
        <v>0</v>
      </c>
      <c r="U13" s="22">
        <f ca="1">+GETPIVOTDATA("XNT4",'nghiathanh (2016)'!$A$3,"MA_HT","RSX","MA_QH","SKK")</f>
        <v>0</v>
      </c>
      <c r="V13" s="22">
        <f ca="1">+GETPIVOTDATA("XNT4",'nghiathanh (2016)'!$A$3,"MA_HT","RSX","MA_QH","SKT")</f>
        <v>0</v>
      </c>
      <c r="W13" s="22">
        <f ca="1">+GETPIVOTDATA("XNT4",'nghiathanh (2016)'!$A$3,"MA_HT","RSX","MA_QH","SKN")</f>
        <v>0</v>
      </c>
      <c r="X13" s="22">
        <f ca="1">+GETPIVOTDATA("XNT4",'nghiathanh (2016)'!$A$3,"MA_HT","RSX","MA_QH","TMD")</f>
        <v>0</v>
      </c>
      <c r="Y13" s="22">
        <f ca="1">+GETPIVOTDATA("XNT4",'nghiathanh (2016)'!$A$3,"MA_HT","RSX","MA_QH","SKC")</f>
        <v>0</v>
      </c>
      <c r="Z13" s="22">
        <f ca="1">+GETPIVOTDATA("XNT4",'nghiathanh (2016)'!$A$3,"MA_HT","RSX","MA_QH","SKS")</f>
        <v>0</v>
      </c>
      <c r="AA13" s="52">
        <f ca="1" t="shared" si="4"/>
        <v>0</v>
      </c>
      <c r="AB13" s="22">
        <f ca="1">+GETPIVOTDATA("XNT4",'nghiathanh (2016)'!$A$3,"MA_HT","RSX","MA_QH","DGT")</f>
        <v>0</v>
      </c>
      <c r="AC13" s="22">
        <f ca="1">+GETPIVOTDATA("XNT4",'nghiathanh (2016)'!$A$3,"MA_HT","RSX","MA_QH","DTL")</f>
        <v>0</v>
      </c>
      <c r="AD13" s="22">
        <f ca="1">+GETPIVOTDATA("XNT4",'nghiathanh (2016)'!$A$3,"MA_HT","RSX","MA_QH","DNL")</f>
        <v>0</v>
      </c>
      <c r="AE13" s="22">
        <f ca="1">+GETPIVOTDATA("XNT4",'nghiathanh (2016)'!$A$3,"MA_HT","RSX","MA_QH","DBV")</f>
        <v>0</v>
      </c>
      <c r="AF13" s="22">
        <f ca="1">+GETPIVOTDATA("XNT4",'nghiathanh (2016)'!$A$3,"MA_HT","RSX","MA_QH","DVH")</f>
        <v>0</v>
      </c>
      <c r="AG13" s="22">
        <f ca="1">+GETPIVOTDATA("XNT4",'nghiathanh (2016)'!$A$3,"MA_HT","RSX","MA_QH","DYT")</f>
        <v>0</v>
      </c>
      <c r="AH13" s="22">
        <f ca="1">+GETPIVOTDATA("XNT4",'nghiathanh (2016)'!$A$3,"MA_HT","RSX","MA_QH","DGD")</f>
        <v>0</v>
      </c>
      <c r="AI13" s="22">
        <f ca="1">+GETPIVOTDATA("XNT4",'nghiathanh (2016)'!$A$3,"MA_HT","RSX","MA_QH","DTT")</f>
        <v>0</v>
      </c>
      <c r="AJ13" s="22">
        <f ca="1">+GETPIVOTDATA("XNT4",'nghiathanh (2016)'!$A$3,"MA_HT","RSX","MA_QH","NCK")</f>
        <v>0</v>
      </c>
      <c r="AK13" s="22">
        <f ca="1">+GETPIVOTDATA("XNT4",'nghiathanh (2016)'!$A$3,"MA_HT","RSX","MA_QH","DXH")</f>
        <v>0</v>
      </c>
      <c r="AL13" s="22">
        <f ca="1">+GETPIVOTDATA("XNT4",'nghiathanh (2016)'!$A$3,"MA_HT","RSX","MA_QH","DCH")</f>
        <v>0</v>
      </c>
      <c r="AM13" s="22">
        <f ca="1">+GETPIVOTDATA("XNT4",'nghiathanh (2016)'!$A$3,"MA_HT","RSX","MA_QH","DKG")</f>
        <v>0</v>
      </c>
      <c r="AN13" s="22">
        <f ca="1">+GETPIVOTDATA("XNT4",'nghiathanh (2016)'!$A$3,"MA_HT","RSX","MA_QH","DDT")</f>
        <v>0</v>
      </c>
      <c r="AO13" s="22">
        <f ca="1">+GETPIVOTDATA("XNT4",'nghiathanh (2016)'!$A$3,"MA_HT","RSX","MA_QH","DDL")</f>
        <v>0</v>
      </c>
      <c r="AP13" s="22">
        <f ca="1">+GETPIVOTDATA("XNT4",'nghiathanh (2016)'!$A$3,"MA_HT","RSX","MA_QH","DRA")</f>
        <v>0</v>
      </c>
      <c r="AQ13" s="22">
        <f ca="1">+GETPIVOTDATA("XNT4",'nghiathanh (2016)'!$A$3,"MA_HT","RSX","MA_QH","ONT")</f>
        <v>0</v>
      </c>
      <c r="AR13" s="22">
        <f ca="1">+GETPIVOTDATA("XNT4",'nghiathanh (2016)'!$A$3,"MA_HT","RSX","MA_QH","ODT")</f>
        <v>0</v>
      </c>
      <c r="AS13" s="22">
        <f ca="1">+GETPIVOTDATA("XNT4",'nghiathanh (2016)'!$A$3,"MA_HT","RSX","MA_QH","TSC")</f>
        <v>0</v>
      </c>
      <c r="AT13" s="22">
        <f ca="1">+GETPIVOTDATA("XNT4",'nghiathanh (2016)'!$A$3,"MA_HT","RSX","MA_QH","DTS")</f>
        <v>0</v>
      </c>
      <c r="AU13" s="22">
        <f ca="1">+GETPIVOTDATA("XNT4",'nghiathanh (2016)'!$A$3,"MA_HT","RSX","MA_QH","DNG")</f>
        <v>0</v>
      </c>
      <c r="AV13" s="22">
        <f ca="1">+GETPIVOTDATA("XNT4",'nghiathanh (2016)'!$A$3,"MA_HT","RSX","MA_QH","TON")</f>
        <v>0</v>
      </c>
      <c r="AW13" s="22">
        <f ca="1">+GETPIVOTDATA("XNT4",'nghiathanh (2016)'!$A$3,"MA_HT","RSX","MA_QH","NTD")</f>
        <v>0</v>
      </c>
      <c r="AX13" s="22">
        <f ca="1">+GETPIVOTDATA("XNT4",'nghiathanh (2016)'!$A$3,"MA_HT","RSX","MA_QH","SKX")</f>
        <v>0</v>
      </c>
      <c r="AY13" s="22">
        <f ca="1">+GETPIVOTDATA("XNT4",'nghiathanh (2016)'!$A$3,"MA_HT","RSX","MA_QH","DSH")</f>
        <v>0</v>
      </c>
      <c r="AZ13" s="22">
        <f ca="1">+GETPIVOTDATA("XNT4",'nghiathanh (2016)'!$A$3,"MA_HT","RSX","MA_QH","DKV")</f>
        <v>0</v>
      </c>
      <c r="BA13" s="89">
        <f ca="1">+GETPIVOTDATA("XNT4",'nghiathanh (2016)'!$A$3,"MA_HT","RSX","MA_QH","TIN")</f>
        <v>0</v>
      </c>
      <c r="BB13" s="50">
        <f ca="1">+GETPIVOTDATA("XNT4",'nghiathanh (2016)'!$A$3,"MA_HT","RSX","MA_QH","SON")</f>
        <v>0</v>
      </c>
      <c r="BC13" s="50">
        <f ca="1">+GETPIVOTDATA("XNT4",'nghiathanh (2016)'!$A$3,"MA_HT","RSX","MA_QH","MNC")</f>
        <v>0</v>
      </c>
      <c r="BD13" s="22">
        <f ca="1">+GETPIVOTDATA("XNT4",'nghiathanh (2016)'!$A$3,"MA_HT","RSX","MA_QH","PNK")</f>
        <v>0</v>
      </c>
      <c r="BE13" s="71">
        <f ca="1">+GETPIVOTDATA("XNT4",'nghiathanh (2016)'!$A$3,"MA_HT","RSX","MA_QH","CSD")</f>
        <v>0</v>
      </c>
      <c r="BF13" s="74">
        <f ca="1" t="shared" si="7"/>
        <v>0</v>
      </c>
      <c r="BG13" s="101">
        <f ca="1">L$59-$BF13</f>
        <v>0</v>
      </c>
      <c r="BH13" s="41" t="e">
        <f ca="1" t="shared" si="8"/>
        <v>#REF!</v>
      </c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</row>
    <row r="14" s="2" customFormat="1" ht="15.75" customHeight="1" spans="1:79">
      <c r="A14" s="39" t="s">
        <v>8349</v>
      </c>
      <c r="B14" s="39" t="s">
        <v>8350</v>
      </c>
      <c r="C14" s="40" t="s">
        <v>8306</v>
      </c>
      <c r="D14" s="47" t="e">
        <f>+#REF!</f>
        <v>#REF!</v>
      </c>
      <c r="E14" s="42">
        <f ca="1">SUM(F14,J14:L14,N14:Q14)</f>
        <v>0</v>
      </c>
      <c r="F14" s="52">
        <f ca="1" t="shared" si="9"/>
        <v>0</v>
      </c>
      <c r="G14" s="22">
        <f ca="1">+GETPIVOTDATA("XNT4",'nghiathanh (2016)'!$A$3,"MA_HT","RPH","MA_QH","LUC")</f>
        <v>0</v>
      </c>
      <c r="H14" s="22">
        <f ca="1">+GETPIVOTDATA("XNT4",'nghiathanh (2016)'!$A$3,"MA_HT","RPH","MA_QH","LUK")</f>
        <v>0</v>
      </c>
      <c r="I14" s="22">
        <f ca="1">+GETPIVOTDATA("XNT4",'nghiathanh (2016)'!$A$3,"MA_HT","RPH","MA_QH","LUN")</f>
        <v>0</v>
      </c>
      <c r="J14" s="22">
        <f ca="1">+GETPIVOTDATA("XNT4",'nghiathanh (2016)'!$A$3,"MA_HT","RPH","MA_QH","HNK")</f>
        <v>0</v>
      </c>
      <c r="K14" s="22">
        <f ca="1">+GETPIVOTDATA("XNT4",'nghiathanh (2016)'!$A$3,"MA_HT","RPH","MA_QH","CLN")</f>
        <v>0</v>
      </c>
      <c r="L14" s="22">
        <f ca="1">+GETPIVOTDATA("XNT4",'nghiathanh (2016)'!$A$3,"MA_HT","RPH","MA_QH","RSX")</f>
        <v>0</v>
      </c>
      <c r="M14" s="43" t="e">
        <f ca="1">$D14-$BF14</f>
        <v>#REF!</v>
      </c>
      <c r="N14" s="22">
        <f ca="1">+GETPIVOTDATA("XNT4",'nghiathanh (2016)'!$A$3,"MA_HT","RPH","MA_QH","RDD")</f>
        <v>0</v>
      </c>
      <c r="O14" s="22">
        <f ca="1">+GETPIVOTDATA("XNT4",'nghiathanh (2016)'!$A$3,"MA_HT","RPH","MA_QH","NTS")</f>
        <v>0</v>
      </c>
      <c r="P14" s="22">
        <f ca="1">+GETPIVOTDATA("XNT4",'nghiathanh (2016)'!$A$3,"MA_HT","RPH","MA_QH","LMU")</f>
        <v>0</v>
      </c>
      <c r="Q14" s="22">
        <f ca="1">+GETPIVOTDATA("XNT4",'nghiathanh (2016)'!$A$3,"MA_HT","RPH","MA_QH","NKH")</f>
        <v>0</v>
      </c>
      <c r="R14" s="42">
        <f ca="1" t="shared" si="2"/>
        <v>0</v>
      </c>
      <c r="S14" s="22">
        <f ca="1">+GETPIVOTDATA("XNT4",'nghiathanh (2016)'!$A$3,"MA_HT","RPH","MA_QH","CQP")</f>
        <v>0</v>
      </c>
      <c r="T14" s="22">
        <f ca="1">+GETPIVOTDATA("XNT4",'nghiathanh (2016)'!$A$3,"MA_HT","RPH","MA_QH","CAN")</f>
        <v>0</v>
      </c>
      <c r="U14" s="22">
        <f ca="1">+GETPIVOTDATA("XNT4",'nghiathanh (2016)'!$A$3,"MA_HT","RPH","MA_QH","SKK")</f>
        <v>0</v>
      </c>
      <c r="V14" s="22">
        <f ca="1">+GETPIVOTDATA("XNT4",'nghiathanh (2016)'!$A$3,"MA_HT","RPH","MA_QH","SKT")</f>
        <v>0</v>
      </c>
      <c r="W14" s="22">
        <f ca="1">+GETPIVOTDATA("XNT4",'nghiathanh (2016)'!$A$3,"MA_HT","RPH","MA_QH","SKN")</f>
        <v>0</v>
      </c>
      <c r="X14" s="22">
        <f ca="1">+GETPIVOTDATA("XNT4",'nghiathanh (2016)'!$A$3,"MA_HT","RPH","MA_QH","TMD")</f>
        <v>0</v>
      </c>
      <c r="Y14" s="22">
        <f ca="1">+GETPIVOTDATA("XNT4",'nghiathanh (2016)'!$A$3,"MA_HT","RPH","MA_QH","SKC")</f>
        <v>0</v>
      </c>
      <c r="Z14" s="22">
        <f ca="1">+GETPIVOTDATA("XNT4",'nghiathanh (2016)'!$A$3,"MA_HT","RPH","MA_QH","SKS")</f>
        <v>0</v>
      </c>
      <c r="AA14" s="52">
        <f ca="1" t="shared" si="4"/>
        <v>0</v>
      </c>
      <c r="AB14" s="22">
        <f ca="1">+GETPIVOTDATA("XNT4",'nghiathanh (2016)'!$A$3,"MA_HT","RPH","MA_QH","DGT")</f>
        <v>0</v>
      </c>
      <c r="AC14" s="22">
        <f ca="1">+GETPIVOTDATA("XNT4",'nghiathanh (2016)'!$A$3,"MA_HT","RPH","MA_QH","DTL")</f>
        <v>0</v>
      </c>
      <c r="AD14" s="22">
        <f ca="1">+GETPIVOTDATA("XNT4",'nghiathanh (2016)'!$A$3,"MA_HT","RPH","MA_QH","DNL")</f>
        <v>0</v>
      </c>
      <c r="AE14" s="22">
        <f ca="1">+GETPIVOTDATA("XNT4",'nghiathanh (2016)'!$A$3,"MA_HT","RPH","MA_QH","DBV")</f>
        <v>0</v>
      </c>
      <c r="AF14" s="22">
        <f ca="1">+GETPIVOTDATA("XNT4",'nghiathanh (2016)'!$A$3,"MA_HT","RPH","MA_QH","DVH")</f>
        <v>0</v>
      </c>
      <c r="AG14" s="22">
        <f ca="1">+GETPIVOTDATA("XNT4",'nghiathanh (2016)'!$A$3,"MA_HT","RPH","MA_QH","DYT")</f>
        <v>0</v>
      </c>
      <c r="AH14" s="22">
        <f ca="1">+GETPIVOTDATA("XNT4",'nghiathanh (2016)'!$A$3,"MA_HT","RPH","MA_QH","DGD")</f>
        <v>0</v>
      </c>
      <c r="AI14" s="22">
        <f ca="1">+GETPIVOTDATA("XNT4",'nghiathanh (2016)'!$A$3,"MA_HT","RPH","MA_QH","DTT")</f>
        <v>0</v>
      </c>
      <c r="AJ14" s="22">
        <f ca="1">+GETPIVOTDATA("XNT4",'nghiathanh (2016)'!$A$3,"MA_HT","RPH","MA_QH","NCK")</f>
        <v>0</v>
      </c>
      <c r="AK14" s="22">
        <f ca="1">+GETPIVOTDATA("XNT4",'nghiathanh (2016)'!$A$3,"MA_HT","RPH","MA_QH","DXH")</f>
        <v>0</v>
      </c>
      <c r="AL14" s="22">
        <f ca="1">+GETPIVOTDATA("XNT4",'nghiathanh (2016)'!$A$3,"MA_HT","RPH","MA_QH","DCH")</f>
        <v>0</v>
      </c>
      <c r="AM14" s="22">
        <f ca="1">+GETPIVOTDATA("XNT4",'nghiathanh (2016)'!$A$3,"MA_HT","RPH","MA_QH","DKG")</f>
        <v>0</v>
      </c>
      <c r="AN14" s="22">
        <f ca="1">+GETPIVOTDATA("XNT4",'nghiathanh (2016)'!$A$3,"MA_HT","RPH","MA_QH","DDT")</f>
        <v>0</v>
      </c>
      <c r="AO14" s="22">
        <f ca="1">+GETPIVOTDATA("XNT4",'nghiathanh (2016)'!$A$3,"MA_HT","RPH","MA_QH","DDL")</f>
        <v>0</v>
      </c>
      <c r="AP14" s="22">
        <f ca="1">+GETPIVOTDATA("XNT4",'nghiathanh (2016)'!$A$3,"MA_HT","RPH","MA_QH","DRA")</f>
        <v>0</v>
      </c>
      <c r="AQ14" s="22">
        <f ca="1">+GETPIVOTDATA("XNT4",'nghiathanh (2016)'!$A$3,"MA_HT","RPH","MA_QH","ONT")</f>
        <v>0</v>
      </c>
      <c r="AR14" s="22">
        <f ca="1">+GETPIVOTDATA("XNT4",'nghiathanh (2016)'!$A$3,"MA_HT","RPH","MA_QH","ODT")</f>
        <v>0</v>
      </c>
      <c r="AS14" s="22">
        <f ca="1">+GETPIVOTDATA("XNT4",'nghiathanh (2016)'!$A$3,"MA_HT","RPH","MA_QH","TSC")</f>
        <v>0</v>
      </c>
      <c r="AT14" s="22">
        <f ca="1">+GETPIVOTDATA("XNT4",'nghiathanh (2016)'!$A$3,"MA_HT","RPH","MA_QH","DTS")</f>
        <v>0</v>
      </c>
      <c r="AU14" s="22">
        <f ca="1">+GETPIVOTDATA("XNT4",'nghiathanh (2016)'!$A$3,"MA_HT","RPH","MA_QH","DNG")</f>
        <v>0</v>
      </c>
      <c r="AV14" s="22">
        <f ca="1">+GETPIVOTDATA("XNT4",'nghiathanh (2016)'!$A$3,"MA_HT","RPH","MA_QH","TON")</f>
        <v>0</v>
      </c>
      <c r="AW14" s="22">
        <f ca="1">+GETPIVOTDATA("XNT4",'nghiathanh (2016)'!$A$3,"MA_HT","RPH","MA_QH","NTD")</f>
        <v>0</v>
      </c>
      <c r="AX14" s="22">
        <f ca="1">+GETPIVOTDATA("XNT4",'nghiathanh (2016)'!$A$3,"MA_HT","RPH","MA_QH","SKX")</f>
        <v>0</v>
      </c>
      <c r="AY14" s="22">
        <f ca="1">+GETPIVOTDATA("XNT4",'nghiathanh (2016)'!$A$3,"MA_HT","RPH","MA_QH","DSH")</f>
        <v>0</v>
      </c>
      <c r="AZ14" s="22">
        <f ca="1">+GETPIVOTDATA("XNT4",'nghiathanh (2016)'!$A$3,"MA_HT","RPH","MA_QH","DKV")</f>
        <v>0</v>
      </c>
      <c r="BA14" s="89">
        <f ca="1">+GETPIVOTDATA("XNT4",'nghiathanh (2016)'!$A$3,"MA_HT","RPH","MA_QH","TIN")</f>
        <v>0</v>
      </c>
      <c r="BB14" s="50">
        <f ca="1">+GETPIVOTDATA("XNT4",'nghiathanh (2016)'!$A$3,"MA_HT","RPH","MA_QH","SON")</f>
        <v>0</v>
      </c>
      <c r="BC14" s="50">
        <f ca="1">+GETPIVOTDATA("XNT4",'nghiathanh (2016)'!$A$3,"MA_HT","RPH","MA_QH","MNC")</f>
        <v>0</v>
      </c>
      <c r="BD14" s="22">
        <f ca="1">+GETPIVOTDATA("XNT4",'nghiathanh (2016)'!$A$3,"MA_HT","RPH","MA_QH","PNK")</f>
        <v>0</v>
      </c>
      <c r="BE14" s="71">
        <f ca="1">+GETPIVOTDATA("XNT4",'nghiathanh (2016)'!$A$3,"MA_HT","RPH","MA_QH","CSD")</f>
        <v>0</v>
      </c>
      <c r="BF14" s="74">
        <f ca="1" t="shared" si="7"/>
        <v>0</v>
      </c>
      <c r="BG14" s="101">
        <f ca="1">M$59-$BF14</f>
        <v>0</v>
      </c>
      <c r="BH14" s="41" t="e">
        <f ca="1" t="shared" si="8"/>
        <v>#REF!</v>
      </c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</row>
    <row r="15" s="2" customFormat="1" ht="15.75" customHeight="1" spans="1:79">
      <c r="A15" s="39" t="s">
        <v>8351</v>
      </c>
      <c r="B15" s="39" t="s">
        <v>8352</v>
      </c>
      <c r="C15" s="40" t="s">
        <v>8305</v>
      </c>
      <c r="D15" s="47" t="e">
        <f>+#REF!</f>
        <v>#REF!</v>
      </c>
      <c r="E15" s="42">
        <f ca="1">SUM(F15,J15:M15,O15:Q15)</f>
        <v>0</v>
      </c>
      <c r="F15" s="52">
        <f ca="1" t="shared" si="9"/>
        <v>0</v>
      </c>
      <c r="G15" s="22">
        <f ca="1">+GETPIVOTDATA("XNT4",'nghiathanh (2016)'!$A$3,"MA_HT","RDD","MA_QH","LUC")</f>
        <v>0</v>
      </c>
      <c r="H15" s="22">
        <f ca="1">+GETPIVOTDATA("XNT4",'nghiathanh (2016)'!$A$3,"MA_HT","RDD","MA_QH","LUK")</f>
        <v>0</v>
      </c>
      <c r="I15" s="22">
        <f ca="1">+GETPIVOTDATA("XNT4",'nghiathanh (2016)'!$A$3,"MA_HT","RDD","MA_QH","LUN")</f>
        <v>0</v>
      </c>
      <c r="J15" s="22">
        <f ca="1">+GETPIVOTDATA("XNT4",'nghiathanh (2016)'!$A$3,"MA_HT","RDD","MA_QH","HNK")</f>
        <v>0</v>
      </c>
      <c r="K15" s="22">
        <f ca="1">+GETPIVOTDATA("XNT4",'nghiathanh (2016)'!$A$3,"MA_HT","RDD","MA_QH","CLN")</f>
        <v>0</v>
      </c>
      <c r="L15" s="22">
        <f ca="1">+GETPIVOTDATA("XNT4",'nghiathanh (2016)'!$A$3,"MA_HT","RDD","MA_QH","RSX")</f>
        <v>0</v>
      </c>
      <c r="M15" s="22">
        <f ca="1">+GETPIVOTDATA("XNT4",'nghiathanh (2016)'!$A$3,"MA_HT","RDD","MA_QH","RPH")</f>
        <v>0</v>
      </c>
      <c r="N15" s="43" t="e">
        <f ca="1">$D15-$BF15</f>
        <v>#REF!</v>
      </c>
      <c r="O15" s="22">
        <f ca="1">+GETPIVOTDATA("XNT4",'nghiathanh (2016)'!$A$3,"MA_HT","RDD","MA_QH","NTS")</f>
        <v>0</v>
      </c>
      <c r="P15" s="22">
        <f ca="1">+GETPIVOTDATA("XNT4",'nghiathanh (2016)'!$A$3,"MA_HT","RDD","MA_QH","LMU")</f>
        <v>0</v>
      </c>
      <c r="Q15" s="22">
        <f ca="1">+GETPIVOTDATA("XNT4",'nghiathanh (2016)'!$A$3,"MA_HT","RDD","MA_QH","NKH")</f>
        <v>0</v>
      </c>
      <c r="R15" s="42">
        <f ca="1" t="shared" si="2"/>
        <v>0</v>
      </c>
      <c r="S15" s="22">
        <f ca="1">+GETPIVOTDATA("XNT4",'nghiathanh (2016)'!$A$3,"MA_HT","RDD","MA_QH","CQP")</f>
        <v>0</v>
      </c>
      <c r="T15" s="22">
        <f ca="1">+GETPIVOTDATA("XNT4",'nghiathanh (2016)'!$A$3,"MA_HT","RDD","MA_QH","CAN")</f>
        <v>0</v>
      </c>
      <c r="U15" s="22">
        <f ca="1">+GETPIVOTDATA("XNT4",'nghiathanh (2016)'!$A$3,"MA_HT","RDD","MA_QH","SKK")</f>
        <v>0</v>
      </c>
      <c r="V15" s="22">
        <f ca="1">+GETPIVOTDATA("XNT4",'nghiathanh (2016)'!$A$3,"MA_HT","RDD","MA_QH","SKT")</f>
        <v>0</v>
      </c>
      <c r="W15" s="22">
        <f ca="1">+GETPIVOTDATA("XNT4",'nghiathanh (2016)'!$A$3,"MA_HT","RDD","MA_QH","SKN")</f>
        <v>0</v>
      </c>
      <c r="X15" s="22">
        <f ca="1">+GETPIVOTDATA("XNT4",'nghiathanh (2016)'!$A$3,"MA_HT","RDD","MA_QH","TMD")</f>
        <v>0</v>
      </c>
      <c r="Y15" s="22">
        <f ca="1">+GETPIVOTDATA("XNT4",'nghiathanh (2016)'!$A$3,"MA_HT","RDD","MA_QH","SKC")</f>
        <v>0</v>
      </c>
      <c r="Z15" s="22">
        <f ca="1">+GETPIVOTDATA("XNT4",'nghiathanh (2016)'!$A$3,"MA_HT","RDD","MA_QH","SKS")</f>
        <v>0</v>
      </c>
      <c r="AA15" s="52">
        <f ca="1" t="shared" si="4"/>
        <v>0</v>
      </c>
      <c r="AB15" s="22">
        <f ca="1">+GETPIVOTDATA("XNT4",'nghiathanh (2016)'!$A$3,"MA_HT","RDD","MA_QH","DGT")</f>
        <v>0</v>
      </c>
      <c r="AC15" s="22">
        <f ca="1">+GETPIVOTDATA("XNT4",'nghiathanh (2016)'!$A$3,"MA_HT","RDD","MA_QH","DTL")</f>
        <v>0</v>
      </c>
      <c r="AD15" s="22">
        <f ca="1">+GETPIVOTDATA("XNT4",'nghiathanh (2016)'!$A$3,"MA_HT","RDD","MA_QH","DNL")</f>
        <v>0</v>
      </c>
      <c r="AE15" s="22">
        <f ca="1">+GETPIVOTDATA("XNT4",'nghiathanh (2016)'!$A$3,"MA_HT","RDD","MA_QH","DBV")</f>
        <v>0</v>
      </c>
      <c r="AF15" s="22">
        <f ca="1">+GETPIVOTDATA("XNT4",'nghiathanh (2016)'!$A$3,"MA_HT","RDD","MA_QH","DVH")</f>
        <v>0</v>
      </c>
      <c r="AG15" s="22">
        <f ca="1">+GETPIVOTDATA("XNT4",'nghiathanh (2016)'!$A$3,"MA_HT","RDD","MA_QH","DYT")</f>
        <v>0</v>
      </c>
      <c r="AH15" s="22">
        <f ca="1">+GETPIVOTDATA("XNT4",'nghiathanh (2016)'!$A$3,"MA_HT","RDD","MA_QH","DGD")</f>
        <v>0</v>
      </c>
      <c r="AI15" s="22">
        <f ca="1">+GETPIVOTDATA("XNT4",'nghiathanh (2016)'!$A$3,"MA_HT","RDD","MA_QH","DTT")</f>
        <v>0</v>
      </c>
      <c r="AJ15" s="22">
        <f ca="1">+GETPIVOTDATA("XNT4",'nghiathanh (2016)'!$A$3,"MA_HT","RDD","MA_QH","NCK")</f>
        <v>0</v>
      </c>
      <c r="AK15" s="22">
        <f ca="1">+GETPIVOTDATA("XNT4",'nghiathanh (2016)'!$A$3,"MA_HT","RDD","MA_QH","DXH")</f>
        <v>0</v>
      </c>
      <c r="AL15" s="22">
        <f ca="1">+GETPIVOTDATA("XNT4",'nghiathanh (2016)'!$A$3,"MA_HT","RDD","MA_QH","DCH")</f>
        <v>0</v>
      </c>
      <c r="AM15" s="22">
        <f ca="1">+GETPIVOTDATA("XNT4",'nghiathanh (2016)'!$A$3,"MA_HT","RDD","MA_QH","DKG")</f>
        <v>0</v>
      </c>
      <c r="AN15" s="22">
        <f ca="1">+GETPIVOTDATA("XNT4",'nghiathanh (2016)'!$A$3,"MA_HT","RDD","MA_QH","DDT")</f>
        <v>0</v>
      </c>
      <c r="AO15" s="22">
        <f ca="1">+GETPIVOTDATA("XNT4",'nghiathanh (2016)'!$A$3,"MA_HT","RDD","MA_QH","DDL")</f>
        <v>0</v>
      </c>
      <c r="AP15" s="22">
        <f ca="1">+GETPIVOTDATA("XNT4",'nghiathanh (2016)'!$A$3,"MA_HT","RDD","MA_QH","DRA")</f>
        <v>0</v>
      </c>
      <c r="AQ15" s="22">
        <f ca="1">+GETPIVOTDATA("XNT4",'nghiathanh (2016)'!$A$3,"MA_HT","RDD","MA_QH","ONT")</f>
        <v>0</v>
      </c>
      <c r="AR15" s="22">
        <f ca="1">+GETPIVOTDATA("XNT4",'nghiathanh (2016)'!$A$3,"MA_HT","RDD","MA_QH","ODT")</f>
        <v>0</v>
      </c>
      <c r="AS15" s="22">
        <f ca="1">+GETPIVOTDATA("XNT4",'nghiathanh (2016)'!$A$3,"MA_HT","RDD","MA_QH","TSC")</f>
        <v>0</v>
      </c>
      <c r="AT15" s="22">
        <f ca="1">+GETPIVOTDATA("XNT4",'nghiathanh (2016)'!$A$3,"MA_HT","RDD","MA_QH","DTS")</f>
        <v>0</v>
      </c>
      <c r="AU15" s="22">
        <f ca="1">+GETPIVOTDATA("XNT4",'nghiathanh (2016)'!$A$3,"MA_HT","RDD","MA_QH","DNG")</f>
        <v>0</v>
      </c>
      <c r="AV15" s="22">
        <f ca="1">+GETPIVOTDATA("XNT4",'nghiathanh (2016)'!$A$3,"MA_HT","RDD","MA_QH","TON")</f>
        <v>0</v>
      </c>
      <c r="AW15" s="22">
        <f ca="1">+GETPIVOTDATA("XNT4",'nghiathanh (2016)'!$A$3,"MA_HT","RDD","MA_QH","NTD")</f>
        <v>0</v>
      </c>
      <c r="AX15" s="22">
        <f ca="1">+GETPIVOTDATA("XNT4",'nghiathanh (2016)'!$A$3,"MA_HT","RDD","MA_QH","SKX")</f>
        <v>0</v>
      </c>
      <c r="AY15" s="22">
        <f ca="1">+GETPIVOTDATA("XNT4",'nghiathanh (2016)'!$A$3,"MA_HT","RDD","MA_QH","DSH")</f>
        <v>0</v>
      </c>
      <c r="AZ15" s="22">
        <f ca="1">+GETPIVOTDATA("XNT4",'nghiathanh (2016)'!$A$3,"MA_HT","RDD","MA_QH","DKV")</f>
        <v>0</v>
      </c>
      <c r="BA15" s="89">
        <f ca="1">+GETPIVOTDATA("XNT4",'nghiathanh (2016)'!$A$3,"MA_HT","RDD","MA_QH","TIN")</f>
        <v>0</v>
      </c>
      <c r="BB15" s="50">
        <f ca="1">+GETPIVOTDATA("XNT4",'nghiathanh (2016)'!$A$3,"MA_HT","RDD","MA_QH","SON")</f>
        <v>0</v>
      </c>
      <c r="BC15" s="50">
        <f ca="1">+GETPIVOTDATA("XNT4",'nghiathanh (2016)'!$A$3,"MA_HT","RDD","MA_QH","MNC")</f>
        <v>0</v>
      </c>
      <c r="BD15" s="22">
        <f ca="1">+GETPIVOTDATA("XNT4",'nghiathanh (2016)'!$A$3,"MA_HT","RDD","MA_QH","PNK")</f>
        <v>0</v>
      </c>
      <c r="BE15" s="71">
        <f ca="1">+GETPIVOTDATA("XNT4",'nghiathanh (2016)'!$A$3,"MA_HT","RDD","MA_QH","CSD")</f>
        <v>0</v>
      </c>
      <c r="BF15" s="74">
        <f ca="1" t="shared" si="7"/>
        <v>0</v>
      </c>
      <c r="BG15" s="101">
        <f ca="1">N$59-$BF15</f>
        <v>0</v>
      </c>
      <c r="BH15" s="41" t="e">
        <f ca="1" t="shared" si="8"/>
        <v>#REF!</v>
      </c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</row>
    <row r="16" s="2" customFormat="1" ht="15.75" customHeight="1" spans="1:79">
      <c r="A16" s="39" t="s">
        <v>8353</v>
      </c>
      <c r="B16" s="39" t="s">
        <v>8354</v>
      </c>
      <c r="C16" s="40" t="s">
        <v>318</v>
      </c>
      <c r="D16" s="47" t="e">
        <f>+#REF!</f>
        <v>#REF!</v>
      </c>
      <c r="E16" s="42">
        <f ca="1">SUM(F16,J16:N16,P16:Q16)</f>
        <v>0</v>
      </c>
      <c r="F16" s="52">
        <f ca="1" t="shared" si="9"/>
        <v>0</v>
      </c>
      <c r="G16" s="22">
        <f ca="1">+GETPIVOTDATA("XNT4",'nghiathanh (2016)'!$A$3,"MA_HT","NTS","MA_QH","LUC")</f>
        <v>0</v>
      </c>
      <c r="H16" s="22">
        <f ca="1">+GETPIVOTDATA("XNT4",'nghiathanh (2016)'!$A$3,"MA_HT","NTS","MA_QH","LUK")</f>
        <v>0</v>
      </c>
      <c r="I16" s="22">
        <f ca="1">+GETPIVOTDATA("XNT4",'nghiathanh (2016)'!$A$3,"MA_HT","NTS","MA_QH","LUN")</f>
        <v>0</v>
      </c>
      <c r="J16" s="22">
        <f ca="1">+GETPIVOTDATA("XNT4",'nghiathanh (2016)'!$A$3,"MA_HT","NTS","MA_QH","HNK")</f>
        <v>0</v>
      </c>
      <c r="K16" s="22">
        <f ca="1">+GETPIVOTDATA("XNT4",'nghiathanh (2016)'!$A$3,"MA_HT","NTS","MA_QH","CLN")</f>
        <v>0</v>
      </c>
      <c r="L16" s="22">
        <f ca="1">+GETPIVOTDATA("XNT4",'nghiathanh (2016)'!$A$3,"MA_HT","NTS","MA_QH","RSX")</f>
        <v>0</v>
      </c>
      <c r="M16" s="22">
        <f ca="1">+GETPIVOTDATA("XNT4",'nghiathanh (2016)'!$A$3,"MA_HT","NTS","MA_QH","RPH")</f>
        <v>0</v>
      </c>
      <c r="N16" s="22">
        <f ca="1">+GETPIVOTDATA("XNT4",'nghiathanh (2016)'!$A$3,"MA_HT","NTS","MA_QH","RDD")</f>
        <v>0</v>
      </c>
      <c r="O16" s="43" t="e">
        <f ca="1">$D16-$BF16</f>
        <v>#REF!</v>
      </c>
      <c r="P16" s="22">
        <f ca="1">+GETPIVOTDATA("XNT4",'nghiathanh (2016)'!$A$3,"MA_HT","NTS","MA_QH","LMU")</f>
        <v>0</v>
      </c>
      <c r="Q16" s="22">
        <f ca="1">+GETPIVOTDATA("XNT4",'nghiathanh (2016)'!$A$3,"MA_HT","NTS","MA_QH","NKH")</f>
        <v>0</v>
      </c>
      <c r="R16" s="42">
        <f ca="1" t="shared" si="2"/>
        <v>0</v>
      </c>
      <c r="S16" s="22">
        <f ca="1">+GETPIVOTDATA("XNT4",'nghiathanh (2016)'!$A$3,"MA_HT","NTS","MA_QH","CQP")</f>
        <v>0</v>
      </c>
      <c r="T16" s="22">
        <f ca="1">+GETPIVOTDATA("XNT4",'nghiathanh (2016)'!$A$3,"MA_HT","NTS","MA_QH","CAN")</f>
        <v>0</v>
      </c>
      <c r="U16" s="22">
        <f ca="1">+GETPIVOTDATA("XNT4",'nghiathanh (2016)'!$A$3,"MA_HT","NTS","MA_QH","SKK")</f>
        <v>0</v>
      </c>
      <c r="V16" s="22">
        <f ca="1">+GETPIVOTDATA("XNT4",'nghiathanh (2016)'!$A$3,"MA_HT","NTS","MA_QH","SKT")</f>
        <v>0</v>
      </c>
      <c r="W16" s="22">
        <f ca="1">+GETPIVOTDATA("XNT4",'nghiathanh (2016)'!$A$3,"MA_HT","NTS","MA_QH","SKN")</f>
        <v>0</v>
      </c>
      <c r="X16" s="22">
        <f ca="1">+GETPIVOTDATA("XNT4",'nghiathanh (2016)'!$A$3,"MA_HT","NTS","MA_QH","TMD")</f>
        <v>0</v>
      </c>
      <c r="Y16" s="22">
        <f ca="1">+GETPIVOTDATA("XNT4",'nghiathanh (2016)'!$A$3,"MA_HT","NTS","MA_QH","SKC")</f>
        <v>0</v>
      </c>
      <c r="Z16" s="22">
        <f ca="1">+GETPIVOTDATA("XNT4",'nghiathanh (2016)'!$A$3,"MA_HT","NTS","MA_QH","SKS")</f>
        <v>0</v>
      </c>
      <c r="AA16" s="52">
        <f ca="1" t="shared" si="4"/>
        <v>0</v>
      </c>
      <c r="AB16" s="22">
        <f ca="1">+GETPIVOTDATA("XNT4",'nghiathanh (2016)'!$A$3,"MA_HT","NTS","MA_QH","DGT")</f>
        <v>0</v>
      </c>
      <c r="AC16" s="22">
        <f ca="1">+GETPIVOTDATA("XNT4",'nghiathanh (2016)'!$A$3,"MA_HT","NTS","MA_QH","DTL")</f>
        <v>0</v>
      </c>
      <c r="AD16" s="22">
        <f ca="1">+GETPIVOTDATA("XNT4",'nghiathanh (2016)'!$A$3,"MA_HT","NTS","MA_QH","DNL")</f>
        <v>0</v>
      </c>
      <c r="AE16" s="22">
        <f ca="1">+GETPIVOTDATA("XNT4",'nghiathanh (2016)'!$A$3,"MA_HT","NTS","MA_QH","DBV")</f>
        <v>0</v>
      </c>
      <c r="AF16" s="22">
        <f ca="1">+GETPIVOTDATA("XNT4",'nghiathanh (2016)'!$A$3,"MA_HT","NTS","MA_QH","DVH")</f>
        <v>0</v>
      </c>
      <c r="AG16" s="22">
        <f ca="1">+GETPIVOTDATA("XNT4",'nghiathanh (2016)'!$A$3,"MA_HT","NTS","MA_QH","DYT")</f>
        <v>0</v>
      </c>
      <c r="AH16" s="22">
        <f ca="1">+GETPIVOTDATA("XNT4",'nghiathanh (2016)'!$A$3,"MA_HT","NTS","MA_QH","DGD")</f>
        <v>0</v>
      </c>
      <c r="AI16" s="22">
        <f ca="1">+GETPIVOTDATA("XNT4",'nghiathanh (2016)'!$A$3,"MA_HT","NTS","MA_QH","DTT")</f>
        <v>0</v>
      </c>
      <c r="AJ16" s="22">
        <f ca="1">+GETPIVOTDATA("XNT4",'nghiathanh (2016)'!$A$3,"MA_HT","NTS","MA_QH","NCK")</f>
        <v>0</v>
      </c>
      <c r="AK16" s="22">
        <f ca="1">+GETPIVOTDATA("XNT4",'nghiathanh (2016)'!$A$3,"MA_HT","NTS","MA_QH","DXH")</f>
        <v>0</v>
      </c>
      <c r="AL16" s="22">
        <f ca="1">+GETPIVOTDATA("XNT4",'nghiathanh (2016)'!$A$3,"MA_HT","NTS","MA_QH","DCH")</f>
        <v>0</v>
      </c>
      <c r="AM16" s="22">
        <f ca="1">+GETPIVOTDATA("XNT4",'nghiathanh (2016)'!$A$3,"MA_HT","NTS","MA_QH","DKG")</f>
        <v>0</v>
      </c>
      <c r="AN16" s="22">
        <f ca="1">+GETPIVOTDATA("XNT4",'nghiathanh (2016)'!$A$3,"MA_HT","NTS","MA_QH","DDT")</f>
        <v>0</v>
      </c>
      <c r="AO16" s="22">
        <f ca="1">+GETPIVOTDATA("XNT4",'nghiathanh (2016)'!$A$3,"MA_HT","NTS","MA_QH","DDL")</f>
        <v>0</v>
      </c>
      <c r="AP16" s="22">
        <f ca="1">+GETPIVOTDATA("XNT4",'nghiathanh (2016)'!$A$3,"MA_HT","NTS","MA_QH","DRA")</f>
        <v>0</v>
      </c>
      <c r="AQ16" s="22">
        <f ca="1">+GETPIVOTDATA("XNT4",'nghiathanh (2016)'!$A$3,"MA_HT","NTS","MA_QH","ONT")</f>
        <v>0</v>
      </c>
      <c r="AR16" s="22">
        <f ca="1">+GETPIVOTDATA("XNT4",'nghiathanh (2016)'!$A$3,"MA_HT","NTS","MA_QH","ODT")</f>
        <v>0</v>
      </c>
      <c r="AS16" s="22">
        <f ca="1">+GETPIVOTDATA("XNT4",'nghiathanh (2016)'!$A$3,"MA_HT","NTS","MA_QH","TSC")</f>
        <v>0</v>
      </c>
      <c r="AT16" s="22">
        <f ca="1">+GETPIVOTDATA("XNT4",'nghiathanh (2016)'!$A$3,"MA_HT","NTS","MA_QH","DTS")</f>
        <v>0</v>
      </c>
      <c r="AU16" s="22">
        <f ca="1">+GETPIVOTDATA("XNT4",'nghiathanh (2016)'!$A$3,"MA_HT","NTS","MA_QH","DNG")</f>
        <v>0</v>
      </c>
      <c r="AV16" s="22">
        <f ca="1">+GETPIVOTDATA("XNT4",'nghiathanh (2016)'!$A$3,"MA_HT","NTS","MA_QH","TON")</f>
        <v>0</v>
      </c>
      <c r="AW16" s="22">
        <f ca="1">+GETPIVOTDATA("XNT4",'nghiathanh (2016)'!$A$3,"MA_HT","NTS","MA_QH","NTD")</f>
        <v>0</v>
      </c>
      <c r="AX16" s="22">
        <f ca="1">+GETPIVOTDATA("XNT4",'nghiathanh (2016)'!$A$3,"MA_HT","NTS","MA_QH","SKX")</f>
        <v>0</v>
      </c>
      <c r="AY16" s="22">
        <f ca="1">+GETPIVOTDATA("XNT4",'nghiathanh (2016)'!$A$3,"MA_HT","NTS","MA_QH","DSH")</f>
        <v>0</v>
      </c>
      <c r="AZ16" s="22">
        <f ca="1">+GETPIVOTDATA("XNT4",'nghiathanh (2016)'!$A$3,"MA_HT","NTS","MA_QH","DKV")</f>
        <v>0</v>
      </c>
      <c r="BA16" s="89">
        <f ca="1">+GETPIVOTDATA("XNT4",'nghiathanh (2016)'!$A$3,"MA_HT","NTS","MA_QH","TIN")</f>
        <v>0</v>
      </c>
      <c r="BB16" s="50">
        <f ca="1">+GETPIVOTDATA("XNT4",'nghiathanh (2016)'!$A$3,"MA_HT","NTS","MA_QH","SON")</f>
        <v>0</v>
      </c>
      <c r="BC16" s="50">
        <f ca="1">+GETPIVOTDATA("XNT4",'nghiathanh (2016)'!$A$3,"MA_HT","NTS","MA_QH","MNC")</f>
        <v>0</v>
      </c>
      <c r="BD16" s="22">
        <f ca="1">+GETPIVOTDATA("XNT4",'nghiathanh (2016)'!$A$3,"MA_HT","NTS","MA_QH","PNK")</f>
        <v>0</v>
      </c>
      <c r="BE16" s="71">
        <f ca="1">+GETPIVOTDATA("XNT4",'nghiathanh (2016)'!$A$3,"MA_HT","NTS","MA_QH","CSD")</f>
        <v>0</v>
      </c>
      <c r="BF16" s="74">
        <f ca="1" t="shared" si="7"/>
        <v>0</v>
      </c>
      <c r="BG16" s="101">
        <f ca="1">O$59-$BF16</f>
        <v>0</v>
      </c>
      <c r="BH16" s="41" t="e">
        <f ca="1" t="shared" si="8"/>
        <v>#REF!</v>
      </c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</row>
    <row r="17" s="2" customFormat="1" ht="15.75" customHeight="1" spans="1:79">
      <c r="A17" s="39" t="s">
        <v>8355</v>
      </c>
      <c r="B17" s="39" t="s">
        <v>8356</v>
      </c>
      <c r="C17" s="40" t="s">
        <v>8297</v>
      </c>
      <c r="D17" s="47" t="e">
        <f>+#REF!</f>
        <v>#REF!</v>
      </c>
      <c r="E17" s="42">
        <f ca="1">SUM(F17,J17:O17,Q17:Q17)</f>
        <v>0</v>
      </c>
      <c r="F17" s="52">
        <f ca="1" t="shared" si="9"/>
        <v>0</v>
      </c>
      <c r="G17" s="22">
        <f ca="1">+GETPIVOTDATA("XNT4",'nghiathanh (2016)'!$A$3,"MA_HT","LMU","MA_QH","LUC")</f>
        <v>0</v>
      </c>
      <c r="H17" s="22">
        <f ca="1">+GETPIVOTDATA("XNT4",'nghiathanh (2016)'!$A$3,"MA_HT","LMU","MA_QH","LUK")</f>
        <v>0</v>
      </c>
      <c r="I17" s="22">
        <f ca="1">+GETPIVOTDATA("XNT4",'nghiathanh (2016)'!$A$3,"MA_HT","LMU","MA_QH","LUN")</f>
        <v>0</v>
      </c>
      <c r="J17" s="22">
        <f ca="1">+GETPIVOTDATA("XNT4",'nghiathanh (2016)'!$A$3,"MA_HT","LMU","MA_QH","HNK")</f>
        <v>0</v>
      </c>
      <c r="K17" s="22">
        <f ca="1">+GETPIVOTDATA("XNT4",'nghiathanh (2016)'!$A$3,"MA_HT","LMU","MA_QH","CLN")</f>
        <v>0</v>
      </c>
      <c r="L17" s="22">
        <f ca="1">+GETPIVOTDATA("XNT4",'nghiathanh (2016)'!$A$3,"MA_HT","LMU","MA_QH","RSX")</f>
        <v>0</v>
      </c>
      <c r="M17" s="22">
        <f ca="1">+GETPIVOTDATA("XNT4",'nghiathanh (2016)'!$A$3,"MA_HT","LMU","MA_QH","RPH")</f>
        <v>0</v>
      </c>
      <c r="N17" s="22">
        <f ca="1">+GETPIVOTDATA("XNT4",'nghiathanh (2016)'!$A$3,"MA_HT","LMU","MA_QH","RDD")</f>
        <v>0</v>
      </c>
      <c r="O17" s="22">
        <f ca="1">+GETPIVOTDATA("XNT4",'nghiathanh (2016)'!$A$3,"MA_HT","LMU","MA_QH","NTS")</f>
        <v>0</v>
      </c>
      <c r="P17" s="43" t="e">
        <f ca="1">$D17-$BF17</f>
        <v>#REF!</v>
      </c>
      <c r="Q17" s="22">
        <f ca="1">+GETPIVOTDATA("XNT4",'nghiathanh (2016)'!$A$3,"MA_HT","LMU","MA_QH","NKH")</f>
        <v>0</v>
      </c>
      <c r="R17" s="42">
        <f ca="1" t="shared" si="2"/>
        <v>0</v>
      </c>
      <c r="S17" s="22">
        <f ca="1">+GETPIVOTDATA("XNT4",'nghiathanh (2016)'!$A$3,"MA_HT","LMU","MA_QH","CQP")</f>
        <v>0</v>
      </c>
      <c r="T17" s="22">
        <f ca="1">+GETPIVOTDATA("XNT4",'nghiathanh (2016)'!$A$3,"MA_HT","LMU","MA_QH","CAN")</f>
        <v>0</v>
      </c>
      <c r="U17" s="22">
        <f ca="1">+GETPIVOTDATA("XNT4",'nghiathanh (2016)'!$A$3,"MA_HT","LMU","MA_QH","SKK")</f>
        <v>0</v>
      </c>
      <c r="V17" s="22">
        <f ca="1">+GETPIVOTDATA("XNT4",'nghiathanh (2016)'!$A$3,"MA_HT","LMU","MA_QH","SKT")</f>
        <v>0</v>
      </c>
      <c r="W17" s="22">
        <f ca="1">+GETPIVOTDATA("XNT4",'nghiathanh (2016)'!$A$3,"MA_HT","LMU","MA_QH","SKN")</f>
        <v>0</v>
      </c>
      <c r="X17" s="22">
        <f ca="1">+GETPIVOTDATA("XNT4",'nghiathanh (2016)'!$A$3,"MA_HT","LMU","MA_QH","TMD")</f>
        <v>0</v>
      </c>
      <c r="Y17" s="22">
        <f ca="1">+GETPIVOTDATA("XNT4",'nghiathanh (2016)'!$A$3,"MA_HT","LMU","MA_QH","SKC")</f>
        <v>0</v>
      </c>
      <c r="Z17" s="22">
        <f ca="1">+GETPIVOTDATA("XNT4",'nghiathanh (2016)'!$A$3,"MA_HT","LMU","MA_QH","SKS")</f>
        <v>0</v>
      </c>
      <c r="AA17" s="52">
        <f ca="1" t="shared" si="4"/>
        <v>0</v>
      </c>
      <c r="AB17" s="22">
        <f ca="1">+GETPIVOTDATA("XNT4",'nghiathanh (2016)'!$A$3,"MA_HT","LMU","MA_QH","DGT")</f>
        <v>0</v>
      </c>
      <c r="AC17" s="22">
        <f ca="1">+GETPIVOTDATA("XNT4",'nghiathanh (2016)'!$A$3,"MA_HT","LMU","MA_QH","DTL")</f>
        <v>0</v>
      </c>
      <c r="AD17" s="22">
        <f ca="1">+GETPIVOTDATA("XNT4",'nghiathanh (2016)'!$A$3,"MA_HT","LMU","MA_QH","DNL")</f>
        <v>0</v>
      </c>
      <c r="AE17" s="22">
        <f ca="1">+GETPIVOTDATA("XNT4",'nghiathanh (2016)'!$A$3,"MA_HT","LMU","MA_QH","DBV")</f>
        <v>0</v>
      </c>
      <c r="AF17" s="22">
        <f ca="1">+GETPIVOTDATA("XNT4",'nghiathanh (2016)'!$A$3,"MA_HT","LMU","MA_QH","DVH")</f>
        <v>0</v>
      </c>
      <c r="AG17" s="22">
        <f ca="1">+GETPIVOTDATA("XNT4",'nghiathanh (2016)'!$A$3,"MA_HT","LMU","MA_QH","DYT")</f>
        <v>0</v>
      </c>
      <c r="AH17" s="22">
        <f ca="1">+GETPIVOTDATA("XNT4",'nghiathanh (2016)'!$A$3,"MA_HT","LMU","MA_QH","DGD")</f>
        <v>0</v>
      </c>
      <c r="AI17" s="22">
        <f ca="1">+GETPIVOTDATA("XNT4",'nghiathanh (2016)'!$A$3,"MA_HT","LMU","MA_QH","DTT")</f>
        <v>0</v>
      </c>
      <c r="AJ17" s="22">
        <f ca="1">+GETPIVOTDATA("XNT4",'nghiathanh (2016)'!$A$3,"MA_HT","LMU","MA_QH","NCK")</f>
        <v>0</v>
      </c>
      <c r="AK17" s="22">
        <f ca="1">+GETPIVOTDATA("XNT4",'nghiathanh (2016)'!$A$3,"MA_HT","LMU","MA_QH","DXH")</f>
        <v>0</v>
      </c>
      <c r="AL17" s="22">
        <f ca="1">+GETPIVOTDATA("XNT4",'nghiathanh (2016)'!$A$3,"MA_HT","LMU","MA_QH","DCH")</f>
        <v>0</v>
      </c>
      <c r="AM17" s="22">
        <f ca="1">+GETPIVOTDATA("XNT4",'nghiathanh (2016)'!$A$3,"MA_HT","LMU","MA_QH","DKG")</f>
        <v>0</v>
      </c>
      <c r="AN17" s="22">
        <f ca="1">+GETPIVOTDATA("XNT4",'nghiathanh (2016)'!$A$3,"MA_HT","LMU","MA_QH","DDT")</f>
        <v>0</v>
      </c>
      <c r="AO17" s="22">
        <f ca="1">+GETPIVOTDATA("XNT4",'nghiathanh (2016)'!$A$3,"MA_HT","LMU","MA_QH","DDL")</f>
        <v>0</v>
      </c>
      <c r="AP17" s="22">
        <f ca="1">+GETPIVOTDATA("XNT4",'nghiathanh (2016)'!$A$3,"MA_HT","LMU","MA_QH","DRA")</f>
        <v>0</v>
      </c>
      <c r="AQ17" s="22">
        <f ca="1">+GETPIVOTDATA("XNT4",'nghiathanh (2016)'!$A$3,"MA_HT","LMU","MA_QH","ONT")</f>
        <v>0</v>
      </c>
      <c r="AR17" s="22">
        <f ca="1">+GETPIVOTDATA("XNT4",'nghiathanh (2016)'!$A$3,"MA_HT","LMU","MA_QH","ODT")</f>
        <v>0</v>
      </c>
      <c r="AS17" s="22">
        <f ca="1">+GETPIVOTDATA("XNT4",'nghiathanh (2016)'!$A$3,"MA_HT","LMU","MA_QH","TSC")</f>
        <v>0</v>
      </c>
      <c r="AT17" s="22">
        <f ca="1">+GETPIVOTDATA("XNT4",'nghiathanh (2016)'!$A$3,"MA_HT","LMU","MA_QH","DTS")</f>
        <v>0</v>
      </c>
      <c r="AU17" s="22">
        <f ca="1">+GETPIVOTDATA("XNT4",'nghiathanh (2016)'!$A$3,"MA_HT","LMU","MA_QH","DNG")</f>
        <v>0</v>
      </c>
      <c r="AV17" s="22">
        <f ca="1">+GETPIVOTDATA("XNT4",'nghiathanh (2016)'!$A$3,"MA_HT","LMU","MA_QH","TON")</f>
        <v>0</v>
      </c>
      <c r="AW17" s="22">
        <f ca="1">+GETPIVOTDATA("XNT4",'nghiathanh (2016)'!$A$3,"MA_HT","LMU","MA_QH","NTD")</f>
        <v>0</v>
      </c>
      <c r="AX17" s="22">
        <f ca="1">+GETPIVOTDATA("XNT4",'nghiathanh (2016)'!$A$3,"MA_HT","LMU","MA_QH","SKX")</f>
        <v>0</v>
      </c>
      <c r="AY17" s="22">
        <f ca="1">+GETPIVOTDATA("XNT4",'nghiathanh (2016)'!$A$3,"MA_HT","LMU","MA_QH","DSH")</f>
        <v>0</v>
      </c>
      <c r="AZ17" s="22">
        <f ca="1">+GETPIVOTDATA("XNT4",'nghiathanh (2016)'!$A$3,"MA_HT","LMU","MA_QH","DKV")</f>
        <v>0</v>
      </c>
      <c r="BA17" s="89">
        <f ca="1">+GETPIVOTDATA("XNT4",'nghiathanh (2016)'!$A$3,"MA_HT","LMU","MA_QH","TIN")</f>
        <v>0</v>
      </c>
      <c r="BB17" s="50">
        <f ca="1">+GETPIVOTDATA("XNT4",'nghiathanh (2016)'!$A$3,"MA_HT","LMU","MA_QH","SON")</f>
        <v>0</v>
      </c>
      <c r="BC17" s="50">
        <f ca="1">+GETPIVOTDATA("XNT4",'nghiathanh (2016)'!$A$3,"MA_HT","LMU","MA_QH","MNC")</f>
        <v>0</v>
      </c>
      <c r="BD17" s="22">
        <f ca="1">+GETPIVOTDATA("XNT4",'nghiathanh (2016)'!$A$3,"MA_HT","LMU","MA_QH","PNK")</f>
        <v>0</v>
      </c>
      <c r="BE17" s="71">
        <f ca="1">+GETPIVOTDATA("XNT4",'nghiathanh (2016)'!$A$3,"MA_HT","LMU","MA_QH","CSD")</f>
        <v>0</v>
      </c>
      <c r="BF17" s="74">
        <f ca="1" t="shared" si="7"/>
        <v>0</v>
      </c>
      <c r="BG17" s="101">
        <f ca="1">P$59-$BF17</f>
        <v>0</v>
      </c>
      <c r="BH17" s="41" t="e">
        <f ca="1" t="shared" si="8"/>
        <v>#REF!</v>
      </c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</row>
    <row r="18" s="2" customFormat="1" ht="15.75" customHeight="1" spans="1:79">
      <c r="A18" s="39" t="s">
        <v>8357</v>
      </c>
      <c r="B18" s="39" t="s">
        <v>8358</v>
      </c>
      <c r="C18" s="40" t="s">
        <v>553</v>
      </c>
      <c r="D18" s="47" t="e">
        <f>+#REF!</f>
        <v>#REF!</v>
      </c>
      <c r="E18" s="42">
        <f ca="1">SUM(F18,J18:P18)</f>
        <v>0</v>
      </c>
      <c r="F18" s="52">
        <f ca="1" t="shared" si="9"/>
        <v>0</v>
      </c>
      <c r="G18" s="22">
        <f ca="1">+GETPIVOTDATA("XNT4",'nghiathanh (2016)'!$A$3,"MA_HT","NKH","MA_QH","LUC")</f>
        <v>0</v>
      </c>
      <c r="H18" s="22">
        <f ca="1">+GETPIVOTDATA("XNT4",'nghiathanh (2016)'!$A$3,"MA_HT","NKH","MA_QH","LUK")</f>
        <v>0</v>
      </c>
      <c r="I18" s="22">
        <f ca="1">+GETPIVOTDATA("XNT4",'nghiathanh (2016)'!$A$3,"MA_HT","NKH","MA_QH","LUN")</f>
        <v>0</v>
      </c>
      <c r="J18" s="22">
        <f ca="1">+GETPIVOTDATA("XNT4",'nghiathanh (2016)'!$A$3,"MA_HT","NKH","MA_QH","HNK")</f>
        <v>0</v>
      </c>
      <c r="K18" s="22">
        <f ca="1">+GETPIVOTDATA("XNT4",'nghiathanh (2016)'!$A$3,"MA_HT","NKH","MA_QH","CLN")</f>
        <v>0</v>
      </c>
      <c r="L18" s="22">
        <f ca="1">+GETPIVOTDATA("XNT4",'nghiathanh (2016)'!$A$3,"MA_HT","NKH","MA_QH","RSX")</f>
        <v>0</v>
      </c>
      <c r="M18" s="22">
        <f ca="1">+GETPIVOTDATA("XNT4",'nghiathanh (2016)'!$A$3,"MA_HT","NKH","MA_QH","RPH")</f>
        <v>0</v>
      </c>
      <c r="N18" s="22">
        <f ca="1">+GETPIVOTDATA("XNT4",'nghiathanh (2016)'!$A$3,"MA_HT","NKH","MA_QH","RDD")</f>
        <v>0</v>
      </c>
      <c r="O18" s="22">
        <f ca="1">+GETPIVOTDATA("XNT4",'nghiathanh (2016)'!$A$3,"MA_HT","NKH","MA_QH","NTS")</f>
        <v>0</v>
      </c>
      <c r="P18" s="22">
        <f ca="1">+GETPIVOTDATA("XNT4",'nghiathanh (2016)'!$A$3,"MA_HT","NKH","MA_QH","LMU")</f>
        <v>0</v>
      </c>
      <c r="Q18" s="43" t="e">
        <f ca="1">$D18-$BF18</f>
        <v>#REF!</v>
      </c>
      <c r="R18" s="42">
        <f ca="1" t="shared" si="2"/>
        <v>0</v>
      </c>
      <c r="S18" s="22">
        <f ca="1">+GETPIVOTDATA("XNT4",'nghiathanh (2016)'!$A$3,"MA_HT","NKH","MA_QH","CQP")</f>
        <v>0</v>
      </c>
      <c r="T18" s="22">
        <f ca="1">+GETPIVOTDATA("XNT4",'nghiathanh (2016)'!$A$3,"MA_HT","NKH","MA_QH","CAN")</f>
        <v>0</v>
      </c>
      <c r="U18" s="22">
        <f ca="1">+GETPIVOTDATA("XNT4",'nghiathanh (2016)'!$A$3,"MA_HT","NKH","MA_QH","SKK")</f>
        <v>0</v>
      </c>
      <c r="V18" s="22">
        <f ca="1">+GETPIVOTDATA("XNT4",'nghiathanh (2016)'!$A$3,"MA_HT","NKH","MA_QH","SKT")</f>
        <v>0</v>
      </c>
      <c r="W18" s="22">
        <f ca="1">+GETPIVOTDATA("XNT4",'nghiathanh (2016)'!$A$3,"MA_HT","NKH","MA_QH","SKN")</f>
        <v>0</v>
      </c>
      <c r="X18" s="22">
        <f ca="1">+GETPIVOTDATA("XNT4",'nghiathanh (2016)'!$A$3,"MA_HT","NKH","MA_QH","TMD")</f>
        <v>0</v>
      </c>
      <c r="Y18" s="22">
        <f ca="1">+GETPIVOTDATA("XNT4",'nghiathanh (2016)'!$A$3,"MA_HT","NKH","MA_QH","SKC")</f>
        <v>0</v>
      </c>
      <c r="Z18" s="22">
        <f ca="1">+GETPIVOTDATA("XNT4",'nghiathanh (2016)'!$A$3,"MA_HT","NKH","MA_QH","SKS")</f>
        <v>0</v>
      </c>
      <c r="AA18" s="52">
        <f ca="1" t="shared" si="4"/>
        <v>0</v>
      </c>
      <c r="AB18" s="22">
        <f ca="1">+GETPIVOTDATA("XNT4",'nghiathanh (2016)'!$A$3,"MA_HT","NKH","MA_QH","DGT")</f>
        <v>0</v>
      </c>
      <c r="AC18" s="22">
        <f ca="1">+GETPIVOTDATA("XNT4",'nghiathanh (2016)'!$A$3,"MA_HT","NKH","MA_QH","DTL")</f>
        <v>0</v>
      </c>
      <c r="AD18" s="22">
        <f ca="1">+GETPIVOTDATA("XNT4",'nghiathanh (2016)'!$A$3,"MA_HT","NKH","MA_QH","DNL")</f>
        <v>0</v>
      </c>
      <c r="AE18" s="22">
        <f ca="1">+GETPIVOTDATA("XNT4",'nghiathanh (2016)'!$A$3,"MA_HT","NKH","MA_QH","DBV")</f>
        <v>0</v>
      </c>
      <c r="AF18" s="22">
        <f ca="1">+GETPIVOTDATA("XNT4",'nghiathanh (2016)'!$A$3,"MA_HT","NKH","MA_QH","DVH")</f>
        <v>0</v>
      </c>
      <c r="AG18" s="22">
        <f ca="1">+GETPIVOTDATA("XNT4",'nghiathanh (2016)'!$A$3,"MA_HT","NKH","MA_QH","DYT")</f>
        <v>0</v>
      </c>
      <c r="AH18" s="22">
        <f ca="1">+GETPIVOTDATA("XNT4",'nghiathanh (2016)'!$A$3,"MA_HT","NKH","MA_QH","DGD")</f>
        <v>0</v>
      </c>
      <c r="AI18" s="22">
        <f ca="1">+GETPIVOTDATA("XNT4",'nghiathanh (2016)'!$A$3,"MA_HT","NKH","MA_QH","DTT")</f>
        <v>0</v>
      </c>
      <c r="AJ18" s="22">
        <f ca="1">+GETPIVOTDATA("XNT4",'nghiathanh (2016)'!$A$3,"MA_HT","NKH","MA_QH","NCK")</f>
        <v>0</v>
      </c>
      <c r="AK18" s="22">
        <f ca="1">+GETPIVOTDATA("XNT4",'nghiathanh (2016)'!$A$3,"MA_HT","NKH","MA_QH","DXH")</f>
        <v>0</v>
      </c>
      <c r="AL18" s="22">
        <f ca="1">+GETPIVOTDATA("XNT4",'nghiathanh (2016)'!$A$3,"MA_HT","NKH","MA_QH","DCH")</f>
        <v>0</v>
      </c>
      <c r="AM18" s="22">
        <f ca="1">+GETPIVOTDATA("XNT4",'nghiathanh (2016)'!$A$3,"MA_HT","NKH","MA_QH","DKG")</f>
        <v>0</v>
      </c>
      <c r="AN18" s="22">
        <f ca="1">+GETPIVOTDATA("XNT4",'nghiathanh (2016)'!$A$3,"MA_HT","NKH","MA_QH","DDT")</f>
        <v>0</v>
      </c>
      <c r="AO18" s="22">
        <f ca="1">+GETPIVOTDATA("XNT4",'nghiathanh (2016)'!$A$3,"MA_HT","NKH","MA_QH","DDL")</f>
        <v>0</v>
      </c>
      <c r="AP18" s="22">
        <f ca="1">+GETPIVOTDATA("XNT4",'nghiathanh (2016)'!$A$3,"MA_HT","NKH","MA_QH","DRA")</f>
        <v>0</v>
      </c>
      <c r="AQ18" s="22">
        <f ca="1">+GETPIVOTDATA("XNT4",'nghiathanh (2016)'!$A$3,"MA_HT","NKH","MA_QH","ONT")</f>
        <v>0</v>
      </c>
      <c r="AR18" s="22">
        <f ca="1">+GETPIVOTDATA("XNT4",'nghiathanh (2016)'!$A$3,"MA_HT","NKH","MA_QH","ODT")</f>
        <v>0</v>
      </c>
      <c r="AS18" s="22">
        <f ca="1">+GETPIVOTDATA("XNT4",'nghiathanh (2016)'!$A$3,"MA_HT","NKH","MA_QH","TSC")</f>
        <v>0</v>
      </c>
      <c r="AT18" s="22">
        <f ca="1">+GETPIVOTDATA("XNT4",'nghiathanh (2016)'!$A$3,"MA_HT","NKH","MA_QH","DTS")</f>
        <v>0</v>
      </c>
      <c r="AU18" s="22">
        <f ca="1">+GETPIVOTDATA("XNT4",'nghiathanh (2016)'!$A$3,"MA_HT","NKH","MA_QH","DNG")</f>
        <v>0</v>
      </c>
      <c r="AV18" s="22">
        <f ca="1">+GETPIVOTDATA("XNT4",'nghiathanh (2016)'!$A$3,"MA_HT","NKH","MA_QH","TON")</f>
        <v>0</v>
      </c>
      <c r="AW18" s="22">
        <f ca="1">+GETPIVOTDATA("XNT4",'nghiathanh (2016)'!$A$3,"MA_HT","NKH","MA_QH","NTD")</f>
        <v>0</v>
      </c>
      <c r="AX18" s="22">
        <f ca="1">+GETPIVOTDATA("XNT4",'nghiathanh (2016)'!$A$3,"MA_HT","NKH","MA_QH","SKX")</f>
        <v>0</v>
      </c>
      <c r="AY18" s="22">
        <f ca="1">+GETPIVOTDATA("XNT4",'nghiathanh (2016)'!$A$3,"MA_HT","NKH","MA_QH","DSH")</f>
        <v>0</v>
      </c>
      <c r="AZ18" s="22">
        <f ca="1">+GETPIVOTDATA("XNT4",'nghiathanh (2016)'!$A$3,"MA_HT","NKH","MA_QH","DKV")</f>
        <v>0</v>
      </c>
      <c r="BA18" s="89">
        <f ca="1">+GETPIVOTDATA("XNT4",'nghiathanh (2016)'!$A$3,"MA_HT","NKH","MA_QH","TIN")</f>
        <v>0</v>
      </c>
      <c r="BB18" s="50">
        <f ca="1">+GETPIVOTDATA("XNT4",'nghiathanh (2016)'!$A$3,"MA_HT","NKH","MA_QH","SON")</f>
        <v>0</v>
      </c>
      <c r="BC18" s="50">
        <f ca="1">+GETPIVOTDATA("XNT4",'nghiathanh (2016)'!$A$3,"MA_HT","NKH","MA_QH","MNC")</f>
        <v>0</v>
      </c>
      <c r="BD18" s="22">
        <f ca="1">+GETPIVOTDATA("XNT4",'nghiathanh (2016)'!$A$3,"MA_HT","NKH","MA_QH","PNK")</f>
        <v>0</v>
      </c>
      <c r="BE18" s="71">
        <f ca="1">+GETPIVOTDATA("XNT4",'nghiathanh (2016)'!$A$3,"MA_HT","NKH","MA_QH","CSD")</f>
        <v>0</v>
      </c>
      <c r="BF18" s="74">
        <f ca="1" t="shared" si="7"/>
        <v>0</v>
      </c>
      <c r="BG18" s="101">
        <f ca="1">Q$59-$BF18</f>
        <v>0</v>
      </c>
      <c r="BH18" s="41" t="e">
        <f ca="1" t="shared" si="8"/>
        <v>#REF!</v>
      </c>
      <c r="BI18" s="98"/>
      <c r="BJ18" s="98"/>
      <c r="BK18" s="98"/>
      <c r="BL18" s="98"/>
      <c r="BM18" s="107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</row>
    <row r="19" s="3" customFormat="1" ht="15.75" customHeight="1" spans="1:75">
      <c r="A19" s="35">
        <v>2</v>
      </c>
      <c r="B19" s="36" t="s">
        <v>8359</v>
      </c>
      <c r="C19" s="37" t="s">
        <v>8304</v>
      </c>
      <c r="D19" s="33" t="e">
        <f>+#REF!</f>
        <v>#REF!</v>
      </c>
      <c r="E19" s="33">
        <f ca="1">SUM(E20:E28,E41:E57)</f>
        <v>0</v>
      </c>
      <c r="F19" s="33">
        <f ca="1">SUM(F20:F28,F41:F57)</f>
        <v>0</v>
      </c>
      <c r="G19" s="33">
        <f ca="1">SUM(G20:G28,G41:G57)</f>
        <v>0</v>
      </c>
      <c r="H19" s="33">
        <f ca="1">SUM(H20:H28,H41:H57)</f>
        <v>0</v>
      </c>
      <c r="I19" s="33">
        <f ca="1">SUM(I20:I28,I41:I57)</f>
        <v>0</v>
      </c>
      <c r="J19" s="33">
        <f ca="1" t="shared" ref="J19:Q19" si="10">SUM(J20:J28,J41:J57)</f>
        <v>0</v>
      </c>
      <c r="K19" s="33">
        <f ca="1" t="shared" si="10"/>
        <v>0</v>
      </c>
      <c r="L19" s="33">
        <f ca="1" t="shared" si="10"/>
        <v>0</v>
      </c>
      <c r="M19" s="33">
        <f ca="1" t="shared" si="10"/>
        <v>0</v>
      </c>
      <c r="N19" s="33">
        <f ca="1" t="shared" si="10"/>
        <v>0</v>
      </c>
      <c r="O19" s="33">
        <f ca="1" t="shared" si="10"/>
        <v>0</v>
      </c>
      <c r="P19" s="33">
        <f ca="1" t="shared" si="10"/>
        <v>0</v>
      </c>
      <c r="Q19" s="33">
        <f ca="1" t="shared" si="10"/>
        <v>0</v>
      </c>
      <c r="R19" s="38" t="e">
        <f ca="1">$D19-$BF19</f>
        <v>#REF!</v>
      </c>
      <c r="S19" s="33">
        <f ca="1">SUM(S21:S28,S41:S57)</f>
        <v>0</v>
      </c>
      <c r="T19" s="33">
        <f ca="1">SUM(T20,T22:T28,T41:T57)</f>
        <v>0</v>
      </c>
      <c r="U19" s="33">
        <f ca="1">SUM(U20:U21,U23:U28,U41:U57)</f>
        <v>0</v>
      </c>
      <c r="V19" s="33">
        <f ca="1">SUM(V20:V22,V24:V28,V41:V57)</f>
        <v>0</v>
      </c>
      <c r="W19" s="33">
        <f ca="1">SUM(W20:W23,W25:W28,W41:W57)</f>
        <v>0</v>
      </c>
      <c r="X19" s="33">
        <f ca="1">SUM(X20:X24,X26:X28,X41:X57)</f>
        <v>0</v>
      </c>
      <c r="Y19" s="33">
        <f ca="1">SUM(Y20:Y25,Y27:Y28,Y41:Y57)</f>
        <v>0</v>
      </c>
      <c r="Z19" s="33">
        <f ca="1">SUM(Z20:Z26,Z28,Z41:Z57)</f>
        <v>0</v>
      </c>
      <c r="AA19" s="33">
        <f ca="1">SUM(AA20:AA27,AA41:AA57)</f>
        <v>0</v>
      </c>
      <c r="AB19" s="33">
        <f ca="1" t="shared" ref="AB19:AM19" si="11">SUM(AB20:AB28,AB41:AB57)</f>
        <v>0</v>
      </c>
      <c r="AC19" s="33">
        <f ca="1" t="shared" si="11"/>
        <v>0</v>
      </c>
      <c r="AD19" s="33">
        <f ca="1" t="shared" si="11"/>
        <v>0</v>
      </c>
      <c r="AE19" s="33">
        <f ca="1" t="shared" si="11"/>
        <v>0</v>
      </c>
      <c r="AF19" s="33">
        <f ca="1" t="shared" si="11"/>
        <v>0</v>
      </c>
      <c r="AG19" s="33">
        <f ca="1" t="shared" si="11"/>
        <v>0</v>
      </c>
      <c r="AH19" s="33">
        <f ca="1" t="shared" si="11"/>
        <v>0</v>
      </c>
      <c r="AI19" s="33">
        <f ca="1" t="shared" si="11"/>
        <v>0</v>
      </c>
      <c r="AJ19" s="33">
        <f ca="1" t="shared" si="11"/>
        <v>0</v>
      </c>
      <c r="AK19" s="33">
        <f ca="1" t="shared" si="11"/>
        <v>0</v>
      </c>
      <c r="AL19" s="33">
        <f ca="1" t="shared" si="11"/>
        <v>0</v>
      </c>
      <c r="AM19" s="33">
        <f ca="1" t="shared" si="11"/>
        <v>0</v>
      </c>
      <c r="AN19" s="33">
        <f ca="1">SUM(AN20:AN28,AN42:AN57)</f>
        <v>0</v>
      </c>
      <c r="AO19" s="33">
        <f ca="1">SUM(AO20:AO28,AO41,AO43:AO57)</f>
        <v>0</v>
      </c>
      <c r="AP19" s="33">
        <f ca="1">SUM(AP20:AP28,AP41:AP42,AP44:AP57)</f>
        <v>0</v>
      </c>
      <c r="AQ19" s="33">
        <f ca="1">SUM(AQ20:AQ28,AQ41:AQ43,AQ45:AQ57)</f>
        <v>0</v>
      </c>
      <c r="AR19" s="33">
        <f ca="1">SUM(AR20:AR28,AR41:AR44,AR46:AR57)</f>
        <v>0</v>
      </c>
      <c r="AS19" s="33">
        <f ca="1">SUM(AS20:AS28,AS41:AS45,AS47:AS57)</f>
        <v>0</v>
      </c>
      <c r="AT19" s="33">
        <f ca="1">SUM(AT20:AT28,AT41:AT46,AT48:AT57)</f>
        <v>0</v>
      </c>
      <c r="AU19" s="33">
        <f ca="1">SUM(AU20:AU28,AU41:AU47,AU49:AU57)</f>
        <v>0</v>
      </c>
      <c r="AV19" s="33">
        <f ca="1">SUM(AV20:AV28,AV41:AV48,AV50:AV57)</f>
        <v>0</v>
      </c>
      <c r="AW19" s="33">
        <f ca="1">SUM(AW20:AW28,AW41:AW49,AW51:AW57)</f>
        <v>0</v>
      </c>
      <c r="AX19" s="33">
        <f ca="1">SUM(AX20:AX28,AX41:AX50,AX52:AX57)</f>
        <v>0</v>
      </c>
      <c r="AY19" s="33">
        <f ca="1">SUM(AY20:AY28,AY41:AY51,AY53:AY57)</f>
        <v>0</v>
      </c>
      <c r="AZ19" s="33">
        <f ca="1">SUM(AZ20:AZ28,AZ41:AZ52,AZ54:AZ57)</f>
        <v>0</v>
      </c>
      <c r="BA19" s="33">
        <f ca="1">SUM(BA20:BA28,BA41:BA53,BA55:BA57)</f>
        <v>0</v>
      </c>
      <c r="BB19" s="33">
        <f ca="1">SUM(BB20:BB28,BB41:BB54,BB56:BB57)</f>
        <v>0</v>
      </c>
      <c r="BC19" s="33">
        <f ca="1">SUM(BC20:BC28,BC41:BC55,BC57)</f>
        <v>0</v>
      </c>
      <c r="BD19" s="33">
        <f ca="1">SUM(BD20:BD28,BD41:BD56,BD58)</f>
        <v>0</v>
      </c>
      <c r="BE19" s="33">
        <f ca="1">SUM(BE20:BE28,BE41:BE57)</f>
        <v>0</v>
      </c>
      <c r="BF19" s="74">
        <f ca="1">SUM(BE19,E19)</f>
        <v>0</v>
      </c>
      <c r="BG19" s="101">
        <f ca="1">R$59-$BF19</f>
        <v>0</v>
      </c>
      <c r="BH19" s="33" t="e">
        <f ca="1">SUM(BH20:BH28,BH41:BH57)</f>
        <v>#REF!</v>
      </c>
      <c r="BI19" s="102"/>
      <c r="BJ19" s="36" t="e">
        <f>SUM(BJ22:BJ54,BJ57:BJ57)</f>
        <v>#REF!</v>
      </c>
      <c r="BK19" s="106" t="e">
        <f ca="1">BH19-BJ19</f>
        <v>#REF!</v>
      </c>
      <c r="BL19" s="106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</row>
    <row r="20" s="2" customFormat="1" ht="15.75" customHeight="1" spans="1:79">
      <c r="A20" s="39" t="s">
        <v>69</v>
      </c>
      <c r="B20" s="39" t="s">
        <v>8360</v>
      </c>
      <c r="C20" s="40" t="s">
        <v>31</v>
      </c>
      <c r="D20" s="41" t="e">
        <f>+#REF!</f>
        <v>#REF!</v>
      </c>
      <c r="E20" s="42">
        <f ca="1">SUM(F20,J20:Q20)</f>
        <v>0</v>
      </c>
      <c r="F20" s="52">
        <f ca="1" t="shared" si="9"/>
        <v>0</v>
      </c>
      <c r="G20" s="22">
        <f ca="1">+GETPIVOTDATA("XNT4",'nghiathanh (2016)'!$A$3,"MA_HT","CQP","MA_QH","LUC")</f>
        <v>0</v>
      </c>
      <c r="H20" s="22">
        <f ca="1">+GETPIVOTDATA("XNT4",'nghiathanh (2016)'!$A$3,"MA_HT","CQP","MA_QH","LUK")</f>
        <v>0</v>
      </c>
      <c r="I20" s="22">
        <f ca="1">+GETPIVOTDATA("XNT4",'nghiathanh (2016)'!$A$3,"MA_HT","CQP","MA_QH","LUN")</f>
        <v>0</v>
      </c>
      <c r="J20" s="22">
        <f ca="1">+GETPIVOTDATA("XNT4",'nghiathanh (2016)'!$A$3,"MA_HT","CQP","MA_QH","HNK")</f>
        <v>0</v>
      </c>
      <c r="K20" s="22">
        <f ca="1">+GETPIVOTDATA("XNT4",'nghiathanh (2016)'!$A$3,"MA_HT","CQP","MA_QH","CLN")</f>
        <v>0</v>
      </c>
      <c r="L20" s="22">
        <f ca="1">+GETPIVOTDATA("XNT4",'nghiathanh (2016)'!$A$3,"MA_HT","CQP","MA_QH","RSX")</f>
        <v>0</v>
      </c>
      <c r="M20" s="22">
        <f ca="1">+GETPIVOTDATA("XNT4",'nghiathanh (2016)'!$A$3,"MA_HT","CQP","MA_QH","RPH")</f>
        <v>0</v>
      </c>
      <c r="N20" s="22">
        <f ca="1">+GETPIVOTDATA("XNT4",'nghiathanh (2016)'!$A$3,"MA_HT","CQP","MA_QH","RDD")</f>
        <v>0</v>
      </c>
      <c r="O20" s="22">
        <f ca="1">+GETPIVOTDATA("XNT4",'nghiathanh (2016)'!$A$3,"MA_HT","CQP","MA_QH","NTS")</f>
        <v>0</v>
      </c>
      <c r="P20" s="22">
        <f ca="1">+GETPIVOTDATA("XNT4",'nghiathanh (2016)'!$A$3,"MA_HT","CQP","MA_QH","LMU")</f>
        <v>0</v>
      </c>
      <c r="Q20" s="22">
        <f ca="1">+GETPIVOTDATA("XNT4",'nghiathanh (2016)'!$A$3,"MA_HT","CQP","MA_QH","NKH")</f>
        <v>0</v>
      </c>
      <c r="R20" s="42">
        <f ca="1">SUM(T20:AA20,AN20:BD20)</f>
        <v>0</v>
      </c>
      <c r="S20" s="43" t="e">
        <f ca="1">$D20-$BF20</f>
        <v>#REF!</v>
      </c>
      <c r="T20" s="22">
        <f ca="1">+GETPIVOTDATA("XNT4",'nghiathanh (2016)'!$A$3,"MA_HT","CQP","MA_QH","CAN")</f>
        <v>0</v>
      </c>
      <c r="U20" s="22">
        <f ca="1">+GETPIVOTDATA("XNT4",'nghiathanh (2016)'!$A$3,"MA_HT","CQP","MA_QH","SKK")</f>
        <v>0</v>
      </c>
      <c r="V20" s="22">
        <f ca="1">+GETPIVOTDATA("XNT4",'nghiathanh (2016)'!$A$3,"MA_HT","CQP","MA_QH","SKT")</f>
        <v>0</v>
      </c>
      <c r="W20" s="22">
        <f ca="1">+GETPIVOTDATA("XNT4",'nghiathanh (2016)'!$A$3,"MA_HT","CQP","MA_QH","SKN")</f>
        <v>0</v>
      </c>
      <c r="X20" s="22">
        <f ca="1">+GETPIVOTDATA("XNT4",'nghiathanh (2016)'!$A$3,"MA_HT","CQP","MA_QH","TMD")</f>
        <v>0</v>
      </c>
      <c r="Y20" s="22">
        <f ca="1">+GETPIVOTDATA("XNT4",'nghiathanh (2016)'!$A$3,"MA_HT","CQP","MA_QH","SKC")</f>
        <v>0</v>
      </c>
      <c r="Z20" s="22">
        <f ca="1">+GETPIVOTDATA("XNT4",'nghiathanh (2016)'!$A$3,"MA_HT","CQP","MA_QH","SKS")</f>
        <v>0</v>
      </c>
      <c r="AA20" s="52">
        <f ca="1" t="shared" ref="AA20:AA27" si="12">+SUM(AB20:AM20)</f>
        <v>0</v>
      </c>
      <c r="AB20" s="22">
        <f ca="1">+GETPIVOTDATA("XNT4",'nghiathanh (2016)'!$A$3,"MA_HT","CQP","MA_QH","DGT")</f>
        <v>0</v>
      </c>
      <c r="AC20" s="22">
        <f ca="1">+GETPIVOTDATA("XNT4",'nghiathanh (2016)'!$A$3,"MA_HT","CQP","MA_QH","DTL")</f>
        <v>0</v>
      </c>
      <c r="AD20" s="22">
        <f ca="1">+GETPIVOTDATA("XNT4",'nghiathanh (2016)'!$A$3,"MA_HT","CQP","MA_QH","DNL")</f>
        <v>0</v>
      </c>
      <c r="AE20" s="22">
        <f ca="1">+GETPIVOTDATA("XNT4",'nghiathanh (2016)'!$A$3,"MA_HT","CQP","MA_QH","DBV")</f>
        <v>0</v>
      </c>
      <c r="AF20" s="22">
        <f ca="1">+GETPIVOTDATA("XNT4",'nghiathanh (2016)'!$A$3,"MA_HT","CQP","MA_QH","DVH")</f>
        <v>0</v>
      </c>
      <c r="AG20" s="22">
        <f ca="1">+GETPIVOTDATA("XNT4",'nghiathanh (2016)'!$A$3,"MA_HT","CQP","MA_QH","DYT")</f>
        <v>0</v>
      </c>
      <c r="AH20" s="22">
        <f ca="1">+GETPIVOTDATA("XNT4",'nghiathanh (2016)'!$A$3,"MA_HT","CQP","MA_QH","DGD")</f>
        <v>0</v>
      </c>
      <c r="AI20" s="22">
        <f ca="1">+GETPIVOTDATA("XNT4",'nghiathanh (2016)'!$A$3,"MA_HT","CQP","MA_QH","DTT")</f>
        <v>0</v>
      </c>
      <c r="AJ20" s="22">
        <f ca="1">+GETPIVOTDATA("XNT4",'nghiathanh (2016)'!$A$3,"MA_HT","CQP","MA_QH","NCK")</f>
        <v>0</v>
      </c>
      <c r="AK20" s="22">
        <f ca="1">+GETPIVOTDATA("XNT4",'nghiathanh (2016)'!$A$3,"MA_HT","CQP","MA_QH","DXH")</f>
        <v>0</v>
      </c>
      <c r="AL20" s="22">
        <f ca="1">+GETPIVOTDATA("XNT4",'nghiathanh (2016)'!$A$3,"MA_HT","CQP","MA_QH","DCH")</f>
        <v>0</v>
      </c>
      <c r="AM20" s="22">
        <f ca="1">+GETPIVOTDATA("XNT4",'nghiathanh (2016)'!$A$3,"MA_HT","CQP","MA_QH","DKG")</f>
        <v>0</v>
      </c>
      <c r="AN20" s="22">
        <f ca="1">+GETPIVOTDATA("XNT4",'nghiathanh (2016)'!$A$3,"MA_HT","CQP","MA_QH","DDT")</f>
        <v>0</v>
      </c>
      <c r="AO20" s="22">
        <f ca="1">+GETPIVOTDATA("XNT4",'nghiathanh (2016)'!$A$3,"MA_HT","CQP","MA_QH","DDL")</f>
        <v>0</v>
      </c>
      <c r="AP20" s="22">
        <f ca="1">+GETPIVOTDATA("XNT4",'nghiathanh (2016)'!$A$3,"MA_HT","CQP","MA_QH","DRA")</f>
        <v>0</v>
      </c>
      <c r="AQ20" s="22">
        <f ca="1">+GETPIVOTDATA("XNT4",'nghiathanh (2016)'!$A$3,"MA_HT","CQP","MA_QH","ONT")</f>
        <v>0</v>
      </c>
      <c r="AR20" s="22">
        <f ca="1">+GETPIVOTDATA("XNT4",'nghiathanh (2016)'!$A$3,"MA_HT","CQP","MA_QH","ODT")</f>
        <v>0</v>
      </c>
      <c r="AS20" s="22">
        <f ca="1">+GETPIVOTDATA("XNT4",'nghiathanh (2016)'!$A$3,"MA_HT","CQP","MA_QH","TSC")</f>
        <v>0</v>
      </c>
      <c r="AT20" s="22">
        <f ca="1">+GETPIVOTDATA("XNT4",'nghiathanh (2016)'!$A$3,"MA_HT","CQP","MA_QH","DTS")</f>
        <v>0</v>
      </c>
      <c r="AU20" s="22">
        <f ca="1">+GETPIVOTDATA("XNT4",'nghiathanh (2016)'!$A$3,"MA_HT","CQP","MA_QH","DNG")</f>
        <v>0</v>
      </c>
      <c r="AV20" s="22">
        <f ca="1">+GETPIVOTDATA("XNT4",'nghiathanh (2016)'!$A$3,"MA_HT","CQP","MA_QH","TON")</f>
        <v>0</v>
      </c>
      <c r="AW20" s="22">
        <f ca="1">+GETPIVOTDATA("XNT4",'nghiathanh (2016)'!$A$3,"MA_HT","CQP","MA_QH","NTD")</f>
        <v>0</v>
      </c>
      <c r="AX20" s="22">
        <f ca="1">+GETPIVOTDATA("XNT4",'nghiathanh (2016)'!$A$3,"MA_HT","CQP","MA_QH","SKX")</f>
        <v>0</v>
      </c>
      <c r="AY20" s="22">
        <f ca="1">+GETPIVOTDATA("XNT4",'nghiathanh (2016)'!$A$3,"MA_HT","CQP","MA_QH","DSH")</f>
        <v>0</v>
      </c>
      <c r="AZ20" s="22">
        <f ca="1">+GETPIVOTDATA("XNT4",'nghiathanh (2016)'!$A$3,"MA_HT","CQP","MA_QH","DKV")</f>
        <v>0</v>
      </c>
      <c r="BA20" s="89">
        <f ca="1">+GETPIVOTDATA("XNT4",'nghiathanh (2016)'!$A$3,"MA_HT","CQP","MA_QH","TIN")</f>
        <v>0</v>
      </c>
      <c r="BB20" s="50">
        <f ca="1">+GETPIVOTDATA("XNT4",'nghiathanh (2016)'!$A$3,"MA_HT","CQP","MA_QH","SON")</f>
        <v>0</v>
      </c>
      <c r="BC20" s="50">
        <f ca="1">+GETPIVOTDATA("XNT4",'nghiathanh (2016)'!$A$3,"MA_HT","CQP","MA_QH","MNC")</f>
        <v>0</v>
      </c>
      <c r="BD20" s="22">
        <f ca="1">+GETPIVOTDATA("XNT4",'nghiathanh (2016)'!$A$3,"MA_HT","CQP","MA_QH","PNK")</f>
        <v>0</v>
      </c>
      <c r="BE20" s="71">
        <f ca="1">+GETPIVOTDATA("XNT4",'nghiathanh (2016)'!$A$3,"MA_HT","CQP","MA_QH","CSD")</f>
        <v>0</v>
      </c>
      <c r="BF20" s="74">
        <f ca="1" t="shared" ref="BF20:BF57" si="13">BE20+R20+E20</f>
        <v>0</v>
      </c>
      <c r="BG20" s="101">
        <f ca="1">S$59-$BF20</f>
        <v>0</v>
      </c>
      <c r="BH20" s="41" t="e">
        <f ca="1" t="shared" ref="BH20:BH58" si="14">BG20+D20</f>
        <v>#REF!</v>
      </c>
      <c r="BI20" s="98"/>
      <c r="BJ20" s="98" t="e">
        <f>#REF!</f>
        <v>#REF!</v>
      </c>
      <c r="BK20" s="107" t="e">
        <f ca="1">BH20-BJ20</f>
        <v>#REF!</v>
      </c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</row>
    <row r="21" s="2" customFormat="1" ht="15.75" customHeight="1" spans="1:79">
      <c r="A21" s="39" t="s">
        <v>232</v>
      </c>
      <c r="B21" s="39" t="s">
        <v>8361</v>
      </c>
      <c r="C21" s="40" t="s">
        <v>8283</v>
      </c>
      <c r="D21" s="41" t="e">
        <f>+#REF!</f>
        <v>#REF!</v>
      </c>
      <c r="E21" s="42">
        <f ca="1" t="shared" ref="E21:E58" si="15">SUM(F21,J21:Q21)</f>
        <v>0</v>
      </c>
      <c r="F21" s="52">
        <f ca="1" t="shared" si="9"/>
        <v>0</v>
      </c>
      <c r="G21" s="22">
        <f ca="1">+GETPIVOTDATA("XNT4",'nghiathanh (2016)'!$A$3,"MA_HT","CAN","MA_QH","LUC")</f>
        <v>0</v>
      </c>
      <c r="H21" s="22">
        <f ca="1">+GETPIVOTDATA("XNT4",'nghiathanh (2016)'!$A$3,"MA_HT","CAN","MA_QH","LUK")</f>
        <v>0</v>
      </c>
      <c r="I21" s="22">
        <f ca="1">+GETPIVOTDATA("XNT4",'nghiathanh (2016)'!$A$3,"MA_HT","CAN","MA_QH","LUN")</f>
        <v>0</v>
      </c>
      <c r="J21" s="22">
        <f ca="1">+GETPIVOTDATA("XNT4",'nghiathanh (2016)'!$A$3,"MA_HT","CAN","MA_QH","HNK")</f>
        <v>0</v>
      </c>
      <c r="K21" s="22">
        <f ca="1">+GETPIVOTDATA("XNT4",'nghiathanh (2016)'!$A$3,"MA_HT","CAN","MA_QH","CLN")</f>
        <v>0</v>
      </c>
      <c r="L21" s="22">
        <f ca="1">+GETPIVOTDATA("XNT4",'nghiathanh (2016)'!$A$3,"MA_HT","CAN","MA_QH","RSX")</f>
        <v>0</v>
      </c>
      <c r="M21" s="22">
        <f ca="1">+GETPIVOTDATA("XNT4",'nghiathanh (2016)'!$A$3,"MA_HT","CAN","MA_QH","RPH")</f>
        <v>0</v>
      </c>
      <c r="N21" s="22">
        <f ca="1">+GETPIVOTDATA("XNT4",'nghiathanh (2016)'!$A$3,"MA_HT","CAN","MA_QH","RDD")</f>
        <v>0</v>
      </c>
      <c r="O21" s="22">
        <f ca="1">+GETPIVOTDATA("XNT4",'nghiathanh (2016)'!$A$3,"MA_HT","CAN","MA_QH","NTS")</f>
        <v>0</v>
      </c>
      <c r="P21" s="22">
        <f ca="1">+GETPIVOTDATA("XNT4",'nghiathanh (2016)'!$A$3,"MA_HT","CAN","MA_QH","LMU")</f>
        <v>0</v>
      </c>
      <c r="Q21" s="22">
        <f ca="1">+GETPIVOTDATA("XNT4",'nghiathanh (2016)'!$A$3,"MA_HT","CAN","MA_QH","NKH")</f>
        <v>0</v>
      </c>
      <c r="R21" s="42">
        <f ca="1">SUM(S21,U21:AA21,AN21:BD21)</f>
        <v>0</v>
      </c>
      <c r="S21" s="22">
        <f ca="1">+GETPIVOTDATA("XNT4",'nghiathanh (2016)'!$A$3,"MA_HT","CAN","MA_QH","CQP")</f>
        <v>0</v>
      </c>
      <c r="T21" s="43" t="e">
        <f ca="1">$D21-$BF21</f>
        <v>#REF!</v>
      </c>
      <c r="U21" s="22">
        <f ca="1">+GETPIVOTDATA("XNT4",'nghiathanh (2016)'!$A$3,"MA_HT","CAN","MA_QH","SKK")</f>
        <v>0</v>
      </c>
      <c r="V21" s="22">
        <f ca="1">+GETPIVOTDATA("XNT4",'nghiathanh (2016)'!$A$3,"MA_HT","CAN","MA_QH","SKT")</f>
        <v>0</v>
      </c>
      <c r="W21" s="22">
        <f ca="1">+GETPIVOTDATA("XNT4",'nghiathanh (2016)'!$A$3,"MA_HT","CAN","MA_QH","SKN")</f>
        <v>0</v>
      </c>
      <c r="X21" s="22">
        <f ca="1">+GETPIVOTDATA("XNT4",'nghiathanh (2016)'!$A$3,"MA_HT","CAN","MA_QH","TMD")</f>
        <v>0</v>
      </c>
      <c r="Y21" s="22">
        <f ca="1">+GETPIVOTDATA("XNT4",'nghiathanh (2016)'!$A$3,"MA_HT","CAN","MA_QH","SKC")</f>
        <v>0</v>
      </c>
      <c r="Z21" s="22">
        <f ca="1">+GETPIVOTDATA("XNT4",'nghiathanh (2016)'!$A$3,"MA_HT","CAN","MA_QH","SKS")</f>
        <v>0</v>
      </c>
      <c r="AA21" s="52">
        <f ca="1" t="shared" si="12"/>
        <v>0</v>
      </c>
      <c r="AB21" s="22">
        <f ca="1">+GETPIVOTDATA("XNT4",'nghiathanh (2016)'!$A$3,"MA_HT","CAN","MA_QH","DGT")</f>
        <v>0</v>
      </c>
      <c r="AC21" s="22">
        <f ca="1">+GETPIVOTDATA("XNT4",'nghiathanh (2016)'!$A$3,"MA_HT","CAN","MA_QH","DTL")</f>
        <v>0</v>
      </c>
      <c r="AD21" s="22">
        <f ca="1">+GETPIVOTDATA("XNT4",'nghiathanh (2016)'!$A$3,"MA_HT","CAN","MA_QH","DNL")</f>
        <v>0</v>
      </c>
      <c r="AE21" s="22">
        <f ca="1">+GETPIVOTDATA("XNT4",'nghiathanh (2016)'!$A$3,"MA_HT","CAN","MA_QH","DBV")</f>
        <v>0</v>
      </c>
      <c r="AF21" s="22">
        <f ca="1">+GETPIVOTDATA("XNT4",'nghiathanh (2016)'!$A$3,"MA_HT","CAN","MA_QH","DVH")</f>
        <v>0</v>
      </c>
      <c r="AG21" s="22">
        <f ca="1">+GETPIVOTDATA("XNT4",'nghiathanh (2016)'!$A$3,"MA_HT","CAN","MA_QH","DYT")</f>
        <v>0</v>
      </c>
      <c r="AH21" s="22">
        <f ca="1">+GETPIVOTDATA("XNT4",'nghiathanh (2016)'!$A$3,"MA_HT","CAN","MA_QH","DGD")</f>
        <v>0</v>
      </c>
      <c r="AI21" s="22">
        <f ca="1">+GETPIVOTDATA("XNT4",'nghiathanh (2016)'!$A$3,"MA_HT","CAN","MA_QH","DTT")</f>
        <v>0</v>
      </c>
      <c r="AJ21" s="22">
        <f ca="1">+GETPIVOTDATA("XNT4",'nghiathanh (2016)'!$A$3,"MA_HT","CAN","MA_QH","NCK")</f>
        <v>0</v>
      </c>
      <c r="AK21" s="22">
        <f ca="1">+GETPIVOTDATA("XNT4",'nghiathanh (2016)'!$A$3,"MA_HT","CAN","MA_QH","DXH")</f>
        <v>0</v>
      </c>
      <c r="AL21" s="22">
        <f ca="1">+GETPIVOTDATA("XNT4",'nghiathanh (2016)'!$A$3,"MA_HT","CAN","MA_QH","DCH")</f>
        <v>0</v>
      </c>
      <c r="AM21" s="22">
        <f ca="1">+GETPIVOTDATA("XNT4",'nghiathanh (2016)'!$A$3,"MA_HT","CAN","MA_QH","DKG")</f>
        <v>0</v>
      </c>
      <c r="AN21" s="22">
        <f ca="1">+GETPIVOTDATA("XNT4",'nghiathanh (2016)'!$A$3,"MA_HT","CAN","MA_QH","DDT")</f>
        <v>0</v>
      </c>
      <c r="AO21" s="22">
        <f ca="1">+GETPIVOTDATA("XNT4",'nghiathanh (2016)'!$A$3,"MA_HT","CAN","MA_QH","DDL")</f>
        <v>0</v>
      </c>
      <c r="AP21" s="22">
        <f ca="1">+GETPIVOTDATA("XNT4",'nghiathanh (2016)'!$A$3,"MA_HT","CAN","MA_QH","DRA")</f>
        <v>0</v>
      </c>
      <c r="AQ21" s="22">
        <f ca="1">+GETPIVOTDATA("XNT4",'nghiathanh (2016)'!$A$3,"MA_HT","CAN","MA_QH","ONT")</f>
        <v>0</v>
      </c>
      <c r="AR21" s="22">
        <f ca="1">+GETPIVOTDATA("XNT4",'nghiathanh (2016)'!$A$3,"MA_HT","CAN","MA_QH","ODT")</f>
        <v>0</v>
      </c>
      <c r="AS21" s="22">
        <f ca="1">+GETPIVOTDATA("XNT4",'nghiathanh (2016)'!$A$3,"MA_HT","CAN","MA_QH","TSC")</f>
        <v>0</v>
      </c>
      <c r="AT21" s="22">
        <f ca="1">+GETPIVOTDATA("XNT4",'nghiathanh (2016)'!$A$3,"MA_HT","CAN","MA_QH","DTS")</f>
        <v>0</v>
      </c>
      <c r="AU21" s="22">
        <f ca="1">+GETPIVOTDATA("XNT4",'nghiathanh (2016)'!$A$3,"MA_HT","CAN","MA_QH","DNG")</f>
        <v>0</v>
      </c>
      <c r="AV21" s="22">
        <f ca="1">+GETPIVOTDATA("XNT4",'nghiathanh (2016)'!$A$3,"MA_HT","CAN","MA_QH","TON")</f>
        <v>0</v>
      </c>
      <c r="AW21" s="22">
        <f ca="1">+GETPIVOTDATA("XNT4",'nghiathanh (2016)'!$A$3,"MA_HT","CAN","MA_QH","NTD")</f>
        <v>0</v>
      </c>
      <c r="AX21" s="22">
        <f ca="1">+GETPIVOTDATA("XNT4",'nghiathanh (2016)'!$A$3,"MA_HT","CAN","MA_QH","SKX")</f>
        <v>0</v>
      </c>
      <c r="AY21" s="22">
        <f ca="1">+GETPIVOTDATA("XNT4",'nghiathanh (2016)'!$A$3,"MA_HT","CAN","MA_QH","DSH")</f>
        <v>0</v>
      </c>
      <c r="AZ21" s="22">
        <f ca="1">+GETPIVOTDATA("XNT4",'nghiathanh (2016)'!$A$3,"MA_HT","CAN","MA_QH","DKV")</f>
        <v>0</v>
      </c>
      <c r="BA21" s="89">
        <f ca="1">+GETPIVOTDATA("XNT4",'nghiathanh (2016)'!$A$3,"MA_HT","CAN","MA_QH","TIN")</f>
        <v>0</v>
      </c>
      <c r="BB21" s="50">
        <f ca="1">+GETPIVOTDATA("XNT4",'nghiathanh (2016)'!$A$3,"MA_HT","CAN","MA_QH","SON")</f>
        <v>0</v>
      </c>
      <c r="BC21" s="50">
        <f ca="1">+GETPIVOTDATA("XNT4",'nghiathanh (2016)'!$A$3,"MA_HT","CAN","MA_QH","MNC")</f>
        <v>0</v>
      </c>
      <c r="BD21" s="22">
        <f ca="1">+GETPIVOTDATA("XNT4",'nghiathanh (2016)'!$A$3,"MA_HT","CAN","MA_QH","PNK")</f>
        <v>0</v>
      </c>
      <c r="BE21" s="71">
        <f ca="1">+GETPIVOTDATA("XNT4",'nghiathanh (2016)'!$A$3,"MA_HT","CAN","MA_QH","CSD")</f>
        <v>0</v>
      </c>
      <c r="BF21" s="74">
        <f ca="1" t="shared" si="13"/>
        <v>0</v>
      </c>
      <c r="BG21" s="101">
        <f ca="1">T$59-$BF21</f>
        <v>0</v>
      </c>
      <c r="BH21" s="41" t="e">
        <f ca="1" t="shared" si="14"/>
        <v>#REF!</v>
      </c>
      <c r="BI21" s="98"/>
      <c r="BJ21" s="98" t="e">
        <f>#REF!</f>
        <v>#REF!</v>
      </c>
      <c r="BK21" s="107" t="e">
        <f ca="1">BH21-BJ21</f>
        <v>#REF!</v>
      </c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</row>
    <row r="22" s="2" customFormat="1" ht="15.75" customHeight="1" spans="1:79">
      <c r="A22" s="39" t="s">
        <v>8362</v>
      </c>
      <c r="B22" s="53" t="s">
        <v>8363</v>
      </c>
      <c r="C22" s="40" t="s">
        <v>47</v>
      </c>
      <c r="D22" s="41" t="e">
        <f>+#REF!</f>
        <v>#REF!</v>
      </c>
      <c r="E22" s="42">
        <f ca="1" t="shared" si="15"/>
        <v>0</v>
      </c>
      <c r="F22" s="52">
        <f ca="1" t="shared" si="9"/>
        <v>0</v>
      </c>
      <c r="G22" s="22">
        <f ca="1">+GETPIVOTDATA("XNT4",'nghiathanh (2016)'!$A$3,"MA_HT","SKK","MA_QH","LUC")</f>
        <v>0</v>
      </c>
      <c r="H22" s="22">
        <f ca="1">+GETPIVOTDATA("XNT4",'nghiathanh (2016)'!$A$3,"MA_HT","SKK","MA_QH","LUK")</f>
        <v>0</v>
      </c>
      <c r="I22" s="22">
        <f ca="1">+GETPIVOTDATA("XNT4",'nghiathanh (2016)'!$A$3,"MA_HT","SKK","MA_QH","LUN")</f>
        <v>0</v>
      </c>
      <c r="J22" s="22">
        <f ca="1">+GETPIVOTDATA("XNT4",'nghiathanh (2016)'!$A$3,"MA_HT","SKK","MA_QH","HNK")</f>
        <v>0</v>
      </c>
      <c r="K22" s="22">
        <f ca="1">+GETPIVOTDATA("XNT4",'nghiathanh (2016)'!$A$3,"MA_HT","SKK","MA_QH","CLN")</f>
        <v>0</v>
      </c>
      <c r="L22" s="22">
        <f ca="1">+GETPIVOTDATA("XNT4",'nghiathanh (2016)'!$A$3,"MA_HT","SKK","MA_QH","RSX")</f>
        <v>0</v>
      </c>
      <c r="M22" s="22">
        <f ca="1">+GETPIVOTDATA("XNT4",'nghiathanh (2016)'!$A$3,"MA_HT","SKK","MA_QH","RPH")</f>
        <v>0</v>
      </c>
      <c r="N22" s="22">
        <f ca="1">+GETPIVOTDATA("XNT4",'nghiathanh (2016)'!$A$3,"MA_HT","SKK","MA_QH","RDD")</f>
        <v>0</v>
      </c>
      <c r="O22" s="22">
        <f ca="1">+GETPIVOTDATA("XNT4",'nghiathanh (2016)'!$A$3,"MA_HT","SKK","MA_QH","NTS")</f>
        <v>0</v>
      </c>
      <c r="P22" s="22">
        <f ca="1">+GETPIVOTDATA("XNT4",'nghiathanh (2016)'!$A$3,"MA_HT","SKK","MA_QH","LMU")</f>
        <v>0</v>
      </c>
      <c r="Q22" s="22">
        <f ca="1">+GETPIVOTDATA("XNT4",'nghiathanh (2016)'!$A$3,"MA_HT","SKK","MA_QH","NKH")</f>
        <v>0</v>
      </c>
      <c r="R22" s="42">
        <f ca="1">SUM(S22:T22,V22:AA22,AN22:BD22)</f>
        <v>0</v>
      </c>
      <c r="S22" s="22">
        <f ca="1">+GETPIVOTDATA("XNT4",'nghiathanh (2016)'!$A$3,"MA_HT","SKK","MA_QH","CQP")</f>
        <v>0</v>
      </c>
      <c r="T22" s="22">
        <f ca="1">+GETPIVOTDATA("XNT4",'nghiathanh (2016)'!$A$3,"MA_HT","SKK","MA_QH","CAN")</f>
        <v>0</v>
      </c>
      <c r="U22" s="43" t="e">
        <f ca="1">$D22-$BF22</f>
        <v>#REF!</v>
      </c>
      <c r="V22" s="22">
        <f ca="1">+GETPIVOTDATA("XNT4",'nghiathanh (2016)'!$A$3,"MA_HT","SKK","MA_QH","SKT")</f>
        <v>0</v>
      </c>
      <c r="W22" s="22">
        <f ca="1">+GETPIVOTDATA("XNT4",'nghiathanh (2016)'!$A$3,"MA_HT","SKK","MA_QH","SKN")</f>
        <v>0</v>
      </c>
      <c r="X22" s="22">
        <f ca="1">+GETPIVOTDATA("XNT4",'nghiathanh (2016)'!$A$3,"MA_HT","SKK","MA_QH","TMD")</f>
        <v>0</v>
      </c>
      <c r="Y22" s="22">
        <f ca="1">+GETPIVOTDATA("XNT4",'nghiathanh (2016)'!$A$3,"MA_HT","SKK","MA_QH","SKC")</f>
        <v>0</v>
      </c>
      <c r="Z22" s="22">
        <f ca="1">+GETPIVOTDATA("XNT4",'nghiathanh (2016)'!$A$3,"MA_HT","SKK","MA_QH","SKS")</f>
        <v>0</v>
      </c>
      <c r="AA22" s="52">
        <f ca="1" t="shared" si="12"/>
        <v>0</v>
      </c>
      <c r="AB22" s="22">
        <f ca="1">+GETPIVOTDATA("XNT4",'nghiathanh (2016)'!$A$3,"MA_HT","SKK","MA_QH","DGT")</f>
        <v>0</v>
      </c>
      <c r="AC22" s="22">
        <f ca="1">+GETPIVOTDATA("XNT4",'nghiathanh (2016)'!$A$3,"MA_HT","SKK","MA_QH","DTL")</f>
        <v>0</v>
      </c>
      <c r="AD22" s="22">
        <f ca="1">+GETPIVOTDATA("XNT4",'nghiathanh (2016)'!$A$3,"MA_HT","SKK","MA_QH","DNL")</f>
        <v>0</v>
      </c>
      <c r="AE22" s="22">
        <f ca="1">+GETPIVOTDATA("XNT4",'nghiathanh (2016)'!$A$3,"MA_HT","SKK","MA_QH","DBV")</f>
        <v>0</v>
      </c>
      <c r="AF22" s="22">
        <f ca="1">+GETPIVOTDATA("XNT4",'nghiathanh (2016)'!$A$3,"MA_HT","SKK","MA_QH","DVH")</f>
        <v>0</v>
      </c>
      <c r="AG22" s="22">
        <f ca="1">+GETPIVOTDATA("XNT4",'nghiathanh (2016)'!$A$3,"MA_HT","SKK","MA_QH","DYT")</f>
        <v>0</v>
      </c>
      <c r="AH22" s="22">
        <f ca="1">+GETPIVOTDATA("XNT4",'nghiathanh (2016)'!$A$3,"MA_HT","SKK","MA_QH","DGD")</f>
        <v>0</v>
      </c>
      <c r="AI22" s="22">
        <f ca="1">+GETPIVOTDATA("XNT4",'nghiathanh (2016)'!$A$3,"MA_HT","SKK","MA_QH","DTT")</f>
        <v>0</v>
      </c>
      <c r="AJ22" s="22">
        <f ca="1">+GETPIVOTDATA("XNT4",'nghiathanh (2016)'!$A$3,"MA_HT","SKK","MA_QH","NCK")</f>
        <v>0</v>
      </c>
      <c r="AK22" s="22">
        <f ca="1">+GETPIVOTDATA("XNT4",'nghiathanh (2016)'!$A$3,"MA_HT","SKK","MA_QH","DXH")</f>
        <v>0</v>
      </c>
      <c r="AL22" s="22">
        <f ca="1">+GETPIVOTDATA("XNT4",'nghiathanh (2016)'!$A$3,"MA_HT","SKK","MA_QH","DCH")</f>
        <v>0</v>
      </c>
      <c r="AM22" s="22">
        <f ca="1">+GETPIVOTDATA("XNT4",'nghiathanh (2016)'!$A$3,"MA_HT","SKK","MA_QH","DKG")</f>
        <v>0</v>
      </c>
      <c r="AN22" s="22">
        <f ca="1">+GETPIVOTDATA("XNT4",'nghiathanh (2016)'!$A$3,"MA_HT","SKK","MA_QH","DDT")</f>
        <v>0</v>
      </c>
      <c r="AO22" s="22">
        <f ca="1">+GETPIVOTDATA("XNT4",'nghiathanh (2016)'!$A$3,"MA_HT","SKK","MA_QH","DDL")</f>
        <v>0</v>
      </c>
      <c r="AP22" s="22">
        <f ca="1">+GETPIVOTDATA("XNT4",'nghiathanh (2016)'!$A$3,"MA_HT","SKK","MA_QH","DRA")</f>
        <v>0</v>
      </c>
      <c r="AQ22" s="22">
        <f ca="1">+GETPIVOTDATA("XNT4",'nghiathanh (2016)'!$A$3,"MA_HT","SKK","MA_QH","ONT")</f>
        <v>0</v>
      </c>
      <c r="AR22" s="22">
        <f ca="1">+GETPIVOTDATA("XNT4",'nghiathanh (2016)'!$A$3,"MA_HT","SKK","MA_QH","ODT")</f>
        <v>0</v>
      </c>
      <c r="AS22" s="22">
        <f ca="1">+GETPIVOTDATA("XNT4",'nghiathanh (2016)'!$A$3,"MA_HT","SKK","MA_QH","TSC")</f>
        <v>0</v>
      </c>
      <c r="AT22" s="22">
        <f ca="1">+GETPIVOTDATA("XNT4",'nghiathanh (2016)'!$A$3,"MA_HT","SKK","MA_QH","DTS")</f>
        <v>0</v>
      </c>
      <c r="AU22" s="22">
        <f ca="1">+GETPIVOTDATA("XNT4",'nghiathanh (2016)'!$A$3,"MA_HT","SKK","MA_QH","DNG")</f>
        <v>0</v>
      </c>
      <c r="AV22" s="22">
        <f ca="1">+GETPIVOTDATA("XNT4",'nghiathanh (2016)'!$A$3,"MA_HT","SKK","MA_QH","TON")</f>
        <v>0</v>
      </c>
      <c r="AW22" s="22">
        <f ca="1">+GETPIVOTDATA("XNT4",'nghiathanh (2016)'!$A$3,"MA_HT","SKK","MA_QH","NTD")</f>
        <v>0</v>
      </c>
      <c r="AX22" s="22">
        <f ca="1">+GETPIVOTDATA("XNT4",'nghiathanh (2016)'!$A$3,"MA_HT","SKK","MA_QH","SKX")</f>
        <v>0</v>
      </c>
      <c r="AY22" s="22">
        <f ca="1">+GETPIVOTDATA("XNT4",'nghiathanh (2016)'!$A$3,"MA_HT","SKK","MA_QH","DSH")</f>
        <v>0</v>
      </c>
      <c r="AZ22" s="22">
        <f ca="1">+GETPIVOTDATA("XNT4",'nghiathanh (2016)'!$A$3,"MA_HT","SKK","MA_QH","DKV")</f>
        <v>0</v>
      </c>
      <c r="BA22" s="89">
        <f ca="1">+GETPIVOTDATA("XNT4",'nghiathanh (2016)'!$A$3,"MA_HT","SKK","MA_QH","TIN")</f>
        <v>0</v>
      </c>
      <c r="BB22" s="50">
        <f ca="1">+GETPIVOTDATA("XNT4",'nghiathanh (2016)'!$A$3,"MA_HT","SKK","MA_QH","SON")</f>
        <v>0</v>
      </c>
      <c r="BC22" s="50">
        <f ca="1">+GETPIVOTDATA("XNT4",'nghiathanh (2016)'!$A$3,"MA_HT","SKK","MA_QH","MNC")</f>
        <v>0</v>
      </c>
      <c r="BD22" s="22">
        <f ca="1">+GETPIVOTDATA("XNT4",'nghiathanh (2016)'!$A$3,"MA_HT","SKK","MA_QH","PNK")</f>
        <v>0</v>
      </c>
      <c r="BE22" s="71">
        <f ca="1">+GETPIVOTDATA("XNT4",'nghiathanh (2016)'!$A$3,"MA_HT","SKK","MA_QH","CSD")</f>
        <v>0</v>
      </c>
      <c r="BF22" s="74">
        <f ca="1" t="shared" si="13"/>
        <v>0</v>
      </c>
      <c r="BG22" s="101">
        <f ca="1">U$59-$BF22</f>
        <v>0</v>
      </c>
      <c r="BH22" s="41" t="e">
        <f ca="1" t="shared" si="14"/>
        <v>#REF!</v>
      </c>
      <c r="BI22" s="98"/>
      <c r="BJ22" s="107" t="e">
        <f>#REF!</f>
        <v>#REF!</v>
      </c>
      <c r="BK22" s="107" t="e">
        <f ca="1">BH22-BJ22</f>
        <v>#REF!</v>
      </c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</row>
    <row r="23" s="2" customFormat="1" ht="15.75" customHeight="1" spans="1:79">
      <c r="A23" s="39" t="s">
        <v>8364</v>
      </c>
      <c r="B23" s="53" t="s">
        <v>8365</v>
      </c>
      <c r="C23" s="40" t="s">
        <v>8308</v>
      </c>
      <c r="D23" s="41" t="e">
        <f>+#REF!</f>
        <v>#REF!</v>
      </c>
      <c r="E23" s="42">
        <f ca="1" t="shared" si="15"/>
        <v>0</v>
      </c>
      <c r="F23" s="52">
        <f ca="1" t="shared" si="9"/>
        <v>0</v>
      </c>
      <c r="G23" s="22">
        <f ca="1">+GETPIVOTDATA("XNT4",'nghiathanh (2016)'!$A$3,"MA_HT","SKT","MA_QH","LUC")</f>
        <v>0</v>
      </c>
      <c r="H23" s="22">
        <f ca="1">+GETPIVOTDATA("XNT4",'nghiathanh (2016)'!$A$3,"MA_HT","SKT","MA_QH","LUK")</f>
        <v>0</v>
      </c>
      <c r="I23" s="22">
        <f ca="1">+GETPIVOTDATA("XNT4",'nghiathanh (2016)'!$A$3,"MA_HT","SKT","MA_QH","LUN")</f>
        <v>0</v>
      </c>
      <c r="J23" s="22">
        <f ca="1">+GETPIVOTDATA("XNT4",'nghiathanh (2016)'!$A$3,"MA_HT","SKT","MA_QH","HNK")</f>
        <v>0</v>
      </c>
      <c r="K23" s="22">
        <f ca="1">+GETPIVOTDATA("XNT4",'nghiathanh (2016)'!$A$3,"MA_HT","SKT","MA_QH","CLN")</f>
        <v>0</v>
      </c>
      <c r="L23" s="22">
        <f ca="1">+GETPIVOTDATA("XNT4",'nghiathanh (2016)'!$A$3,"MA_HT","SKT","MA_QH","RSX")</f>
        <v>0</v>
      </c>
      <c r="M23" s="22">
        <f ca="1">+GETPIVOTDATA("XNT4",'nghiathanh (2016)'!$A$3,"MA_HT","SKT","MA_QH","RPH")</f>
        <v>0</v>
      </c>
      <c r="N23" s="22">
        <f ca="1">+GETPIVOTDATA("XNT4",'nghiathanh (2016)'!$A$3,"MA_HT","SKT","MA_QH","RDD")</f>
        <v>0</v>
      </c>
      <c r="O23" s="22">
        <f ca="1">+GETPIVOTDATA("XNT4",'nghiathanh (2016)'!$A$3,"MA_HT","SKT","MA_QH","NTS")</f>
        <v>0</v>
      </c>
      <c r="P23" s="22">
        <f ca="1">+GETPIVOTDATA("XNT4",'nghiathanh (2016)'!$A$3,"MA_HT","SKT","MA_QH","LMU")</f>
        <v>0</v>
      </c>
      <c r="Q23" s="22">
        <f ca="1">+GETPIVOTDATA("XNT4",'nghiathanh (2016)'!$A$3,"MA_HT","SKT","MA_QH","NKH")</f>
        <v>0</v>
      </c>
      <c r="R23" s="42">
        <f ca="1">SUM(S23:U23,W23:AA23,AN23:BD23)</f>
        <v>0</v>
      </c>
      <c r="S23" s="22">
        <f ca="1">+GETPIVOTDATA("XNT4",'nghiathanh (2016)'!$A$3,"MA_HT","SKT","MA_QH","CQP")</f>
        <v>0</v>
      </c>
      <c r="T23" s="22">
        <f ca="1">+GETPIVOTDATA("XNT4",'nghiathanh (2016)'!$A$3,"MA_HT","SKT","MA_QH","CAN")</f>
        <v>0</v>
      </c>
      <c r="U23" s="22">
        <f ca="1">+GETPIVOTDATA("XNT4",'nghiathanh (2016)'!$A$3,"MA_HT","SKT","MA_QH","SKK")</f>
        <v>0</v>
      </c>
      <c r="V23" s="43" t="e">
        <f ca="1">$D23-$BF23</f>
        <v>#REF!</v>
      </c>
      <c r="W23" s="22">
        <f ca="1">+GETPIVOTDATA("XNT4",'nghiathanh (2016)'!$A$3,"MA_HT","SKT","MA_QH","SKN")</f>
        <v>0</v>
      </c>
      <c r="X23" s="22">
        <f ca="1">+GETPIVOTDATA("XNT4",'nghiathanh (2016)'!$A$3,"MA_HT","SKT","MA_QH","TMD")</f>
        <v>0</v>
      </c>
      <c r="Y23" s="22">
        <f ca="1">+GETPIVOTDATA("XNT4",'nghiathanh (2016)'!$A$3,"MA_HT","SKT","MA_QH","SKC")</f>
        <v>0</v>
      </c>
      <c r="Z23" s="22">
        <f ca="1">+GETPIVOTDATA("XNT4",'nghiathanh (2016)'!$A$3,"MA_HT","SKT","MA_QH","SKS")</f>
        <v>0</v>
      </c>
      <c r="AA23" s="52">
        <f ca="1" t="shared" si="12"/>
        <v>0</v>
      </c>
      <c r="AB23" s="22">
        <f ca="1">+GETPIVOTDATA("XNT4",'nghiathanh (2016)'!$A$3,"MA_HT","SKT","MA_QH","DGT")</f>
        <v>0</v>
      </c>
      <c r="AC23" s="22">
        <f ca="1">+GETPIVOTDATA("XNT4",'nghiathanh (2016)'!$A$3,"MA_HT","SKT","MA_QH","DTL")</f>
        <v>0</v>
      </c>
      <c r="AD23" s="22">
        <f ca="1">+GETPIVOTDATA("XNT4",'nghiathanh (2016)'!$A$3,"MA_HT","SKT","MA_QH","DNL")</f>
        <v>0</v>
      </c>
      <c r="AE23" s="22">
        <f ca="1">+GETPIVOTDATA("XNT4",'nghiathanh (2016)'!$A$3,"MA_HT","SKT","MA_QH","DBV")</f>
        <v>0</v>
      </c>
      <c r="AF23" s="22">
        <f ca="1">+GETPIVOTDATA("XNT4",'nghiathanh (2016)'!$A$3,"MA_HT","SKT","MA_QH","DVH")</f>
        <v>0</v>
      </c>
      <c r="AG23" s="22">
        <f ca="1">+GETPIVOTDATA("XNT4",'nghiathanh (2016)'!$A$3,"MA_HT","SKT","MA_QH","DYT")</f>
        <v>0</v>
      </c>
      <c r="AH23" s="22">
        <f ca="1">+GETPIVOTDATA("XNT4",'nghiathanh (2016)'!$A$3,"MA_HT","SKT","MA_QH","DGD")</f>
        <v>0</v>
      </c>
      <c r="AI23" s="22">
        <f ca="1">+GETPIVOTDATA("XNT4",'nghiathanh (2016)'!$A$3,"MA_HT","SKT","MA_QH","DTT")</f>
        <v>0</v>
      </c>
      <c r="AJ23" s="22">
        <f ca="1">+GETPIVOTDATA("XNT4",'nghiathanh (2016)'!$A$3,"MA_HT","SKT","MA_QH","NCK")</f>
        <v>0</v>
      </c>
      <c r="AK23" s="22">
        <f ca="1">+GETPIVOTDATA("XNT4",'nghiathanh (2016)'!$A$3,"MA_HT","SKT","MA_QH","DXH")</f>
        <v>0</v>
      </c>
      <c r="AL23" s="22">
        <f ca="1">+GETPIVOTDATA("XNT4",'nghiathanh (2016)'!$A$3,"MA_HT","SKT","MA_QH","DCH")</f>
        <v>0</v>
      </c>
      <c r="AM23" s="22">
        <f ca="1">+GETPIVOTDATA("XNT4",'nghiathanh (2016)'!$A$3,"MA_HT","SKT","MA_QH","DKG")</f>
        <v>0</v>
      </c>
      <c r="AN23" s="22">
        <f ca="1">+GETPIVOTDATA("XNT4",'nghiathanh (2016)'!$A$3,"MA_HT","SKT","MA_QH","DDT")</f>
        <v>0</v>
      </c>
      <c r="AO23" s="22">
        <f ca="1">+GETPIVOTDATA("XNT4",'nghiathanh (2016)'!$A$3,"MA_HT","SKT","MA_QH","DDL")</f>
        <v>0</v>
      </c>
      <c r="AP23" s="22">
        <f ca="1">+GETPIVOTDATA("XNT4",'nghiathanh (2016)'!$A$3,"MA_HT","SKT","MA_QH","DRA")</f>
        <v>0</v>
      </c>
      <c r="AQ23" s="22">
        <f ca="1">+GETPIVOTDATA("XNT4",'nghiathanh (2016)'!$A$3,"MA_HT","SKT","MA_QH","ONT")</f>
        <v>0</v>
      </c>
      <c r="AR23" s="22">
        <f ca="1">+GETPIVOTDATA("XNT4",'nghiathanh (2016)'!$A$3,"MA_HT","SKT","MA_QH","ODT")</f>
        <v>0</v>
      </c>
      <c r="AS23" s="22">
        <f ca="1">+GETPIVOTDATA("XNT4",'nghiathanh (2016)'!$A$3,"MA_HT","SKT","MA_QH","TSC")</f>
        <v>0</v>
      </c>
      <c r="AT23" s="22">
        <f ca="1">+GETPIVOTDATA("XNT4",'nghiathanh (2016)'!$A$3,"MA_HT","SKT","MA_QH","DTS")</f>
        <v>0</v>
      </c>
      <c r="AU23" s="22">
        <f ca="1">+GETPIVOTDATA("XNT4",'nghiathanh (2016)'!$A$3,"MA_HT","SKT","MA_QH","DNG")</f>
        <v>0</v>
      </c>
      <c r="AV23" s="22">
        <f ca="1">+GETPIVOTDATA("XNT4",'nghiathanh (2016)'!$A$3,"MA_HT","SKT","MA_QH","TON")</f>
        <v>0</v>
      </c>
      <c r="AW23" s="22">
        <f ca="1">+GETPIVOTDATA("XNT4",'nghiathanh (2016)'!$A$3,"MA_HT","SKT","MA_QH","NTD")</f>
        <v>0</v>
      </c>
      <c r="AX23" s="22">
        <f ca="1">+GETPIVOTDATA("XNT4",'nghiathanh (2016)'!$A$3,"MA_HT","SKT","MA_QH","SKX")</f>
        <v>0</v>
      </c>
      <c r="AY23" s="22">
        <f ca="1">+GETPIVOTDATA("XNT4",'nghiathanh (2016)'!$A$3,"MA_HT","SKT","MA_QH","DSH")</f>
        <v>0</v>
      </c>
      <c r="AZ23" s="22">
        <f ca="1">+GETPIVOTDATA("XNT4",'nghiathanh (2016)'!$A$3,"MA_HT","SKT","MA_QH","DKV")</f>
        <v>0</v>
      </c>
      <c r="BA23" s="89">
        <f ca="1">+GETPIVOTDATA("XNT4",'nghiathanh (2016)'!$A$3,"MA_HT","SKT","MA_QH","TIN")</f>
        <v>0</v>
      </c>
      <c r="BB23" s="50">
        <f ca="1">+GETPIVOTDATA("XNT4",'nghiathanh (2016)'!$A$3,"MA_HT","SKT","MA_QH","SON")</f>
        <v>0</v>
      </c>
      <c r="BC23" s="50">
        <f ca="1">+GETPIVOTDATA("XNT4",'nghiathanh (2016)'!$A$3,"MA_HT","SKT","MA_QH","MNC")</f>
        <v>0</v>
      </c>
      <c r="BD23" s="22">
        <f ca="1">+GETPIVOTDATA("XNT4",'nghiathanh (2016)'!$A$3,"MA_HT","SKT","MA_QH","PNK")</f>
        <v>0</v>
      </c>
      <c r="BE23" s="71">
        <f ca="1">+GETPIVOTDATA("XNT4",'nghiathanh (2016)'!$A$3,"MA_HT","SKT","MA_QH","CSD")</f>
        <v>0</v>
      </c>
      <c r="BF23" s="74">
        <f ca="1" t="shared" si="13"/>
        <v>0</v>
      </c>
      <c r="BG23" s="101">
        <f ca="1">V$59-$BF23</f>
        <v>0</v>
      </c>
      <c r="BH23" s="41" t="e">
        <f ca="1" t="shared" si="14"/>
        <v>#REF!</v>
      </c>
      <c r="BI23" s="98"/>
      <c r="BJ23" s="107"/>
      <c r="BK23" s="107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</row>
    <row r="24" s="2" customFormat="1" ht="15.75" customHeight="1" spans="1:79">
      <c r="A24" s="39" t="s">
        <v>8366</v>
      </c>
      <c r="B24" s="53" t="s">
        <v>8367</v>
      </c>
      <c r="C24" s="40" t="s">
        <v>56</v>
      </c>
      <c r="D24" s="41" t="e">
        <f>+#REF!</f>
        <v>#REF!</v>
      </c>
      <c r="E24" s="42">
        <f ca="1" t="shared" si="15"/>
        <v>0</v>
      </c>
      <c r="F24" s="52">
        <f ca="1" t="shared" si="9"/>
        <v>0</v>
      </c>
      <c r="G24" s="22">
        <f ca="1">+GETPIVOTDATA("XNT4",'nghiathanh (2016)'!$A$3,"MA_HT","SKN","MA_QH","LUC")</f>
        <v>0</v>
      </c>
      <c r="H24" s="22">
        <f ca="1">+GETPIVOTDATA("XNT4",'nghiathanh (2016)'!$A$3,"MA_HT","SKN","MA_QH","LUK")</f>
        <v>0</v>
      </c>
      <c r="I24" s="22">
        <f ca="1">+GETPIVOTDATA("XNT4",'nghiathanh (2016)'!$A$3,"MA_HT","SKN","MA_QH","LUN")</f>
        <v>0</v>
      </c>
      <c r="J24" s="22">
        <f ca="1">+GETPIVOTDATA("XNT4",'nghiathanh (2016)'!$A$3,"MA_HT","SKN","MA_QH","HNK")</f>
        <v>0</v>
      </c>
      <c r="K24" s="22">
        <f ca="1">+GETPIVOTDATA("XNT4",'nghiathanh (2016)'!$A$3,"MA_HT","SKN","MA_QH","CLN")</f>
        <v>0</v>
      </c>
      <c r="L24" s="22">
        <f ca="1">+GETPIVOTDATA("XNT4",'nghiathanh (2016)'!$A$3,"MA_HT","SKN","MA_QH","RSX")</f>
        <v>0</v>
      </c>
      <c r="M24" s="22">
        <f ca="1">+GETPIVOTDATA("XNT4",'nghiathanh (2016)'!$A$3,"MA_HT","SKN","MA_QH","RPH")</f>
        <v>0</v>
      </c>
      <c r="N24" s="22">
        <f ca="1">+GETPIVOTDATA("XNT4",'nghiathanh (2016)'!$A$3,"MA_HT","SKN","MA_QH","RDD")</f>
        <v>0</v>
      </c>
      <c r="O24" s="22">
        <f ca="1">+GETPIVOTDATA("XNT4",'nghiathanh (2016)'!$A$3,"MA_HT","SKN","MA_QH","NTS")</f>
        <v>0</v>
      </c>
      <c r="P24" s="22">
        <f ca="1">+GETPIVOTDATA("XNT4",'nghiathanh (2016)'!$A$3,"MA_HT","SKN","MA_QH","LMU")</f>
        <v>0</v>
      </c>
      <c r="Q24" s="22">
        <f ca="1">+GETPIVOTDATA("XNT4",'nghiathanh (2016)'!$A$3,"MA_HT","SKN","MA_QH","NKH")</f>
        <v>0</v>
      </c>
      <c r="R24" s="42">
        <f ca="1">SUM(S24:V24,X24:AA24,AN24:BD24)</f>
        <v>0</v>
      </c>
      <c r="S24" s="22">
        <f ca="1">+GETPIVOTDATA("XNT4",'nghiathanh (2016)'!$A$3,"MA_HT","SKN","MA_QH","CQP")</f>
        <v>0</v>
      </c>
      <c r="T24" s="22">
        <f ca="1">+GETPIVOTDATA("XNT4",'nghiathanh (2016)'!$A$3,"MA_HT","SKN","MA_QH","CAN")</f>
        <v>0</v>
      </c>
      <c r="U24" s="22">
        <f ca="1">+GETPIVOTDATA("XNT4",'nghiathanh (2016)'!$A$3,"MA_HT","SKN","MA_QH","SKK")</f>
        <v>0</v>
      </c>
      <c r="V24" s="22">
        <f ca="1">+GETPIVOTDATA("XNT4",'nghiathanh (2016)'!$A$3,"MA_HT","SKN","MA_QH","SKT")</f>
        <v>0</v>
      </c>
      <c r="W24" s="43" t="e">
        <f ca="1">$D24-$BF24</f>
        <v>#REF!</v>
      </c>
      <c r="X24" s="22">
        <f ca="1">+GETPIVOTDATA("XNT4",'nghiathanh (2016)'!$A$3,"MA_HT","SKN","MA_QH","TMD")</f>
        <v>0</v>
      </c>
      <c r="Y24" s="22">
        <f ca="1">+GETPIVOTDATA("XNT4",'nghiathanh (2016)'!$A$3,"MA_HT","SKN","MA_QH","SKC")</f>
        <v>0</v>
      </c>
      <c r="Z24" s="22">
        <f ca="1">+GETPIVOTDATA("XNT4",'nghiathanh (2016)'!$A$3,"MA_HT","SKN","MA_QH","SKS")</f>
        <v>0</v>
      </c>
      <c r="AA24" s="52">
        <f ca="1" t="shared" si="12"/>
        <v>0</v>
      </c>
      <c r="AB24" s="22">
        <f ca="1">+GETPIVOTDATA("XNT4",'nghiathanh (2016)'!$A$3,"MA_HT","SKN","MA_QH","DGT")</f>
        <v>0</v>
      </c>
      <c r="AC24" s="22">
        <f ca="1">+GETPIVOTDATA("XNT4",'nghiathanh (2016)'!$A$3,"MA_HT","SKN","MA_QH","DTL")</f>
        <v>0</v>
      </c>
      <c r="AD24" s="22">
        <f ca="1">+GETPIVOTDATA("XNT4",'nghiathanh (2016)'!$A$3,"MA_HT","SKN","MA_QH","DNL")</f>
        <v>0</v>
      </c>
      <c r="AE24" s="22">
        <f ca="1">+GETPIVOTDATA("XNT4",'nghiathanh (2016)'!$A$3,"MA_HT","SKN","MA_QH","DBV")</f>
        <v>0</v>
      </c>
      <c r="AF24" s="22">
        <f ca="1">+GETPIVOTDATA("XNT4",'nghiathanh (2016)'!$A$3,"MA_HT","SKN","MA_QH","DVH")</f>
        <v>0</v>
      </c>
      <c r="AG24" s="22">
        <f ca="1">+GETPIVOTDATA("XNT4",'nghiathanh (2016)'!$A$3,"MA_HT","SKN","MA_QH","DYT")</f>
        <v>0</v>
      </c>
      <c r="AH24" s="22">
        <f ca="1">+GETPIVOTDATA("XNT4",'nghiathanh (2016)'!$A$3,"MA_HT","SKN","MA_QH","DGD")</f>
        <v>0</v>
      </c>
      <c r="AI24" s="22">
        <f ca="1">+GETPIVOTDATA("XNT4",'nghiathanh (2016)'!$A$3,"MA_HT","SKN","MA_QH","DTT")</f>
        <v>0</v>
      </c>
      <c r="AJ24" s="22">
        <f ca="1">+GETPIVOTDATA("XNT4",'nghiathanh (2016)'!$A$3,"MA_HT","SKN","MA_QH","NCK")</f>
        <v>0</v>
      </c>
      <c r="AK24" s="22">
        <f ca="1">+GETPIVOTDATA("XNT4",'nghiathanh (2016)'!$A$3,"MA_HT","SKN","MA_QH","DXH")</f>
        <v>0</v>
      </c>
      <c r="AL24" s="22">
        <f ca="1">+GETPIVOTDATA("XNT4",'nghiathanh (2016)'!$A$3,"MA_HT","SKN","MA_QH","DCH")</f>
        <v>0</v>
      </c>
      <c r="AM24" s="22">
        <f ca="1">+GETPIVOTDATA("XNT4",'nghiathanh (2016)'!$A$3,"MA_HT","SKN","MA_QH","DKG")</f>
        <v>0</v>
      </c>
      <c r="AN24" s="22">
        <f ca="1">+GETPIVOTDATA("XNT4",'nghiathanh (2016)'!$A$3,"MA_HT","SKN","MA_QH","DDT")</f>
        <v>0</v>
      </c>
      <c r="AO24" s="22">
        <f ca="1">+GETPIVOTDATA("XNT4",'nghiathanh (2016)'!$A$3,"MA_HT","SKN","MA_QH","DDL")</f>
        <v>0</v>
      </c>
      <c r="AP24" s="22">
        <f ca="1">+GETPIVOTDATA("XNT4",'nghiathanh (2016)'!$A$3,"MA_HT","SKN","MA_QH","DRA")</f>
        <v>0</v>
      </c>
      <c r="AQ24" s="22">
        <f ca="1">+GETPIVOTDATA("XNT4",'nghiathanh (2016)'!$A$3,"MA_HT","SKN","MA_QH","ONT")</f>
        <v>0</v>
      </c>
      <c r="AR24" s="22">
        <f ca="1">+GETPIVOTDATA("XNT4",'nghiathanh (2016)'!$A$3,"MA_HT","SKN","MA_QH","ODT")</f>
        <v>0</v>
      </c>
      <c r="AS24" s="22">
        <f ca="1">+GETPIVOTDATA("XNT4",'nghiathanh (2016)'!$A$3,"MA_HT","SKN","MA_QH","TSC")</f>
        <v>0</v>
      </c>
      <c r="AT24" s="22">
        <f ca="1">+GETPIVOTDATA("XNT4",'nghiathanh (2016)'!$A$3,"MA_HT","SKN","MA_QH","DTS")</f>
        <v>0</v>
      </c>
      <c r="AU24" s="22">
        <f ca="1">+GETPIVOTDATA("XNT4",'nghiathanh (2016)'!$A$3,"MA_HT","SKN","MA_QH","DNG")</f>
        <v>0</v>
      </c>
      <c r="AV24" s="22">
        <f ca="1">+GETPIVOTDATA("XNT4",'nghiathanh (2016)'!$A$3,"MA_HT","SKN","MA_QH","TON")</f>
        <v>0</v>
      </c>
      <c r="AW24" s="22">
        <f ca="1">+GETPIVOTDATA("XNT4",'nghiathanh (2016)'!$A$3,"MA_HT","SKN","MA_QH","NTD")</f>
        <v>0</v>
      </c>
      <c r="AX24" s="22">
        <f ca="1">+GETPIVOTDATA("XNT4",'nghiathanh (2016)'!$A$3,"MA_HT","SKN","MA_QH","SKX")</f>
        <v>0</v>
      </c>
      <c r="AY24" s="22">
        <f ca="1">+GETPIVOTDATA("XNT4",'nghiathanh (2016)'!$A$3,"MA_HT","SKN","MA_QH","DSH")</f>
        <v>0</v>
      </c>
      <c r="AZ24" s="22">
        <f ca="1">+GETPIVOTDATA("XNT4",'nghiathanh (2016)'!$A$3,"MA_HT","SKN","MA_QH","DKV")</f>
        <v>0</v>
      </c>
      <c r="BA24" s="89">
        <f ca="1">+GETPIVOTDATA("XNT4",'nghiathanh (2016)'!$A$3,"MA_HT","SKN","MA_QH","TIN")</f>
        <v>0</v>
      </c>
      <c r="BB24" s="50">
        <f ca="1">+GETPIVOTDATA("XNT4",'nghiathanh (2016)'!$A$3,"MA_HT","SKN","MA_QH","SON")</f>
        <v>0</v>
      </c>
      <c r="BC24" s="50">
        <f ca="1">+GETPIVOTDATA("XNT4",'nghiathanh (2016)'!$A$3,"MA_HT","SKN","MA_QH","MNC")</f>
        <v>0</v>
      </c>
      <c r="BD24" s="22">
        <f ca="1">+GETPIVOTDATA("XNT4",'nghiathanh (2016)'!$A$3,"MA_HT","SKN","MA_QH","PNK")</f>
        <v>0</v>
      </c>
      <c r="BE24" s="71">
        <f ca="1">+GETPIVOTDATA("XNT4",'nghiathanh (2016)'!$A$3,"MA_HT","SKN","MA_QH","CSD")</f>
        <v>0</v>
      </c>
      <c r="BF24" s="74">
        <f ca="1" t="shared" si="13"/>
        <v>0</v>
      </c>
      <c r="BG24" s="101">
        <f ca="1">W$59-$BF24</f>
        <v>0</v>
      </c>
      <c r="BH24" s="41" t="e">
        <f ca="1" t="shared" si="14"/>
        <v>#REF!</v>
      </c>
      <c r="BI24" s="98"/>
      <c r="BJ24" s="107"/>
      <c r="BK24" s="107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</row>
    <row r="25" s="2" customFormat="1" ht="15.75" customHeight="1" spans="1:79">
      <c r="A25" s="39" t="s">
        <v>8368</v>
      </c>
      <c r="B25" s="39" t="s">
        <v>8369</v>
      </c>
      <c r="C25" s="40" t="s">
        <v>265</v>
      </c>
      <c r="D25" s="41" t="e">
        <f>+#REF!</f>
        <v>#REF!</v>
      </c>
      <c r="E25" s="42">
        <f ca="1" t="shared" si="15"/>
        <v>0</v>
      </c>
      <c r="F25" s="52">
        <f ca="1" t="shared" si="9"/>
        <v>0</v>
      </c>
      <c r="G25" s="22">
        <f ca="1">+GETPIVOTDATA("XNT4",'nghiathanh (2016)'!$A$3,"MA_HT","TMD","MA_QH","LUC")</f>
        <v>0</v>
      </c>
      <c r="H25" s="22">
        <f ca="1">+GETPIVOTDATA("XNT4",'nghiathanh (2016)'!$A$3,"MA_HT","TMD","MA_QH","LUK")</f>
        <v>0</v>
      </c>
      <c r="I25" s="22">
        <f ca="1">+GETPIVOTDATA("XNT4",'nghiathanh (2016)'!$A$3,"MA_HT","TMD","MA_QH","LUN")</f>
        <v>0</v>
      </c>
      <c r="J25" s="22">
        <f ca="1">+GETPIVOTDATA("XNT4",'nghiathanh (2016)'!$A$3,"MA_HT","TMD","MA_QH","HNK")</f>
        <v>0</v>
      </c>
      <c r="K25" s="22">
        <f ca="1">+GETPIVOTDATA("XNT4",'nghiathanh (2016)'!$A$3,"MA_HT","TMD","MA_QH","CLN")</f>
        <v>0</v>
      </c>
      <c r="L25" s="22">
        <f ca="1">+GETPIVOTDATA("XNT4",'nghiathanh (2016)'!$A$3,"MA_HT","TMD","MA_QH","RSX")</f>
        <v>0</v>
      </c>
      <c r="M25" s="22">
        <f ca="1">+GETPIVOTDATA("XNT4",'nghiathanh (2016)'!$A$3,"MA_HT","TMD","MA_QH","RPH")</f>
        <v>0</v>
      </c>
      <c r="N25" s="22">
        <f ca="1">+GETPIVOTDATA("XNT4",'nghiathanh (2016)'!$A$3,"MA_HT","TMD","MA_QH","RDD")</f>
        <v>0</v>
      </c>
      <c r="O25" s="22">
        <f ca="1">+GETPIVOTDATA("XNT4",'nghiathanh (2016)'!$A$3,"MA_HT","TMD","MA_QH","NTS")</f>
        <v>0</v>
      </c>
      <c r="P25" s="22">
        <f ca="1">+GETPIVOTDATA("XNT4",'nghiathanh (2016)'!$A$3,"MA_HT","TMD","MA_QH","LMU")</f>
        <v>0</v>
      </c>
      <c r="Q25" s="22">
        <f ca="1">+GETPIVOTDATA("XNT4",'nghiathanh (2016)'!$A$3,"MA_HT","TMD","MA_QH","NKH")</f>
        <v>0</v>
      </c>
      <c r="R25" s="42">
        <f ca="1">SUM(S25:W25,Y25:AA25,AN25:BD25)</f>
        <v>0</v>
      </c>
      <c r="S25" s="22">
        <f ca="1">+GETPIVOTDATA("XNT4",'nghiathanh (2016)'!$A$3,"MA_HT","TMD","MA_QH","CQP")</f>
        <v>0</v>
      </c>
      <c r="T25" s="22">
        <f ca="1">+GETPIVOTDATA("XNT4",'nghiathanh (2016)'!$A$3,"MA_HT","TMD","MA_QH","CAN")</f>
        <v>0</v>
      </c>
      <c r="U25" s="22">
        <f ca="1">+GETPIVOTDATA("XNT4",'nghiathanh (2016)'!$A$3,"MA_HT","TMD","MA_QH","SKK")</f>
        <v>0</v>
      </c>
      <c r="V25" s="22">
        <f ca="1">+GETPIVOTDATA("XNT4",'nghiathanh (2016)'!$A$3,"MA_HT","TMD","MA_QH","SKT")</f>
        <v>0</v>
      </c>
      <c r="W25" s="22">
        <f ca="1">+GETPIVOTDATA("XNT4",'nghiathanh (2016)'!$A$3,"MA_HT","TMD","MA_QH","SKN")</f>
        <v>0</v>
      </c>
      <c r="X25" s="43" t="e">
        <f ca="1">$D25-$BF25</f>
        <v>#REF!</v>
      </c>
      <c r="Y25" s="22">
        <f ca="1">+GETPIVOTDATA("XNT4",'nghiathanh (2016)'!$A$3,"MA_HT","TMD","MA_QH","SKC")</f>
        <v>0</v>
      </c>
      <c r="Z25" s="22">
        <f ca="1">+GETPIVOTDATA("XNT4",'nghiathanh (2016)'!$A$3,"MA_HT","TMD","MA_QH","SKS")</f>
        <v>0</v>
      </c>
      <c r="AA25" s="52">
        <f ca="1" t="shared" si="12"/>
        <v>0</v>
      </c>
      <c r="AB25" s="22">
        <f ca="1">+GETPIVOTDATA("XNT4",'nghiathanh (2016)'!$A$3,"MA_HT","TMD","MA_QH","DGT")</f>
        <v>0</v>
      </c>
      <c r="AC25" s="22">
        <f ca="1">+GETPIVOTDATA("XNT4",'nghiathanh (2016)'!$A$3,"MA_HT","TMD","MA_QH","DTL")</f>
        <v>0</v>
      </c>
      <c r="AD25" s="22">
        <f ca="1">+GETPIVOTDATA("XNT4",'nghiathanh (2016)'!$A$3,"MA_HT","TMD","MA_QH","DNL")</f>
        <v>0</v>
      </c>
      <c r="AE25" s="22">
        <f ca="1">+GETPIVOTDATA("XNT4",'nghiathanh (2016)'!$A$3,"MA_HT","TMD","MA_QH","DBV")</f>
        <v>0</v>
      </c>
      <c r="AF25" s="22">
        <f ca="1">+GETPIVOTDATA("XNT4",'nghiathanh (2016)'!$A$3,"MA_HT","TMD","MA_QH","DVH")</f>
        <v>0</v>
      </c>
      <c r="AG25" s="22">
        <f ca="1">+GETPIVOTDATA("XNT4",'nghiathanh (2016)'!$A$3,"MA_HT","TMD","MA_QH","DYT")</f>
        <v>0</v>
      </c>
      <c r="AH25" s="22">
        <f ca="1">+GETPIVOTDATA("XNT4",'nghiathanh (2016)'!$A$3,"MA_HT","TMD","MA_QH","DGD")</f>
        <v>0</v>
      </c>
      <c r="AI25" s="22">
        <f ca="1">+GETPIVOTDATA("XNT4",'nghiathanh (2016)'!$A$3,"MA_HT","TMD","MA_QH","DTT")</f>
        <v>0</v>
      </c>
      <c r="AJ25" s="22">
        <f ca="1">+GETPIVOTDATA("XNT4",'nghiathanh (2016)'!$A$3,"MA_HT","TMD","MA_QH","NCK")</f>
        <v>0</v>
      </c>
      <c r="AK25" s="22">
        <f ca="1">+GETPIVOTDATA("XNT4",'nghiathanh (2016)'!$A$3,"MA_HT","TMD","MA_QH","DXH")</f>
        <v>0</v>
      </c>
      <c r="AL25" s="22">
        <f ca="1">+GETPIVOTDATA("XNT4",'nghiathanh (2016)'!$A$3,"MA_HT","TMD","MA_QH","DCH")</f>
        <v>0</v>
      </c>
      <c r="AM25" s="22">
        <f ca="1">+GETPIVOTDATA("XNT4",'nghiathanh (2016)'!$A$3,"MA_HT","TMD","MA_QH","DKG")</f>
        <v>0</v>
      </c>
      <c r="AN25" s="22">
        <f ca="1">+GETPIVOTDATA("XNT4",'nghiathanh (2016)'!$A$3,"MA_HT","TMD","MA_QH","DDT")</f>
        <v>0</v>
      </c>
      <c r="AO25" s="22">
        <f ca="1">+GETPIVOTDATA("XNT4",'nghiathanh (2016)'!$A$3,"MA_HT","TMD","MA_QH","DDL")</f>
        <v>0</v>
      </c>
      <c r="AP25" s="22">
        <f ca="1">+GETPIVOTDATA("XNT4",'nghiathanh (2016)'!$A$3,"MA_HT","TMD","MA_QH","DRA")</f>
        <v>0</v>
      </c>
      <c r="AQ25" s="22">
        <f ca="1">+GETPIVOTDATA("XNT4",'nghiathanh (2016)'!$A$3,"MA_HT","TMD","MA_QH","ONT")</f>
        <v>0</v>
      </c>
      <c r="AR25" s="22">
        <f ca="1">+GETPIVOTDATA("XNT4",'nghiathanh (2016)'!$A$3,"MA_HT","TMD","MA_QH","ODT")</f>
        <v>0</v>
      </c>
      <c r="AS25" s="22">
        <f ca="1">+GETPIVOTDATA("XNT4",'nghiathanh (2016)'!$A$3,"MA_HT","TMD","MA_QH","TSC")</f>
        <v>0</v>
      </c>
      <c r="AT25" s="22">
        <f ca="1">+GETPIVOTDATA("XNT4",'nghiathanh (2016)'!$A$3,"MA_HT","TMD","MA_QH","DTS")</f>
        <v>0</v>
      </c>
      <c r="AU25" s="22">
        <f ca="1">+GETPIVOTDATA("XNT4",'nghiathanh (2016)'!$A$3,"MA_HT","TMD","MA_QH","DNG")</f>
        <v>0</v>
      </c>
      <c r="AV25" s="22">
        <f ca="1">+GETPIVOTDATA("XNT4",'nghiathanh (2016)'!$A$3,"MA_HT","TMD","MA_QH","TON")</f>
        <v>0</v>
      </c>
      <c r="AW25" s="22">
        <f ca="1">+GETPIVOTDATA("XNT4",'nghiathanh (2016)'!$A$3,"MA_HT","TMD","MA_QH","NTD")</f>
        <v>0</v>
      </c>
      <c r="AX25" s="22">
        <f ca="1">+GETPIVOTDATA("XNT4",'nghiathanh (2016)'!$A$3,"MA_HT","TMD","MA_QH","SKX")</f>
        <v>0</v>
      </c>
      <c r="AY25" s="22">
        <f ca="1">+GETPIVOTDATA("XNT4",'nghiathanh (2016)'!$A$3,"MA_HT","TMD","MA_QH","DSH")</f>
        <v>0</v>
      </c>
      <c r="AZ25" s="22">
        <f ca="1">+GETPIVOTDATA("XNT4",'nghiathanh (2016)'!$A$3,"MA_HT","TMD","MA_QH","DKV")</f>
        <v>0</v>
      </c>
      <c r="BA25" s="89">
        <f ca="1">+GETPIVOTDATA("XNT4",'nghiathanh (2016)'!$A$3,"MA_HT","TMD","MA_QH","TIN")</f>
        <v>0</v>
      </c>
      <c r="BB25" s="50">
        <f ca="1">+GETPIVOTDATA("XNT4",'nghiathanh (2016)'!$A$3,"MA_HT","TMD","MA_QH","SON")</f>
        <v>0</v>
      </c>
      <c r="BC25" s="50">
        <f ca="1">+GETPIVOTDATA("XNT4",'nghiathanh (2016)'!$A$3,"MA_HT","TMD","MA_QH","MNC")</f>
        <v>0</v>
      </c>
      <c r="BD25" s="22">
        <f ca="1">+GETPIVOTDATA("XNT4",'nghiathanh (2016)'!$A$3,"MA_HT","TMD","MA_QH","PNK")</f>
        <v>0</v>
      </c>
      <c r="BE25" s="71">
        <f ca="1">+GETPIVOTDATA("XNT4",'nghiathanh (2016)'!$A$3,"MA_HT","TMD","MA_QH","CSD")</f>
        <v>0</v>
      </c>
      <c r="BF25" s="74">
        <f ca="1" t="shared" si="13"/>
        <v>0</v>
      </c>
      <c r="BG25" s="101">
        <f ca="1">X$59-$BF25</f>
        <v>0</v>
      </c>
      <c r="BH25" s="41" t="e">
        <f ca="1" t="shared" si="14"/>
        <v>#REF!</v>
      </c>
      <c r="BI25" s="98"/>
      <c r="BJ25" s="107" t="e">
        <f>#REF!</f>
        <v>#REF!</v>
      </c>
      <c r="BK25" s="107" t="e">
        <f ca="1">BH25-BJ25</f>
        <v>#REF!</v>
      </c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</row>
    <row r="26" s="2" customFormat="1" ht="15.75" customHeight="1" spans="1:79">
      <c r="A26" s="39" t="s">
        <v>8370</v>
      </c>
      <c r="B26" s="39" t="s">
        <v>8371</v>
      </c>
      <c r="C26" s="40" t="s">
        <v>204</v>
      </c>
      <c r="D26" s="41" t="e">
        <f>+#REF!</f>
        <v>#REF!</v>
      </c>
      <c r="E26" s="42">
        <f ca="1" t="shared" si="15"/>
        <v>0</v>
      </c>
      <c r="F26" s="52">
        <f ca="1" t="shared" si="9"/>
        <v>0</v>
      </c>
      <c r="G26" s="22">
        <f ca="1">+GETPIVOTDATA("XNT4",'nghiathanh (2016)'!$A$3,"MA_HT","SKC","MA_QH","LUC")</f>
        <v>0</v>
      </c>
      <c r="H26" s="22">
        <f ca="1">+GETPIVOTDATA("XNT4",'nghiathanh (2016)'!$A$3,"MA_HT","SKC","MA_QH","LUK")</f>
        <v>0</v>
      </c>
      <c r="I26" s="22">
        <f ca="1">+GETPIVOTDATA("XNT4",'nghiathanh (2016)'!$A$3,"MA_HT","SKC","MA_QH","LUN")</f>
        <v>0</v>
      </c>
      <c r="J26" s="22">
        <f ca="1">+GETPIVOTDATA("XNT4",'nghiathanh (2016)'!$A$3,"MA_HT","SKC","MA_QH","HNK")</f>
        <v>0</v>
      </c>
      <c r="K26" s="22">
        <f ca="1">+GETPIVOTDATA("XNT4",'nghiathanh (2016)'!$A$3,"MA_HT","SKC","MA_QH","CLN")</f>
        <v>0</v>
      </c>
      <c r="L26" s="22">
        <f ca="1">+GETPIVOTDATA("XNT4",'nghiathanh (2016)'!$A$3,"MA_HT","SKC","MA_QH","RSX")</f>
        <v>0</v>
      </c>
      <c r="M26" s="22">
        <f ca="1">+GETPIVOTDATA("XNT4",'nghiathanh (2016)'!$A$3,"MA_HT","SKC","MA_QH","RPH")</f>
        <v>0</v>
      </c>
      <c r="N26" s="22">
        <f ca="1">+GETPIVOTDATA("XNT4",'nghiathanh (2016)'!$A$3,"MA_HT","SKC","MA_QH","RDD")</f>
        <v>0</v>
      </c>
      <c r="O26" s="22">
        <f ca="1">+GETPIVOTDATA("XNT4",'nghiathanh (2016)'!$A$3,"MA_HT","SKC","MA_QH","NTS")</f>
        <v>0</v>
      </c>
      <c r="P26" s="22">
        <f ca="1">+GETPIVOTDATA("XNT4",'nghiathanh (2016)'!$A$3,"MA_HT","SKC","MA_QH","LMU")</f>
        <v>0</v>
      </c>
      <c r="Q26" s="22">
        <f ca="1">+GETPIVOTDATA("XNT4",'nghiathanh (2016)'!$A$3,"MA_HT","SKC","MA_QH","NKH")</f>
        <v>0</v>
      </c>
      <c r="R26" s="42">
        <f ca="1">SUM(S26:X26,Z26,AN26:BD26)</f>
        <v>0</v>
      </c>
      <c r="S26" s="22">
        <f ca="1">+GETPIVOTDATA("XNT4",'nghiathanh (2016)'!$A$3,"MA_HT","SKC","MA_QH","CQP")</f>
        <v>0</v>
      </c>
      <c r="T26" s="22">
        <f ca="1">+GETPIVOTDATA("XNT4",'nghiathanh (2016)'!$A$3,"MA_HT","SKC","MA_QH","CAN")</f>
        <v>0</v>
      </c>
      <c r="U26" s="22">
        <f ca="1">+GETPIVOTDATA("XNT4",'nghiathanh (2016)'!$A$3,"MA_HT","SKC","MA_QH","SKK")</f>
        <v>0</v>
      </c>
      <c r="V26" s="22">
        <f ca="1">+GETPIVOTDATA("XNT4",'nghiathanh (2016)'!$A$3,"MA_HT","SKC","MA_QH","SKT")</f>
        <v>0</v>
      </c>
      <c r="W26" s="22">
        <f ca="1">+GETPIVOTDATA("XNT4",'nghiathanh (2016)'!$A$3,"MA_HT","SKC","MA_QH","SKN")</f>
        <v>0</v>
      </c>
      <c r="X26" s="22">
        <f ca="1">+GETPIVOTDATA("XNT4",'nghiathanh (2016)'!$A$3,"MA_HT","SKC","MA_QH","TMD")</f>
        <v>0</v>
      </c>
      <c r="Y26" s="43" t="e">
        <f ca="1">$D26-$BF26</f>
        <v>#REF!</v>
      </c>
      <c r="Z26" s="22">
        <f ca="1">+GETPIVOTDATA("XNT4",'nghiathanh (2016)'!$A$3,"MA_HT","SKC","MA_QH","SKS")</f>
        <v>0</v>
      </c>
      <c r="AA26" s="52">
        <f ca="1" t="shared" si="12"/>
        <v>0</v>
      </c>
      <c r="AB26" s="22">
        <f ca="1">+GETPIVOTDATA("XNT4",'nghiathanh (2016)'!$A$3,"MA_HT","SKC","MA_QH","DGT")</f>
        <v>0</v>
      </c>
      <c r="AC26" s="22">
        <f ca="1">+GETPIVOTDATA("XNT4",'nghiathanh (2016)'!$A$3,"MA_HT","SKC","MA_QH","DTL")</f>
        <v>0</v>
      </c>
      <c r="AD26" s="22">
        <f ca="1">+GETPIVOTDATA("XNT4",'nghiathanh (2016)'!$A$3,"MA_HT","SKC","MA_QH","DNL")</f>
        <v>0</v>
      </c>
      <c r="AE26" s="22">
        <f ca="1">+GETPIVOTDATA("XNT4",'nghiathanh (2016)'!$A$3,"MA_HT","SKC","MA_QH","DBV")</f>
        <v>0</v>
      </c>
      <c r="AF26" s="22">
        <f ca="1">+GETPIVOTDATA("XNT4",'nghiathanh (2016)'!$A$3,"MA_HT","SKC","MA_QH","DVH")</f>
        <v>0</v>
      </c>
      <c r="AG26" s="22">
        <f ca="1">+GETPIVOTDATA("XNT4",'nghiathanh (2016)'!$A$3,"MA_HT","SKC","MA_QH","DYT")</f>
        <v>0</v>
      </c>
      <c r="AH26" s="22">
        <f ca="1">+GETPIVOTDATA("XNT4",'nghiathanh (2016)'!$A$3,"MA_HT","SKC","MA_QH","DGD")</f>
        <v>0</v>
      </c>
      <c r="AI26" s="22">
        <f ca="1">+GETPIVOTDATA("XNT4",'nghiathanh (2016)'!$A$3,"MA_HT","SKC","MA_QH","DTT")</f>
        <v>0</v>
      </c>
      <c r="AJ26" s="22">
        <f ca="1">+GETPIVOTDATA("XNT4",'nghiathanh (2016)'!$A$3,"MA_HT","SKC","MA_QH","NCK")</f>
        <v>0</v>
      </c>
      <c r="AK26" s="22">
        <f ca="1">+GETPIVOTDATA("XNT4",'nghiathanh (2016)'!$A$3,"MA_HT","SKC","MA_QH","DXH")</f>
        <v>0</v>
      </c>
      <c r="AL26" s="22">
        <f ca="1">+GETPIVOTDATA("XNT4",'nghiathanh (2016)'!$A$3,"MA_HT","SKC","MA_QH","DCH")</f>
        <v>0</v>
      </c>
      <c r="AM26" s="22">
        <f ca="1">+GETPIVOTDATA("XNT4",'nghiathanh (2016)'!$A$3,"MA_HT","SKC","MA_QH","DKG")</f>
        <v>0</v>
      </c>
      <c r="AN26" s="22">
        <f ca="1">+GETPIVOTDATA("XNT4",'nghiathanh (2016)'!$A$3,"MA_HT","SKC","MA_QH","DDT")</f>
        <v>0</v>
      </c>
      <c r="AO26" s="22">
        <f ca="1">+GETPIVOTDATA("XNT4",'nghiathanh (2016)'!$A$3,"MA_HT","SKC","MA_QH","DDL")</f>
        <v>0</v>
      </c>
      <c r="AP26" s="22">
        <f ca="1">+GETPIVOTDATA("XNT4",'nghiathanh (2016)'!$A$3,"MA_HT","SKC","MA_QH","DRA")</f>
        <v>0</v>
      </c>
      <c r="AQ26" s="22">
        <f ca="1">+GETPIVOTDATA("XNT4",'nghiathanh (2016)'!$A$3,"MA_HT","SKC","MA_QH","ONT")</f>
        <v>0</v>
      </c>
      <c r="AR26" s="22">
        <f ca="1">+GETPIVOTDATA("XNT4",'nghiathanh (2016)'!$A$3,"MA_HT","SKC","MA_QH","ODT")</f>
        <v>0</v>
      </c>
      <c r="AS26" s="22">
        <f ca="1">+GETPIVOTDATA("XNT4",'nghiathanh (2016)'!$A$3,"MA_HT","SKC","MA_QH","TSC")</f>
        <v>0</v>
      </c>
      <c r="AT26" s="22">
        <f ca="1">+GETPIVOTDATA("XNT4",'nghiathanh (2016)'!$A$3,"MA_HT","SKC","MA_QH","DTS")</f>
        <v>0</v>
      </c>
      <c r="AU26" s="22">
        <f ca="1">+GETPIVOTDATA("XNT4",'nghiathanh (2016)'!$A$3,"MA_HT","SKC","MA_QH","DNG")</f>
        <v>0</v>
      </c>
      <c r="AV26" s="22">
        <f ca="1">+GETPIVOTDATA("XNT4",'nghiathanh (2016)'!$A$3,"MA_HT","SKC","MA_QH","TON")</f>
        <v>0</v>
      </c>
      <c r="AW26" s="22">
        <f ca="1">+GETPIVOTDATA("XNT4",'nghiathanh (2016)'!$A$3,"MA_HT","SKC","MA_QH","NTD")</f>
        <v>0</v>
      </c>
      <c r="AX26" s="22">
        <f ca="1">+GETPIVOTDATA("XNT4",'nghiathanh (2016)'!$A$3,"MA_HT","SKC","MA_QH","SKX")</f>
        <v>0</v>
      </c>
      <c r="AY26" s="22">
        <f ca="1">+GETPIVOTDATA("XNT4",'nghiathanh (2016)'!$A$3,"MA_HT","SKC","MA_QH","DSH")</f>
        <v>0</v>
      </c>
      <c r="AZ26" s="22">
        <f ca="1">+GETPIVOTDATA("XNT4",'nghiathanh (2016)'!$A$3,"MA_HT","SKC","MA_QH","DKV")</f>
        <v>0</v>
      </c>
      <c r="BA26" s="89">
        <f ca="1">+GETPIVOTDATA("XNT4",'nghiathanh (2016)'!$A$3,"MA_HT","SKC","MA_QH","TIN")</f>
        <v>0</v>
      </c>
      <c r="BB26" s="50">
        <f ca="1">+GETPIVOTDATA("XNT4",'nghiathanh (2016)'!$A$3,"MA_HT","SKC","MA_QH","SON")</f>
        <v>0</v>
      </c>
      <c r="BC26" s="50">
        <f ca="1">+GETPIVOTDATA("XNT4",'nghiathanh (2016)'!$A$3,"MA_HT","SKC","MA_QH","MNC")</f>
        <v>0</v>
      </c>
      <c r="BD26" s="22">
        <f ca="1">+GETPIVOTDATA("XNT4",'nghiathanh (2016)'!$A$3,"MA_HT","SKC","MA_QH","PNK")</f>
        <v>0</v>
      </c>
      <c r="BE26" s="71">
        <f ca="1">+GETPIVOTDATA("XNT4",'nghiathanh (2016)'!$A$3,"MA_HT","SKC","MA_QH","CSD")</f>
        <v>0</v>
      </c>
      <c r="BF26" s="74">
        <f ca="1" t="shared" si="13"/>
        <v>0</v>
      </c>
      <c r="BG26" s="101">
        <f ca="1">Y$59-$BF26</f>
        <v>0</v>
      </c>
      <c r="BH26" s="41" t="e">
        <f ca="1" t="shared" si="14"/>
        <v>#REF!</v>
      </c>
      <c r="BI26" s="98"/>
      <c r="BJ26" s="107" t="e">
        <f>#REF!</f>
        <v>#REF!</v>
      </c>
      <c r="BK26" s="107" t="e">
        <f ca="1">BH26-BJ26</f>
        <v>#REF!</v>
      </c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</row>
    <row r="27" s="2" customFormat="1" ht="15.75" customHeight="1" spans="1:79">
      <c r="A27" s="39" t="s">
        <v>8372</v>
      </c>
      <c r="B27" s="53" t="s">
        <v>8373</v>
      </c>
      <c r="C27" s="40" t="s">
        <v>174</v>
      </c>
      <c r="D27" s="41" t="e">
        <f>+#REF!</f>
        <v>#REF!</v>
      </c>
      <c r="E27" s="42">
        <f ca="1" t="shared" si="15"/>
        <v>0</v>
      </c>
      <c r="F27" s="52">
        <f ca="1" t="shared" si="9"/>
        <v>0</v>
      </c>
      <c r="G27" s="22">
        <f ca="1">+GETPIVOTDATA("XNT4",'nghiathanh (2016)'!$A$3,"MA_HT","SKS","MA_QH","LUC")</f>
        <v>0</v>
      </c>
      <c r="H27" s="22">
        <f ca="1">+GETPIVOTDATA("XNT4",'nghiathanh (2016)'!$A$3,"MA_HT","SKS","MA_QH","LUK")</f>
        <v>0</v>
      </c>
      <c r="I27" s="22">
        <f ca="1">+GETPIVOTDATA("XNT4",'nghiathanh (2016)'!$A$3,"MA_HT","SKS","MA_QH","LUN")</f>
        <v>0</v>
      </c>
      <c r="J27" s="22">
        <f ca="1">+GETPIVOTDATA("XNT4",'nghiathanh (2016)'!$A$3,"MA_HT","SKS","MA_QH","HNK")</f>
        <v>0</v>
      </c>
      <c r="K27" s="22">
        <f ca="1">+GETPIVOTDATA("XNT4",'nghiathanh (2016)'!$A$3,"MA_HT","SKS","MA_QH","CLN")</f>
        <v>0</v>
      </c>
      <c r="L27" s="22">
        <f ca="1">+GETPIVOTDATA("XNT4",'nghiathanh (2016)'!$A$3,"MA_HT","SKS","MA_QH","RSX")</f>
        <v>0</v>
      </c>
      <c r="M27" s="22">
        <f ca="1">+GETPIVOTDATA("XNT4",'nghiathanh (2016)'!$A$3,"MA_HT","SKS","MA_QH","RPH")</f>
        <v>0</v>
      </c>
      <c r="N27" s="22">
        <f ca="1">+GETPIVOTDATA("XNT4",'nghiathanh (2016)'!$A$3,"MA_HT","SKS","MA_QH","RDD")</f>
        <v>0</v>
      </c>
      <c r="O27" s="22">
        <f ca="1">+GETPIVOTDATA("XNT4",'nghiathanh (2016)'!$A$3,"MA_HT","SKS","MA_QH","NTS")</f>
        <v>0</v>
      </c>
      <c r="P27" s="22">
        <f ca="1">+GETPIVOTDATA("XNT4",'nghiathanh (2016)'!$A$3,"MA_HT","SKS","MA_QH","LMU")</f>
        <v>0</v>
      </c>
      <c r="Q27" s="22">
        <f ca="1">+GETPIVOTDATA("XNT4",'nghiathanh (2016)'!$A$3,"MA_HT","SKS","MA_QH","NKH")</f>
        <v>0</v>
      </c>
      <c r="R27" s="42">
        <f ca="1">SUM(S27:Y27,AA27,AN27:BD27)</f>
        <v>0</v>
      </c>
      <c r="S27" s="22">
        <f ca="1">+GETPIVOTDATA("XNT4",'nghiathanh (2016)'!$A$3,"MA_HT","SKS","MA_QH","CQP")</f>
        <v>0</v>
      </c>
      <c r="T27" s="22">
        <f ca="1">+GETPIVOTDATA("XNT4",'nghiathanh (2016)'!$A$3,"MA_HT","SKS","MA_QH","CAN")</f>
        <v>0</v>
      </c>
      <c r="U27" s="22">
        <f ca="1">+GETPIVOTDATA("XNT4",'nghiathanh (2016)'!$A$3,"MA_HT","SKS","MA_QH","SKK")</f>
        <v>0</v>
      </c>
      <c r="V27" s="22">
        <f ca="1">+GETPIVOTDATA("XNT4",'nghiathanh (2016)'!$A$3,"MA_HT","SKS","MA_QH","SKT")</f>
        <v>0</v>
      </c>
      <c r="W27" s="22">
        <f ca="1">+GETPIVOTDATA("XNT4",'nghiathanh (2016)'!$A$3,"MA_HT","SKS","MA_QH","SKN")</f>
        <v>0</v>
      </c>
      <c r="X27" s="22">
        <f ca="1">+GETPIVOTDATA("XNT4",'nghiathanh (2016)'!$A$3,"MA_HT","SKS","MA_QH","TMD")</f>
        <v>0</v>
      </c>
      <c r="Y27" s="22">
        <f ca="1">+GETPIVOTDATA("XNT4",'nghiathanh (2016)'!$A$3,"MA_HT","SKS","MA_QH","SKC")</f>
        <v>0</v>
      </c>
      <c r="Z27" s="43" t="e">
        <f ca="1">$D27-$BF27</f>
        <v>#REF!</v>
      </c>
      <c r="AA27" s="52">
        <f ca="1" t="shared" si="12"/>
        <v>0</v>
      </c>
      <c r="AB27" s="22">
        <f ca="1">+GETPIVOTDATA("XNT4",'nghiathanh (2016)'!$A$3,"MA_HT","SKS","MA_QH","DGT")</f>
        <v>0</v>
      </c>
      <c r="AC27" s="22">
        <f ca="1">+GETPIVOTDATA("XNT4",'nghiathanh (2016)'!$A$3,"MA_HT","SKS","MA_QH","DTL")</f>
        <v>0</v>
      </c>
      <c r="AD27" s="22">
        <f ca="1">+GETPIVOTDATA("XNT4",'nghiathanh (2016)'!$A$3,"MA_HT","SKS","MA_QH","DNL")</f>
        <v>0</v>
      </c>
      <c r="AE27" s="22">
        <f ca="1">+GETPIVOTDATA("XNT4",'nghiathanh (2016)'!$A$3,"MA_HT","SKS","MA_QH","DBV")</f>
        <v>0</v>
      </c>
      <c r="AF27" s="22">
        <f ca="1">+GETPIVOTDATA("XNT4",'nghiathanh (2016)'!$A$3,"MA_HT","SKS","MA_QH","DVH")</f>
        <v>0</v>
      </c>
      <c r="AG27" s="22">
        <f ca="1">+GETPIVOTDATA("XNT4",'nghiathanh (2016)'!$A$3,"MA_HT","SKS","MA_QH","DYT")</f>
        <v>0</v>
      </c>
      <c r="AH27" s="22">
        <f ca="1">+GETPIVOTDATA("XNT4",'nghiathanh (2016)'!$A$3,"MA_HT","SKS","MA_QH","DGD")</f>
        <v>0</v>
      </c>
      <c r="AI27" s="22">
        <f ca="1">+GETPIVOTDATA("XNT4",'nghiathanh (2016)'!$A$3,"MA_HT","SKS","MA_QH","DTT")</f>
        <v>0</v>
      </c>
      <c r="AJ27" s="22">
        <f ca="1">+GETPIVOTDATA("XNT4",'nghiathanh (2016)'!$A$3,"MA_HT","SKS","MA_QH","NCK")</f>
        <v>0</v>
      </c>
      <c r="AK27" s="22">
        <f ca="1">+GETPIVOTDATA("XNT4",'nghiathanh (2016)'!$A$3,"MA_HT","SKS","MA_QH","DXH")</f>
        <v>0</v>
      </c>
      <c r="AL27" s="22">
        <f ca="1">+GETPIVOTDATA("XNT4",'nghiathanh (2016)'!$A$3,"MA_HT","SKS","MA_QH","DCH")</f>
        <v>0</v>
      </c>
      <c r="AM27" s="22">
        <f ca="1">+GETPIVOTDATA("XNT4",'nghiathanh (2016)'!$A$3,"MA_HT","SKS","MA_QH","DKG")</f>
        <v>0</v>
      </c>
      <c r="AN27" s="22">
        <f ca="1">+GETPIVOTDATA("XNT4",'nghiathanh (2016)'!$A$3,"MA_HT","SKS","MA_QH","DDT")</f>
        <v>0</v>
      </c>
      <c r="AO27" s="22">
        <f ca="1">+GETPIVOTDATA("XNT4",'nghiathanh (2016)'!$A$3,"MA_HT","SKS","MA_QH","DDL")</f>
        <v>0</v>
      </c>
      <c r="AP27" s="22">
        <f ca="1">+GETPIVOTDATA("XNT4",'nghiathanh (2016)'!$A$3,"MA_HT","SKS","MA_QH","DRA")</f>
        <v>0</v>
      </c>
      <c r="AQ27" s="22">
        <f ca="1">+GETPIVOTDATA("XNT4",'nghiathanh (2016)'!$A$3,"MA_HT","SKS","MA_QH","ONT")</f>
        <v>0</v>
      </c>
      <c r="AR27" s="22">
        <f ca="1">+GETPIVOTDATA("XNT4",'nghiathanh (2016)'!$A$3,"MA_HT","SKS","MA_QH","ODT")</f>
        <v>0</v>
      </c>
      <c r="AS27" s="22">
        <f ca="1">+GETPIVOTDATA("XNT4",'nghiathanh (2016)'!$A$3,"MA_HT","SKS","MA_QH","TSC")</f>
        <v>0</v>
      </c>
      <c r="AT27" s="22">
        <f ca="1">+GETPIVOTDATA("XNT4",'nghiathanh (2016)'!$A$3,"MA_HT","SKS","MA_QH","DTS")</f>
        <v>0</v>
      </c>
      <c r="AU27" s="22">
        <f ca="1">+GETPIVOTDATA("XNT4",'nghiathanh (2016)'!$A$3,"MA_HT","SKS","MA_QH","DNG")</f>
        <v>0</v>
      </c>
      <c r="AV27" s="22">
        <f ca="1">+GETPIVOTDATA("XNT4",'nghiathanh (2016)'!$A$3,"MA_HT","SKS","MA_QH","TON")</f>
        <v>0</v>
      </c>
      <c r="AW27" s="22">
        <f ca="1">+GETPIVOTDATA("XNT4",'nghiathanh (2016)'!$A$3,"MA_HT","SKS","MA_QH","NTD")</f>
        <v>0</v>
      </c>
      <c r="AX27" s="22">
        <f ca="1">+GETPIVOTDATA("XNT4",'nghiathanh (2016)'!$A$3,"MA_HT","SKS","MA_QH","SKX")</f>
        <v>0</v>
      </c>
      <c r="AY27" s="22">
        <f ca="1">+GETPIVOTDATA("XNT4",'nghiathanh (2016)'!$A$3,"MA_HT","SKS","MA_QH","DSH")</f>
        <v>0</v>
      </c>
      <c r="AZ27" s="22">
        <f ca="1">+GETPIVOTDATA("XNT4",'nghiathanh (2016)'!$A$3,"MA_HT","SKS","MA_QH","DKV")</f>
        <v>0</v>
      </c>
      <c r="BA27" s="89">
        <f ca="1">+GETPIVOTDATA("XNT4",'nghiathanh (2016)'!$A$3,"MA_HT","SKS","MA_QH","TIN")</f>
        <v>0</v>
      </c>
      <c r="BB27" s="50">
        <f ca="1">+GETPIVOTDATA("XNT4",'nghiathanh (2016)'!$A$3,"MA_HT","SKS","MA_QH","SON")</f>
        <v>0</v>
      </c>
      <c r="BC27" s="50">
        <f ca="1">+GETPIVOTDATA("XNT4",'nghiathanh (2016)'!$A$3,"MA_HT","SKS","MA_QH","MNC")</f>
        <v>0</v>
      </c>
      <c r="BD27" s="22">
        <f ca="1">+GETPIVOTDATA("XNT4",'nghiathanh (2016)'!$A$3,"MA_HT","SKS","MA_QH","PNK")</f>
        <v>0</v>
      </c>
      <c r="BE27" s="71">
        <f ca="1">+GETPIVOTDATA("XNT4",'nghiathanh (2016)'!$A$3,"MA_HT","SKS","MA_QH","CSD")</f>
        <v>0</v>
      </c>
      <c r="BF27" s="74">
        <f ca="1" t="shared" si="13"/>
        <v>0</v>
      </c>
      <c r="BG27" s="101">
        <f ca="1">Z$59-$BF27</f>
        <v>0</v>
      </c>
      <c r="BH27" s="41" t="e">
        <f ca="1" t="shared" si="14"/>
        <v>#REF!</v>
      </c>
      <c r="BI27" s="98"/>
      <c r="BJ27" s="107" t="e">
        <f>#REF!</f>
        <v>#REF!</v>
      </c>
      <c r="BK27" s="107" t="e">
        <f ca="1">BH27-BJ27</f>
        <v>#REF!</v>
      </c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</row>
    <row r="28" s="2" customFormat="1" ht="15.75" customHeight="1" spans="1:79">
      <c r="A28" s="39" t="s">
        <v>8374</v>
      </c>
      <c r="B28" s="53" t="s">
        <v>8375</v>
      </c>
      <c r="C28" s="40" t="s">
        <v>8288</v>
      </c>
      <c r="D28" s="41" t="e">
        <f>+#REF!</f>
        <v>#REF!</v>
      </c>
      <c r="E28" s="42">
        <f ca="1" t="shared" si="15"/>
        <v>0</v>
      </c>
      <c r="F28" s="52">
        <f ca="1" t="shared" si="9"/>
        <v>0</v>
      </c>
      <c r="G28" s="44">
        <f ca="1">SUM(G29:G39)</f>
        <v>0</v>
      </c>
      <c r="H28" s="44">
        <f ca="1" t="shared" ref="H28:Q28" si="16">SUM(H29:H39)</f>
        <v>0</v>
      </c>
      <c r="I28" s="44">
        <f ca="1" t="shared" si="16"/>
        <v>0</v>
      </c>
      <c r="J28" s="44">
        <f ca="1" t="shared" si="16"/>
        <v>0</v>
      </c>
      <c r="K28" s="44">
        <f ca="1" t="shared" si="16"/>
        <v>0</v>
      </c>
      <c r="L28" s="44">
        <f ca="1" t="shared" si="16"/>
        <v>0</v>
      </c>
      <c r="M28" s="44">
        <f ca="1" t="shared" si="16"/>
        <v>0</v>
      </c>
      <c r="N28" s="44">
        <f ca="1" t="shared" si="16"/>
        <v>0</v>
      </c>
      <c r="O28" s="44">
        <f ca="1" t="shared" si="16"/>
        <v>0</v>
      </c>
      <c r="P28" s="44">
        <f ca="1" t="shared" si="16"/>
        <v>0</v>
      </c>
      <c r="Q28" s="44">
        <f ca="1" t="shared" si="16"/>
        <v>0</v>
      </c>
      <c r="R28" s="44">
        <f ca="1">SUM(S28:Z28,AN28:BD28)</f>
        <v>0</v>
      </c>
      <c r="S28" s="44">
        <f ca="1">SUM(S29:S39)</f>
        <v>0</v>
      </c>
      <c r="T28" s="44">
        <f ca="1" t="shared" ref="T28:Z28" si="17">SUM(T29:T39)</f>
        <v>0</v>
      </c>
      <c r="U28" s="44">
        <f ca="1" t="shared" si="17"/>
        <v>0</v>
      </c>
      <c r="V28" s="44">
        <f ca="1" t="shared" si="17"/>
        <v>0</v>
      </c>
      <c r="W28" s="44">
        <f ca="1" t="shared" si="17"/>
        <v>0</v>
      </c>
      <c r="X28" s="44">
        <f ca="1" t="shared" si="17"/>
        <v>0</v>
      </c>
      <c r="Y28" s="44">
        <f ca="1" t="shared" si="17"/>
        <v>0</v>
      </c>
      <c r="Z28" s="44">
        <f ca="1" t="shared" si="17"/>
        <v>0</v>
      </c>
      <c r="AA28" s="43" t="e">
        <f ca="1">$D28-$BF28</f>
        <v>#REF!</v>
      </c>
      <c r="AB28" s="44">
        <f ca="1">SUM(AB30:AB39)</f>
        <v>0</v>
      </c>
      <c r="AC28" s="44">
        <f ca="1">SUM(AC29,AC31:AC39)</f>
        <v>0</v>
      </c>
      <c r="AD28" s="44">
        <f ca="1">SUM(AD29:AD30,AD32:AD39)</f>
        <v>0</v>
      </c>
      <c r="AE28" s="44">
        <f ca="1">SUM(AE29:AE31,AE33:AE39)</f>
        <v>0</v>
      </c>
      <c r="AF28" s="44">
        <f ca="1">SUM(AF29:AF32,AF34:AF39)</f>
        <v>0</v>
      </c>
      <c r="AG28" s="44">
        <f ca="1">SUM(AG29:AG33,AG35:AG39)</f>
        <v>0</v>
      </c>
      <c r="AH28" s="44">
        <f ca="1">SUM(AH29:AH34,AH36:AH39)</f>
        <v>0</v>
      </c>
      <c r="AI28" s="44">
        <f ca="1">SUM(AI29:AI35,AI37:AI39)</f>
        <v>0</v>
      </c>
      <c r="AJ28" s="44">
        <f ca="1">SUM(AJ29:AJ36,AJ38:AJ39)</f>
        <v>0</v>
      </c>
      <c r="AK28" s="44">
        <f ca="1">SUM(AK29:AK37,AK39)</f>
        <v>0</v>
      </c>
      <c r="AL28" s="44">
        <f ca="1">SUM(AL29:AL38)</f>
        <v>0</v>
      </c>
      <c r="AM28" s="44">
        <f ca="1">SUM(AM29:AM38)</f>
        <v>0</v>
      </c>
      <c r="AN28" s="44">
        <f ca="1" t="shared" ref="AN28:BE28" si="18">SUM(AN29:AN39)</f>
        <v>0</v>
      </c>
      <c r="AO28" s="44">
        <f ca="1" t="shared" si="18"/>
        <v>0</v>
      </c>
      <c r="AP28" s="44">
        <f ca="1" t="shared" si="18"/>
        <v>0</v>
      </c>
      <c r="AQ28" s="44">
        <f ca="1" t="shared" si="18"/>
        <v>0</v>
      </c>
      <c r="AR28" s="44">
        <f ca="1" t="shared" si="18"/>
        <v>0</v>
      </c>
      <c r="AS28" s="44">
        <f ca="1" t="shared" si="18"/>
        <v>0</v>
      </c>
      <c r="AT28" s="44">
        <f ca="1" t="shared" si="18"/>
        <v>0</v>
      </c>
      <c r="AU28" s="44">
        <f ca="1" t="shared" si="18"/>
        <v>0</v>
      </c>
      <c r="AV28" s="44">
        <f ca="1" t="shared" si="18"/>
        <v>0</v>
      </c>
      <c r="AW28" s="44">
        <f ca="1" t="shared" si="18"/>
        <v>0</v>
      </c>
      <c r="AX28" s="44">
        <f ca="1" t="shared" si="18"/>
        <v>0</v>
      </c>
      <c r="AY28" s="44">
        <f ca="1" t="shared" si="18"/>
        <v>0</v>
      </c>
      <c r="AZ28" s="44">
        <f ca="1" t="shared" si="18"/>
        <v>0</v>
      </c>
      <c r="BA28" s="44">
        <f ca="1" t="shared" si="18"/>
        <v>0</v>
      </c>
      <c r="BB28" s="44">
        <f ca="1" t="shared" si="18"/>
        <v>0</v>
      </c>
      <c r="BC28" s="44">
        <f ca="1" t="shared" si="18"/>
        <v>0</v>
      </c>
      <c r="BD28" s="44">
        <f ca="1" t="shared" si="18"/>
        <v>0</v>
      </c>
      <c r="BE28" s="44">
        <f ca="1" t="shared" si="18"/>
        <v>0</v>
      </c>
      <c r="BF28" s="74">
        <f ca="1" t="shared" si="13"/>
        <v>0</v>
      </c>
      <c r="BG28" s="101">
        <f ca="1">AA$59-$BF28</f>
        <v>0</v>
      </c>
      <c r="BH28" s="41" t="e">
        <f ca="1" t="shared" si="14"/>
        <v>#REF!</v>
      </c>
      <c r="BI28" s="98"/>
      <c r="BJ28" s="107"/>
      <c r="BK28" s="107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</row>
    <row r="29" s="4" customFormat="1" ht="16.5" customHeight="1" spans="1:79">
      <c r="A29" s="45" t="s">
        <v>8376</v>
      </c>
      <c r="B29" s="45" t="s">
        <v>8377</v>
      </c>
      <c r="C29" s="46" t="s">
        <v>94</v>
      </c>
      <c r="D29" s="47" t="e">
        <f>+#REF!</f>
        <v>#REF!</v>
      </c>
      <c r="E29" s="42">
        <f ca="1" t="shared" si="15"/>
        <v>0</v>
      </c>
      <c r="F29" s="52">
        <f ca="1" t="shared" si="9"/>
        <v>0</v>
      </c>
      <c r="G29" s="50">
        <f ca="1">+GETPIVOTDATA("XNT4",'nghiathanh (2016)'!$A$3,"MA_HT","DGT","MA_QH","LUC")</f>
        <v>0</v>
      </c>
      <c r="H29" s="50">
        <f ca="1">+GETPIVOTDATA("XNT4",'nghiathanh (2016)'!$A$3,"MA_HT","DGT","MA_QH","LUK")</f>
        <v>0</v>
      </c>
      <c r="I29" s="50">
        <f ca="1">+GETPIVOTDATA("XNT4",'nghiathanh (2016)'!$A$3,"MA_HT","DGT","MA_QH","LUN")</f>
        <v>0</v>
      </c>
      <c r="J29" s="50">
        <f ca="1">+GETPIVOTDATA("XNT4",'nghiathanh (2016)'!$A$3,"MA_HT","DGT","MA_QH","HNK")</f>
        <v>0</v>
      </c>
      <c r="K29" s="50">
        <f ca="1">+GETPIVOTDATA("XNT4",'nghiathanh (2016)'!$A$3,"MA_HT","DGT","MA_QH","CLN")</f>
        <v>0</v>
      </c>
      <c r="L29" s="50">
        <f ca="1">+GETPIVOTDATA("XNT4",'nghiathanh (2016)'!$A$3,"MA_HT","DGT","MA_QH","RSX")</f>
        <v>0</v>
      </c>
      <c r="M29" s="50">
        <f ca="1">+GETPIVOTDATA("XNT4",'nghiathanh (2016)'!$A$3,"MA_HT","DGT","MA_QH","RPH")</f>
        <v>0</v>
      </c>
      <c r="N29" s="50">
        <f ca="1">+GETPIVOTDATA("XNT4",'nghiathanh (2016)'!$A$3,"MA_HT","DGT","MA_QH","RDD")</f>
        <v>0</v>
      </c>
      <c r="O29" s="50">
        <f ca="1">+GETPIVOTDATA("XNT4",'nghiathanh (2016)'!$A$3,"MA_HT","DGT","MA_QH","NTS")</f>
        <v>0</v>
      </c>
      <c r="P29" s="50">
        <f ca="1">+GETPIVOTDATA("XNT4",'nghiathanh (2016)'!$A$3,"MA_HT","DGT","MA_QH","LMU")</f>
        <v>0</v>
      </c>
      <c r="Q29" s="50">
        <f ca="1">+GETPIVOTDATA("XNT4",'nghiathanh (2016)'!$A$3,"MA_HT","DGT","MA_QH","NKH")</f>
        <v>0</v>
      </c>
      <c r="R29" s="48">
        <f ca="1">SUM(S29:AA29,AN29:BD29)</f>
        <v>0</v>
      </c>
      <c r="S29" s="50">
        <f ca="1">+GETPIVOTDATA("XNT4",'nghiathanh (2016)'!$A$3,"MA_HT","DGT","MA_QH","CQP")</f>
        <v>0</v>
      </c>
      <c r="T29" s="50">
        <f ca="1">+GETPIVOTDATA("XNT4",'nghiathanh (2016)'!$A$3,"MA_HT","DGT","MA_QH","CAN")</f>
        <v>0</v>
      </c>
      <c r="U29" s="50">
        <f ca="1">+GETPIVOTDATA("XNT4",'nghiathanh (2016)'!$A$3,"MA_HT","DGT","MA_QH","SKK")</f>
        <v>0</v>
      </c>
      <c r="V29" s="50">
        <f ca="1">+GETPIVOTDATA("XNT4",'nghiathanh (2016)'!$A$3,"MA_HT","DGT","MA_QH","SKT")</f>
        <v>0</v>
      </c>
      <c r="W29" s="50">
        <f ca="1">+GETPIVOTDATA("XNT4",'nghiathanh (2016)'!$A$3,"MA_HT","DGT","MA_QH","SKN")</f>
        <v>0</v>
      </c>
      <c r="X29" s="50">
        <f ca="1">+GETPIVOTDATA("XNT4",'nghiathanh (2016)'!$A$3,"MA_HT","DGT","MA_QH","TMD")</f>
        <v>0</v>
      </c>
      <c r="Y29" s="50">
        <f ca="1">+GETPIVOTDATA("XNT4",'nghiathanh (2016)'!$A$3,"MA_HT","DGT","MA_QH","SKC")</f>
        <v>0</v>
      </c>
      <c r="Z29" s="50">
        <f ca="1">+GETPIVOTDATA("XNT4",'nghiathanh (2016)'!$A$3,"MA_HT","DGT","MA_QH","SKS")</f>
        <v>0</v>
      </c>
      <c r="AA29" s="52">
        <f ca="1">+SUM(AC29:AM29)</f>
        <v>0</v>
      </c>
      <c r="AB29" s="49" t="e">
        <f ca="1">$D29-$BF29</f>
        <v>#REF!</v>
      </c>
      <c r="AC29" s="50">
        <f ca="1">+GETPIVOTDATA("XNT4",'nghiathanh (2016)'!$A$3,"MA_HT","DGT","MA_QH","DTL")</f>
        <v>0</v>
      </c>
      <c r="AD29" s="50">
        <f ca="1">+GETPIVOTDATA("XNT4",'nghiathanh (2016)'!$A$3,"MA_HT","DGT","MA_QH","DNL")</f>
        <v>0</v>
      </c>
      <c r="AE29" s="50">
        <f ca="1">+GETPIVOTDATA("XNT4",'nghiathanh (2016)'!$A$3,"MA_HT","DGT","MA_QH","DBV")</f>
        <v>0</v>
      </c>
      <c r="AF29" s="50">
        <f ca="1">+GETPIVOTDATA("XNT4",'nghiathanh (2016)'!$A$3,"MA_HT","DGT","MA_QH","DVH")</f>
        <v>0</v>
      </c>
      <c r="AG29" s="50">
        <f ca="1">+GETPIVOTDATA("XNT4",'nghiathanh (2016)'!$A$3,"MA_HT","DGT","MA_QH","DYT")</f>
        <v>0</v>
      </c>
      <c r="AH29" s="50">
        <f ca="1">+GETPIVOTDATA("XNT4",'nghiathanh (2016)'!$A$3,"MA_HT","DGT","MA_QH","DGD")</f>
        <v>0</v>
      </c>
      <c r="AI29" s="50">
        <f ca="1">+GETPIVOTDATA("XNT4",'nghiathanh (2016)'!$A$3,"MA_HT","DGT","MA_QH","DTT")</f>
        <v>0</v>
      </c>
      <c r="AJ29" s="50">
        <f ca="1">+GETPIVOTDATA("XNT4",'nghiathanh (2016)'!$A$3,"MA_HT","DGT","MA_QH","NCK")</f>
        <v>0</v>
      </c>
      <c r="AK29" s="50">
        <f ca="1">+GETPIVOTDATA("XNT4",'nghiathanh (2016)'!$A$3,"MA_HT","DGT","MA_QH","DXH")</f>
        <v>0</v>
      </c>
      <c r="AL29" s="50">
        <f ca="1">+GETPIVOTDATA("XNT4",'nghiathanh (2016)'!$A$3,"MA_HT","DGT","MA_QH","DCH")</f>
        <v>0</v>
      </c>
      <c r="AM29" s="50">
        <f ca="1">+GETPIVOTDATA("XNT4",'nghiathanh (2016)'!$A$3,"MA_HT","DGT","MA_QH","DKG")</f>
        <v>0</v>
      </c>
      <c r="AN29" s="50">
        <f ca="1">+GETPIVOTDATA("XNT4",'nghiathanh (2016)'!$A$3,"MA_HT","DGT","MA_QH","DDT")</f>
        <v>0</v>
      </c>
      <c r="AO29" s="50">
        <f ca="1">+GETPIVOTDATA("XNT4",'nghiathanh (2016)'!$A$3,"MA_HT","DGT","MA_QH","DDL")</f>
        <v>0</v>
      </c>
      <c r="AP29" s="50">
        <f ca="1">+GETPIVOTDATA("XNT4",'nghiathanh (2016)'!$A$3,"MA_HT","DGT","MA_QH","DRA")</f>
        <v>0</v>
      </c>
      <c r="AQ29" s="50">
        <f ca="1">+GETPIVOTDATA("XNT4",'nghiathanh (2016)'!$A$3,"MA_HT","DGT","MA_QH","ONT")</f>
        <v>0</v>
      </c>
      <c r="AR29" s="50">
        <f ca="1">+GETPIVOTDATA("XNT4",'nghiathanh (2016)'!$A$3,"MA_HT","DGT","MA_QH","ODT")</f>
        <v>0</v>
      </c>
      <c r="AS29" s="50">
        <f ca="1">+GETPIVOTDATA("XNT4",'nghiathanh (2016)'!$A$3,"MA_HT","DGT","MA_QH","TSC")</f>
        <v>0</v>
      </c>
      <c r="AT29" s="50">
        <f ca="1">+GETPIVOTDATA("XNT4",'nghiathanh (2016)'!$A$3,"MA_HT","DGT","MA_QH","DTS")</f>
        <v>0</v>
      </c>
      <c r="AU29" s="50">
        <f ca="1">+GETPIVOTDATA("XNT4",'nghiathanh (2016)'!$A$3,"MA_HT","DGT","MA_QH","DNG")</f>
        <v>0</v>
      </c>
      <c r="AV29" s="50">
        <f ca="1">+GETPIVOTDATA("XNT4",'nghiathanh (2016)'!$A$3,"MA_HT","DGT","MA_QH","TON")</f>
        <v>0</v>
      </c>
      <c r="AW29" s="50">
        <f ca="1">+GETPIVOTDATA("XNT4",'nghiathanh (2016)'!$A$3,"MA_HT","DGT","MA_QH","NTD")</f>
        <v>0</v>
      </c>
      <c r="AX29" s="50">
        <f ca="1">+GETPIVOTDATA("XNT4",'nghiathanh (2016)'!$A$3,"MA_HT","DGT","MA_QH","SKX")</f>
        <v>0</v>
      </c>
      <c r="AY29" s="50">
        <f ca="1">+GETPIVOTDATA("XNT4",'nghiathanh (2016)'!$A$3,"MA_HT","DGT","MA_QH","DSH")</f>
        <v>0</v>
      </c>
      <c r="AZ29" s="50">
        <f ca="1">+GETPIVOTDATA("XNT4",'nghiathanh (2016)'!$A$3,"MA_HT","DGT","MA_QH","DKV")</f>
        <v>0</v>
      </c>
      <c r="BA29" s="88">
        <f ca="1">+GETPIVOTDATA("XNT4",'nghiathanh (2016)'!$A$3,"MA_HT","DGT","MA_QH","TIN")</f>
        <v>0</v>
      </c>
      <c r="BB29" s="50">
        <f ca="1">+GETPIVOTDATA("XNT4",'nghiathanh (2016)'!$A$3,"MA_HT","DGT","MA_QH","SON")</f>
        <v>0</v>
      </c>
      <c r="BC29" s="50">
        <f ca="1">+GETPIVOTDATA("XNT4",'nghiathanh (2016)'!$A$3,"MA_HT","DGT","MA_QH","MNC")</f>
        <v>0</v>
      </c>
      <c r="BD29" s="50">
        <f ca="1">+GETPIVOTDATA("XNT4",'nghiathanh (2016)'!$A$3,"MA_HT","DGT","MA_QH","PNK")</f>
        <v>0</v>
      </c>
      <c r="BE29" s="80">
        <f ca="1">+GETPIVOTDATA("XNT4",'nghiathanh (2016)'!$A$3,"MA_HT","DGT","MA_QH","CSD")</f>
        <v>0</v>
      </c>
      <c r="BF29" s="103">
        <f ca="1" t="shared" si="13"/>
        <v>0</v>
      </c>
      <c r="BG29" s="104">
        <f ca="1">AB$59-$BF29</f>
        <v>0</v>
      </c>
      <c r="BH29" s="47" t="e">
        <f ca="1" t="shared" si="14"/>
        <v>#REF!</v>
      </c>
      <c r="BI29" s="105"/>
      <c r="BJ29" s="105" t="e">
        <f>#REF!</f>
        <v>#REF!</v>
      </c>
      <c r="BK29" s="108" t="e">
        <f ca="1" t="shared" ref="BK29:BK40" si="19">BH29-BJ29</f>
        <v>#REF!</v>
      </c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</row>
    <row r="30" s="4" customFormat="1" ht="16.5" customHeight="1" spans="1:79">
      <c r="A30" s="45" t="s">
        <v>8378</v>
      </c>
      <c r="B30" s="45" t="s">
        <v>8379</v>
      </c>
      <c r="C30" s="46" t="s">
        <v>216</v>
      </c>
      <c r="D30" s="47" t="e">
        <f>+#REF!</f>
        <v>#REF!</v>
      </c>
      <c r="E30" s="42">
        <f ca="1" t="shared" si="15"/>
        <v>0</v>
      </c>
      <c r="F30" s="52">
        <f ca="1" t="shared" si="9"/>
        <v>0</v>
      </c>
      <c r="G30" s="50">
        <f ca="1">+GETPIVOTDATA("XNT4",'nghiathanh (2016)'!$A$3,"MA_HT","DTL","MA_QH","LUC")</f>
        <v>0</v>
      </c>
      <c r="H30" s="50">
        <f ca="1">+GETPIVOTDATA("XNT4",'nghiathanh (2016)'!$A$3,"MA_HT","DTL","MA_QH","LUK")</f>
        <v>0</v>
      </c>
      <c r="I30" s="50">
        <f ca="1">+GETPIVOTDATA("XNT4",'nghiathanh (2016)'!$A$3,"MA_HT","DTL","MA_QH","LUN")</f>
        <v>0</v>
      </c>
      <c r="J30" s="50">
        <f ca="1">+GETPIVOTDATA("XNT4",'nghiathanh (2016)'!$A$3,"MA_HT","DTL","MA_QH","HNK")</f>
        <v>0</v>
      </c>
      <c r="K30" s="50">
        <f ca="1">+GETPIVOTDATA("XNT4",'nghiathanh (2016)'!$A$3,"MA_HT","DTL","MA_QH","CLN")</f>
        <v>0</v>
      </c>
      <c r="L30" s="50">
        <f ca="1">+GETPIVOTDATA("XNT4",'nghiathanh (2016)'!$A$3,"MA_HT","DTL","MA_QH","RSX")</f>
        <v>0</v>
      </c>
      <c r="M30" s="50">
        <f ca="1">+GETPIVOTDATA("XNT4",'nghiathanh (2016)'!$A$3,"MA_HT","DTL","MA_QH","RPH")</f>
        <v>0</v>
      </c>
      <c r="N30" s="50">
        <f ca="1">+GETPIVOTDATA("XNT4",'nghiathanh (2016)'!$A$3,"MA_HT","DTL","MA_QH","RDD")</f>
        <v>0</v>
      </c>
      <c r="O30" s="50">
        <f ca="1">+GETPIVOTDATA("XNT4",'nghiathanh (2016)'!$A$3,"MA_HT","DTL","MA_QH","NTS")</f>
        <v>0</v>
      </c>
      <c r="P30" s="50">
        <f ca="1">+GETPIVOTDATA("XNT4",'nghiathanh (2016)'!$A$3,"MA_HT","DTL","MA_QH","LMU")</f>
        <v>0</v>
      </c>
      <c r="Q30" s="50">
        <f ca="1">+GETPIVOTDATA("XNT4",'nghiathanh (2016)'!$A$3,"MA_HT","DTL","MA_QH","NKH")</f>
        <v>0</v>
      </c>
      <c r="R30" s="48">
        <f ca="1" t="shared" ref="R30:R40" si="20">SUM(S30:AA30,AN30:BD30)</f>
        <v>0</v>
      </c>
      <c r="S30" s="50">
        <f ca="1">+GETPIVOTDATA("XNT4",'nghiathanh (2016)'!$A$3,"MA_HT","DTL","MA_QH","CQP")</f>
        <v>0</v>
      </c>
      <c r="T30" s="50">
        <f ca="1">+GETPIVOTDATA("XNT4",'nghiathanh (2016)'!$A$3,"MA_HT","DTL","MA_QH","CAN")</f>
        <v>0</v>
      </c>
      <c r="U30" s="50">
        <f ca="1">+GETPIVOTDATA("XNT4",'nghiathanh (2016)'!$A$3,"MA_HT","DTL","MA_QH","SKK")</f>
        <v>0</v>
      </c>
      <c r="V30" s="50">
        <f ca="1">+GETPIVOTDATA("XNT4",'nghiathanh (2016)'!$A$3,"MA_HT","DTL","MA_QH","SKT")</f>
        <v>0</v>
      </c>
      <c r="W30" s="50">
        <f ca="1">+GETPIVOTDATA("XNT4",'nghiathanh (2016)'!$A$3,"MA_HT","DTL","MA_QH","SKN")</f>
        <v>0</v>
      </c>
      <c r="X30" s="50">
        <f ca="1">+GETPIVOTDATA("XNT4",'nghiathanh (2016)'!$A$3,"MA_HT","DTL","MA_QH","TMD")</f>
        <v>0</v>
      </c>
      <c r="Y30" s="50">
        <f ca="1">+GETPIVOTDATA("XNT4",'nghiathanh (2016)'!$A$3,"MA_HT","DTL","MA_QH","SKC")</f>
        <v>0</v>
      </c>
      <c r="Z30" s="50">
        <f ca="1">+GETPIVOTDATA("XNT4",'nghiathanh (2016)'!$A$3,"MA_HT","DTL","MA_QH","SKS")</f>
        <v>0</v>
      </c>
      <c r="AA30" s="52">
        <f ca="1">+SUM(AB30,AD30:AM30)</f>
        <v>0</v>
      </c>
      <c r="AB30" s="50">
        <f ca="1">+GETPIVOTDATA("XNT4",'nghiathanh (2016)'!$A$3,"MA_HT","DTL","MA_QH","DGT")</f>
        <v>0</v>
      </c>
      <c r="AC30" s="49" t="e">
        <f ca="1">$D30-$BF30</f>
        <v>#REF!</v>
      </c>
      <c r="AD30" s="50">
        <f ca="1">+GETPIVOTDATA("XNT4",'nghiathanh (2016)'!$A$3,"MA_HT","DTL","MA_QH","DNL")</f>
        <v>0</v>
      </c>
      <c r="AE30" s="50">
        <f ca="1">+GETPIVOTDATA("XNT4",'nghiathanh (2016)'!$A$3,"MA_HT","DTL","MA_QH","DBV")</f>
        <v>0</v>
      </c>
      <c r="AF30" s="50">
        <f ca="1">+GETPIVOTDATA("XNT4",'nghiathanh (2016)'!$A$3,"MA_HT","DTL","MA_QH","DVH")</f>
        <v>0</v>
      </c>
      <c r="AG30" s="50">
        <f ca="1">+GETPIVOTDATA("XNT4",'nghiathanh (2016)'!$A$3,"MA_HT","DTL","MA_QH","DYT")</f>
        <v>0</v>
      </c>
      <c r="AH30" s="50">
        <f ca="1">+GETPIVOTDATA("XNT4",'nghiathanh (2016)'!$A$3,"MA_HT","DTL","MA_QH","DGD")</f>
        <v>0</v>
      </c>
      <c r="AI30" s="50">
        <f ca="1">+GETPIVOTDATA("XNT4",'nghiathanh (2016)'!$A$3,"MA_HT","DTL","MA_QH","DTT")</f>
        <v>0</v>
      </c>
      <c r="AJ30" s="50">
        <f ca="1">+GETPIVOTDATA("XNT4",'nghiathanh (2016)'!$A$3,"MA_HT","DTL","MA_QH","NCK")</f>
        <v>0</v>
      </c>
      <c r="AK30" s="50">
        <f ca="1">+GETPIVOTDATA("XNT4",'nghiathanh (2016)'!$A$3,"MA_HT","DTL","MA_QH","DXH")</f>
        <v>0</v>
      </c>
      <c r="AL30" s="50">
        <f ca="1">+GETPIVOTDATA("XNT4",'nghiathanh (2016)'!$A$3,"MA_HT","DTL","MA_QH","DCH")</f>
        <v>0</v>
      </c>
      <c r="AM30" s="50">
        <f ca="1">+GETPIVOTDATA("XNT4",'nghiathanh (2016)'!$A$3,"MA_HT","DTL","MA_QH","DKG")</f>
        <v>0</v>
      </c>
      <c r="AN30" s="50">
        <f ca="1">+GETPIVOTDATA("XNT4",'nghiathanh (2016)'!$A$3,"MA_HT","DTL","MA_QH","DDT")</f>
        <v>0</v>
      </c>
      <c r="AO30" s="50">
        <f ca="1">+GETPIVOTDATA("XNT4",'nghiathanh (2016)'!$A$3,"MA_HT","DTL","MA_QH","DDL")</f>
        <v>0</v>
      </c>
      <c r="AP30" s="50">
        <f ca="1">+GETPIVOTDATA("XNT4",'nghiathanh (2016)'!$A$3,"MA_HT","DTL","MA_QH","DRA")</f>
        <v>0</v>
      </c>
      <c r="AQ30" s="50">
        <f ca="1">+GETPIVOTDATA("XNT4",'nghiathanh (2016)'!$A$3,"MA_HT","DTL","MA_QH","ONT")</f>
        <v>0</v>
      </c>
      <c r="AR30" s="50">
        <f ca="1">+GETPIVOTDATA("XNT4",'nghiathanh (2016)'!$A$3,"MA_HT","DTL","MA_QH","ODT")</f>
        <v>0</v>
      </c>
      <c r="AS30" s="50">
        <f ca="1">+GETPIVOTDATA("XNT4",'nghiathanh (2016)'!$A$3,"MA_HT","DTL","MA_QH","TSC")</f>
        <v>0</v>
      </c>
      <c r="AT30" s="50">
        <f ca="1">+GETPIVOTDATA("XNT4",'nghiathanh (2016)'!$A$3,"MA_HT","DTL","MA_QH","DTS")</f>
        <v>0</v>
      </c>
      <c r="AU30" s="50">
        <f ca="1">+GETPIVOTDATA("XNT4",'nghiathanh (2016)'!$A$3,"MA_HT","DTL","MA_QH","DNG")</f>
        <v>0</v>
      </c>
      <c r="AV30" s="50">
        <f ca="1">+GETPIVOTDATA("XNT4",'nghiathanh (2016)'!$A$3,"MA_HT","DTL","MA_QH","TON")</f>
        <v>0</v>
      </c>
      <c r="AW30" s="50">
        <f ca="1">+GETPIVOTDATA("XNT4",'nghiathanh (2016)'!$A$3,"MA_HT","DTL","MA_QH","NTD")</f>
        <v>0</v>
      </c>
      <c r="AX30" s="50">
        <f ca="1">+GETPIVOTDATA("XNT4",'nghiathanh (2016)'!$A$3,"MA_HT","DTL","MA_QH","SKX")</f>
        <v>0</v>
      </c>
      <c r="AY30" s="50">
        <f ca="1">+GETPIVOTDATA("XNT4",'nghiathanh (2016)'!$A$3,"MA_HT","DTL","MA_QH","DSH")</f>
        <v>0</v>
      </c>
      <c r="AZ30" s="50">
        <f ca="1">+GETPIVOTDATA("XNT4",'nghiathanh (2016)'!$A$3,"MA_HT","DTL","MA_QH","DKV")</f>
        <v>0</v>
      </c>
      <c r="BA30" s="88">
        <f ca="1">+GETPIVOTDATA("XNT4",'nghiathanh (2016)'!$A$3,"MA_HT","DTL","MA_QH","TIN")</f>
        <v>0</v>
      </c>
      <c r="BB30" s="50">
        <f ca="1">+GETPIVOTDATA("XNT4",'nghiathanh (2016)'!$A$3,"MA_HT","DTL","MA_QH","SON")</f>
        <v>0</v>
      </c>
      <c r="BC30" s="50">
        <f ca="1">+GETPIVOTDATA("XNT4",'nghiathanh (2016)'!$A$3,"MA_HT","DTL","MA_QH","MNC")</f>
        <v>0</v>
      </c>
      <c r="BD30" s="50">
        <f ca="1">+GETPIVOTDATA("XNT4",'nghiathanh (2016)'!$A$3,"MA_HT","DTL","MA_QH","PNK")</f>
        <v>0</v>
      </c>
      <c r="BE30" s="80">
        <f ca="1">+GETPIVOTDATA("XNT4",'nghiathanh (2016)'!$A$3,"MA_HT","DTL","MA_QH","CSD")</f>
        <v>0</v>
      </c>
      <c r="BF30" s="103">
        <f ca="1" t="shared" si="13"/>
        <v>0</v>
      </c>
      <c r="BG30" s="104">
        <f ca="1">AC$59-$BF30</f>
        <v>0</v>
      </c>
      <c r="BH30" s="47" t="e">
        <f ca="1" t="shared" si="14"/>
        <v>#REF!</v>
      </c>
      <c r="BI30" s="105"/>
      <c r="BJ30" s="105" t="e">
        <f>#REF!</f>
        <v>#REF!</v>
      </c>
      <c r="BK30" s="108" t="e">
        <f ca="1" t="shared" si="19"/>
        <v>#REF!</v>
      </c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</row>
    <row r="31" s="4" customFormat="1" ht="16.5" customHeight="1" spans="1:79">
      <c r="A31" s="45" t="s">
        <v>8380</v>
      </c>
      <c r="B31" s="45" t="s">
        <v>8381</v>
      </c>
      <c r="C31" s="46" t="s">
        <v>71</v>
      </c>
      <c r="D31" s="47" t="e">
        <f>+#REF!</f>
        <v>#REF!</v>
      </c>
      <c r="E31" s="42">
        <f ca="1" t="shared" si="15"/>
        <v>0</v>
      </c>
      <c r="F31" s="52">
        <f ca="1" t="shared" si="9"/>
        <v>0</v>
      </c>
      <c r="G31" s="50">
        <f ca="1">+GETPIVOTDATA("XNT4",'nghiathanh (2016)'!$A$3,"MA_HT","DNL","MA_QH","LUC")</f>
        <v>0</v>
      </c>
      <c r="H31" s="50">
        <f ca="1">+GETPIVOTDATA("XNT4",'nghiathanh (2016)'!$A$3,"MA_HT","DNL","MA_QH","LUK")</f>
        <v>0</v>
      </c>
      <c r="I31" s="50">
        <f ca="1">+GETPIVOTDATA("XNT4",'nghiathanh (2016)'!$A$3,"MA_HT","DNL","MA_QH","LUN")</f>
        <v>0</v>
      </c>
      <c r="J31" s="50">
        <f ca="1">+GETPIVOTDATA("XNT4",'nghiathanh (2016)'!$A$3,"MA_HT","DNL","MA_QH","HNK")</f>
        <v>0</v>
      </c>
      <c r="K31" s="50">
        <f ca="1">+GETPIVOTDATA("XNT4",'nghiathanh (2016)'!$A$3,"MA_HT","DNL","MA_QH","CLN")</f>
        <v>0</v>
      </c>
      <c r="L31" s="50">
        <f ca="1">+GETPIVOTDATA("XNT4",'nghiathanh (2016)'!$A$3,"MA_HT","DNL","MA_QH","RSX")</f>
        <v>0</v>
      </c>
      <c r="M31" s="50">
        <f ca="1">+GETPIVOTDATA("XNT4",'nghiathanh (2016)'!$A$3,"MA_HT","DNL","MA_QH","RPH")</f>
        <v>0</v>
      </c>
      <c r="N31" s="50">
        <f ca="1">+GETPIVOTDATA("XNT4",'nghiathanh (2016)'!$A$3,"MA_HT","DNL","MA_QH","RDD")</f>
        <v>0</v>
      </c>
      <c r="O31" s="50">
        <f ca="1">+GETPIVOTDATA("XNT4",'nghiathanh (2016)'!$A$3,"MA_HT","DNL","MA_QH","NTS")</f>
        <v>0</v>
      </c>
      <c r="P31" s="50">
        <f ca="1">+GETPIVOTDATA("XNT4",'nghiathanh (2016)'!$A$3,"MA_HT","DNL","MA_QH","LMU")</f>
        <v>0</v>
      </c>
      <c r="Q31" s="50">
        <f ca="1">+GETPIVOTDATA("XNT4",'nghiathanh (2016)'!$A$3,"MA_HT","DNL","MA_QH","NKH")</f>
        <v>0</v>
      </c>
      <c r="R31" s="48">
        <f ca="1" t="shared" si="20"/>
        <v>0</v>
      </c>
      <c r="S31" s="50">
        <f ca="1">+GETPIVOTDATA("XNT4",'nghiathanh (2016)'!$A$3,"MA_HT","DNL","MA_QH","CQP")</f>
        <v>0</v>
      </c>
      <c r="T31" s="50">
        <f ca="1">+GETPIVOTDATA("XNT4",'nghiathanh (2016)'!$A$3,"MA_HT","DNL","MA_QH","CAN")</f>
        <v>0</v>
      </c>
      <c r="U31" s="50">
        <f ca="1">+GETPIVOTDATA("XNT4",'nghiathanh (2016)'!$A$3,"MA_HT","DNL","MA_QH","SKK")</f>
        <v>0</v>
      </c>
      <c r="V31" s="50">
        <f ca="1">+GETPIVOTDATA("XNT4",'nghiathanh (2016)'!$A$3,"MA_HT","DNL","MA_QH","SKT")</f>
        <v>0</v>
      </c>
      <c r="W31" s="50">
        <f ca="1">+GETPIVOTDATA("XNT4",'nghiathanh (2016)'!$A$3,"MA_HT","DNL","MA_QH","SKN")</f>
        <v>0</v>
      </c>
      <c r="X31" s="50">
        <f ca="1">+GETPIVOTDATA("XNT4",'nghiathanh (2016)'!$A$3,"MA_HT","DNL","MA_QH","TMD")</f>
        <v>0</v>
      </c>
      <c r="Y31" s="50">
        <f ca="1">+GETPIVOTDATA("XNT4",'nghiathanh (2016)'!$A$3,"MA_HT","DNL","MA_QH","SKC")</f>
        <v>0</v>
      </c>
      <c r="Z31" s="50">
        <f ca="1">+GETPIVOTDATA("XNT4",'nghiathanh (2016)'!$A$3,"MA_HT","DNL","MA_QH","SKS")</f>
        <v>0</v>
      </c>
      <c r="AA31" s="52">
        <f ca="1">+SUM(AB31:AC31,AE31:AM31)</f>
        <v>0</v>
      </c>
      <c r="AB31" s="50">
        <f ca="1">+GETPIVOTDATA("XNT4",'nghiathanh (2016)'!$A$3,"MA_HT","DNL","MA_QH","DGT")</f>
        <v>0</v>
      </c>
      <c r="AC31" s="50">
        <f ca="1">+GETPIVOTDATA("XNT4",'nghiathanh (2016)'!$A$3,"MA_HT","DNL","MA_QH","DTL")</f>
        <v>0</v>
      </c>
      <c r="AD31" s="49" t="e">
        <f ca="1">$D31-$BF31</f>
        <v>#REF!</v>
      </c>
      <c r="AE31" s="50">
        <f ca="1">+GETPIVOTDATA("XNT4",'nghiathanh (2016)'!$A$3,"MA_HT","DNL","MA_QH","DBV")</f>
        <v>0</v>
      </c>
      <c r="AF31" s="50">
        <f ca="1">+GETPIVOTDATA("XNT4",'nghiathanh (2016)'!$A$3,"MA_HT","DNL","MA_QH","DVH")</f>
        <v>0</v>
      </c>
      <c r="AG31" s="50">
        <f ca="1">+GETPIVOTDATA("XNT4",'nghiathanh (2016)'!$A$3,"MA_HT","DNL","MA_QH","DYT")</f>
        <v>0</v>
      </c>
      <c r="AH31" s="50">
        <f ca="1">+GETPIVOTDATA("XNT4",'nghiathanh (2016)'!$A$3,"MA_HT","DNL","MA_QH","DGD")</f>
        <v>0</v>
      </c>
      <c r="AI31" s="50">
        <f ca="1">+GETPIVOTDATA("XNT4",'nghiathanh (2016)'!$A$3,"MA_HT","DNL","MA_QH","DTT")</f>
        <v>0</v>
      </c>
      <c r="AJ31" s="50">
        <f ca="1">+GETPIVOTDATA("XNT4",'nghiathanh (2016)'!$A$3,"MA_HT","DNL","MA_QH","NCK")</f>
        <v>0</v>
      </c>
      <c r="AK31" s="50">
        <f ca="1">+GETPIVOTDATA("XNT4",'nghiathanh (2016)'!$A$3,"MA_HT","DNL","MA_QH","DXH")</f>
        <v>0</v>
      </c>
      <c r="AL31" s="50">
        <f ca="1">+GETPIVOTDATA("XNT4",'nghiathanh (2016)'!$A$3,"MA_HT","DNL","MA_QH","DCH")</f>
        <v>0</v>
      </c>
      <c r="AM31" s="50">
        <f ca="1">+GETPIVOTDATA("XNT4",'nghiathanh (2016)'!$A$3,"MA_HT","DNL","MA_QH","DKG")</f>
        <v>0</v>
      </c>
      <c r="AN31" s="50">
        <f ca="1">+GETPIVOTDATA("XNT4",'nghiathanh (2016)'!$A$3,"MA_HT","DNL","MA_QH","DDT")</f>
        <v>0</v>
      </c>
      <c r="AO31" s="50">
        <f ca="1">+GETPIVOTDATA("XNT4",'nghiathanh (2016)'!$A$3,"MA_HT","DNL","MA_QH","DDL")</f>
        <v>0</v>
      </c>
      <c r="AP31" s="50">
        <f ca="1">+GETPIVOTDATA("XNT4",'nghiathanh (2016)'!$A$3,"MA_HT","DNL","MA_QH","DRA")</f>
        <v>0</v>
      </c>
      <c r="AQ31" s="50">
        <f ca="1">+GETPIVOTDATA("XNT4",'nghiathanh (2016)'!$A$3,"MA_HT","DNL","MA_QH","ONT")</f>
        <v>0</v>
      </c>
      <c r="AR31" s="50">
        <f ca="1">+GETPIVOTDATA("XNT4",'nghiathanh (2016)'!$A$3,"MA_HT","DNL","MA_QH","ODT")</f>
        <v>0</v>
      </c>
      <c r="AS31" s="50">
        <f ca="1">+GETPIVOTDATA("XNT4",'nghiathanh (2016)'!$A$3,"MA_HT","DNL","MA_QH","TSC")</f>
        <v>0</v>
      </c>
      <c r="AT31" s="50">
        <f ca="1">+GETPIVOTDATA("XNT4",'nghiathanh (2016)'!$A$3,"MA_HT","DNL","MA_QH","DTS")</f>
        <v>0</v>
      </c>
      <c r="AU31" s="50">
        <f ca="1">+GETPIVOTDATA("XNT4",'nghiathanh (2016)'!$A$3,"MA_HT","DNL","MA_QH","DNG")</f>
        <v>0</v>
      </c>
      <c r="AV31" s="50">
        <f ca="1">+GETPIVOTDATA("XNT4",'nghiathanh (2016)'!$A$3,"MA_HT","DNL","MA_QH","TON")</f>
        <v>0</v>
      </c>
      <c r="AW31" s="50">
        <f ca="1">+GETPIVOTDATA("XNT4",'nghiathanh (2016)'!$A$3,"MA_HT","DNL","MA_QH","NTD")</f>
        <v>0</v>
      </c>
      <c r="AX31" s="50">
        <f ca="1">+GETPIVOTDATA("XNT4",'nghiathanh (2016)'!$A$3,"MA_HT","DNL","MA_QH","SKX")</f>
        <v>0</v>
      </c>
      <c r="AY31" s="50">
        <f ca="1">+GETPIVOTDATA("XNT4",'nghiathanh (2016)'!$A$3,"MA_HT","DNL","MA_QH","DSH")</f>
        <v>0</v>
      </c>
      <c r="AZ31" s="50">
        <f ca="1">+GETPIVOTDATA("XNT4",'nghiathanh (2016)'!$A$3,"MA_HT","DNL","MA_QH","DKV")</f>
        <v>0</v>
      </c>
      <c r="BA31" s="88">
        <f ca="1">+GETPIVOTDATA("XNT4",'nghiathanh (2016)'!$A$3,"MA_HT","DNL","MA_QH","TIN")</f>
        <v>0</v>
      </c>
      <c r="BB31" s="50">
        <f ca="1">+GETPIVOTDATA("XNT4",'nghiathanh (2016)'!$A$3,"MA_HT","DNL","MA_QH","SON")</f>
        <v>0</v>
      </c>
      <c r="BC31" s="50">
        <f ca="1">+GETPIVOTDATA("XNT4",'nghiathanh (2016)'!$A$3,"MA_HT","DNL","MA_QH","MNC")</f>
        <v>0</v>
      </c>
      <c r="BD31" s="50">
        <f ca="1">+GETPIVOTDATA("XNT4",'nghiathanh (2016)'!$A$3,"MA_HT","DNL","MA_QH","PNK")</f>
        <v>0</v>
      </c>
      <c r="BE31" s="80">
        <f ca="1">+GETPIVOTDATA("XNT4",'nghiathanh (2016)'!$A$3,"MA_HT","DNL","MA_QH","CSD")</f>
        <v>0</v>
      </c>
      <c r="BF31" s="103">
        <f ca="1" t="shared" si="13"/>
        <v>0</v>
      </c>
      <c r="BG31" s="104">
        <f ca="1">AD$59-$BF31</f>
        <v>0</v>
      </c>
      <c r="BH31" s="47" t="e">
        <f ca="1" t="shared" si="14"/>
        <v>#REF!</v>
      </c>
      <c r="BI31" s="105"/>
      <c r="BJ31" s="105" t="e">
        <f>#REF!</f>
        <v>#REF!</v>
      </c>
      <c r="BK31" s="108" t="e">
        <f ca="1" t="shared" si="19"/>
        <v>#REF!</v>
      </c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</row>
    <row r="32" s="4" customFormat="1" ht="16.5" customHeight="1" spans="1:79">
      <c r="A32" s="45" t="s">
        <v>8382</v>
      </c>
      <c r="B32" s="45" t="s">
        <v>8383</v>
      </c>
      <c r="C32" s="46" t="s">
        <v>8285</v>
      </c>
      <c r="D32" s="47" t="e">
        <f>+#REF!</f>
        <v>#REF!</v>
      </c>
      <c r="E32" s="42">
        <f ca="1" t="shared" si="15"/>
        <v>0</v>
      </c>
      <c r="F32" s="52">
        <f ca="1" t="shared" si="9"/>
        <v>0</v>
      </c>
      <c r="G32" s="50">
        <f ca="1">+GETPIVOTDATA("XNT4",'nghiathanh (2016)'!$A$3,"MA_HT","DBV","MA_QH","LUC")</f>
        <v>0</v>
      </c>
      <c r="H32" s="50">
        <f ca="1">+GETPIVOTDATA("XNT4",'nghiathanh (2016)'!$A$3,"MA_HT","DBV","MA_QH","LUK")</f>
        <v>0</v>
      </c>
      <c r="I32" s="50">
        <f ca="1">+GETPIVOTDATA("XNT4",'nghiathanh (2016)'!$A$3,"MA_HT","DBV","MA_QH","LUN")</f>
        <v>0</v>
      </c>
      <c r="J32" s="50">
        <f ca="1">+GETPIVOTDATA("XNT4",'nghiathanh (2016)'!$A$3,"MA_HT","DBV","MA_QH","HNK")</f>
        <v>0</v>
      </c>
      <c r="K32" s="50">
        <f ca="1">+GETPIVOTDATA("XNT4",'nghiathanh (2016)'!$A$3,"MA_HT","DBV","MA_QH","CLN")</f>
        <v>0</v>
      </c>
      <c r="L32" s="50">
        <f ca="1">+GETPIVOTDATA("XNT4",'nghiathanh (2016)'!$A$3,"MA_HT","DBV","MA_QH","RSX")</f>
        <v>0</v>
      </c>
      <c r="M32" s="50">
        <f ca="1">+GETPIVOTDATA("XNT4",'nghiathanh (2016)'!$A$3,"MA_HT","DBV","MA_QH","RPH")</f>
        <v>0</v>
      </c>
      <c r="N32" s="50">
        <f ca="1">+GETPIVOTDATA("XNT4",'nghiathanh (2016)'!$A$3,"MA_HT","DBV","MA_QH","RDD")</f>
        <v>0</v>
      </c>
      <c r="O32" s="50">
        <f ca="1">+GETPIVOTDATA("XNT4",'nghiathanh (2016)'!$A$3,"MA_HT","DBV","MA_QH","NTS")</f>
        <v>0</v>
      </c>
      <c r="P32" s="50">
        <f ca="1">+GETPIVOTDATA("XNT4",'nghiathanh (2016)'!$A$3,"MA_HT","DBV","MA_QH","LMU")</f>
        <v>0</v>
      </c>
      <c r="Q32" s="50">
        <f ca="1">+GETPIVOTDATA("XNT4",'nghiathanh (2016)'!$A$3,"MA_HT","DBV","MA_QH","NKH")</f>
        <v>0</v>
      </c>
      <c r="R32" s="48">
        <f ca="1" t="shared" si="20"/>
        <v>0</v>
      </c>
      <c r="S32" s="50">
        <f ca="1">+GETPIVOTDATA("XNT4",'nghiathanh (2016)'!$A$3,"MA_HT","DBV","MA_QH","CQP")</f>
        <v>0</v>
      </c>
      <c r="T32" s="50">
        <f ca="1">+GETPIVOTDATA("XNT4",'nghiathanh (2016)'!$A$3,"MA_HT","DBV","MA_QH","CAN")</f>
        <v>0</v>
      </c>
      <c r="U32" s="50">
        <f ca="1">+GETPIVOTDATA("XNT4",'nghiathanh (2016)'!$A$3,"MA_HT","DBV","MA_QH","SKK")</f>
        <v>0</v>
      </c>
      <c r="V32" s="50">
        <f ca="1">+GETPIVOTDATA("XNT4",'nghiathanh (2016)'!$A$3,"MA_HT","DBV","MA_QH","SKT")</f>
        <v>0</v>
      </c>
      <c r="W32" s="50">
        <f ca="1">+GETPIVOTDATA("XNT4",'nghiathanh (2016)'!$A$3,"MA_HT","DBV","MA_QH","SKN")</f>
        <v>0</v>
      </c>
      <c r="X32" s="50">
        <f ca="1">+GETPIVOTDATA("XNT4",'nghiathanh (2016)'!$A$3,"MA_HT","DBV","MA_QH","TMD")</f>
        <v>0</v>
      </c>
      <c r="Y32" s="50">
        <f ca="1">+GETPIVOTDATA("XNT4",'nghiathanh (2016)'!$A$3,"MA_HT","DBV","MA_QH","SKC")</f>
        <v>0</v>
      </c>
      <c r="Z32" s="50">
        <f ca="1">+GETPIVOTDATA("XNT4",'nghiathanh (2016)'!$A$3,"MA_HT","DBV","MA_QH","SKS")</f>
        <v>0</v>
      </c>
      <c r="AA32" s="52">
        <f ca="1">+SUM(AB32:AD32,AF32:AM32)</f>
        <v>0</v>
      </c>
      <c r="AB32" s="50">
        <f ca="1">+GETPIVOTDATA("XNT4",'nghiathanh (2016)'!$A$3,"MA_HT","DBV","MA_QH","DGT")</f>
        <v>0</v>
      </c>
      <c r="AC32" s="50">
        <f ca="1">+GETPIVOTDATA("XNT4",'nghiathanh (2016)'!$A$3,"MA_HT","DBV","MA_QH","DTL")</f>
        <v>0</v>
      </c>
      <c r="AD32" s="50">
        <f ca="1">+GETPIVOTDATA("XNT4",'nghiathanh (2016)'!$A$3,"MA_HT","DBV","MA_QH","DNL")</f>
        <v>0</v>
      </c>
      <c r="AE32" s="49" t="e">
        <f ca="1">$D32-$BF32</f>
        <v>#REF!</v>
      </c>
      <c r="AF32" s="50">
        <f ca="1">+GETPIVOTDATA("XNT4",'nghiathanh (2016)'!$A$3,"MA_HT","DBV","MA_QH","DVH")</f>
        <v>0</v>
      </c>
      <c r="AG32" s="50">
        <f ca="1">+GETPIVOTDATA("XNT4",'nghiathanh (2016)'!$A$3,"MA_HT","DBV","MA_QH","DYT")</f>
        <v>0</v>
      </c>
      <c r="AH32" s="50">
        <f ca="1">+GETPIVOTDATA("XNT4",'nghiathanh (2016)'!$A$3,"MA_HT","DBV","MA_QH","DGD")</f>
        <v>0</v>
      </c>
      <c r="AI32" s="50">
        <f ca="1">+GETPIVOTDATA("XNT4",'nghiathanh (2016)'!$A$3,"MA_HT","DBV","MA_QH","DTT")</f>
        <v>0</v>
      </c>
      <c r="AJ32" s="50">
        <f ca="1">+GETPIVOTDATA("XNT4",'nghiathanh (2016)'!$A$3,"MA_HT","DBV","MA_QH","NCK")</f>
        <v>0</v>
      </c>
      <c r="AK32" s="50">
        <f ca="1">+GETPIVOTDATA("XNT4",'nghiathanh (2016)'!$A$3,"MA_HT","DBV","MA_QH","DXH")</f>
        <v>0</v>
      </c>
      <c r="AL32" s="50">
        <f ca="1">+GETPIVOTDATA("XNT4",'nghiathanh (2016)'!$A$3,"MA_HT","DBV","MA_QH","DCH")</f>
        <v>0</v>
      </c>
      <c r="AM32" s="50">
        <f ca="1">+GETPIVOTDATA("XNT4",'nghiathanh (2016)'!$A$3,"MA_HT","DBV","MA_QH","DKG")</f>
        <v>0</v>
      </c>
      <c r="AN32" s="50">
        <f ca="1">+GETPIVOTDATA("XNT4",'nghiathanh (2016)'!$A$3,"MA_HT","DBV","MA_QH","DDT")</f>
        <v>0</v>
      </c>
      <c r="AO32" s="50">
        <f ca="1">+GETPIVOTDATA("XNT4",'nghiathanh (2016)'!$A$3,"MA_HT","DBV","MA_QH","DDL")</f>
        <v>0</v>
      </c>
      <c r="AP32" s="50">
        <f ca="1">+GETPIVOTDATA("XNT4",'nghiathanh (2016)'!$A$3,"MA_HT","DBV","MA_QH","DRA")</f>
        <v>0</v>
      </c>
      <c r="AQ32" s="50">
        <f ca="1">+GETPIVOTDATA("XNT4",'nghiathanh (2016)'!$A$3,"MA_HT","DBV","MA_QH","ONT")</f>
        <v>0</v>
      </c>
      <c r="AR32" s="50">
        <f ca="1">+GETPIVOTDATA("XNT4",'nghiathanh (2016)'!$A$3,"MA_HT","DBV","MA_QH","ODT")</f>
        <v>0</v>
      </c>
      <c r="AS32" s="50">
        <f ca="1">+GETPIVOTDATA("XNT4",'nghiathanh (2016)'!$A$3,"MA_HT","DBV","MA_QH","TSC")</f>
        <v>0</v>
      </c>
      <c r="AT32" s="50">
        <f ca="1">+GETPIVOTDATA("XNT4",'nghiathanh (2016)'!$A$3,"MA_HT","DBV","MA_QH","DTS")</f>
        <v>0</v>
      </c>
      <c r="AU32" s="50">
        <f ca="1">+GETPIVOTDATA("XNT4",'nghiathanh (2016)'!$A$3,"MA_HT","DBV","MA_QH","DNG")</f>
        <v>0</v>
      </c>
      <c r="AV32" s="50">
        <f ca="1">+GETPIVOTDATA("XNT4",'nghiathanh (2016)'!$A$3,"MA_HT","DBV","MA_QH","TON")</f>
        <v>0</v>
      </c>
      <c r="AW32" s="50">
        <f ca="1">+GETPIVOTDATA("XNT4",'nghiathanh (2016)'!$A$3,"MA_HT","DBV","MA_QH","NTD")</f>
        <v>0</v>
      </c>
      <c r="AX32" s="50">
        <f ca="1">+GETPIVOTDATA("XNT4",'nghiathanh (2016)'!$A$3,"MA_HT","DBV","MA_QH","SKX")</f>
        <v>0</v>
      </c>
      <c r="AY32" s="50">
        <f ca="1">+GETPIVOTDATA("XNT4",'nghiathanh (2016)'!$A$3,"MA_HT","DBV","MA_QH","DSH")</f>
        <v>0</v>
      </c>
      <c r="AZ32" s="50">
        <f ca="1">+GETPIVOTDATA("XNT4",'nghiathanh (2016)'!$A$3,"MA_HT","DBV","MA_QH","DKV")</f>
        <v>0</v>
      </c>
      <c r="BA32" s="88">
        <f ca="1">+GETPIVOTDATA("XNT4",'nghiathanh (2016)'!$A$3,"MA_HT","DBV","MA_QH","TIN")</f>
        <v>0</v>
      </c>
      <c r="BB32" s="50">
        <f ca="1">+GETPIVOTDATA("XNT4",'nghiathanh (2016)'!$A$3,"MA_HT","DBV","MA_QH","SON")</f>
        <v>0</v>
      </c>
      <c r="BC32" s="50">
        <f ca="1">+GETPIVOTDATA("XNT4",'nghiathanh (2016)'!$A$3,"MA_HT","DBV","MA_QH","MNC")</f>
        <v>0</v>
      </c>
      <c r="BD32" s="50">
        <f ca="1">+GETPIVOTDATA("XNT4",'nghiathanh (2016)'!$A$3,"MA_HT","DBV","MA_QH","PNK")</f>
        <v>0</v>
      </c>
      <c r="BE32" s="80">
        <f ca="1">+GETPIVOTDATA("XNT4",'nghiathanh (2016)'!$A$3,"MA_HT","DBV","MA_QH","CSD")</f>
        <v>0</v>
      </c>
      <c r="BF32" s="103">
        <f ca="1" t="shared" si="13"/>
        <v>0</v>
      </c>
      <c r="BG32" s="104">
        <f ca="1">AE$59-$BF32</f>
        <v>0</v>
      </c>
      <c r="BH32" s="47" t="e">
        <f ca="1" t="shared" si="14"/>
        <v>#REF!</v>
      </c>
      <c r="BI32" s="105"/>
      <c r="BJ32" s="105" t="e">
        <f>#REF!</f>
        <v>#REF!</v>
      </c>
      <c r="BK32" s="108" t="e">
        <f ca="1" t="shared" si="19"/>
        <v>#REF!</v>
      </c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</row>
    <row r="33" s="4" customFormat="1" ht="16.5" customHeight="1" spans="1:79">
      <c r="A33" s="45" t="s">
        <v>8384</v>
      </c>
      <c r="B33" s="45" t="s">
        <v>8385</v>
      </c>
      <c r="C33" s="46" t="s">
        <v>212</v>
      </c>
      <c r="D33" s="47" t="e">
        <f>+#REF!</f>
        <v>#REF!</v>
      </c>
      <c r="E33" s="42">
        <f ca="1" t="shared" si="15"/>
        <v>0</v>
      </c>
      <c r="F33" s="52">
        <f ca="1" t="shared" si="9"/>
        <v>0</v>
      </c>
      <c r="G33" s="50">
        <f ca="1">+GETPIVOTDATA("XNT4",'nghiathanh (2016)'!$A$3,"MA_HT","DVH","MA_QH","LUC")</f>
        <v>0</v>
      </c>
      <c r="H33" s="50">
        <f ca="1">+GETPIVOTDATA("XNT4",'nghiathanh (2016)'!$A$3,"MA_HT","DVH","MA_QH","LUK")</f>
        <v>0</v>
      </c>
      <c r="I33" s="50">
        <f ca="1">+GETPIVOTDATA("XNT4",'nghiathanh (2016)'!$A$3,"MA_HT","DVH","MA_QH","LUN")</f>
        <v>0</v>
      </c>
      <c r="J33" s="50">
        <f ca="1">+GETPIVOTDATA("XNT4",'nghiathanh (2016)'!$A$3,"MA_HT","DVH","MA_QH","HNK")</f>
        <v>0</v>
      </c>
      <c r="K33" s="50">
        <f ca="1">+GETPIVOTDATA("XNT4",'nghiathanh (2016)'!$A$3,"MA_HT","DVH","MA_QH","CLN")</f>
        <v>0</v>
      </c>
      <c r="L33" s="50">
        <f ca="1">+GETPIVOTDATA("XNT4",'nghiathanh (2016)'!$A$3,"MA_HT","DVH","MA_QH","RSX")</f>
        <v>0</v>
      </c>
      <c r="M33" s="50">
        <f ca="1">+GETPIVOTDATA("XNT4",'nghiathanh (2016)'!$A$3,"MA_HT","DVH","MA_QH","RPH")</f>
        <v>0</v>
      </c>
      <c r="N33" s="50">
        <f ca="1">+GETPIVOTDATA("XNT4",'nghiathanh (2016)'!$A$3,"MA_HT","DVH","MA_QH","RDD")</f>
        <v>0</v>
      </c>
      <c r="O33" s="50">
        <f ca="1">+GETPIVOTDATA("XNT4",'nghiathanh (2016)'!$A$3,"MA_HT","DVH","MA_QH","NTS")</f>
        <v>0</v>
      </c>
      <c r="P33" s="50">
        <f ca="1">+GETPIVOTDATA("XNT4",'nghiathanh (2016)'!$A$3,"MA_HT","DVH","MA_QH","LMU")</f>
        <v>0</v>
      </c>
      <c r="Q33" s="50">
        <f ca="1">+GETPIVOTDATA("XNT4",'nghiathanh (2016)'!$A$3,"MA_HT","DVH","MA_QH","NKH")</f>
        <v>0</v>
      </c>
      <c r="R33" s="48">
        <f ca="1" t="shared" si="20"/>
        <v>0</v>
      </c>
      <c r="S33" s="50">
        <f ca="1">+GETPIVOTDATA("XNT4",'nghiathanh (2016)'!$A$3,"MA_HT","DVH","MA_QH","CQP")</f>
        <v>0</v>
      </c>
      <c r="T33" s="50">
        <f ca="1">+GETPIVOTDATA("XNT4",'nghiathanh (2016)'!$A$3,"MA_HT","DVH","MA_QH","CAN")</f>
        <v>0</v>
      </c>
      <c r="U33" s="50">
        <f ca="1">+GETPIVOTDATA("XNT4",'nghiathanh (2016)'!$A$3,"MA_HT","DVH","MA_QH","SKK")</f>
        <v>0</v>
      </c>
      <c r="V33" s="50">
        <f ca="1">+GETPIVOTDATA("XNT4",'nghiathanh (2016)'!$A$3,"MA_HT","DVH","MA_QH","SKT")</f>
        <v>0</v>
      </c>
      <c r="W33" s="50">
        <f ca="1">+GETPIVOTDATA("XNT4",'nghiathanh (2016)'!$A$3,"MA_HT","DVH","MA_QH","SKN")</f>
        <v>0</v>
      </c>
      <c r="X33" s="50">
        <f ca="1">+GETPIVOTDATA("XNT4",'nghiathanh (2016)'!$A$3,"MA_HT","DVH","MA_QH","TMD")</f>
        <v>0</v>
      </c>
      <c r="Y33" s="50">
        <f ca="1">+GETPIVOTDATA("XNT4",'nghiathanh (2016)'!$A$3,"MA_HT","DVH","MA_QH","SKC")</f>
        <v>0</v>
      </c>
      <c r="Z33" s="50">
        <f ca="1">+GETPIVOTDATA("XNT4",'nghiathanh (2016)'!$A$3,"MA_HT","DVH","MA_QH","SKS")</f>
        <v>0</v>
      </c>
      <c r="AA33" s="52">
        <f ca="1">+SUM(AB33:AE33,AG33:AM33)</f>
        <v>0</v>
      </c>
      <c r="AB33" s="50">
        <f ca="1">+GETPIVOTDATA("XNT4",'nghiathanh (2016)'!$A$3,"MA_HT","DVH","MA_QH","DGT")</f>
        <v>0</v>
      </c>
      <c r="AC33" s="50">
        <f ca="1">+GETPIVOTDATA("XNT4",'nghiathanh (2016)'!$A$3,"MA_HT","DVH","MA_QH","DTL")</f>
        <v>0</v>
      </c>
      <c r="AD33" s="50">
        <f ca="1">+GETPIVOTDATA("XNT4",'nghiathanh (2016)'!$A$3,"MA_HT","DVH","MA_QH","DNL")</f>
        <v>0</v>
      </c>
      <c r="AE33" s="50">
        <f ca="1">+GETPIVOTDATA("XNT4",'nghiathanh (2016)'!$A$3,"MA_HT","DVH","MA_QH","DBV")</f>
        <v>0</v>
      </c>
      <c r="AF33" s="49" t="e">
        <f ca="1">$D33-$BF33</f>
        <v>#REF!</v>
      </c>
      <c r="AG33" s="50">
        <f ca="1">+GETPIVOTDATA("XNT4",'nghiathanh (2016)'!$A$3,"MA_HT","DVH","MA_QH","DYT")</f>
        <v>0</v>
      </c>
      <c r="AH33" s="50">
        <f ca="1">+GETPIVOTDATA("XNT4",'nghiathanh (2016)'!$A$3,"MA_HT","DVH","MA_QH","DGD")</f>
        <v>0</v>
      </c>
      <c r="AI33" s="50">
        <f ca="1">+GETPIVOTDATA("XNT4",'nghiathanh (2016)'!$A$3,"MA_HT","DVH","MA_QH","DTT")</f>
        <v>0</v>
      </c>
      <c r="AJ33" s="50">
        <f ca="1">+GETPIVOTDATA("XNT4",'nghiathanh (2016)'!$A$3,"MA_HT","DVH","MA_QH","NCK")</f>
        <v>0</v>
      </c>
      <c r="AK33" s="50">
        <f ca="1">+GETPIVOTDATA("XNT4",'nghiathanh (2016)'!$A$3,"MA_HT","DVH","MA_QH","DXH")</f>
        <v>0</v>
      </c>
      <c r="AL33" s="50">
        <f ca="1">+GETPIVOTDATA("XNT4",'nghiathanh (2016)'!$A$3,"MA_HT","DVH","MA_QH","DCH")</f>
        <v>0</v>
      </c>
      <c r="AM33" s="50">
        <f ca="1">+GETPIVOTDATA("XNT4",'nghiathanh (2016)'!$A$3,"MA_HT","DVH","MA_QH","DKG")</f>
        <v>0</v>
      </c>
      <c r="AN33" s="50">
        <f ca="1">+GETPIVOTDATA("XNT4",'nghiathanh (2016)'!$A$3,"MA_HT","DVH","MA_QH","DDT")</f>
        <v>0</v>
      </c>
      <c r="AO33" s="50">
        <f ca="1">+GETPIVOTDATA("XNT4",'nghiathanh (2016)'!$A$3,"MA_HT","DVH","MA_QH","DDL")</f>
        <v>0</v>
      </c>
      <c r="AP33" s="50">
        <f ca="1">+GETPIVOTDATA("XNT4",'nghiathanh (2016)'!$A$3,"MA_HT","DVH","MA_QH","DRA")</f>
        <v>0</v>
      </c>
      <c r="AQ33" s="50">
        <f ca="1">+GETPIVOTDATA("XNT4",'nghiathanh (2016)'!$A$3,"MA_HT","DVH","MA_QH","ONT")</f>
        <v>0</v>
      </c>
      <c r="AR33" s="50">
        <f ca="1">+GETPIVOTDATA("XNT4",'nghiathanh (2016)'!$A$3,"MA_HT","DVH","MA_QH","ODT")</f>
        <v>0</v>
      </c>
      <c r="AS33" s="50">
        <f ca="1">+GETPIVOTDATA("XNT4",'nghiathanh (2016)'!$A$3,"MA_HT","DVH","MA_QH","TSC")</f>
        <v>0</v>
      </c>
      <c r="AT33" s="50">
        <f ca="1">+GETPIVOTDATA("XNT4",'nghiathanh (2016)'!$A$3,"MA_HT","DVH","MA_QH","DTS")</f>
        <v>0</v>
      </c>
      <c r="AU33" s="50">
        <f ca="1">+GETPIVOTDATA("XNT4",'nghiathanh (2016)'!$A$3,"MA_HT","DVH","MA_QH","DNG")</f>
        <v>0</v>
      </c>
      <c r="AV33" s="50">
        <f ca="1">+GETPIVOTDATA("XNT4",'nghiathanh (2016)'!$A$3,"MA_HT","DVH","MA_QH","TON")</f>
        <v>0</v>
      </c>
      <c r="AW33" s="50">
        <f ca="1">+GETPIVOTDATA("XNT4",'nghiathanh (2016)'!$A$3,"MA_HT","DVH","MA_QH","NTD")</f>
        <v>0</v>
      </c>
      <c r="AX33" s="50">
        <f ca="1">+GETPIVOTDATA("XNT4",'nghiathanh (2016)'!$A$3,"MA_HT","DVH","MA_QH","SKX")</f>
        <v>0</v>
      </c>
      <c r="AY33" s="50">
        <f ca="1">+GETPIVOTDATA("XNT4",'nghiathanh (2016)'!$A$3,"MA_HT","DVH","MA_QH","DSH")</f>
        <v>0</v>
      </c>
      <c r="AZ33" s="50">
        <f ca="1">+GETPIVOTDATA("XNT4",'nghiathanh (2016)'!$A$3,"MA_HT","DVH","MA_QH","DKV")</f>
        <v>0</v>
      </c>
      <c r="BA33" s="88">
        <f ca="1">+GETPIVOTDATA("XNT4",'nghiathanh (2016)'!$A$3,"MA_HT","DVH","MA_QH","TIN")</f>
        <v>0</v>
      </c>
      <c r="BB33" s="50">
        <f ca="1">+GETPIVOTDATA("XNT4",'nghiathanh (2016)'!$A$3,"MA_HT","DVH","MA_QH","SON")</f>
        <v>0</v>
      </c>
      <c r="BC33" s="50">
        <f ca="1">+GETPIVOTDATA("XNT4",'nghiathanh (2016)'!$A$3,"MA_HT","DVH","MA_QH","MNC")</f>
        <v>0</v>
      </c>
      <c r="BD33" s="50">
        <f ca="1">+GETPIVOTDATA("XNT4",'nghiathanh (2016)'!$A$3,"MA_HT","DVH","MA_QH","PNK")</f>
        <v>0</v>
      </c>
      <c r="BE33" s="80">
        <f ca="1">+GETPIVOTDATA("XNT4",'nghiathanh (2016)'!$A$3,"MA_HT","DVH","MA_QH","CSD")</f>
        <v>0</v>
      </c>
      <c r="BF33" s="103">
        <f ca="1" t="shared" si="13"/>
        <v>0</v>
      </c>
      <c r="BG33" s="104">
        <f ca="1">AF$59-$BF33</f>
        <v>0</v>
      </c>
      <c r="BH33" s="47" t="e">
        <f ca="1" t="shared" si="14"/>
        <v>#REF!</v>
      </c>
      <c r="BI33" s="105"/>
      <c r="BJ33" s="105" t="e">
        <f>#REF!</f>
        <v>#REF!</v>
      </c>
      <c r="BK33" s="108" t="e">
        <f ca="1" t="shared" si="19"/>
        <v>#REF!</v>
      </c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</row>
    <row r="34" s="4" customFormat="1" ht="16.5" customHeight="1" spans="1:79">
      <c r="A34" s="45" t="s">
        <v>8386</v>
      </c>
      <c r="B34" s="45" t="s">
        <v>8387</v>
      </c>
      <c r="C34" s="46" t="s">
        <v>8296</v>
      </c>
      <c r="D34" s="47" t="e">
        <f>+#REF!</f>
        <v>#REF!</v>
      </c>
      <c r="E34" s="42">
        <f ca="1" t="shared" si="15"/>
        <v>0</v>
      </c>
      <c r="F34" s="52">
        <f ca="1" t="shared" si="9"/>
        <v>0</v>
      </c>
      <c r="G34" s="50">
        <f ca="1">+GETPIVOTDATA("XNT4",'nghiathanh (2016)'!$A$3,"MA_HT","DYT","MA_QH","LUC")</f>
        <v>0</v>
      </c>
      <c r="H34" s="50">
        <f ca="1">+GETPIVOTDATA("XNT4",'nghiathanh (2016)'!$A$3,"MA_HT","DYT","MA_QH","LUK")</f>
        <v>0</v>
      </c>
      <c r="I34" s="50">
        <f ca="1">+GETPIVOTDATA("XNT4",'nghiathanh (2016)'!$A$3,"MA_HT","DYT","MA_QH","LUN")</f>
        <v>0</v>
      </c>
      <c r="J34" s="50">
        <f ca="1">+GETPIVOTDATA("XNT4",'nghiathanh (2016)'!$A$3,"MA_HT","DYT","MA_QH","HNK")</f>
        <v>0</v>
      </c>
      <c r="K34" s="50">
        <f ca="1">+GETPIVOTDATA("XNT4",'nghiathanh (2016)'!$A$3,"MA_HT","DYT","MA_QH","CLN")</f>
        <v>0</v>
      </c>
      <c r="L34" s="50">
        <f ca="1">+GETPIVOTDATA("XNT4",'nghiathanh (2016)'!$A$3,"MA_HT","DYT","MA_QH","RSX")</f>
        <v>0</v>
      </c>
      <c r="M34" s="50">
        <f ca="1">+GETPIVOTDATA("XNT4",'nghiathanh (2016)'!$A$3,"MA_HT","DYT","MA_QH","RPH")</f>
        <v>0</v>
      </c>
      <c r="N34" s="50">
        <f ca="1">+GETPIVOTDATA("XNT4",'nghiathanh (2016)'!$A$3,"MA_HT","DYT","MA_QH","RDD")</f>
        <v>0</v>
      </c>
      <c r="O34" s="50">
        <f ca="1">+GETPIVOTDATA("XNT4",'nghiathanh (2016)'!$A$3,"MA_HT","DYT","MA_QH","NTS")</f>
        <v>0</v>
      </c>
      <c r="P34" s="50">
        <f ca="1">+GETPIVOTDATA("XNT4",'nghiathanh (2016)'!$A$3,"MA_HT","DYT","MA_QH","LMU")</f>
        <v>0</v>
      </c>
      <c r="Q34" s="50">
        <f ca="1">+GETPIVOTDATA("XNT4",'nghiathanh (2016)'!$A$3,"MA_HT","DYT","MA_QH","NKH")</f>
        <v>0</v>
      </c>
      <c r="R34" s="48">
        <f ca="1" t="shared" si="20"/>
        <v>0</v>
      </c>
      <c r="S34" s="50">
        <f ca="1">+GETPIVOTDATA("XNT4",'nghiathanh (2016)'!$A$3,"MA_HT","DYT","MA_QH","CQP")</f>
        <v>0</v>
      </c>
      <c r="T34" s="50">
        <f ca="1">+GETPIVOTDATA("XNT4",'nghiathanh (2016)'!$A$3,"MA_HT","DYT","MA_QH","CAN")</f>
        <v>0</v>
      </c>
      <c r="U34" s="50">
        <f ca="1">+GETPIVOTDATA("XNT4",'nghiathanh (2016)'!$A$3,"MA_HT","DYT","MA_QH","SKK")</f>
        <v>0</v>
      </c>
      <c r="V34" s="50">
        <f ca="1">+GETPIVOTDATA("XNT4",'nghiathanh (2016)'!$A$3,"MA_HT","DYT","MA_QH","SKT")</f>
        <v>0</v>
      </c>
      <c r="W34" s="50">
        <f ca="1">+GETPIVOTDATA("XNT4",'nghiathanh (2016)'!$A$3,"MA_HT","DYT","MA_QH","SKN")</f>
        <v>0</v>
      </c>
      <c r="X34" s="50">
        <f ca="1">+GETPIVOTDATA("XNT4",'nghiathanh (2016)'!$A$3,"MA_HT","DYT","MA_QH","TMD")</f>
        <v>0</v>
      </c>
      <c r="Y34" s="50">
        <f ca="1">+GETPIVOTDATA("XNT4",'nghiathanh (2016)'!$A$3,"MA_HT","DYT","MA_QH","SKC")</f>
        <v>0</v>
      </c>
      <c r="Z34" s="50">
        <f ca="1">+GETPIVOTDATA("XNT4",'nghiathanh (2016)'!$A$3,"MA_HT","DYT","MA_QH","SKS")</f>
        <v>0</v>
      </c>
      <c r="AA34" s="52">
        <f ca="1">+SUM(AB34:AF34,AH34:AM34)</f>
        <v>0</v>
      </c>
      <c r="AB34" s="50">
        <f ca="1">+GETPIVOTDATA("XNT4",'nghiathanh (2016)'!$A$3,"MA_HT","DYT","MA_QH","DGT")</f>
        <v>0</v>
      </c>
      <c r="AC34" s="50">
        <f ca="1">+GETPIVOTDATA("XNT4",'nghiathanh (2016)'!$A$3,"MA_HT","DYT","MA_QH","DTL")</f>
        <v>0</v>
      </c>
      <c r="AD34" s="50">
        <f ca="1">+GETPIVOTDATA("XNT4",'nghiathanh (2016)'!$A$3,"MA_HT","DYT","MA_QH","DNL")</f>
        <v>0</v>
      </c>
      <c r="AE34" s="50">
        <f ca="1">+GETPIVOTDATA("XNT4",'nghiathanh (2016)'!$A$3,"MA_HT","DYT","MA_QH","DBV")</f>
        <v>0</v>
      </c>
      <c r="AF34" s="50">
        <f ca="1">+GETPIVOTDATA("XNT4",'nghiathanh (2016)'!$A$3,"MA_HT","DYT","MA_QH","DVH")</f>
        <v>0</v>
      </c>
      <c r="AG34" s="49" t="e">
        <f ca="1">$D34-$BF34</f>
        <v>#REF!</v>
      </c>
      <c r="AH34" s="50">
        <f ca="1">+GETPIVOTDATA("XNT4",'nghiathanh (2016)'!$A$3,"MA_HT","DYT","MA_QH","DGD")</f>
        <v>0</v>
      </c>
      <c r="AI34" s="50">
        <f ca="1">+GETPIVOTDATA("XNT4",'nghiathanh (2016)'!$A$3,"MA_HT","DYT","MA_QH","DTT")</f>
        <v>0</v>
      </c>
      <c r="AJ34" s="50">
        <f ca="1">+GETPIVOTDATA("XNT4",'nghiathanh (2016)'!$A$3,"MA_HT","DYT","MA_QH","NCK")</f>
        <v>0</v>
      </c>
      <c r="AK34" s="50">
        <f ca="1">+GETPIVOTDATA("XNT4",'nghiathanh (2016)'!$A$3,"MA_HT","DYT","MA_QH","DXH")</f>
        <v>0</v>
      </c>
      <c r="AL34" s="50">
        <f ca="1">+GETPIVOTDATA("XNT4",'nghiathanh (2016)'!$A$3,"MA_HT","DYT","MA_QH","DCH")</f>
        <v>0</v>
      </c>
      <c r="AM34" s="50">
        <f ca="1">+GETPIVOTDATA("XNT4",'nghiathanh (2016)'!$A$3,"MA_HT","DYT","MA_QH","DKG")</f>
        <v>0</v>
      </c>
      <c r="AN34" s="50">
        <f ca="1">+GETPIVOTDATA("XNT4",'nghiathanh (2016)'!$A$3,"MA_HT","DYT","MA_QH","DDT")</f>
        <v>0</v>
      </c>
      <c r="AO34" s="50">
        <f ca="1">+GETPIVOTDATA("XNT4",'nghiathanh (2016)'!$A$3,"MA_HT","DYT","MA_QH","DDL")</f>
        <v>0</v>
      </c>
      <c r="AP34" s="50">
        <f ca="1">+GETPIVOTDATA("XNT4",'nghiathanh (2016)'!$A$3,"MA_HT","DYT","MA_QH","DRA")</f>
        <v>0</v>
      </c>
      <c r="AQ34" s="50">
        <f ca="1">+GETPIVOTDATA("XNT4",'nghiathanh (2016)'!$A$3,"MA_HT","DYT","MA_QH","ONT")</f>
        <v>0</v>
      </c>
      <c r="AR34" s="50">
        <f ca="1">+GETPIVOTDATA("XNT4",'nghiathanh (2016)'!$A$3,"MA_HT","DYT","MA_QH","ODT")</f>
        <v>0</v>
      </c>
      <c r="AS34" s="50">
        <f ca="1">+GETPIVOTDATA("XNT4",'nghiathanh (2016)'!$A$3,"MA_HT","DYT","MA_QH","TSC")</f>
        <v>0</v>
      </c>
      <c r="AT34" s="50">
        <f ca="1">+GETPIVOTDATA("XNT4",'nghiathanh (2016)'!$A$3,"MA_HT","DYT","MA_QH","DTS")</f>
        <v>0</v>
      </c>
      <c r="AU34" s="50">
        <f ca="1">+GETPIVOTDATA("XNT4",'nghiathanh (2016)'!$A$3,"MA_HT","DYT","MA_QH","DNG")</f>
        <v>0</v>
      </c>
      <c r="AV34" s="50">
        <f ca="1">+GETPIVOTDATA("XNT4",'nghiathanh (2016)'!$A$3,"MA_HT","DYT","MA_QH","TON")</f>
        <v>0</v>
      </c>
      <c r="AW34" s="50">
        <f ca="1">+GETPIVOTDATA("XNT4",'nghiathanh (2016)'!$A$3,"MA_HT","DYT","MA_QH","NTD")</f>
        <v>0</v>
      </c>
      <c r="AX34" s="50">
        <f ca="1">+GETPIVOTDATA("XNT4",'nghiathanh (2016)'!$A$3,"MA_HT","DYT","MA_QH","SKX")</f>
        <v>0</v>
      </c>
      <c r="AY34" s="50">
        <f ca="1">+GETPIVOTDATA("XNT4",'nghiathanh (2016)'!$A$3,"MA_HT","DYT","MA_QH","DSH")</f>
        <v>0</v>
      </c>
      <c r="AZ34" s="50">
        <f ca="1">+GETPIVOTDATA("XNT4",'nghiathanh (2016)'!$A$3,"MA_HT","DYT","MA_QH","DKV")</f>
        <v>0</v>
      </c>
      <c r="BA34" s="88">
        <f ca="1">+GETPIVOTDATA("XNT4",'nghiathanh (2016)'!$A$3,"MA_HT","DYT","MA_QH","TIN")</f>
        <v>0</v>
      </c>
      <c r="BB34" s="50">
        <f ca="1">+GETPIVOTDATA("XNT4",'nghiathanh (2016)'!$A$3,"MA_HT","DYT","MA_QH","SON")</f>
        <v>0</v>
      </c>
      <c r="BC34" s="50">
        <f ca="1">+GETPIVOTDATA("XNT4",'nghiathanh (2016)'!$A$3,"MA_HT","DYT","MA_QH","MNC")</f>
        <v>0</v>
      </c>
      <c r="BD34" s="50">
        <f ca="1">+GETPIVOTDATA("XNT4",'nghiathanh (2016)'!$A$3,"MA_HT","DYT","MA_QH","PNK")</f>
        <v>0</v>
      </c>
      <c r="BE34" s="80">
        <f ca="1">+GETPIVOTDATA("XNT4",'nghiathanh (2016)'!$A$3,"MA_HT","DYT","MA_QH","CSD")</f>
        <v>0</v>
      </c>
      <c r="BF34" s="103">
        <f ca="1" t="shared" si="13"/>
        <v>0</v>
      </c>
      <c r="BG34" s="104">
        <f ca="1">AG$59-$BF34</f>
        <v>0</v>
      </c>
      <c r="BH34" s="47" t="e">
        <f ca="1" t="shared" si="14"/>
        <v>#REF!</v>
      </c>
      <c r="BI34" s="105"/>
      <c r="BJ34" s="105" t="e">
        <f>#REF!</f>
        <v>#REF!</v>
      </c>
      <c r="BK34" s="108" t="e">
        <f ca="1" t="shared" si="19"/>
        <v>#REF!</v>
      </c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</row>
    <row r="35" s="4" customFormat="1" ht="16.5" customHeight="1" spans="1:79">
      <c r="A35" s="45" t="s">
        <v>8388</v>
      </c>
      <c r="B35" s="45" t="s">
        <v>8389</v>
      </c>
      <c r="C35" s="46" t="s">
        <v>165</v>
      </c>
      <c r="D35" s="47" t="e">
        <f>+#REF!</f>
        <v>#REF!</v>
      </c>
      <c r="E35" s="42">
        <f ca="1" t="shared" si="15"/>
        <v>0</v>
      </c>
      <c r="F35" s="52">
        <f ca="1" t="shared" si="9"/>
        <v>0</v>
      </c>
      <c r="G35" s="50">
        <f ca="1">+GETPIVOTDATA("XNT4",'nghiathanh (2016)'!$A$3,"MA_HT","DGD","MA_QH","LUC")</f>
        <v>0</v>
      </c>
      <c r="H35" s="50">
        <f ca="1">+GETPIVOTDATA("XNT4",'nghiathanh (2016)'!$A$3,"MA_HT","DGD","MA_QH","LUK")</f>
        <v>0</v>
      </c>
      <c r="I35" s="50">
        <f ca="1">+GETPIVOTDATA("XNT4",'nghiathanh (2016)'!$A$3,"MA_HT","DGD","MA_QH","LUN")</f>
        <v>0</v>
      </c>
      <c r="J35" s="50">
        <f ca="1">+GETPIVOTDATA("XNT4",'nghiathanh (2016)'!$A$3,"MA_HT","DGD","MA_QH","HNK")</f>
        <v>0</v>
      </c>
      <c r="K35" s="50">
        <f ca="1">+GETPIVOTDATA("XNT4",'nghiathanh (2016)'!$A$3,"MA_HT","DGD","MA_QH","CLN")</f>
        <v>0</v>
      </c>
      <c r="L35" s="50">
        <f ca="1">+GETPIVOTDATA("XNT4",'nghiathanh (2016)'!$A$3,"MA_HT","DGD","MA_QH","RSX")</f>
        <v>0</v>
      </c>
      <c r="M35" s="50">
        <f ca="1">+GETPIVOTDATA("XNT4",'nghiathanh (2016)'!$A$3,"MA_HT","DGD","MA_QH","RPH")</f>
        <v>0</v>
      </c>
      <c r="N35" s="50">
        <f ca="1">+GETPIVOTDATA("XNT4",'nghiathanh (2016)'!$A$3,"MA_HT","DGD","MA_QH","RDD")</f>
        <v>0</v>
      </c>
      <c r="O35" s="50">
        <f ca="1">+GETPIVOTDATA("XNT4",'nghiathanh (2016)'!$A$3,"MA_HT","DGD","MA_QH","NTS")</f>
        <v>0</v>
      </c>
      <c r="P35" s="50">
        <f ca="1">+GETPIVOTDATA("XNT4",'nghiathanh (2016)'!$A$3,"MA_HT","DGD","MA_QH","LMU")</f>
        <v>0</v>
      </c>
      <c r="Q35" s="50">
        <f ca="1">+GETPIVOTDATA("XNT4",'nghiathanh (2016)'!$A$3,"MA_HT","DGD","MA_QH","NKH")</f>
        <v>0</v>
      </c>
      <c r="R35" s="48">
        <f ca="1" t="shared" si="20"/>
        <v>0</v>
      </c>
      <c r="S35" s="50">
        <f ca="1">+GETPIVOTDATA("XNT4",'nghiathanh (2016)'!$A$3,"MA_HT","DGD","MA_QH","CQP")</f>
        <v>0</v>
      </c>
      <c r="T35" s="50">
        <f ca="1">+GETPIVOTDATA("XNT4",'nghiathanh (2016)'!$A$3,"MA_HT","DGD","MA_QH","CAN")</f>
        <v>0</v>
      </c>
      <c r="U35" s="50">
        <f ca="1">+GETPIVOTDATA("XNT4",'nghiathanh (2016)'!$A$3,"MA_HT","DGD","MA_QH","SKK")</f>
        <v>0</v>
      </c>
      <c r="V35" s="50">
        <f ca="1">+GETPIVOTDATA("XNT4",'nghiathanh (2016)'!$A$3,"MA_HT","DGD","MA_QH","SKT")</f>
        <v>0</v>
      </c>
      <c r="W35" s="50">
        <f ca="1">+GETPIVOTDATA("XNT4",'nghiathanh (2016)'!$A$3,"MA_HT","DGD","MA_QH","SKN")</f>
        <v>0</v>
      </c>
      <c r="X35" s="50">
        <f ca="1">+GETPIVOTDATA("XNT4",'nghiathanh (2016)'!$A$3,"MA_HT","DGD","MA_QH","TMD")</f>
        <v>0</v>
      </c>
      <c r="Y35" s="50">
        <f ca="1">+GETPIVOTDATA("XNT4",'nghiathanh (2016)'!$A$3,"MA_HT","DGD","MA_QH","SKC")</f>
        <v>0</v>
      </c>
      <c r="Z35" s="50">
        <f ca="1">+GETPIVOTDATA("XNT4",'nghiathanh (2016)'!$A$3,"MA_HT","DGD","MA_QH","SKS")</f>
        <v>0</v>
      </c>
      <c r="AA35" s="52">
        <f ca="1">+SUM(AB35:AG35,AI35:AM35)</f>
        <v>0</v>
      </c>
      <c r="AB35" s="50">
        <f ca="1">+GETPIVOTDATA("XNT4",'nghiathanh (2016)'!$A$3,"MA_HT","DGD","MA_QH","DGT")</f>
        <v>0</v>
      </c>
      <c r="AC35" s="50">
        <f ca="1">+GETPIVOTDATA("XNT4",'nghiathanh (2016)'!$A$3,"MA_HT","DGD","MA_QH","DTL")</f>
        <v>0</v>
      </c>
      <c r="AD35" s="50">
        <f ca="1">+GETPIVOTDATA("XNT4",'nghiathanh (2016)'!$A$3,"MA_HT","DGD","MA_QH","DNL")</f>
        <v>0</v>
      </c>
      <c r="AE35" s="50">
        <f ca="1">+GETPIVOTDATA("XNT4",'nghiathanh (2016)'!$A$3,"MA_HT","DGD","MA_QH","DBV")</f>
        <v>0</v>
      </c>
      <c r="AF35" s="50">
        <f ca="1">+GETPIVOTDATA("XNT4",'nghiathanh (2016)'!$A$3,"MA_HT","DGD","MA_QH","DVH")</f>
        <v>0</v>
      </c>
      <c r="AG35" s="50">
        <f ca="1">+GETPIVOTDATA("XNT4",'nghiathanh (2016)'!$A$3,"MA_HT","DGD","MA_QH","DYT")</f>
        <v>0</v>
      </c>
      <c r="AH35" s="49" t="e">
        <f ca="1">$D35-$BF35</f>
        <v>#REF!</v>
      </c>
      <c r="AI35" s="50">
        <f ca="1">+GETPIVOTDATA("XNT4",'nghiathanh (2016)'!$A$3,"MA_HT","DGD","MA_QH","DTT")</f>
        <v>0</v>
      </c>
      <c r="AJ35" s="50">
        <f ca="1">+GETPIVOTDATA("XNT4",'nghiathanh (2016)'!$A$3,"MA_HT","DGD","MA_QH","NCK")</f>
        <v>0</v>
      </c>
      <c r="AK35" s="50">
        <f ca="1">+GETPIVOTDATA("XNT4",'nghiathanh (2016)'!$A$3,"MA_HT","DGD","MA_QH","DXH")</f>
        <v>0</v>
      </c>
      <c r="AL35" s="50">
        <f ca="1">+GETPIVOTDATA("XNT4",'nghiathanh (2016)'!$A$3,"MA_HT","DGD","MA_QH","DCH")</f>
        <v>0</v>
      </c>
      <c r="AM35" s="50">
        <f ca="1">+GETPIVOTDATA("XNT4",'nghiathanh (2016)'!$A$3,"MA_HT","DGD","MA_QH","DKG")</f>
        <v>0</v>
      </c>
      <c r="AN35" s="50">
        <f ca="1">+GETPIVOTDATA("XNT4",'nghiathanh (2016)'!$A$3,"MA_HT","DGD","MA_QH","DDT")</f>
        <v>0</v>
      </c>
      <c r="AO35" s="50">
        <f ca="1">+GETPIVOTDATA("XNT4",'nghiathanh (2016)'!$A$3,"MA_HT","DGD","MA_QH","DDL")</f>
        <v>0</v>
      </c>
      <c r="AP35" s="50">
        <f ca="1">+GETPIVOTDATA("XNT4",'nghiathanh (2016)'!$A$3,"MA_HT","DGD","MA_QH","DRA")</f>
        <v>0</v>
      </c>
      <c r="AQ35" s="50">
        <f ca="1">+GETPIVOTDATA("XNT4",'nghiathanh (2016)'!$A$3,"MA_HT","DGD","MA_QH","ONT")</f>
        <v>0</v>
      </c>
      <c r="AR35" s="50">
        <f ca="1">+GETPIVOTDATA("XNT4",'nghiathanh (2016)'!$A$3,"MA_HT","DGD","MA_QH","ODT")</f>
        <v>0</v>
      </c>
      <c r="AS35" s="50">
        <f ca="1">+GETPIVOTDATA("XNT4",'nghiathanh (2016)'!$A$3,"MA_HT","DGD","MA_QH","TSC")</f>
        <v>0</v>
      </c>
      <c r="AT35" s="50">
        <f ca="1">+GETPIVOTDATA("XNT4",'nghiathanh (2016)'!$A$3,"MA_HT","DGD","MA_QH","DTS")</f>
        <v>0</v>
      </c>
      <c r="AU35" s="50">
        <f ca="1">+GETPIVOTDATA("XNT4",'nghiathanh (2016)'!$A$3,"MA_HT","DGD","MA_QH","DNG")</f>
        <v>0</v>
      </c>
      <c r="AV35" s="50">
        <f ca="1">+GETPIVOTDATA("XNT4",'nghiathanh (2016)'!$A$3,"MA_HT","DGD","MA_QH","TON")</f>
        <v>0</v>
      </c>
      <c r="AW35" s="50">
        <f ca="1">+GETPIVOTDATA("XNT4",'nghiathanh (2016)'!$A$3,"MA_HT","DGD","MA_QH","NTD")</f>
        <v>0</v>
      </c>
      <c r="AX35" s="50">
        <f ca="1">+GETPIVOTDATA("XNT4",'nghiathanh (2016)'!$A$3,"MA_HT","DGD","MA_QH","SKX")</f>
        <v>0</v>
      </c>
      <c r="AY35" s="50">
        <f ca="1">+GETPIVOTDATA("XNT4",'nghiathanh (2016)'!$A$3,"MA_HT","DGD","MA_QH","DSH")</f>
        <v>0</v>
      </c>
      <c r="AZ35" s="50">
        <f ca="1">+GETPIVOTDATA("XNT4",'nghiathanh (2016)'!$A$3,"MA_HT","DGD","MA_QH","DKV")</f>
        <v>0</v>
      </c>
      <c r="BA35" s="88">
        <f ca="1">+GETPIVOTDATA("XNT4",'nghiathanh (2016)'!$A$3,"MA_HT","DGD","MA_QH","TIN")</f>
        <v>0</v>
      </c>
      <c r="BB35" s="50">
        <f ca="1">+GETPIVOTDATA("XNT4",'nghiathanh (2016)'!$A$3,"MA_HT","DGD","MA_QH","SON")</f>
        <v>0</v>
      </c>
      <c r="BC35" s="50">
        <f ca="1">+GETPIVOTDATA("XNT4",'nghiathanh (2016)'!$A$3,"MA_HT","DGD","MA_QH","MNC")</f>
        <v>0</v>
      </c>
      <c r="BD35" s="50">
        <f ca="1">+GETPIVOTDATA("XNT4",'nghiathanh (2016)'!$A$3,"MA_HT","DGD","MA_QH","PNK")</f>
        <v>0</v>
      </c>
      <c r="BE35" s="80">
        <f ca="1">+GETPIVOTDATA("XNT4",'nghiathanh (2016)'!$A$3,"MA_HT","DGD","MA_QH","CSD")</f>
        <v>0</v>
      </c>
      <c r="BF35" s="103">
        <f ca="1" t="shared" si="13"/>
        <v>0</v>
      </c>
      <c r="BG35" s="104">
        <f ca="1">AH$59-$BF35</f>
        <v>0</v>
      </c>
      <c r="BH35" s="47" t="e">
        <f ca="1" t="shared" si="14"/>
        <v>#REF!</v>
      </c>
      <c r="BI35" s="105"/>
      <c r="BJ35" s="105" t="e">
        <f>#REF!</f>
        <v>#REF!</v>
      </c>
      <c r="BK35" s="108" t="e">
        <f ca="1" t="shared" si="19"/>
        <v>#REF!</v>
      </c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</row>
    <row r="36" s="4" customFormat="1" ht="16.5" customHeight="1" spans="1:79">
      <c r="A36" s="45" t="s">
        <v>8390</v>
      </c>
      <c r="B36" s="45" t="s">
        <v>8391</v>
      </c>
      <c r="C36" s="46" t="s">
        <v>8294</v>
      </c>
      <c r="D36" s="47" t="e">
        <f>+#REF!</f>
        <v>#REF!</v>
      </c>
      <c r="E36" s="42">
        <f ca="1" t="shared" si="15"/>
        <v>0</v>
      </c>
      <c r="F36" s="52">
        <f ca="1" t="shared" si="9"/>
        <v>0</v>
      </c>
      <c r="G36" s="50">
        <f ca="1">+GETPIVOTDATA("XNT4",'nghiathanh (2016)'!$A$3,"MA_HT","DTT","MA_QH","LUC")</f>
        <v>0</v>
      </c>
      <c r="H36" s="50">
        <f ca="1">+GETPIVOTDATA("XNT4",'nghiathanh (2016)'!$A$3,"MA_HT","DTT","MA_QH","LUK")</f>
        <v>0</v>
      </c>
      <c r="I36" s="50">
        <f ca="1">+GETPIVOTDATA("XNT4",'nghiathanh (2016)'!$A$3,"MA_HT","DTT","MA_QH","LUN")</f>
        <v>0</v>
      </c>
      <c r="J36" s="50">
        <f ca="1">+GETPIVOTDATA("XNT4",'nghiathanh (2016)'!$A$3,"MA_HT","DTT","MA_QH","HNK")</f>
        <v>0</v>
      </c>
      <c r="K36" s="50">
        <f ca="1">+GETPIVOTDATA("XNT4",'nghiathanh (2016)'!$A$3,"MA_HT","DTT","MA_QH","CLN")</f>
        <v>0</v>
      </c>
      <c r="L36" s="50">
        <f ca="1">+GETPIVOTDATA("XNT4",'nghiathanh (2016)'!$A$3,"MA_HT","DTT","MA_QH","RSX")</f>
        <v>0</v>
      </c>
      <c r="M36" s="50">
        <f ca="1">+GETPIVOTDATA("XNT4",'nghiathanh (2016)'!$A$3,"MA_HT","DTT","MA_QH","RPH")</f>
        <v>0</v>
      </c>
      <c r="N36" s="50">
        <f ca="1">+GETPIVOTDATA("XNT4",'nghiathanh (2016)'!$A$3,"MA_HT","DTT","MA_QH","RDD")</f>
        <v>0</v>
      </c>
      <c r="O36" s="50">
        <f ca="1">+GETPIVOTDATA("XNT4",'nghiathanh (2016)'!$A$3,"MA_HT","DTT","MA_QH","NTS")</f>
        <v>0</v>
      </c>
      <c r="P36" s="50">
        <f ca="1">+GETPIVOTDATA("XNT4",'nghiathanh (2016)'!$A$3,"MA_HT","DTT","MA_QH","LMU")</f>
        <v>0</v>
      </c>
      <c r="Q36" s="50">
        <f ca="1">+GETPIVOTDATA("XNT4",'nghiathanh (2016)'!$A$3,"MA_HT","DTT","MA_QH","NKH")</f>
        <v>0</v>
      </c>
      <c r="R36" s="48">
        <f ca="1" t="shared" si="20"/>
        <v>0</v>
      </c>
      <c r="S36" s="50">
        <f ca="1">+GETPIVOTDATA("XNT4",'nghiathanh (2016)'!$A$3,"MA_HT","DTT","MA_QH","CQP")</f>
        <v>0</v>
      </c>
      <c r="T36" s="50">
        <f ca="1">+GETPIVOTDATA("XNT4",'nghiathanh (2016)'!$A$3,"MA_HT","DTT","MA_QH","CAN")</f>
        <v>0</v>
      </c>
      <c r="U36" s="50">
        <f ca="1">+GETPIVOTDATA("XNT4",'nghiathanh (2016)'!$A$3,"MA_HT","DTT","MA_QH","SKK")</f>
        <v>0</v>
      </c>
      <c r="V36" s="50">
        <f ca="1">+GETPIVOTDATA("XNT4",'nghiathanh (2016)'!$A$3,"MA_HT","DTT","MA_QH","SKT")</f>
        <v>0</v>
      </c>
      <c r="W36" s="50">
        <f ca="1">+GETPIVOTDATA("XNT4",'nghiathanh (2016)'!$A$3,"MA_HT","DTT","MA_QH","SKN")</f>
        <v>0</v>
      </c>
      <c r="X36" s="50">
        <f ca="1">+GETPIVOTDATA("XNT4",'nghiathanh (2016)'!$A$3,"MA_HT","DTT","MA_QH","TMD")</f>
        <v>0</v>
      </c>
      <c r="Y36" s="50">
        <f ca="1">+GETPIVOTDATA("XNT4",'nghiathanh (2016)'!$A$3,"MA_HT","DTT","MA_QH","SKC")</f>
        <v>0</v>
      </c>
      <c r="Z36" s="50">
        <f ca="1">+GETPIVOTDATA("XNT4",'nghiathanh (2016)'!$A$3,"MA_HT","DTT","MA_QH","SKS")</f>
        <v>0</v>
      </c>
      <c r="AA36" s="52">
        <f ca="1">+SUM(AB36:AH36,AJ36:AM36)</f>
        <v>0</v>
      </c>
      <c r="AB36" s="50">
        <f ca="1">+GETPIVOTDATA("XNT4",'nghiathanh (2016)'!$A$3,"MA_HT","DTT","MA_QH","DGT")</f>
        <v>0</v>
      </c>
      <c r="AC36" s="50">
        <f ca="1">+GETPIVOTDATA("XNT4",'nghiathanh (2016)'!$A$3,"MA_HT","DTT","MA_QH","DTL")</f>
        <v>0</v>
      </c>
      <c r="AD36" s="50">
        <f ca="1">+GETPIVOTDATA("XNT4",'nghiathanh (2016)'!$A$3,"MA_HT","DTT","MA_QH","DNL")</f>
        <v>0</v>
      </c>
      <c r="AE36" s="50">
        <f ca="1">+GETPIVOTDATA("XNT4",'nghiathanh (2016)'!$A$3,"MA_HT","DTT","MA_QH","DBV")</f>
        <v>0</v>
      </c>
      <c r="AF36" s="50">
        <f ca="1">+GETPIVOTDATA("XNT4",'nghiathanh (2016)'!$A$3,"MA_HT","DTT","MA_QH","DVH")</f>
        <v>0</v>
      </c>
      <c r="AG36" s="50">
        <f ca="1">+GETPIVOTDATA("XNT4",'nghiathanh (2016)'!$A$3,"MA_HT","DTT","MA_QH","DYT")</f>
        <v>0</v>
      </c>
      <c r="AH36" s="50">
        <f ca="1">+GETPIVOTDATA("XNT4",'nghiathanh (2016)'!$A$3,"MA_HT","DTT","MA_QH","DGD")</f>
        <v>0</v>
      </c>
      <c r="AI36" s="49" t="e">
        <f ca="1">$D36-$BF36</f>
        <v>#REF!</v>
      </c>
      <c r="AJ36" s="50">
        <f ca="1">+GETPIVOTDATA("XNT4",'nghiathanh (2016)'!$A$3,"MA_HT","DTT","MA_QH","NCK")</f>
        <v>0</v>
      </c>
      <c r="AK36" s="50">
        <f ca="1">+GETPIVOTDATA("XNT4",'nghiathanh (2016)'!$A$3,"MA_HT","DTT","MA_QH","DXH")</f>
        <v>0</v>
      </c>
      <c r="AL36" s="50">
        <f ca="1">+GETPIVOTDATA("XNT4",'nghiathanh (2016)'!$A$3,"MA_HT","DTT","MA_QH","DCH")</f>
        <v>0</v>
      </c>
      <c r="AM36" s="50">
        <f ca="1">+GETPIVOTDATA("XNT4",'nghiathanh (2016)'!$A$3,"MA_HT","DTT","MA_QH","DKG")</f>
        <v>0</v>
      </c>
      <c r="AN36" s="50">
        <f ca="1">+GETPIVOTDATA("XNT4",'nghiathanh (2016)'!$A$3,"MA_HT","DTT","MA_QH","DDT")</f>
        <v>0</v>
      </c>
      <c r="AO36" s="50">
        <f ca="1">+GETPIVOTDATA("XNT4",'nghiathanh (2016)'!$A$3,"MA_HT","DTT","MA_QH","DDL")</f>
        <v>0</v>
      </c>
      <c r="AP36" s="50">
        <f ca="1">+GETPIVOTDATA("XNT4",'nghiathanh (2016)'!$A$3,"MA_HT","DTT","MA_QH","DRA")</f>
        <v>0</v>
      </c>
      <c r="AQ36" s="50">
        <f ca="1">+GETPIVOTDATA("XNT4",'nghiathanh (2016)'!$A$3,"MA_HT","DTT","MA_QH","ONT")</f>
        <v>0</v>
      </c>
      <c r="AR36" s="50">
        <f ca="1">+GETPIVOTDATA("XNT4",'nghiathanh (2016)'!$A$3,"MA_HT","DTT","MA_QH","ODT")</f>
        <v>0</v>
      </c>
      <c r="AS36" s="50">
        <f ca="1">+GETPIVOTDATA("XNT4",'nghiathanh (2016)'!$A$3,"MA_HT","DTT","MA_QH","TSC")</f>
        <v>0</v>
      </c>
      <c r="AT36" s="50">
        <f ca="1">+GETPIVOTDATA("XNT4",'nghiathanh (2016)'!$A$3,"MA_HT","DTT","MA_QH","DTS")</f>
        <v>0</v>
      </c>
      <c r="AU36" s="50">
        <f ca="1">+GETPIVOTDATA("XNT4",'nghiathanh (2016)'!$A$3,"MA_HT","DTT","MA_QH","DNG")</f>
        <v>0</v>
      </c>
      <c r="AV36" s="50">
        <f ca="1">+GETPIVOTDATA("XNT4",'nghiathanh (2016)'!$A$3,"MA_HT","DTT","MA_QH","TON")</f>
        <v>0</v>
      </c>
      <c r="AW36" s="50">
        <f ca="1">+GETPIVOTDATA("XNT4",'nghiathanh (2016)'!$A$3,"MA_HT","DTT","MA_QH","NTD")</f>
        <v>0</v>
      </c>
      <c r="AX36" s="50">
        <f ca="1">+GETPIVOTDATA("XNT4",'nghiathanh (2016)'!$A$3,"MA_HT","DTT","MA_QH","SKX")</f>
        <v>0</v>
      </c>
      <c r="AY36" s="50">
        <f ca="1">+GETPIVOTDATA("XNT4",'nghiathanh (2016)'!$A$3,"MA_HT","DTT","MA_QH","DSH")</f>
        <v>0</v>
      </c>
      <c r="AZ36" s="50">
        <f ca="1">+GETPIVOTDATA("XNT4",'nghiathanh (2016)'!$A$3,"MA_HT","DTT","MA_QH","DKV")</f>
        <v>0</v>
      </c>
      <c r="BA36" s="88">
        <f ca="1">+GETPIVOTDATA("XNT4",'nghiathanh (2016)'!$A$3,"MA_HT","DTT","MA_QH","TIN")</f>
        <v>0</v>
      </c>
      <c r="BB36" s="50">
        <f ca="1">+GETPIVOTDATA("XNT4",'nghiathanh (2016)'!$A$3,"MA_HT","DTT","MA_QH","SON")</f>
        <v>0</v>
      </c>
      <c r="BC36" s="50">
        <f ca="1">+GETPIVOTDATA("XNT4",'nghiathanh (2016)'!$A$3,"MA_HT","DTT","MA_QH","MNC")</f>
        <v>0</v>
      </c>
      <c r="BD36" s="50">
        <f ca="1">+GETPIVOTDATA("XNT4",'nghiathanh (2016)'!$A$3,"MA_HT","DTT","MA_QH","PNK")</f>
        <v>0</v>
      </c>
      <c r="BE36" s="80">
        <f ca="1">+GETPIVOTDATA("XNT4",'nghiathanh (2016)'!$A$3,"MA_HT","DTT","MA_QH","CSD")</f>
        <v>0</v>
      </c>
      <c r="BF36" s="103">
        <f ca="1" t="shared" si="13"/>
        <v>0</v>
      </c>
      <c r="BG36" s="104">
        <f ca="1">AI$59-$BF36</f>
        <v>0</v>
      </c>
      <c r="BH36" s="47" t="e">
        <f ca="1" t="shared" si="14"/>
        <v>#REF!</v>
      </c>
      <c r="BI36" s="105"/>
      <c r="BJ36" s="105" t="e">
        <f>#REF!</f>
        <v>#REF!</v>
      </c>
      <c r="BK36" s="108" t="e">
        <f ca="1" t="shared" si="19"/>
        <v>#REF!</v>
      </c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</row>
    <row r="37" s="4" customFormat="1" ht="16.5" customHeight="1" spans="1:79">
      <c r="A37" s="45" t="s">
        <v>8392</v>
      </c>
      <c r="B37" s="45" t="s">
        <v>8393</v>
      </c>
      <c r="C37" s="46" t="s">
        <v>8302</v>
      </c>
      <c r="D37" s="47" t="e">
        <f>+#REF!</f>
        <v>#REF!</v>
      </c>
      <c r="E37" s="42">
        <f ca="1" t="shared" si="15"/>
        <v>0</v>
      </c>
      <c r="F37" s="52">
        <f ca="1" t="shared" si="9"/>
        <v>0</v>
      </c>
      <c r="G37" s="50">
        <f ca="1">+GETPIVOTDATA("XNT4",'nghiathanh (2016)'!$A$3,"MA_HT","NCK","MA_QH","LUC")</f>
        <v>0</v>
      </c>
      <c r="H37" s="50">
        <f ca="1">+GETPIVOTDATA("XNT4",'nghiathanh (2016)'!$A$3,"MA_HT","NCK","MA_QH","LUK")</f>
        <v>0</v>
      </c>
      <c r="I37" s="50">
        <f ca="1">+GETPIVOTDATA("XNT4",'nghiathanh (2016)'!$A$3,"MA_HT","NCK","MA_QH","LUN")</f>
        <v>0</v>
      </c>
      <c r="J37" s="50">
        <f ca="1">+GETPIVOTDATA("XNT4",'nghiathanh (2016)'!$A$3,"MA_HT","NCK","MA_QH","HNK")</f>
        <v>0</v>
      </c>
      <c r="K37" s="50">
        <f ca="1">+GETPIVOTDATA("XNT4",'nghiathanh (2016)'!$A$3,"MA_HT","NCK","MA_QH","CLN")</f>
        <v>0</v>
      </c>
      <c r="L37" s="50">
        <f ca="1">+GETPIVOTDATA("XNT4",'nghiathanh (2016)'!$A$3,"MA_HT","NCK","MA_QH","RSX")</f>
        <v>0</v>
      </c>
      <c r="M37" s="50">
        <f ca="1">+GETPIVOTDATA("XNT4",'nghiathanh (2016)'!$A$3,"MA_HT","NCK","MA_QH","RPH")</f>
        <v>0</v>
      </c>
      <c r="N37" s="50">
        <f ca="1">+GETPIVOTDATA("XNT4",'nghiathanh (2016)'!$A$3,"MA_HT","NCK","MA_QH","RDD")</f>
        <v>0</v>
      </c>
      <c r="O37" s="50">
        <f ca="1">+GETPIVOTDATA("XNT4",'nghiathanh (2016)'!$A$3,"MA_HT","NCK","MA_QH","NTS")</f>
        <v>0</v>
      </c>
      <c r="P37" s="50">
        <f ca="1">+GETPIVOTDATA("XNT4",'nghiathanh (2016)'!$A$3,"MA_HT","NCK","MA_QH","LMU")</f>
        <v>0</v>
      </c>
      <c r="Q37" s="50">
        <f ca="1">+GETPIVOTDATA("XNT4",'nghiathanh (2016)'!$A$3,"MA_HT","NCK","MA_QH","NKH")</f>
        <v>0</v>
      </c>
      <c r="R37" s="48">
        <f ca="1" t="shared" si="20"/>
        <v>0</v>
      </c>
      <c r="S37" s="50">
        <f ca="1">+GETPIVOTDATA("XNT4",'nghiathanh (2016)'!$A$3,"MA_HT","NCK","MA_QH","CQP")</f>
        <v>0</v>
      </c>
      <c r="T37" s="50">
        <f ca="1">+GETPIVOTDATA("XNT4",'nghiathanh (2016)'!$A$3,"MA_HT","NCK","MA_QH","CAN")</f>
        <v>0</v>
      </c>
      <c r="U37" s="50">
        <f ca="1">+GETPIVOTDATA("XNT4",'nghiathanh (2016)'!$A$3,"MA_HT","NCK","MA_QH","SKK")</f>
        <v>0</v>
      </c>
      <c r="V37" s="50">
        <f ca="1">+GETPIVOTDATA("XNT4",'nghiathanh (2016)'!$A$3,"MA_HT","NCK","MA_QH","SKT")</f>
        <v>0</v>
      </c>
      <c r="W37" s="50">
        <f ca="1">+GETPIVOTDATA("XNT4",'nghiathanh (2016)'!$A$3,"MA_HT","NCK","MA_QH","SKN")</f>
        <v>0</v>
      </c>
      <c r="X37" s="50">
        <f ca="1">+GETPIVOTDATA("XNT4",'nghiathanh (2016)'!$A$3,"MA_HT","NCK","MA_QH","TMD")</f>
        <v>0</v>
      </c>
      <c r="Y37" s="50">
        <f ca="1">+GETPIVOTDATA("XNT4",'nghiathanh (2016)'!$A$3,"MA_HT","NCK","MA_QH","SKC")</f>
        <v>0</v>
      </c>
      <c r="Z37" s="50">
        <f ca="1">+GETPIVOTDATA("XNT4",'nghiathanh (2016)'!$A$3,"MA_HT","NCK","MA_QH","SKS")</f>
        <v>0</v>
      </c>
      <c r="AA37" s="52">
        <f ca="1">+SUM(AB37:AI37,AK37:AM37)</f>
        <v>0</v>
      </c>
      <c r="AB37" s="50">
        <f ca="1">+GETPIVOTDATA("XNT4",'nghiathanh (2016)'!$A$3,"MA_HT","NCK","MA_QH","DGT")</f>
        <v>0</v>
      </c>
      <c r="AC37" s="50">
        <f ca="1">+GETPIVOTDATA("XNT4",'nghiathanh (2016)'!$A$3,"MA_HT","NCK","MA_QH","DTL")</f>
        <v>0</v>
      </c>
      <c r="AD37" s="50">
        <f ca="1">+GETPIVOTDATA("XNT4",'nghiathanh (2016)'!$A$3,"MA_HT","NCK","MA_QH","DNL")</f>
        <v>0</v>
      </c>
      <c r="AE37" s="50">
        <f ca="1">+GETPIVOTDATA("XNT4",'nghiathanh (2016)'!$A$3,"MA_HT","NCK","MA_QH","DBV")</f>
        <v>0</v>
      </c>
      <c r="AF37" s="50">
        <f ca="1">+GETPIVOTDATA("XNT4",'nghiathanh (2016)'!$A$3,"MA_HT","NCK","MA_QH","DVH")</f>
        <v>0</v>
      </c>
      <c r="AG37" s="50">
        <f ca="1">+GETPIVOTDATA("XNT4",'nghiathanh (2016)'!$A$3,"MA_HT","NCK","MA_QH","DYT")</f>
        <v>0</v>
      </c>
      <c r="AH37" s="50">
        <f ca="1">+GETPIVOTDATA("XNT4",'nghiathanh (2016)'!$A$3,"MA_HT","NCK","MA_QH","DGD")</f>
        <v>0</v>
      </c>
      <c r="AI37" s="50">
        <f ca="1">+GETPIVOTDATA("XNT4",'nghiathanh (2016)'!$A$3,"MA_HT","NCK","MA_QH","DTT")</f>
        <v>0</v>
      </c>
      <c r="AJ37" s="49" t="e">
        <f ca="1">$D37-$BF37</f>
        <v>#REF!</v>
      </c>
      <c r="AK37" s="50">
        <f ca="1">+GETPIVOTDATA("XNT4",'nghiathanh (2016)'!$A$3,"MA_HT","NCK","MA_QH","DXH")</f>
        <v>0</v>
      </c>
      <c r="AL37" s="50">
        <f ca="1">+GETPIVOTDATA("XNT4",'nghiathanh (2016)'!$A$3,"MA_HT","NCK","MA_QH","DCH")</f>
        <v>0</v>
      </c>
      <c r="AM37" s="50">
        <f ca="1">+GETPIVOTDATA("XNT4",'nghiathanh (2016)'!$A$3,"MA_HT","NCK","MA_QH","DKG")</f>
        <v>0</v>
      </c>
      <c r="AN37" s="50">
        <f ca="1">+GETPIVOTDATA("XNT4",'nghiathanh (2016)'!$A$3,"MA_HT","NCK","MA_QH","DDT")</f>
        <v>0</v>
      </c>
      <c r="AO37" s="50">
        <f ca="1">+GETPIVOTDATA("XNT4",'nghiathanh (2016)'!$A$3,"MA_HT","NCK","MA_QH","DDL")</f>
        <v>0</v>
      </c>
      <c r="AP37" s="50">
        <f ca="1">+GETPIVOTDATA("XNT4",'nghiathanh (2016)'!$A$3,"MA_HT","NCK","MA_QH","DRA")</f>
        <v>0</v>
      </c>
      <c r="AQ37" s="50">
        <f ca="1">+GETPIVOTDATA("XNT4",'nghiathanh (2016)'!$A$3,"MA_HT","NCK","MA_QH","ONT")</f>
        <v>0</v>
      </c>
      <c r="AR37" s="50">
        <f ca="1">+GETPIVOTDATA("XNT4",'nghiathanh (2016)'!$A$3,"MA_HT","NCK","MA_QH","ODT")</f>
        <v>0</v>
      </c>
      <c r="AS37" s="50">
        <f ca="1">+GETPIVOTDATA("XNT4",'nghiathanh (2016)'!$A$3,"MA_HT","NCK","MA_QH","TSC")</f>
        <v>0</v>
      </c>
      <c r="AT37" s="50">
        <f ca="1">+GETPIVOTDATA("XNT4",'nghiathanh (2016)'!$A$3,"MA_HT","NCK","MA_QH","DTS")</f>
        <v>0</v>
      </c>
      <c r="AU37" s="50">
        <f ca="1">+GETPIVOTDATA("XNT4",'nghiathanh (2016)'!$A$3,"MA_HT","NCK","MA_QH","DNG")</f>
        <v>0</v>
      </c>
      <c r="AV37" s="50">
        <f ca="1">+GETPIVOTDATA("XNT4",'nghiathanh (2016)'!$A$3,"MA_HT","NCK","MA_QH","TON")</f>
        <v>0</v>
      </c>
      <c r="AW37" s="50">
        <f ca="1">+GETPIVOTDATA("XNT4",'nghiathanh (2016)'!$A$3,"MA_HT","NCK","MA_QH","NTD")</f>
        <v>0</v>
      </c>
      <c r="AX37" s="50">
        <f ca="1">+GETPIVOTDATA("XNT4",'nghiathanh (2016)'!$A$3,"MA_HT","NCK","MA_QH","SKX")</f>
        <v>0</v>
      </c>
      <c r="AY37" s="50">
        <f ca="1">+GETPIVOTDATA("XNT4",'nghiathanh (2016)'!$A$3,"MA_HT","NCK","MA_QH","DSH")</f>
        <v>0</v>
      </c>
      <c r="AZ37" s="50">
        <f ca="1">+GETPIVOTDATA("XNT4",'nghiathanh (2016)'!$A$3,"MA_HT","NCK","MA_QH","DKV")</f>
        <v>0</v>
      </c>
      <c r="BA37" s="88">
        <f ca="1">+GETPIVOTDATA("XNT4",'nghiathanh (2016)'!$A$3,"MA_HT","NCK","MA_QH","TIN")</f>
        <v>0</v>
      </c>
      <c r="BB37" s="50">
        <f ca="1">+GETPIVOTDATA("XNT4",'nghiathanh (2016)'!$A$3,"MA_HT","NCK","MA_QH","SON")</f>
        <v>0</v>
      </c>
      <c r="BC37" s="50">
        <f ca="1">+GETPIVOTDATA("XNT4",'nghiathanh (2016)'!$A$3,"MA_HT","NCK","MA_QH","MNC")</f>
        <v>0</v>
      </c>
      <c r="BD37" s="50">
        <f ca="1">+GETPIVOTDATA("XNT4",'nghiathanh (2016)'!$A$3,"MA_HT","NCK","MA_QH","PNK")</f>
        <v>0</v>
      </c>
      <c r="BE37" s="80">
        <f ca="1">+GETPIVOTDATA("XNT4",'nghiathanh (2016)'!$A$3,"MA_HT","NCK","MA_QH","CSD")</f>
        <v>0</v>
      </c>
      <c r="BF37" s="103">
        <f ca="1" t="shared" si="13"/>
        <v>0</v>
      </c>
      <c r="BG37" s="104">
        <f ca="1">AJ$59-$BF37</f>
        <v>0</v>
      </c>
      <c r="BH37" s="47" t="e">
        <f ca="1" t="shared" si="14"/>
        <v>#REF!</v>
      </c>
      <c r="BI37" s="105"/>
      <c r="BJ37" s="105" t="e">
        <f>#REF!</f>
        <v>#REF!</v>
      </c>
      <c r="BK37" s="108" t="e">
        <f ca="1" t="shared" si="19"/>
        <v>#REF!</v>
      </c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</row>
    <row r="38" s="4" customFormat="1" ht="16.5" customHeight="1" spans="1:79">
      <c r="A38" s="45" t="s">
        <v>8394</v>
      </c>
      <c r="B38" s="45" t="s">
        <v>8395</v>
      </c>
      <c r="C38" s="46" t="s">
        <v>8295</v>
      </c>
      <c r="D38" s="47" t="e">
        <f>+#REF!</f>
        <v>#REF!</v>
      </c>
      <c r="E38" s="42">
        <f ca="1" t="shared" si="15"/>
        <v>0</v>
      </c>
      <c r="F38" s="52">
        <f ca="1" t="shared" si="9"/>
        <v>0</v>
      </c>
      <c r="G38" s="50">
        <f ca="1">+GETPIVOTDATA("XNT4",'nghiathanh (2016)'!$A$3,"MA_HT","DXH","MA_QH","LUC")</f>
        <v>0</v>
      </c>
      <c r="H38" s="50">
        <f ca="1">+GETPIVOTDATA("XNT4",'nghiathanh (2016)'!$A$3,"MA_HT","DXH","MA_QH","LUK")</f>
        <v>0</v>
      </c>
      <c r="I38" s="50">
        <f ca="1">+GETPIVOTDATA("XNT4",'nghiathanh (2016)'!$A$3,"MA_HT","DXH","MA_QH","LUN")</f>
        <v>0</v>
      </c>
      <c r="J38" s="50">
        <f ca="1">+GETPIVOTDATA("XNT4",'nghiathanh (2016)'!$A$3,"MA_HT","DXH","MA_QH","HNK")</f>
        <v>0</v>
      </c>
      <c r="K38" s="50">
        <f ca="1">+GETPIVOTDATA("XNT4",'nghiathanh (2016)'!$A$3,"MA_HT","DXH","MA_QH","CLN")</f>
        <v>0</v>
      </c>
      <c r="L38" s="50">
        <f ca="1">+GETPIVOTDATA("XNT4",'nghiathanh (2016)'!$A$3,"MA_HT","DXH","MA_QH","RSX")</f>
        <v>0</v>
      </c>
      <c r="M38" s="50">
        <f ca="1">+GETPIVOTDATA("XNT4",'nghiathanh (2016)'!$A$3,"MA_HT","DXH","MA_QH","RPH")</f>
        <v>0</v>
      </c>
      <c r="N38" s="50">
        <f ca="1">+GETPIVOTDATA("XNT4",'nghiathanh (2016)'!$A$3,"MA_HT","DXH","MA_QH","RDD")</f>
        <v>0</v>
      </c>
      <c r="O38" s="50">
        <f ca="1">+GETPIVOTDATA("XNT4",'nghiathanh (2016)'!$A$3,"MA_HT","DXH","MA_QH","NTS")</f>
        <v>0</v>
      </c>
      <c r="P38" s="50">
        <f ca="1">+GETPIVOTDATA("XNT4",'nghiathanh (2016)'!$A$3,"MA_HT","DXH","MA_QH","LMU")</f>
        <v>0</v>
      </c>
      <c r="Q38" s="50">
        <f ca="1">+GETPIVOTDATA("XNT4",'nghiathanh (2016)'!$A$3,"MA_HT","DXH","MA_QH","NKH")</f>
        <v>0</v>
      </c>
      <c r="R38" s="48">
        <f ca="1" t="shared" si="20"/>
        <v>0</v>
      </c>
      <c r="S38" s="50">
        <f ca="1">+GETPIVOTDATA("XNT4",'nghiathanh (2016)'!$A$3,"MA_HT","DXH","MA_QH","CQP")</f>
        <v>0</v>
      </c>
      <c r="T38" s="50">
        <f ca="1">+GETPIVOTDATA("XNT4",'nghiathanh (2016)'!$A$3,"MA_HT","DXH","MA_QH","CAN")</f>
        <v>0</v>
      </c>
      <c r="U38" s="50">
        <f ca="1">+GETPIVOTDATA("XNT4",'nghiathanh (2016)'!$A$3,"MA_HT","DXH","MA_QH","SKK")</f>
        <v>0</v>
      </c>
      <c r="V38" s="50">
        <f ca="1">+GETPIVOTDATA("XNT4",'nghiathanh (2016)'!$A$3,"MA_HT","DXH","MA_QH","SKT")</f>
        <v>0</v>
      </c>
      <c r="W38" s="50">
        <f ca="1">+GETPIVOTDATA("XNT4",'nghiathanh (2016)'!$A$3,"MA_HT","DXH","MA_QH","SKN")</f>
        <v>0</v>
      </c>
      <c r="X38" s="50">
        <f ca="1">+GETPIVOTDATA("XNT4",'nghiathanh (2016)'!$A$3,"MA_HT","DXH","MA_QH","TMD")</f>
        <v>0</v>
      </c>
      <c r="Y38" s="50">
        <f ca="1">+GETPIVOTDATA("XNT4",'nghiathanh (2016)'!$A$3,"MA_HT","DXH","MA_QH","SKC")</f>
        <v>0</v>
      </c>
      <c r="Z38" s="50">
        <f ca="1">+GETPIVOTDATA("XNT4",'nghiathanh (2016)'!$A$3,"MA_HT","DXH","MA_QH","SKS")</f>
        <v>0</v>
      </c>
      <c r="AA38" s="52">
        <f ca="1">+SUM(AB38:AJ38,AL38:AM38)</f>
        <v>0</v>
      </c>
      <c r="AB38" s="50">
        <f ca="1">+GETPIVOTDATA("XNT4",'nghiathanh (2016)'!$A$3,"MA_HT","DXH","MA_QH","DGT")</f>
        <v>0</v>
      </c>
      <c r="AC38" s="50">
        <f ca="1">+GETPIVOTDATA("XNT4",'nghiathanh (2016)'!$A$3,"MA_HT","DXH","MA_QH","DTL")</f>
        <v>0</v>
      </c>
      <c r="AD38" s="50">
        <f ca="1">+GETPIVOTDATA("XNT4",'nghiathanh (2016)'!$A$3,"MA_HT","DXH","MA_QH","DNL")</f>
        <v>0</v>
      </c>
      <c r="AE38" s="50">
        <f ca="1">+GETPIVOTDATA("XNT4",'nghiathanh (2016)'!$A$3,"MA_HT","DXH","MA_QH","DBV")</f>
        <v>0</v>
      </c>
      <c r="AF38" s="50">
        <f ca="1">+GETPIVOTDATA("XNT4",'nghiathanh (2016)'!$A$3,"MA_HT","DXH","MA_QH","DVH")</f>
        <v>0</v>
      </c>
      <c r="AG38" s="50">
        <f ca="1">+GETPIVOTDATA("XNT4",'nghiathanh (2016)'!$A$3,"MA_HT","DXH","MA_QH","DYT")</f>
        <v>0</v>
      </c>
      <c r="AH38" s="50">
        <f ca="1">+GETPIVOTDATA("XNT4",'nghiathanh (2016)'!$A$3,"MA_HT","DXH","MA_QH","DGD")</f>
        <v>0</v>
      </c>
      <c r="AI38" s="50">
        <f ca="1">+GETPIVOTDATA("XNT4",'nghiathanh (2016)'!$A$3,"MA_HT","DXH","MA_QH","DTT")</f>
        <v>0</v>
      </c>
      <c r="AJ38" s="50">
        <f ca="1">+GETPIVOTDATA("XNT4",'nghiathanh (2016)'!$A$3,"MA_HT","DXH","MA_QH","NCK")</f>
        <v>0</v>
      </c>
      <c r="AK38" s="49" t="e">
        <f ca="1">$D38-$BF38</f>
        <v>#REF!</v>
      </c>
      <c r="AL38" s="50">
        <f ca="1">+GETPIVOTDATA("XNT4",'nghiathanh (2016)'!$A$3,"MA_HT","DXH","MA_QH","DCH")</f>
        <v>0</v>
      </c>
      <c r="AM38" s="50">
        <f ca="1">+GETPIVOTDATA("XNT4",'nghiathanh (2016)'!$A$3,"MA_HT","DXH","MA_QH","DKG")</f>
        <v>0</v>
      </c>
      <c r="AN38" s="50">
        <f ca="1">+GETPIVOTDATA("XNT4",'nghiathanh (2016)'!$A$3,"MA_HT","DXH","MA_QH","DDT")</f>
        <v>0</v>
      </c>
      <c r="AO38" s="50">
        <f ca="1">+GETPIVOTDATA("XNT4",'nghiathanh (2016)'!$A$3,"MA_HT","DXH","MA_QH","DDL")</f>
        <v>0</v>
      </c>
      <c r="AP38" s="50">
        <f ca="1">+GETPIVOTDATA("XNT4",'nghiathanh (2016)'!$A$3,"MA_HT","DXH","MA_QH","DRA")</f>
        <v>0</v>
      </c>
      <c r="AQ38" s="50">
        <f ca="1">+GETPIVOTDATA("XNT4",'nghiathanh (2016)'!$A$3,"MA_HT","DXH","MA_QH","ONT")</f>
        <v>0</v>
      </c>
      <c r="AR38" s="50">
        <f ca="1">+GETPIVOTDATA("XNT4",'nghiathanh (2016)'!$A$3,"MA_HT","DXH","MA_QH","ODT")</f>
        <v>0</v>
      </c>
      <c r="AS38" s="50">
        <f ca="1">+GETPIVOTDATA("XNT4",'nghiathanh (2016)'!$A$3,"MA_HT","DXH","MA_QH","TSC")</f>
        <v>0</v>
      </c>
      <c r="AT38" s="50">
        <f ca="1">+GETPIVOTDATA("XNT4",'nghiathanh (2016)'!$A$3,"MA_HT","DXH","MA_QH","DTS")</f>
        <v>0</v>
      </c>
      <c r="AU38" s="50">
        <f ca="1">+GETPIVOTDATA("XNT4",'nghiathanh (2016)'!$A$3,"MA_HT","DXH","MA_QH","DNG")</f>
        <v>0</v>
      </c>
      <c r="AV38" s="50">
        <f ca="1">+GETPIVOTDATA("XNT4",'nghiathanh (2016)'!$A$3,"MA_HT","DXH","MA_QH","TON")</f>
        <v>0</v>
      </c>
      <c r="AW38" s="50">
        <f ca="1">+GETPIVOTDATA("XNT4",'nghiathanh (2016)'!$A$3,"MA_HT","DXH","MA_QH","NTD")</f>
        <v>0</v>
      </c>
      <c r="AX38" s="50">
        <f ca="1">+GETPIVOTDATA("XNT4",'nghiathanh (2016)'!$A$3,"MA_HT","DXH","MA_QH","SKX")</f>
        <v>0</v>
      </c>
      <c r="AY38" s="50">
        <f ca="1">+GETPIVOTDATA("XNT4",'nghiathanh (2016)'!$A$3,"MA_HT","DXH","MA_QH","DSH")</f>
        <v>0</v>
      </c>
      <c r="AZ38" s="50">
        <f ca="1">+GETPIVOTDATA("XNT4",'nghiathanh (2016)'!$A$3,"MA_HT","DXH","MA_QH","DKV")</f>
        <v>0</v>
      </c>
      <c r="BA38" s="88">
        <f ca="1">+GETPIVOTDATA("XNT4",'nghiathanh (2016)'!$A$3,"MA_HT","DXH","MA_QH","TIN")</f>
        <v>0</v>
      </c>
      <c r="BB38" s="50">
        <f ca="1">+GETPIVOTDATA("XNT4",'nghiathanh (2016)'!$A$3,"MA_HT","DXH","MA_QH","SON")</f>
        <v>0</v>
      </c>
      <c r="BC38" s="50">
        <f ca="1">+GETPIVOTDATA("XNT4",'nghiathanh (2016)'!$A$3,"MA_HT","DXH","MA_QH","MNC")</f>
        <v>0</v>
      </c>
      <c r="BD38" s="50">
        <f ca="1">+GETPIVOTDATA("XNT4",'nghiathanh (2016)'!$A$3,"MA_HT","DXH","MA_QH","PNK")</f>
        <v>0</v>
      </c>
      <c r="BE38" s="80">
        <f ca="1">+GETPIVOTDATA("XNT4",'nghiathanh (2016)'!$A$3,"MA_HT","DXH","MA_QH","CSD")</f>
        <v>0</v>
      </c>
      <c r="BF38" s="103">
        <f ca="1" t="shared" si="13"/>
        <v>0</v>
      </c>
      <c r="BG38" s="104">
        <f ca="1">AK$59-$BF38</f>
        <v>0</v>
      </c>
      <c r="BH38" s="47" t="e">
        <f ca="1" t="shared" si="14"/>
        <v>#REF!</v>
      </c>
      <c r="BI38" s="105"/>
      <c r="BJ38" s="105" t="e">
        <f>#REF!</f>
        <v>#REF!</v>
      </c>
      <c r="BK38" s="108" t="e">
        <f ca="1" t="shared" si="19"/>
        <v>#REF!</v>
      </c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</row>
    <row r="39" s="5" customFormat="1" ht="16.5" customHeight="1" spans="1:79">
      <c r="A39" s="45" t="s">
        <v>8396</v>
      </c>
      <c r="B39" s="45" t="s">
        <v>8397</v>
      </c>
      <c r="C39" s="46" t="s">
        <v>178</v>
      </c>
      <c r="D39" s="47" t="e">
        <f>+#REF!</f>
        <v>#REF!</v>
      </c>
      <c r="E39" s="42">
        <f ca="1" t="shared" si="15"/>
        <v>0</v>
      </c>
      <c r="F39" s="52">
        <f ca="1" t="shared" si="9"/>
        <v>0</v>
      </c>
      <c r="G39" s="50">
        <f ca="1">+GETPIVOTDATA("XNT4",'nghiathanh (2016)'!$A$3,"MA_HT","DCH","MA_QH","LUC")</f>
        <v>0</v>
      </c>
      <c r="H39" s="50">
        <f ca="1">+GETPIVOTDATA("XNT4",'nghiathanh (2016)'!$A$3,"MA_HT","DCH","MA_QH","LUK")</f>
        <v>0</v>
      </c>
      <c r="I39" s="50">
        <f ca="1">+GETPIVOTDATA("XNT4",'nghiathanh (2016)'!$A$3,"MA_HT","DCH","MA_QH","LUN")</f>
        <v>0</v>
      </c>
      <c r="J39" s="50">
        <f ca="1">+GETPIVOTDATA("XNT4",'nghiathanh (2016)'!$A$3,"MA_HT","DCH","MA_QH","HNK")</f>
        <v>0</v>
      </c>
      <c r="K39" s="50">
        <f ca="1">+GETPIVOTDATA("XNT4",'nghiathanh (2016)'!$A$3,"MA_HT","DCH","MA_QH","CLN")</f>
        <v>0</v>
      </c>
      <c r="L39" s="50">
        <f ca="1">+GETPIVOTDATA("XNT4",'nghiathanh (2016)'!$A$3,"MA_HT","DCH","MA_QH","RSX")</f>
        <v>0</v>
      </c>
      <c r="M39" s="50">
        <f ca="1">+GETPIVOTDATA("XNT4",'nghiathanh (2016)'!$A$3,"MA_HT","DCH","MA_QH","RPH")</f>
        <v>0</v>
      </c>
      <c r="N39" s="50">
        <f ca="1">+GETPIVOTDATA("XNT4",'nghiathanh (2016)'!$A$3,"MA_HT","DCH","MA_QH","RDD")</f>
        <v>0</v>
      </c>
      <c r="O39" s="50">
        <f ca="1">+GETPIVOTDATA("XNT4",'nghiathanh (2016)'!$A$3,"MA_HT","DCH","MA_QH","NTS")</f>
        <v>0</v>
      </c>
      <c r="P39" s="50">
        <f ca="1">+GETPIVOTDATA("XNT4",'nghiathanh (2016)'!$A$3,"MA_HT","DCH","MA_QH","LMU")</f>
        <v>0</v>
      </c>
      <c r="Q39" s="50">
        <f ca="1">+GETPIVOTDATA("XNT4",'nghiathanh (2016)'!$A$3,"MA_HT","DCH","MA_QH","NKH")</f>
        <v>0</v>
      </c>
      <c r="R39" s="48">
        <f ca="1" t="shared" si="20"/>
        <v>0</v>
      </c>
      <c r="S39" s="50">
        <f ca="1">+GETPIVOTDATA("XNT4",'nghiathanh (2016)'!$A$3,"MA_HT","DCH","MA_QH","CQP")</f>
        <v>0</v>
      </c>
      <c r="T39" s="50">
        <f ca="1">+GETPIVOTDATA("XNT4",'nghiathanh (2016)'!$A$3,"MA_HT","DCH","MA_QH","CAN")</f>
        <v>0</v>
      </c>
      <c r="U39" s="50">
        <f ca="1">+GETPIVOTDATA("XNT4",'nghiathanh (2016)'!$A$3,"MA_HT","DCH","MA_QH","SKK")</f>
        <v>0</v>
      </c>
      <c r="V39" s="50">
        <f ca="1">+GETPIVOTDATA("XNT4",'nghiathanh (2016)'!$A$3,"MA_HT","DCH","MA_QH","SKT")</f>
        <v>0</v>
      </c>
      <c r="W39" s="50">
        <f ca="1">+GETPIVOTDATA("XNT4",'nghiathanh (2016)'!$A$3,"MA_HT","DCH","MA_QH","SKN")</f>
        <v>0</v>
      </c>
      <c r="X39" s="50">
        <f ca="1">+GETPIVOTDATA("XNT4",'nghiathanh (2016)'!$A$3,"MA_HT","DCH","MA_QH","TMD")</f>
        <v>0</v>
      </c>
      <c r="Y39" s="50">
        <f ca="1">+GETPIVOTDATA("XNT4",'nghiathanh (2016)'!$A$3,"MA_HT","DCH","MA_QH","SKC")</f>
        <v>0</v>
      </c>
      <c r="Z39" s="50">
        <f ca="1">+GETPIVOTDATA("XNT4",'nghiathanh (2016)'!$A$3,"MA_HT","DCH","MA_QH","SKS")</f>
        <v>0</v>
      </c>
      <c r="AA39" s="52">
        <f ca="1">+SUM(AB39:AK39,AM39)</f>
        <v>0</v>
      </c>
      <c r="AB39" s="50">
        <f ca="1">+GETPIVOTDATA("XNT4",'nghiathanh (2016)'!$A$3,"MA_HT","DCH","MA_QH","DGT")</f>
        <v>0</v>
      </c>
      <c r="AC39" s="50">
        <f ca="1">+GETPIVOTDATA("XNT4",'nghiathanh (2016)'!$A$3,"MA_HT","DCH","MA_QH","DTL")</f>
        <v>0</v>
      </c>
      <c r="AD39" s="50">
        <f ca="1">+GETPIVOTDATA("XNT4",'nghiathanh (2016)'!$A$3,"MA_HT","DCH","MA_QH","DNL")</f>
        <v>0</v>
      </c>
      <c r="AE39" s="50">
        <f ca="1">+GETPIVOTDATA("XNT4",'nghiathanh (2016)'!$A$3,"MA_HT","DCH","MA_QH","DBV")</f>
        <v>0</v>
      </c>
      <c r="AF39" s="50">
        <f ca="1">+GETPIVOTDATA("XNT4",'nghiathanh (2016)'!$A$3,"MA_HT","DCH","MA_QH","DVH")</f>
        <v>0</v>
      </c>
      <c r="AG39" s="50">
        <f ca="1">+GETPIVOTDATA("XNT4",'nghiathanh (2016)'!$A$3,"MA_HT","DCH","MA_QH","DYT")</f>
        <v>0</v>
      </c>
      <c r="AH39" s="50">
        <f ca="1">+GETPIVOTDATA("XNT4",'nghiathanh (2016)'!$A$3,"MA_HT","DCH","MA_QH","DGD")</f>
        <v>0</v>
      </c>
      <c r="AI39" s="50">
        <f ca="1">+GETPIVOTDATA("XNT4",'nghiathanh (2016)'!$A$3,"MA_HT","DCH","MA_QH","DTT")</f>
        <v>0</v>
      </c>
      <c r="AJ39" s="50">
        <f ca="1">+GETPIVOTDATA("XNT4",'nghiathanh (2016)'!$A$3,"MA_HT","DCH","MA_QH","NCK")</f>
        <v>0</v>
      </c>
      <c r="AK39" s="50">
        <f ca="1">+GETPIVOTDATA("XNT4",'nghiathanh (2016)'!$A$3,"MA_HT","DCH","MA_QH","DXH")</f>
        <v>0</v>
      </c>
      <c r="AL39" s="49" t="e">
        <f ca="1">$D39-$BF39</f>
        <v>#REF!</v>
      </c>
      <c r="AM39" s="50">
        <f ca="1">+GETPIVOTDATA("XNT4",'nghiathanh (2016)'!$A$3,"MA_HT","DXH","MA_QH","DKG")</f>
        <v>0</v>
      </c>
      <c r="AN39" s="50">
        <f ca="1">+GETPIVOTDATA("XNT4",'nghiathanh (2016)'!$A$3,"MA_HT","DCH","MA_QH","DDT")</f>
        <v>0</v>
      </c>
      <c r="AO39" s="50">
        <f ca="1">+GETPIVOTDATA("XNT4",'nghiathanh (2016)'!$A$3,"MA_HT","DCH","MA_QH","DDL")</f>
        <v>0</v>
      </c>
      <c r="AP39" s="50">
        <f ca="1">+GETPIVOTDATA("XNT4",'nghiathanh (2016)'!$A$3,"MA_HT","DCH","MA_QH","DRA")</f>
        <v>0</v>
      </c>
      <c r="AQ39" s="50">
        <f ca="1">+GETPIVOTDATA("XNT4",'nghiathanh (2016)'!$A$3,"MA_HT","DCH","MA_QH","ONT")</f>
        <v>0</v>
      </c>
      <c r="AR39" s="50">
        <f ca="1">+GETPIVOTDATA("XNT4",'nghiathanh (2016)'!$A$3,"MA_HT","DCH","MA_QH","ODT")</f>
        <v>0</v>
      </c>
      <c r="AS39" s="50">
        <f ca="1">+GETPIVOTDATA("XNT4",'nghiathanh (2016)'!$A$3,"MA_HT","DCH","MA_QH","TSC")</f>
        <v>0</v>
      </c>
      <c r="AT39" s="50">
        <f ca="1">+GETPIVOTDATA("XNT4",'nghiathanh (2016)'!$A$3,"MA_HT","DCH","MA_QH","DTS")</f>
        <v>0</v>
      </c>
      <c r="AU39" s="50">
        <f ca="1">+GETPIVOTDATA("XNT4",'nghiathanh (2016)'!$A$3,"MA_HT","DCH","MA_QH","DNG")</f>
        <v>0</v>
      </c>
      <c r="AV39" s="50">
        <f ca="1">+GETPIVOTDATA("XNT4",'nghiathanh (2016)'!$A$3,"MA_HT","DCH","MA_QH","TON")</f>
        <v>0</v>
      </c>
      <c r="AW39" s="50">
        <f ca="1">+GETPIVOTDATA("XNT4",'nghiathanh (2016)'!$A$3,"MA_HT","DCH","MA_QH","NTD")</f>
        <v>0</v>
      </c>
      <c r="AX39" s="50">
        <f ca="1">+GETPIVOTDATA("XNT4",'nghiathanh (2016)'!$A$3,"MA_HT","DCH","MA_QH","SKX")</f>
        <v>0</v>
      </c>
      <c r="AY39" s="50">
        <f ca="1">+GETPIVOTDATA("XNT4",'nghiathanh (2016)'!$A$3,"MA_HT","DCH","MA_QH","DSH")</f>
        <v>0</v>
      </c>
      <c r="AZ39" s="50">
        <f ca="1">+GETPIVOTDATA("XNT4",'nghiathanh (2016)'!$A$3,"MA_HT","DCH","MA_QH","DKV")</f>
        <v>0</v>
      </c>
      <c r="BA39" s="88">
        <f ca="1">+GETPIVOTDATA("XNT4",'nghiathanh (2016)'!$A$3,"MA_HT","DCH","MA_QH","TIN")</f>
        <v>0</v>
      </c>
      <c r="BB39" s="50">
        <f ca="1">+GETPIVOTDATA("XNT4",'nghiathanh (2016)'!$A$3,"MA_HT","DCH","MA_QH","SON")</f>
        <v>0</v>
      </c>
      <c r="BC39" s="50">
        <f ca="1">+GETPIVOTDATA("XNT4",'nghiathanh (2016)'!$A$3,"MA_HT","DCH","MA_QH","MNC")</f>
        <v>0</v>
      </c>
      <c r="BD39" s="50">
        <f ca="1">+GETPIVOTDATA("XNT4",'nghiathanh (2016)'!$A$3,"MA_HT","DCH","MA_QH","PNK")</f>
        <v>0</v>
      </c>
      <c r="BE39" s="80">
        <f ca="1">+GETPIVOTDATA("XNT4",'nghiathanh (2016)'!$A$3,"MA_HT","DCH","MA_QH","CSD")</f>
        <v>0</v>
      </c>
      <c r="BF39" s="103">
        <f ca="1" t="shared" si="13"/>
        <v>0</v>
      </c>
      <c r="BG39" s="104">
        <f ca="1">AL$59-$BF39</f>
        <v>0</v>
      </c>
      <c r="BH39" s="47" t="e">
        <f ca="1" t="shared" si="14"/>
        <v>#REF!</v>
      </c>
      <c r="BI39" s="109"/>
      <c r="BJ39" s="109" t="e">
        <f>#REF!</f>
        <v>#REF!</v>
      </c>
      <c r="BK39" s="110" t="e">
        <f ca="1" t="shared" si="19"/>
        <v>#REF!</v>
      </c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</row>
    <row r="40" s="5" customFormat="1" ht="16.5" customHeight="1" spans="1:79">
      <c r="A40" s="45" t="s">
        <v>8398</v>
      </c>
      <c r="B40" s="45" t="s">
        <v>8399</v>
      </c>
      <c r="C40" s="46" t="s">
        <v>8312</v>
      </c>
      <c r="D40" s="47" t="e">
        <f>+#REF!</f>
        <v>#REF!</v>
      </c>
      <c r="E40" s="42">
        <f ca="1" t="shared" si="15"/>
        <v>0</v>
      </c>
      <c r="F40" s="52">
        <f ca="1" t="shared" si="9"/>
        <v>0</v>
      </c>
      <c r="G40" s="50">
        <f ca="1">+GETPIVOTDATA("XNT4",'nghiathanh (2016)'!$A$3,"MA_HT","DKG","MA_QH","LUC")</f>
        <v>0</v>
      </c>
      <c r="H40" s="50">
        <f ca="1">+GETPIVOTDATA("XNT4",'nghiathanh (2016)'!$A$3,"MA_HT","DKG","MA_QH","LUK")</f>
        <v>0</v>
      </c>
      <c r="I40" s="50">
        <f ca="1">+GETPIVOTDATA("XNT4",'nghiathanh (2016)'!$A$3,"MA_HT","DKG","MA_QH","LUN")</f>
        <v>0</v>
      </c>
      <c r="J40" s="50">
        <f ca="1">+GETPIVOTDATA("XNT4",'nghiathanh (2016)'!$A$3,"MA_HT","DKG","MA_QH","HNK")</f>
        <v>0</v>
      </c>
      <c r="K40" s="50">
        <f ca="1">+GETPIVOTDATA("XNT4",'nghiathanh (2016)'!$A$3,"MA_HT","DKG","MA_QH","CLN")</f>
        <v>0</v>
      </c>
      <c r="L40" s="50">
        <f ca="1">+GETPIVOTDATA("XNT4",'nghiathanh (2016)'!$A$3,"MA_HT","DKG","MA_QH","RSX")</f>
        <v>0</v>
      </c>
      <c r="M40" s="50">
        <f ca="1">+GETPIVOTDATA("XNT4",'nghiathanh (2016)'!$A$3,"MA_HT","DKG","MA_QH","RPH")</f>
        <v>0</v>
      </c>
      <c r="N40" s="50">
        <f ca="1">+GETPIVOTDATA("XNT4",'nghiathanh (2016)'!$A$3,"MA_HT","DKG","MA_QH","RDD")</f>
        <v>0</v>
      </c>
      <c r="O40" s="50">
        <f ca="1">+GETPIVOTDATA("XNT4",'nghiathanh (2016)'!$A$3,"MA_HT","DKG","MA_QH","NTS")</f>
        <v>0</v>
      </c>
      <c r="P40" s="50">
        <f ca="1">+GETPIVOTDATA("XNT4",'nghiathanh (2016)'!$A$3,"MA_HT","DKG","MA_QH","LMU")</f>
        <v>0</v>
      </c>
      <c r="Q40" s="50">
        <f ca="1">+GETPIVOTDATA("XNT4",'nghiathanh (2016)'!$A$3,"MA_HT","DKG","MA_QH","NKH")</f>
        <v>0</v>
      </c>
      <c r="R40" s="48">
        <f ca="1" t="shared" si="20"/>
        <v>0</v>
      </c>
      <c r="S40" s="50">
        <f ca="1">+GETPIVOTDATA("XNT4",'nghiathanh (2016)'!$A$3,"MA_HT","DKG","MA_QH","CQP")</f>
        <v>0</v>
      </c>
      <c r="T40" s="50">
        <f ca="1">+GETPIVOTDATA("XNT4",'nghiathanh (2016)'!$A$3,"MA_HT","DKG","MA_QH","CAN")</f>
        <v>0</v>
      </c>
      <c r="U40" s="50">
        <f ca="1">+GETPIVOTDATA("XNT4",'nghiathanh (2016)'!$A$3,"MA_HT","DKG","MA_QH","SKK")</f>
        <v>0</v>
      </c>
      <c r="V40" s="50">
        <f ca="1">+GETPIVOTDATA("XNT4",'nghiathanh (2016)'!$A$3,"MA_HT","DKG","MA_QH","SKT")</f>
        <v>0</v>
      </c>
      <c r="W40" s="50">
        <f ca="1">+GETPIVOTDATA("XNT4",'nghiathanh (2016)'!$A$3,"MA_HT","DKG","MA_QH","SKN")</f>
        <v>0</v>
      </c>
      <c r="X40" s="50">
        <f ca="1">+GETPIVOTDATA("XNT4",'nghiathanh (2016)'!$A$3,"MA_HT","DKG","MA_QH","TMD")</f>
        <v>0</v>
      </c>
      <c r="Y40" s="50">
        <f ca="1">+GETPIVOTDATA("XNT4",'nghiathanh (2016)'!$A$3,"MA_HT","DKG","MA_QH","SKC")</f>
        <v>0</v>
      </c>
      <c r="Z40" s="50">
        <f ca="1">+GETPIVOTDATA("XNT4",'nghiathanh (2016)'!$A$3,"MA_HT","DKG","MA_QH","SKS")</f>
        <v>0</v>
      </c>
      <c r="AA40" s="52">
        <f ca="1">+SUM(AB40:AL40)</f>
        <v>0</v>
      </c>
      <c r="AB40" s="50">
        <f ca="1">+GETPIVOTDATA("XNT4",'nghiathanh (2016)'!$A$3,"MA_HT","DKG","MA_QH","DGT")</f>
        <v>0</v>
      </c>
      <c r="AC40" s="50">
        <f ca="1">+GETPIVOTDATA("XNT4",'nghiathanh (2016)'!$A$3,"MA_HT","DKG","MA_QH","DTL")</f>
        <v>0</v>
      </c>
      <c r="AD40" s="50">
        <f ca="1">+GETPIVOTDATA("XNT4",'nghiathanh (2016)'!$A$3,"MA_HT","DKG","MA_QH","DNL")</f>
        <v>0</v>
      </c>
      <c r="AE40" s="50">
        <f ca="1">+GETPIVOTDATA("XNT4",'nghiathanh (2016)'!$A$3,"MA_HT","DKG","MA_QH","DBV")</f>
        <v>0</v>
      </c>
      <c r="AF40" s="50">
        <f ca="1">+GETPIVOTDATA("XNT4",'nghiathanh (2016)'!$A$3,"MA_HT","DKG","MA_QH","DVH")</f>
        <v>0</v>
      </c>
      <c r="AG40" s="50">
        <f ca="1">+GETPIVOTDATA("XNT4",'nghiathanh (2016)'!$A$3,"MA_HT","DKG","MA_QH","DYT")</f>
        <v>0</v>
      </c>
      <c r="AH40" s="50">
        <f ca="1">+GETPIVOTDATA("XNT4",'nghiathanh (2016)'!$A$3,"MA_HT","DKG","MA_QH","DGD")</f>
        <v>0</v>
      </c>
      <c r="AI40" s="50">
        <f ca="1">+GETPIVOTDATA("XNT4",'nghiathanh (2016)'!$A$3,"MA_HT","DKG","MA_QH","DTT")</f>
        <v>0</v>
      </c>
      <c r="AJ40" s="50">
        <f ca="1">+GETPIVOTDATA("XNT4",'nghiathanh (2016)'!$A$3,"MA_HT","DKG","MA_QH","NCK")</f>
        <v>0</v>
      </c>
      <c r="AK40" s="50">
        <f ca="1">+GETPIVOTDATA("XNT4",'nghiathanh (2016)'!$A$3,"MA_HT","DKG","MA_QH","DXH")</f>
        <v>0</v>
      </c>
      <c r="AL40" s="60">
        <f ca="1">+GETPIVOTDATA("XNT4",'nghiathanh (2016)'!$A$3,"MA_HT","DDT","MA_QH","DKG")</f>
        <v>0</v>
      </c>
      <c r="AM40" s="49" t="e">
        <f ca="1">$D40-$BF40</f>
        <v>#REF!</v>
      </c>
      <c r="AN40" s="50">
        <f ca="1">+GETPIVOTDATA("XNT4",'nghiathanh (2016)'!$A$3,"MA_HT","DKG","MA_QH","DDT")</f>
        <v>0</v>
      </c>
      <c r="AO40" s="50">
        <f ca="1">+GETPIVOTDATA("XNT4",'nghiathanh (2016)'!$A$3,"MA_HT","DKG","MA_QH","DDL")</f>
        <v>0</v>
      </c>
      <c r="AP40" s="50">
        <f ca="1">+GETPIVOTDATA("XNT4",'nghiathanh (2016)'!$A$3,"MA_HT","DKG","MA_QH","DRA")</f>
        <v>0</v>
      </c>
      <c r="AQ40" s="50">
        <f ca="1">+GETPIVOTDATA("XNT4",'nghiathanh (2016)'!$A$3,"MA_HT","DKG","MA_QH","ONT")</f>
        <v>0</v>
      </c>
      <c r="AR40" s="50">
        <f ca="1">+GETPIVOTDATA("XNT4",'nghiathanh (2016)'!$A$3,"MA_HT","DKG","MA_QH","ODT")</f>
        <v>0</v>
      </c>
      <c r="AS40" s="50">
        <f ca="1">+GETPIVOTDATA("XNT4",'nghiathanh (2016)'!$A$3,"MA_HT","DKG","MA_QH","TSC")</f>
        <v>0</v>
      </c>
      <c r="AT40" s="50">
        <f ca="1">+GETPIVOTDATA("XNT4",'nghiathanh (2016)'!$A$3,"MA_HT","DKG","MA_QH","DTS")</f>
        <v>0</v>
      </c>
      <c r="AU40" s="50">
        <f ca="1">+GETPIVOTDATA("XNT4",'nghiathanh (2016)'!$A$3,"MA_HT","DKG","MA_QH","DNG")</f>
        <v>0</v>
      </c>
      <c r="AV40" s="50">
        <f ca="1">+GETPIVOTDATA("XNT4",'nghiathanh (2016)'!$A$3,"MA_HT","DKG","MA_QH","TON")</f>
        <v>0</v>
      </c>
      <c r="AW40" s="50">
        <f ca="1">+GETPIVOTDATA("XNT4",'nghiathanh (2016)'!$A$3,"MA_HT","DKG","MA_QH","NTD")</f>
        <v>0</v>
      </c>
      <c r="AX40" s="50">
        <f ca="1">+GETPIVOTDATA("XNT4",'nghiathanh (2016)'!$A$3,"MA_HT","DKG","MA_QH","SKX")</f>
        <v>0</v>
      </c>
      <c r="AY40" s="50">
        <f ca="1">+GETPIVOTDATA("XNT4",'nghiathanh (2016)'!$A$3,"MA_HT","DKG","MA_QH","DSH")</f>
        <v>0</v>
      </c>
      <c r="AZ40" s="50">
        <f ca="1">+GETPIVOTDATA("XNT4",'nghiathanh (2016)'!$A$3,"MA_HT","DKG","MA_QH","DKV")</f>
        <v>0</v>
      </c>
      <c r="BA40" s="88">
        <f ca="1">+GETPIVOTDATA("XNT4",'nghiathanh (2016)'!$A$3,"MA_HT","DKG","MA_QH","TIN")</f>
        <v>0</v>
      </c>
      <c r="BB40" s="50">
        <f ca="1">+GETPIVOTDATA("XNT4",'nghiathanh (2016)'!$A$3,"MA_HT","DKG","MA_QH","SON")</f>
        <v>0</v>
      </c>
      <c r="BC40" s="50">
        <f ca="1">+GETPIVOTDATA("XNT4",'nghiathanh (2016)'!$A$3,"MA_HT","DKG","MA_QH","MNC")</f>
        <v>0</v>
      </c>
      <c r="BD40" s="50">
        <f ca="1">+GETPIVOTDATA("XNT4",'nghiathanh (2016)'!$A$3,"MA_HT","DKG","MA_QH","PNK")</f>
        <v>0</v>
      </c>
      <c r="BE40" s="80">
        <f ca="1">+GETPIVOTDATA("XNT4",'nghiathanh (2016)'!$A$3,"MA_HT","DKG","MA_QH","CSD")</f>
        <v>0</v>
      </c>
      <c r="BF40" s="103">
        <f ca="1" t="shared" si="13"/>
        <v>0</v>
      </c>
      <c r="BG40" s="104">
        <f ca="1">AM$59-$BF40</f>
        <v>0</v>
      </c>
      <c r="BH40" s="47" t="e">
        <f ca="1" t="shared" si="14"/>
        <v>#REF!</v>
      </c>
      <c r="BI40" s="109"/>
      <c r="BJ40" s="109" t="e">
        <f>#REF!</f>
        <v>#REF!</v>
      </c>
      <c r="BK40" s="110" t="e">
        <f ca="1" t="shared" si="19"/>
        <v>#REF!</v>
      </c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</row>
    <row r="41" s="6" customFormat="1" ht="15.75" customHeight="1" spans="1:79">
      <c r="A41" s="54" t="s">
        <v>8400</v>
      </c>
      <c r="B41" s="55" t="s">
        <v>8401</v>
      </c>
      <c r="C41" s="56" t="s">
        <v>8287</v>
      </c>
      <c r="D41" s="57" t="e">
        <f>+#REF!</f>
        <v>#REF!</v>
      </c>
      <c r="E41" s="58">
        <f ca="1" t="shared" si="15"/>
        <v>0</v>
      </c>
      <c r="F41" s="59">
        <f ca="1" t="shared" si="9"/>
        <v>0</v>
      </c>
      <c r="G41" s="60">
        <f ca="1">+GETPIVOTDATA("XNT4",'nghiathanh (2016)'!$A$3,"MA_HT","DDT","MA_QH","LUC")</f>
        <v>0</v>
      </c>
      <c r="H41" s="60">
        <f ca="1">+GETPIVOTDATA("XNT4",'nghiathanh (2016)'!$A$3,"MA_HT","DDT","MA_QH","LUK")</f>
        <v>0</v>
      </c>
      <c r="I41" s="60">
        <f ca="1">+GETPIVOTDATA("XNT4",'nghiathanh (2016)'!$A$3,"MA_HT","DDT","MA_QH","LUN")</f>
        <v>0</v>
      </c>
      <c r="J41" s="60">
        <f ca="1">+GETPIVOTDATA("XNT4",'nghiathanh (2016)'!$A$3,"MA_HT","DDT","MA_QH","HNK")</f>
        <v>0</v>
      </c>
      <c r="K41" s="60">
        <f ca="1">+GETPIVOTDATA("XNT4",'nghiathanh (2016)'!$A$3,"MA_HT","DDT","MA_QH","CLN")</f>
        <v>0</v>
      </c>
      <c r="L41" s="60">
        <f ca="1">+GETPIVOTDATA("XNT4",'nghiathanh (2016)'!$A$3,"MA_HT","DDT","MA_QH","RSX")</f>
        <v>0</v>
      </c>
      <c r="M41" s="60">
        <f ca="1">+GETPIVOTDATA("XNT4",'nghiathanh (2016)'!$A$3,"MA_HT","DDT","MA_QH","RPH")</f>
        <v>0</v>
      </c>
      <c r="N41" s="60">
        <f ca="1">+GETPIVOTDATA("XNT4",'nghiathanh (2016)'!$A$3,"MA_HT","DDT","MA_QH","RDD")</f>
        <v>0</v>
      </c>
      <c r="O41" s="60">
        <f ca="1">+GETPIVOTDATA("XNT4",'nghiathanh (2016)'!$A$3,"MA_HT","DDT","MA_QH","NTS")</f>
        <v>0</v>
      </c>
      <c r="P41" s="60">
        <f ca="1">+GETPIVOTDATA("XNT4",'nghiathanh (2016)'!$A$3,"MA_HT","DDT","MA_QH","LMU")</f>
        <v>0</v>
      </c>
      <c r="Q41" s="60">
        <f ca="1">+GETPIVOTDATA("XNT4",'nghiathanh (2016)'!$A$3,"MA_HT","DDT","MA_QH","NKH")</f>
        <v>0</v>
      </c>
      <c r="R41" s="78">
        <f ca="1">SUM(S41:AA41,AO41:BD41)</f>
        <v>0</v>
      </c>
      <c r="S41" s="60">
        <f ca="1">+GETPIVOTDATA("XNT4",'nghiathanh (2016)'!$A$3,"MA_HT","DDT","MA_QH","CQP")</f>
        <v>0</v>
      </c>
      <c r="T41" s="60">
        <f ca="1">+GETPIVOTDATA("XNT4",'nghiathanh (2016)'!$A$3,"MA_HT","DDT","MA_QH","CAN")</f>
        <v>0</v>
      </c>
      <c r="U41" s="60">
        <f ca="1">+GETPIVOTDATA("XNT4",'nghiathanh (2016)'!$A$3,"MA_HT","DDT","MA_QH","SKK")</f>
        <v>0</v>
      </c>
      <c r="V41" s="60">
        <f ca="1">+GETPIVOTDATA("XNT4",'nghiathanh (2016)'!$A$3,"MA_HT","DDT","MA_QH","SKT")</f>
        <v>0</v>
      </c>
      <c r="W41" s="60">
        <f ca="1">+GETPIVOTDATA("XNT4",'nghiathanh (2016)'!$A$3,"MA_HT","DDT","MA_QH","SKN")</f>
        <v>0</v>
      </c>
      <c r="X41" s="60">
        <f ca="1">+GETPIVOTDATA("XNT4",'nghiathanh (2016)'!$A$3,"MA_HT","DDT","MA_QH","TMD")</f>
        <v>0</v>
      </c>
      <c r="Y41" s="60">
        <f ca="1">+GETPIVOTDATA("XNT4",'nghiathanh (2016)'!$A$3,"MA_HT","DDT","MA_QH","SKC")</f>
        <v>0</v>
      </c>
      <c r="Z41" s="60">
        <f ca="1">+GETPIVOTDATA("XNT4",'nghiathanh (2016)'!$A$3,"MA_HT","DDT","MA_QH","SKS")</f>
        <v>0</v>
      </c>
      <c r="AA41" s="59">
        <f ca="1" t="shared" ref="AA41:AA58" si="21">+SUM(AB41:AM41)</f>
        <v>0</v>
      </c>
      <c r="AB41" s="60">
        <f ca="1">+GETPIVOTDATA("XNT4",'nghiathanh (2016)'!$A$3,"MA_HT","DDT","MA_QH","DGT")</f>
        <v>0</v>
      </c>
      <c r="AC41" s="60">
        <f ca="1">+GETPIVOTDATA("XNT4",'nghiathanh (2016)'!$A$3,"MA_HT","DDT","MA_QH","DTL")</f>
        <v>0</v>
      </c>
      <c r="AD41" s="60">
        <f ca="1">+GETPIVOTDATA("XNT4",'nghiathanh (2016)'!$A$3,"MA_HT","DDT","MA_QH","DNL")</f>
        <v>0</v>
      </c>
      <c r="AE41" s="60">
        <f ca="1">+GETPIVOTDATA("XNT4",'nghiathanh (2016)'!$A$3,"MA_HT","DDT","MA_QH","DBV")</f>
        <v>0</v>
      </c>
      <c r="AF41" s="60">
        <f ca="1">+GETPIVOTDATA("XNT4",'nghiathanh (2016)'!$A$3,"MA_HT","DDT","MA_QH","DVH")</f>
        <v>0</v>
      </c>
      <c r="AG41" s="60">
        <f ca="1">+GETPIVOTDATA("XNT4",'nghiathanh (2016)'!$A$3,"MA_HT","DDT","MA_QH","DYT")</f>
        <v>0</v>
      </c>
      <c r="AH41" s="60">
        <f ca="1">+GETPIVOTDATA("XNT4",'nghiathanh (2016)'!$A$3,"MA_HT","DDT","MA_QH","DGD")</f>
        <v>0</v>
      </c>
      <c r="AI41" s="60">
        <f ca="1">+GETPIVOTDATA("XNT4",'nghiathanh (2016)'!$A$3,"MA_HT","DDT","MA_QH","DTT")</f>
        <v>0</v>
      </c>
      <c r="AJ41" s="60">
        <f ca="1">+GETPIVOTDATA("XNT4",'nghiathanh (2016)'!$A$3,"MA_HT","DDT","MA_QH","NCK")</f>
        <v>0</v>
      </c>
      <c r="AK41" s="60">
        <f ca="1">+GETPIVOTDATA("XNT4",'nghiathanh (2016)'!$A$3,"MA_HT","DDT","MA_QH","DXH")</f>
        <v>0</v>
      </c>
      <c r="AL41" s="60">
        <f ca="1">+GETPIVOTDATA("XNT4",'nghiathanh (2016)'!$A$3,"MA_HT","DDT","MA_QH","DCH")</f>
        <v>0</v>
      </c>
      <c r="AM41" s="60">
        <f ca="1">+GETPIVOTDATA("XNT4",'nghiathanh (2016)'!$A$3,"MA_HT","DDT","MA_QH","DKG")</f>
        <v>0</v>
      </c>
      <c r="AN41" s="81" t="e">
        <f ca="1">$D41-$BF41</f>
        <v>#REF!</v>
      </c>
      <c r="AO41" s="60">
        <f ca="1">+GETPIVOTDATA("XNT4",'nghiathanh (2016)'!$A$3,"MA_HT","DDT","MA_QH","DDL")</f>
        <v>0</v>
      </c>
      <c r="AP41" s="60">
        <f ca="1">+GETPIVOTDATA("XNT4",'nghiathanh (2016)'!$A$3,"MA_HT","DDT","MA_QH","DRA")</f>
        <v>0</v>
      </c>
      <c r="AQ41" s="60">
        <f ca="1">+GETPIVOTDATA("XNT4",'nghiathanh (2016)'!$A$3,"MA_HT","DDT","MA_QH","ONT")</f>
        <v>0</v>
      </c>
      <c r="AR41" s="60">
        <f ca="1">+GETPIVOTDATA("XNT4",'nghiathanh (2016)'!$A$3,"MA_HT","DDT","MA_QH","ODT")</f>
        <v>0</v>
      </c>
      <c r="AS41" s="60">
        <f ca="1">+GETPIVOTDATA("XNT4",'nghiathanh (2016)'!$A$3,"MA_HT","DDT","MA_QH","TSC")</f>
        <v>0</v>
      </c>
      <c r="AT41" s="60">
        <f ca="1">+GETPIVOTDATA("XNT4",'nghiathanh (2016)'!$A$3,"MA_HT","DDT","MA_QH","DTS")</f>
        <v>0</v>
      </c>
      <c r="AU41" s="60">
        <f ca="1">+GETPIVOTDATA("XNT4",'nghiathanh (2016)'!$A$3,"MA_HT","DDT","MA_QH","DNG")</f>
        <v>0</v>
      </c>
      <c r="AV41" s="60">
        <f ca="1">+GETPIVOTDATA("XNT4",'nghiathanh (2016)'!$A$3,"MA_HT","DDT","MA_QH","TON")</f>
        <v>0</v>
      </c>
      <c r="AW41" s="60">
        <f ca="1">+GETPIVOTDATA("XNT4",'nghiathanh (2016)'!$A$3,"MA_HT","DDT","MA_QH","NTD")</f>
        <v>0</v>
      </c>
      <c r="AX41" s="60">
        <f ca="1">+GETPIVOTDATA("XNT4",'nghiathanh (2016)'!$A$3,"MA_HT","DDT","MA_QH","SKX")</f>
        <v>0</v>
      </c>
      <c r="AY41" s="60">
        <f ca="1">+GETPIVOTDATA("XNT4",'nghiathanh (2016)'!$A$3,"MA_HT","DDT","MA_QH","DSH")</f>
        <v>0</v>
      </c>
      <c r="AZ41" s="60">
        <f ca="1">+GETPIVOTDATA("XNT4",'nghiathanh (2016)'!$A$3,"MA_HT","DDT","MA_QH","DKV")</f>
        <v>0</v>
      </c>
      <c r="BA41" s="90">
        <f ca="1">+GETPIVOTDATA("XNT4",'nghiathanh (2016)'!$A$3,"MA_HT","DDT","MA_QH","TIN")</f>
        <v>0</v>
      </c>
      <c r="BB41" s="91">
        <f ca="1">+GETPIVOTDATA("XNT4",'nghiathanh (2016)'!$A$3,"MA_HT","DDT","MA_QH","SON")</f>
        <v>0</v>
      </c>
      <c r="BC41" s="91">
        <f ca="1">+GETPIVOTDATA("XNT4",'nghiathanh (2016)'!$A$3,"MA_HT","DDT","MA_QH","MNC")</f>
        <v>0</v>
      </c>
      <c r="BD41" s="60">
        <f ca="1">+GETPIVOTDATA("XNT4",'nghiathanh (2016)'!$A$3,"MA_HT","DDT","MA_QH","PNK")</f>
        <v>0</v>
      </c>
      <c r="BE41" s="111">
        <f ca="1">+GETPIVOTDATA("XNT4",'nghiathanh (2016)'!$A$3,"MA_HT","DDT","MA_QH","CSD")</f>
        <v>0</v>
      </c>
      <c r="BF41" s="112">
        <f ca="1" t="shared" si="13"/>
        <v>0</v>
      </c>
      <c r="BG41" s="113">
        <f ca="1">AN$59-$BF41</f>
        <v>0</v>
      </c>
      <c r="BH41" s="57" t="e">
        <f ca="1" t="shared" si="14"/>
        <v>#REF!</v>
      </c>
      <c r="BI41" s="114"/>
      <c r="BJ41" s="115"/>
      <c r="BK41" s="115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</row>
    <row r="42" s="2" customFormat="1" ht="15.75" customHeight="1" spans="1:79">
      <c r="A42" s="39" t="s">
        <v>8402</v>
      </c>
      <c r="B42" s="53" t="s">
        <v>8403</v>
      </c>
      <c r="C42" s="40" t="s">
        <v>8286</v>
      </c>
      <c r="D42" s="41" t="e">
        <f>+#REF!</f>
        <v>#REF!</v>
      </c>
      <c r="E42" s="42">
        <f ca="1" t="shared" si="15"/>
        <v>0</v>
      </c>
      <c r="F42" s="52">
        <f ca="1" t="shared" si="9"/>
        <v>0</v>
      </c>
      <c r="G42" s="22">
        <f ca="1">+GETPIVOTDATA("XNT4",'nghiathanh (2016)'!$A$3,"MA_HT","DDL","MA_QH","LUC")</f>
        <v>0</v>
      </c>
      <c r="H42" s="22">
        <f ca="1">+GETPIVOTDATA("XNT4",'nghiathanh (2016)'!$A$3,"MA_HT","DDL","MA_QH","LUK")</f>
        <v>0</v>
      </c>
      <c r="I42" s="22">
        <f ca="1">+GETPIVOTDATA("XNT4",'nghiathanh (2016)'!$A$3,"MA_HT","DDL","MA_QH","LUN")</f>
        <v>0</v>
      </c>
      <c r="J42" s="22">
        <f ca="1">+GETPIVOTDATA("XNT4",'nghiathanh (2016)'!$A$3,"MA_HT","DDL","MA_QH","HNK")</f>
        <v>0</v>
      </c>
      <c r="K42" s="22">
        <f ca="1">+GETPIVOTDATA("XNT4",'nghiathanh (2016)'!$A$3,"MA_HT","DDL","MA_QH","CLN")</f>
        <v>0</v>
      </c>
      <c r="L42" s="22">
        <f ca="1">+GETPIVOTDATA("XNT4",'nghiathanh (2016)'!$A$3,"MA_HT","DDL","MA_QH","RSX")</f>
        <v>0</v>
      </c>
      <c r="M42" s="22">
        <f ca="1">+GETPIVOTDATA("XNT4",'nghiathanh (2016)'!$A$3,"MA_HT","DDL","MA_QH","RPH")</f>
        <v>0</v>
      </c>
      <c r="N42" s="22">
        <f ca="1">+GETPIVOTDATA("XNT4",'nghiathanh (2016)'!$A$3,"MA_HT","DDL","MA_QH","RDD")</f>
        <v>0</v>
      </c>
      <c r="O42" s="22">
        <f ca="1">+GETPIVOTDATA("XNT4",'nghiathanh (2016)'!$A$3,"MA_HT","DDL","MA_QH","NTS")</f>
        <v>0</v>
      </c>
      <c r="P42" s="22">
        <f ca="1">+GETPIVOTDATA("XNT4",'nghiathanh (2016)'!$A$3,"MA_HT","DDL","MA_QH","LMU")</f>
        <v>0</v>
      </c>
      <c r="Q42" s="22">
        <f ca="1">+GETPIVOTDATA("XNT4",'nghiathanh (2016)'!$A$3,"MA_HT","DDL","MA_QH","NKH")</f>
        <v>0</v>
      </c>
      <c r="R42" s="79">
        <f ca="1">SUM(S42:AA42,AN42,AP42:BD42)</f>
        <v>0</v>
      </c>
      <c r="S42" s="22">
        <f ca="1">+GETPIVOTDATA("XNT4",'nghiathanh (2016)'!$A$3,"MA_HT","DDL","MA_QH","CQP")</f>
        <v>0</v>
      </c>
      <c r="T42" s="22">
        <f ca="1">+GETPIVOTDATA("XNT4",'nghiathanh (2016)'!$A$3,"MA_HT","DDL","MA_QH","CAN")</f>
        <v>0</v>
      </c>
      <c r="U42" s="22">
        <f ca="1">+GETPIVOTDATA("XNT4",'nghiathanh (2016)'!$A$3,"MA_HT","DDL","MA_QH","SKK")</f>
        <v>0</v>
      </c>
      <c r="V42" s="22">
        <f ca="1">+GETPIVOTDATA("XNT4",'nghiathanh (2016)'!$A$3,"MA_HT","DDL","MA_QH","SKT")</f>
        <v>0</v>
      </c>
      <c r="W42" s="22">
        <f ca="1">+GETPIVOTDATA("XNT4",'nghiathanh (2016)'!$A$3,"MA_HT","DDL","MA_QH","SKN")</f>
        <v>0</v>
      </c>
      <c r="X42" s="22">
        <f ca="1">+GETPIVOTDATA("XNT4",'nghiathanh (2016)'!$A$3,"MA_HT","DDL","MA_QH","TMD")</f>
        <v>0</v>
      </c>
      <c r="Y42" s="22">
        <f ca="1">+GETPIVOTDATA("XNT4",'nghiathanh (2016)'!$A$3,"MA_HT","DDL","MA_QH","SKC")</f>
        <v>0</v>
      </c>
      <c r="Z42" s="22">
        <f ca="1">+GETPIVOTDATA("XNT4",'nghiathanh (2016)'!$A$3,"MA_HT","DDL","MA_QH","SKS")</f>
        <v>0</v>
      </c>
      <c r="AA42" s="52">
        <f ca="1" t="shared" si="21"/>
        <v>0</v>
      </c>
      <c r="AB42" s="22">
        <f ca="1">+GETPIVOTDATA("XNT4",'nghiathanh (2016)'!$A$3,"MA_HT","DDL","MA_QH","DGT")</f>
        <v>0</v>
      </c>
      <c r="AC42" s="22">
        <f ca="1">+GETPIVOTDATA("XNT4",'nghiathanh (2016)'!$A$3,"MA_HT","DDL","MA_QH","DTL")</f>
        <v>0</v>
      </c>
      <c r="AD42" s="22">
        <f ca="1">+GETPIVOTDATA("XNT4",'nghiathanh (2016)'!$A$3,"MA_HT","DDL","MA_QH","DNL")</f>
        <v>0</v>
      </c>
      <c r="AE42" s="22">
        <f ca="1">+GETPIVOTDATA("XNT4",'nghiathanh (2016)'!$A$3,"MA_HT","DDL","MA_QH","DBV")</f>
        <v>0</v>
      </c>
      <c r="AF42" s="22">
        <f ca="1">+GETPIVOTDATA("XNT4",'nghiathanh (2016)'!$A$3,"MA_HT","DDL","MA_QH","DVH")</f>
        <v>0</v>
      </c>
      <c r="AG42" s="22">
        <f ca="1">+GETPIVOTDATA("XNT4",'nghiathanh (2016)'!$A$3,"MA_HT","DDL","MA_QH","DYT")</f>
        <v>0</v>
      </c>
      <c r="AH42" s="22">
        <f ca="1">+GETPIVOTDATA("XNT4",'nghiathanh (2016)'!$A$3,"MA_HT","DDL","MA_QH","DGD")</f>
        <v>0</v>
      </c>
      <c r="AI42" s="22">
        <f ca="1">+GETPIVOTDATA("XNT4",'nghiathanh (2016)'!$A$3,"MA_HT","DDL","MA_QH","DTT")</f>
        <v>0</v>
      </c>
      <c r="AJ42" s="22">
        <f ca="1">+GETPIVOTDATA("XNT4",'nghiathanh (2016)'!$A$3,"MA_HT","DDL","MA_QH","NCK")</f>
        <v>0</v>
      </c>
      <c r="AK42" s="22">
        <f ca="1">+GETPIVOTDATA("XNT4",'nghiathanh (2016)'!$A$3,"MA_HT","DDL","MA_QH","DXH")</f>
        <v>0</v>
      </c>
      <c r="AL42" s="22">
        <f ca="1">+GETPIVOTDATA("XNT4",'nghiathanh (2016)'!$A$3,"MA_HT","DDL","MA_QH","DCH")</f>
        <v>0</v>
      </c>
      <c r="AM42" s="22">
        <f ca="1">+GETPIVOTDATA("XNT4",'nghiathanh (2016)'!$A$3,"MA_HT","DDL","MA_QH","DKG")</f>
        <v>0</v>
      </c>
      <c r="AN42" s="22">
        <f ca="1">+GETPIVOTDATA("XNT4",'nghiathanh (2016)'!$A$3,"MA_HT","DDL","MA_QH","DDT")</f>
        <v>0</v>
      </c>
      <c r="AO42" s="43" t="e">
        <f ca="1">$D42-$BF42</f>
        <v>#REF!</v>
      </c>
      <c r="AP42" s="22">
        <f ca="1">+GETPIVOTDATA("XNT4",'nghiathanh (2016)'!$A$3,"MA_HT","DDL","MA_QH","DRA")</f>
        <v>0</v>
      </c>
      <c r="AQ42" s="22">
        <f ca="1">+GETPIVOTDATA("XNT4",'nghiathanh (2016)'!$A$3,"MA_HT","DDL","MA_QH","ONT")</f>
        <v>0</v>
      </c>
      <c r="AR42" s="22">
        <f ca="1">+GETPIVOTDATA("XNT4",'nghiathanh (2016)'!$A$3,"MA_HT","DDL","MA_QH","ODT")</f>
        <v>0</v>
      </c>
      <c r="AS42" s="22">
        <f ca="1">+GETPIVOTDATA("XNT4",'nghiathanh (2016)'!$A$3,"MA_HT","DDL","MA_QH","TSC")</f>
        <v>0</v>
      </c>
      <c r="AT42" s="22">
        <f ca="1">+GETPIVOTDATA("XNT4",'nghiathanh (2016)'!$A$3,"MA_HT","DDL","MA_QH","DTS")</f>
        <v>0</v>
      </c>
      <c r="AU42" s="22">
        <f ca="1">+GETPIVOTDATA("XNT4",'nghiathanh (2016)'!$A$3,"MA_HT","DDL","MA_QH","DNG")</f>
        <v>0</v>
      </c>
      <c r="AV42" s="22">
        <f ca="1">+GETPIVOTDATA("XNT4",'nghiathanh (2016)'!$A$3,"MA_HT","DDL","MA_QH","TON")</f>
        <v>0</v>
      </c>
      <c r="AW42" s="22">
        <f ca="1">+GETPIVOTDATA("XNT4",'nghiathanh (2016)'!$A$3,"MA_HT","DDL","MA_QH","NTD")</f>
        <v>0</v>
      </c>
      <c r="AX42" s="22">
        <f ca="1">+GETPIVOTDATA("XNT4",'nghiathanh (2016)'!$A$3,"MA_HT","DDL","MA_QH","SKX")</f>
        <v>0</v>
      </c>
      <c r="AY42" s="22">
        <f ca="1">+GETPIVOTDATA("XNT4",'nghiathanh (2016)'!$A$3,"MA_HT","DDL","MA_QH","DSH")</f>
        <v>0</v>
      </c>
      <c r="AZ42" s="22">
        <f ca="1">+GETPIVOTDATA("XNT4",'nghiathanh (2016)'!$A$3,"MA_HT","DDL","MA_QH","DKV")</f>
        <v>0</v>
      </c>
      <c r="BA42" s="89">
        <f ca="1">+GETPIVOTDATA("XNT4",'nghiathanh (2016)'!$A$3,"MA_HT","DDL","MA_QH","TIN")</f>
        <v>0</v>
      </c>
      <c r="BB42" s="50">
        <f ca="1">+GETPIVOTDATA("XNT4",'nghiathanh (2016)'!$A$3,"MA_HT","DDL","MA_QH","SON")</f>
        <v>0</v>
      </c>
      <c r="BC42" s="50">
        <f ca="1">+GETPIVOTDATA("XNT4",'nghiathanh (2016)'!$A$3,"MA_HT","DDL","MA_QH","MNC")</f>
        <v>0</v>
      </c>
      <c r="BD42" s="22">
        <f ca="1">+GETPIVOTDATA("XNT4",'nghiathanh (2016)'!$A$3,"MA_HT","DDL","MA_QH","PNK")</f>
        <v>0</v>
      </c>
      <c r="BE42" s="71">
        <f ca="1">+GETPIVOTDATA("XNT4",'nghiathanh (2016)'!$A$3,"MA_HT","DDL","MA_QH","CSD")</f>
        <v>0</v>
      </c>
      <c r="BF42" s="74">
        <f ca="1" t="shared" si="13"/>
        <v>0</v>
      </c>
      <c r="BG42" s="101">
        <f ca="1">AO$59-$BF42</f>
        <v>0</v>
      </c>
      <c r="BH42" s="41" t="e">
        <f ca="1" t="shared" si="14"/>
        <v>#REF!</v>
      </c>
      <c r="BI42" s="98"/>
      <c r="BJ42" s="107"/>
      <c r="BK42" s="10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</row>
    <row r="43" s="2" customFormat="1" ht="15.75" customHeight="1" spans="1:79">
      <c r="A43" s="39" t="s">
        <v>8404</v>
      </c>
      <c r="B43" s="53" t="s">
        <v>8405</v>
      </c>
      <c r="C43" s="40" t="s">
        <v>8291</v>
      </c>
      <c r="D43" s="41" t="e">
        <f>+#REF!</f>
        <v>#REF!</v>
      </c>
      <c r="E43" s="42">
        <f ca="1" t="shared" si="15"/>
        <v>0</v>
      </c>
      <c r="F43" s="52">
        <f ca="1" t="shared" si="9"/>
        <v>0</v>
      </c>
      <c r="G43" s="22">
        <f ca="1">+GETPIVOTDATA("XNT4",'nghiathanh (2016)'!$A$3,"MA_HT","DRA","MA_QH","LUC")</f>
        <v>0</v>
      </c>
      <c r="H43" s="22">
        <f ca="1">+GETPIVOTDATA("XNT4",'nghiathanh (2016)'!$A$3,"MA_HT","DRA","MA_QH","LUK")</f>
        <v>0</v>
      </c>
      <c r="I43" s="22">
        <f ca="1">+GETPIVOTDATA("XNT4",'nghiathanh (2016)'!$A$3,"MA_HT","DRA","MA_QH","LUN")</f>
        <v>0</v>
      </c>
      <c r="J43" s="22">
        <f ca="1">+GETPIVOTDATA("XNT4",'nghiathanh (2016)'!$A$3,"MA_HT","DRA","MA_QH","HNK")</f>
        <v>0</v>
      </c>
      <c r="K43" s="22">
        <f ca="1">+GETPIVOTDATA("XNT4",'nghiathanh (2016)'!$A$3,"MA_HT","DRA","MA_QH","CLN")</f>
        <v>0</v>
      </c>
      <c r="L43" s="22">
        <f ca="1">+GETPIVOTDATA("XNT4",'nghiathanh (2016)'!$A$3,"MA_HT","DRA","MA_QH","RSX")</f>
        <v>0</v>
      </c>
      <c r="M43" s="22">
        <f ca="1">+GETPIVOTDATA("XNT4",'nghiathanh (2016)'!$A$3,"MA_HT","DRA","MA_QH","RPH")</f>
        <v>0</v>
      </c>
      <c r="N43" s="22">
        <f ca="1">+GETPIVOTDATA("XNT4",'nghiathanh (2016)'!$A$3,"MA_HT","DRA","MA_QH","RDD")</f>
        <v>0</v>
      </c>
      <c r="O43" s="22">
        <f ca="1">+GETPIVOTDATA("XNT4",'nghiathanh (2016)'!$A$3,"MA_HT","DRA","MA_QH","NTS")</f>
        <v>0</v>
      </c>
      <c r="P43" s="22">
        <f ca="1">+GETPIVOTDATA("XNT4",'nghiathanh (2016)'!$A$3,"MA_HT","DRA","MA_QH","LMU")</f>
        <v>0</v>
      </c>
      <c r="Q43" s="22">
        <f ca="1">+GETPIVOTDATA("XNT4",'nghiathanh (2016)'!$A$3,"MA_HT","DRA","MA_QH","NKH")</f>
        <v>0</v>
      </c>
      <c r="R43" s="79">
        <f ca="1">SUM(S43:AA43,AN43:AO43,AQ43:BD43)</f>
        <v>0</v>
      </c>
      <c r="S43" s="22">
        <f ca="1">+GETPIVOTDATA("XNT4",'nghiathanh (2016)'!$A$3,"MA_HT","DRA","MA_QH","CQP")</f>
        <v>0</v>
      </c>
      <c r="T43" s="22">
        <f ca="1">+GETPIVOTDATA("XNT4",'nghiathanh (2016)'!$A$3,"MA_HT","DRA","MA_QH","CAN")</f>
        <v>0</v>
      </c>
      <c r="U43" s="22">
        <f ca="1">+GETPIVOTDATA("XNT4",'nghiathanh (2016)'!$A$3,"MA_HT","DRA","MA_QH","SKK")</f>
        <v>0</v>
      </c>
      <c r="V43" s="22">
        <f ca="1">+GETPIVOTDATA("XNT4",'nghiathanh (2016)'!$A$3,"MA_HT","DRA","MA_QH","SKT")</f>
        <v>0</v>
      </c>
      <c r="W43" s="22">
        <f ca="1">+GETPIVOTDATA("XNT4",'nghiathanh (2016)'!$A$3,"MA_HT","DRA","MA_QH","SKN")</f>
        <v>0</v>
      </c>
      <c r="X43" s="22">
        <f ca="1">+GETPIVOTDATA("XNT4",'nghiathanh (2016)'!$A$3,"MA_HT","DRA","MA_QH","TMD")</f>
        <v>0</v>
      </c>
      <c r="Y43" s="22">
        <f ca="1">+GETPIVOTDATA("XNT4",'nghiathanh (2016)'!$A$3,"MA_HT","DRA","MA_QH","SKC")</f>
        <v>0</v>
      </c>
      <c r="Z43" s="22">
        <f ca="1">+GETPIVOTDATA("XNT4",'nghiathanh (2016)'!$A$3,"MA_HT","DRA","MA_QH","SKS")</f>
        <v>0</v>
      </c>
      <c r="AA43" s="52">
        <f ca="1" t="shared" si="21"/>
        <v>0</v>
      </c>
      <c r="AB43" s="22">
        <f ca="1">+GETPIVOTDATA("XNT4",'nghiathanh (2016)'!$A$3,"MA_HT","DRA","MA_QH","DGT")</f>
        <v>0</v>
      </c>
      <c r="AC43" s="22">
        <f ca="1">+GETPIVOTDATA("XNT4",'nghiathanh (2016)'!$A$3,"MA_HT","DRA","MA_QH","DTL")</f>
        <v>0</v>
      </c>
      <c r="AD43" s="22">
        <f ca="1">+GETPIVOTDATA("XNT4",'nghiathanh (2016)'!$A$3,"MA_HT","DRA","MA_QH","DNL")</f>
        <v>0</v>
      </c>
      <c r="AE43" s="22">
        <f ca="1">+GETPIVOTDATA("XNT4",'nghiathanh (2016)'!$A$3,"MA_HT","DRA","MA_QH","DBV")</f>
        <v>0</v>
      </c>
      <c r="AF43" s="22">
        <f ca="1">+GETPIVOTDATA("XNT4",'nghiathanh (2016)'!$A$3,"MA_HT","DRA","MA_QH","DVH")</f>
        <v>0</v>
      </c>
      <c r="AG43" s="22">
        <f ca="1">+GETPIVOTDATA("XNT4",'nghiathanh (2016)'!$A$3,"MA_HT","DRA","MA_QH","DYT")</f>
        <v>0</v>
      </c>
      <c r="AH43" s="22">
        <f ca="1">+GETPIVOTDATA("XNT4",'nghiathanh (2016)'!$A$3,"MA_HT","DRA","MA_QH","DGD")</f>
        <v>0</v>
      </c>
      <c r="AI43" s="22">
        <f ca="1">+GETPIVOTDATA("XNT4",'nghiathanh (2016)'!$A$3,"MA_HT","DRA","MA_QH","DTT")</f>
        <v>0</v>
      </c>
      <c r="AJ43" s="22">
        <f ca="1">+GETPIVOTDATA("XNT4",'nghiathanh (2016)'!$A$3,"MA_HT","DRA","MA_QH","NCK")</f>
        <v>0</v>
      </c>
      <c r="AK43" s="22">
        <f ca="1">+GETPIVOTDATA("XNT4",'nghiathanh (2016)'!$A$3,"MA_HT","DRA","MA_QH","DXH")</f>
        <v>0</v>
      </c>
      <c r="AL43" s="22">
        <f ca="1">+GETPIVOTDATA("XNT4",'nghiathanh (2016)'!$A$3,"MA_HT","DRA","MA_QH","DCH")</f>
        <v>0</v>
      </c>
      <c r="AM43" s="22">
        <f ca="1">+GETPIVOTDATA("XNT4",'nghiathanh (2016)'!$A$3,"MA_HT","DRA","MA_QH","DKG")</f>
        <v>0</v>
      </c>
      <c r="AN43" s="22">
        <f ca="1">+GETPIVOTDATA("XNT4",'nghiathanh (2016)'!$A$3,"MA_HT","DRA","MA_QH","DDT")</f>
        <v>0</v>
      </c>
      <c r="AO43" s="22">
        <f ca="1">+GETPIVOTDATA("XNT4",'nghiathanh (2016)'!$A$3,"MA_HT","DRA","MA_QH","DDL")</f>
        <v>0</v>
      </c>
      <c r="AP43" s="43" t="e">
        <f ca="1">$D43-$BF43</f>
        <v>#REF!</v>
      </c>
      <c r="AQ43" s="22">
        <f ca="1">+GETPIVOTDATA("XNT4",'nghiathanh (2016)'!$A$3,"MA_HT","DRA","MA_QH","ONT")</f>
        <v>0</v>
      </c>
      <c r="AR43" s="22">
        <f ca="1">+GETPIVOTDATA("XNT4",'nghiathanh (2016)'!$A$3,"MA_HT","DRA","MA_QH","ODT")</f>
        <v>0</v>
      </c>
      <c r="AS43" s="22">
        <f ca="1">+GETPIVOTDATA("XNT4",'nghiathanh (2016)'!$A$3,"MA_HT","DRA","MA_QH","TSC")</f>
        <v>0</v>
      </c>
      <c r="AT43" s="22">
        <f ca="1">+GETPIVOTDATA("XNT4",'nghiathanh (2016)'!$A$3,"MA_HT","DRA","MA_QH","DTS")</f>
        <v>0</v>
      </c>
      <c r="AU43" s="22">
        <f ca="1">+GETPIVOTDATA("XNT4",'nghiathanh (2016)'!$A$3,"MA_HT","DRA","MA_QH","DNG")</f>
        <v>0</v>
      </c>
      <c r="AV43" s="22">
        <f ca="1">+GETPIVOTDATA("XNT4",'nghiathanh (2016)'!$A$3,"MA_HT","DRA","MA_QH","TON")</f>
        <v>0</v>
      </c>
      <c r="AW43" s="22">
        <f ca="1">+GETPIVOTDATA("XNT4",'nghiathanh (2016)'!$A$3,"MA_HT","DRA","MA_QH","NTD")</f>
        <v>0</v>
      </c>
      <c r="AX43" s="22">
        <f ca="1">+GETPIVOTDATA("XNT4",'nghiathanh (2016)'!$A$3,"MA_HT","DRA","MA_QH","SKX")</f>
        <v>0</v>
      </c>
      <c r="AY43" s="22">
        <f ca="1">+GETPIVOTDATA("XNT4",'nghiathanh (2016)'!$A$3,"MA_HT","DRA","MA_QH","DSH")</f>
        <v>0</v>
      </c>
      <c r="AZ43" s="22">
        <f ca="1">+GETPIVOTDATA("XNT4",'nghiathanh (2016)'!$A$3,"MA_HT","DRA","MA_QH","DKV")</f>
        <v>0</v>
      </c>
      <c r="BA43" s="89">
        <f ca="1">+GETPIVOTDATA("XNT4",'nghiathanh (2016)'!$A$3,"MA_HT","DRA","MA_QH","TIN")</f>
        <v>0</v>
      </c>
      <c r="BB43" s="50">
        <f ca="1">+GETPIVOTDATA("XNT4",'nghiathanh (2016)'!$A$3,"MA_HT","DRA","MA_QH","SON")</f>
        <v>0</v>
      </c>
      <c r="BC43" s="50">
        <f ca="1">+GETPIVOTDATA("XNT4",'nghiathanh (2016)'!$A$3,"MA_HT","DRA","MA_QH","MNC")</f>
        <v>0</v>
      </c>
      <c r="BD43" s="22">
        <f ca="1">+GETPIVOTDATA("XNT4",'nghiathanh (2016)'!$A$3,"MA_HT","DRA","MA_QH","PNK")</f>
        <v>0</v>
      </c>
      <c r="BE43" s="71">
        <f ca="1">+GETPIVOTDATA("XNT4",'nghiathanh (2016)'!$A$3,"MA_HT","DRA","MA_QH","CSD")</f>
        <v>0</v>
      </c>
      <c r="BF43" s="74">
        <f ca="1" t="shared" si="13"/>
        <v>0</v>
      </c>
      <c r="BG43" s="101">
        <f ca="1">AP$59-$BF43</f>
        <v>0</v>
      </c>
      <c r="BH43" s="41" t="e">
        <f ca="1" t="shared" si="14"/>
        <v>#REF!</v>
      </c>
      <c r="BI43" s="98"/>
      <c r="BJ43" s="107" t="e">
        <f>#REF!</f>
        <v>#REF!</v>
      </c>
      <c r="BK43" s="107" t="e">
        <f ca="1">BH43-BJ43</f>
        <v>#REF!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</row>
    <row r="44" s="2" customFormat="1" ht="15.75" customHeight="1" spans="1:79">
      <c r="A44" s="39" t="s">
        <v>8406</v>
      </c>
      <c r="B44" s="53" t="s">
        <v>8407</v>
      </c>
      <c r="C44" s="40" t="s">
        <v>188</v>
      </c>
      <c r="D44" s="41" t="e">
        <f>+#REF!</f>
        <v>#REF!</v>
      </c>
      <c r="E44" s="42">
        <f ca="1" t="shared" si="15"/>
        <v>0</v>
      </c>
      <c r="F44" s="52">
        <f ca="1" t="shared" si="9"/>
        <v>0</v>
      </c>
      <c r="G44" s="22">
        <f ca="1">+GETPIVOTDATA("XNT4",'nghiathanh (2016)'!$A$3,"MA_HT","ONT","MA_QH","LUC")</f>
        <v>0</v>
      </c>
      <c r="H44" s="22">
        <f ca="1">+GETPIVOTDATA("XNT4",'nghiathanh (2016)'!$A$3,"MA_HT","ONT","MA_QH","LUK")</f>
        <v>0</v>
      </c>
      <c r="I44" s="22">
        <f ca="1">+GETPIVOTDATA("XNT4",'nghiathanh (2016)'!$A$3,"MA_HT","ONT","MA_QH","LUN")</f>
        <v>0</v>
      </c>
      <c r="J44" s="22">
        <f ca="1">+GETPIVOTDATA("XNT4",'nghiathanh (2016)'!$A$3,"MA_HT","ONT","MA_QH","HNK")</f>
        <v>0</v>
      </c>
      <c r="K44" s="22">
        <f ca="1">+GETPIVOTDATA("XNT4",'nghiathanh (2016)'!$A$3,"MA_HT","ONT","MA_QH","CLN")</f>
        <v>0</v>
      </c>
      <c r="L44" s="22">
        <f ca="1">+GETPIVOTDATA("XNT4",'nghiathanh (2016)'!$A$3,"MA_HT","ONT","MA_QH","RSX")</f>
        <v>0</v>
      </c>
      <c r="M44" s="22">
        <f ca="1">+GETPIVOTDATA("XNT4",'nghiathanh (2016)'!$A$3,"MA_HT","ONT","MA_QH","RPH")</f>
        <v>0</v>
      </c>
      <c r="N44" s="22">
        <f ca="1">+GETPIVOTDATA("XNT4",'nghiathanh (2016)'!$A$3,"MA_HT","ONT","MA_QH","RDD")</f>
        <v>0</v>
      </c>
      <c r="O44" s="22">
        <f ca="1">+GETPIVOTDATA("XNT4",'nghiathanh (2016)'!$A$3,"MA_HT","ONT","MA_QH","NTS")</f>
        <v>0</v>
      </c>
      <c r="P44" s="22">
        <f ca="1">+GETPIVOTDATA("XNT4",'nghiathanh (2016)'!$A$3,"MA_HT","ONT","MA_QH","LMU")</f>
        <v>0</v>
      </c>
      <c r="Q44" s="22">
        <f ca="1">+GETPIVOTDATA("XNT4",'nghiathanh (2016)'!$A$3,"MA_HT","ONT","MA_QH","NKH")</f>
        <v>0</v>
      </c>
      <c r="R44" s="79">
        <f ca="1">SUM(S44:AA44,AN44:AP44,AR44:BD44)</f>
        <v>0</v>
      </c>
      <c r="S44" s="22">
        <f ca="1">+GETPIVOTDATA("XNT4",'nghiathanh (2016)'!$A$3,"MA_HT","ONT","MA_QH","CQP")</f>
        <v>0</v>
      </c>
      <c r="T44" s="22">
        <f ca="1">+GETPIVOTDATA("XNT4",'nghiathanh (2016)'!$A$3,"MA_HT","ONT","MA_QH","CAN")</f>
        <v>0</v>
      </c>
      <c r="U44" s="22">
        <f ca="1">+GETPIVOTDATA("XNT4",'nghiathanh (2016)'!$A$3,"MA_HT","ONT","MA_QH","SKK")</f>
        <v>0</v>
      </c>
      <c r="V44" s="22">
        <f ca="1">+GETPIVOTDATA("XNT4",'nghiathanh (2016)'!$A$3,"MA_HT","ONT","MA_QH","SKT")</f>
        <v>0</v>
      </c>
      <c r="W44" s="22">
        <f ca="1">+GETPIVOTDATA("XNT4",'nghiathanh (2016)'!$A$3,"MA_HT","ONT","MA_QH","SKN")</f>
        <v>0</v>
      </c>
      <c r="X44" s="22">
        <f ca="1">+GETPIVOTDATA("XNT4",'nghiathanh (2016)'!$A$3,"MA_HT","ONT","MA_QH","TMD")</f>
        <v>0</v>
      </c>
      <c r="Y44" s="22">
        <f ca="1">+GETPIVOTDATA("XNT4",'nghiathanh (2016)'!$A$3,"MA_HT","ONT","MA_QH","SKC")</f>
        <v>0</v>
      </c>
      <c r="Z44" s="22">
        <f ca="1">+GETPIVOTDATA("XNT4",'nghiathanh (2016)'!$A$3,"MA_HT","ONT","MA_QH","SKS")</f>
        <v>0</v>
      </c>
      <c r="AA44" s="52">
        <f ca="1" t="shared" si="21"/>
        <v>0</v>
      </c>
      <c r="AB44" s="22">
        <f ca="1">+GETPIVOTDATA("XNT4",'nghiathanh (2016)'!$A$3,"MA_HT","ONT","MA_QH","DGT")</f>
        <v>0</v>
      </c>
      <c r="AC44" s="22">
        <f ca="1">+GETPIVOTDATA("XNT4",'nghiathanh (2016)'!$A$3,"MA_HT","ONT","MA_QH","DTL")</f>
        <v>0</v>
      </c>
      <c r="AD44" s="22">
        <f ca="1">+GETPIVOTDATA("XNT4",'nghiathanh (2016)'!$A$3,"MA_HT","ONT","MA_QH","DNL")</f>
        <v>0</v>
      </c>
      <c r="AE44" s="22">
        <f ca="1">+GETPIVOTDATA("XNT4",'nghiathanh (2016)'!$A$3,"MA_HT","ONT","MA_QH","DBV")</f>
        <v>0</v>
      </c>
      <c r="AF44" s="22">
        <f ca="1">+GETPIVOTDATA("XNT4",'nghiathanh (2016)'!$A$3,"MA_HT","ONT","MA_QH","DVH")</f>
        <v>0</v>
      </c>
      <c r="AG44" s="22">
        <f ca="1">+GETPIVOTDATA("XNT4",'nghiathanh (2016)'!$A$3,"MA_HT","ONT","MA_QH","DYT")</f>
        <v>0</v>
      </c>
      <c r="AH44" s="22">
        <f ca="1">+GETPIVOTDATA("XNT4",'nghiathanh (2016)'!$A$3,"MA_HT","ONT","MA_QH","DGD")</f>
        <v>0</v>
      </c>
      <c r="AI44" s="22">
        <f ca="1">+GETPIVOTDATA("XNT4",'nghiathanh (2016)'!$A$3,"MA_HT","ONT","MA_QH","DTT")</f>
        <v>0</v>
      </c>
      <c r="AJ44" s="22">
        <f ca="1">+GETPIVOTDATA("XNT4",'nghiathanh (2016)'!$A$3,"MA_HT","ONT","MA_QH","NCK")</f>
        <v>0</v>
      </c>
      <c r="AK44" s="22">
        <f ca="1">+GETPIVOTDATA("XNT4",'nghiathanh (2016)'!$A$3,"MA_HT","ONT","MA_QH","DXH")</f>
        <v>0</v>
      </c>
      <c r="AL44" s="22">
        <f ca="1">+GETPIVOTDATA("XNT4",'nghiathanh (2016)'!$A$3,"MA_HT","ONT","MA_QH","DCH")</f>
        <v>0</v>
      </c>
      <c r="AM44" s="22">
        <f ca="1">+GETPIVOTDATA("XNT4",'nghiathanh (2016)'!$A$3,"MA_HT","ONT","MA_QH","DKG")</f>
        <v>0</v>
      </c>
      <c r="AN44" s="22">
        <f ca="1">+GETPIVOTDATA("XNT4",'nghiathanh (2016)'!$A$3,"MA_HT","ONT","MA_QH","DDT")</f>
        <v>0</v>
      </c>
      <c r="AO44" s="22">
        <f ca="1">+GETPIVOTDATA("XNT4",'nghiathanh (2016)'!$A$3,"MA_HT","ONT","MA_QH","DDL")</f>
        <v>0</v>
      </c>
      <c r="AP44" s="22">
        <f ca="1">+GETPIVOTDATA("XNT4",'nghiathanh (2016)'!$A$3,"MA_HT","ONT","MA_QH","DRA")</f>
        <v>0</v>
      </c>
      <c r="AQ44" s="43" t="e">
        <f ca="1">$D44-$BF44</f>
        <v>#REF!</v>
      </c>
      <c r="AR44" s="22">
        <f ca="1">+GETPIVOTDATA("XNT4",'nghiathanh (2016)'!$A$3,"MA_HT","ONT","MA_QH","ODT")</f>
        <v>0</v>
      </c>
      <c r="AS44" s="22">
        <f ca="1">+GETPIVOTDATA("XNT4",'nghiathanh (2016)'!$A$3,"MA_HT","ONT","MA_QH","TSC")</f>
        <v>0</v>
      </c>
      <c r="AT44" s="22">
        <f ca="1">+GETPIVOTDATA("XNT4",'nghiathanh (2016)'!$A$3,"MA_HT","ONT","MA_QH","DTS")</f>
        <v>0</v>
      </c>
      <c r="AU44" s="22">
        <f ca="1">+GETPIVOTDATA("XNT4",'nghiathanh (2016)'!$A$3,"MA_HT","ONT","MA_QH","DNG")</f>
        <v>0</v>
      </c>
      <c r="AV44" s="22">
        <f ca="1">+GETPIVOTDATA("XNT4",'nghiathanh (2016)'!$A$3,"MA_HT","ONT","MA_QH","TON")</f>
        <v>0</v>
      </c>
      <c r="AW44" s="22">
        <f ca="1">+GETPIVOTDATA("XNT4",'nghiathanh (2016)'!$A$3,"MA_HT","ONT","MA_QH","NTD")</f>
        <v>0</v>
      </c>
      <c r="AX44" s="22">
        <f ca="1">+GETPIVOTDATA("XNT4",'nghiathanh (2016)'!$A$3,"MA_HT","ONT","MA_QH","SKX")</f>
        <v>0</v>
      </c>
      <c r="AY44" s="22">
        <f ca="1">+GETPIVOTDATA("XNT4",'nghiathanh (2016)'!$A$3,"MA_HT","ONT","MA_QH","DSH")</f>
        <v>0</v>
      </c>
      <c r="AZ44" s="22">
        <f ca="1">+GETPIVOTDATA("XNT4",'nghiathanh (2016)'!$A$3,"MA_HT","ONT","MA_QH","DKV")</f>
        <v>0</v>
      </c>
      <c r="BA44" s="89">
        <f ca="1">+GETPIVOTDATA("XNT4",'nghiathanh (2016)'!$A$3,"MA_HT","ONT","MA_QH","TIN")</f>
        <v>0</v>
      </c>
      <c r="BB44" s="50">
        <f ca="1">+GETPIVOTDATA("XNT4",'nghiathanh (2016)'!$A$3,"MA_HT","ONT","MA_QH","SON")</f>
        <v>0</v>
      </c>
      <c r="BC44" s="50">
        <f ca="1">+GETPIVOTDATA("XNT4",'nghiathanh (2016)'!$A$3,"MA_HT","ONT","MA_QH","MNC")</f>
        <v>0</v>
      </c>
      <c r="BD44" s="22">
        <f ca="1">+GETPIVOTDATA("XNT4",'nghiathanh (2016)'!$A$3,"MA_HT","ONT","MA_QH","PNK")</f>
        <v>0</v>
      </c>
      <c r="BE44" s="71">
        <f ca="1">+GETPIVOTDATA("XNT4",'nghiathanh (2016)'!$A$3,"MA_HT","ONT","MA_QH","CSD")</f>
        <v>0</v>
      </c>
      <c r="BF44" s="74">
        <f ca="1" t="shared" si="13"/>
        <v>0</v>
      </c>
      <c r="BG44" s="101">
        <f ca="1">AQ$59-$BF44</f>
        <v>0</v>
      </c>
      <c r="BH44" s="41" t="e">
        <f ca="1" t="shared" si="14"/>
        <v>#REF!</v>
      </c>
      <c r="BI44" s="98"/>
      <c r="BJ44" s="107" t="e">
        <f>#REF!</f>
        <v>#REF!</v>
      </c>
      <c r="BK44" s="107" t="e">
        <f ca="1">BH44-BJ44</f>
        <v>#REF!</v>
      </c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</row>
    <row r="45" s="2" customFormat="1" ht="15.75" customHeight="1" spans="1:79">
      <c r="A45" s="61" t="s">
        <v>8408</v>
      </c>
      <c r="B45" s="62" t="s">
        <v>8409</v>
      </c>
      <c r="C45" s="63" t="s">
        <v>201</v>
      </c>
      <c r="D45" s="64" t="e">
        <f>+#REF!</f>
        <v>#REF!</v>
      </c>
      <c r="E45" s="65">
        <f ca="1" t="shared" si="15"/>
        <v>0</v>
      </c>
      <c r="F45" s="66">
        <f ca="1" t="shared" si="9"/>
        <v>0</v>
      </c>
      <c r="G45" s="67">
        <f ca="1">+GETPIVOTDATA("XNT4",'nghiathanh (2016)'!$A$3,"MA_HT","ODT","MA_QH","LUC")</f>
        <v>0</v>
      </c>
      <c r="H45" s="67">
        <f ca="1">+GETPIVOTDATA("XNT4",'nghiathanh (2016)'!$A$3,"MA_HT","ODT","MA_QH","LUK")</f>
        <v>0</v>
      </c>
      <c r="I45" s="67">
        <f ca="1">+GETPIVOTDATA("XNT4",'nghiathanh (2016)'!$A$3,"MA_HT","ODT","MA_QH","LUN")</f>
        <v>0</v>
      </c>
      <c r="J45" s="67">
        <f ca="1">+GETPIVOTDATA("XNT4",'nghiathanh (2016)'!$A$3,"MA_HT","ODT","MA_QH","HNK")</f>
        <v>0</v>
      </c>
      <c r="K45" s="67">
        <f ca="1">+GETPIVOTDATA("XNT4",'nghiathanh (2016)'!$A$3,"MA_HT","ODT","MA_QH","CLN")</f>
        <v>0</v>
      </c>
      <c r="L45" s="67">
        <f ca="1">+GETPIVOTDATA("XNT4",'nghiathanh (2016)'!$A$3,"MA_HT","ODT","MA_QH","RSX")</f>
        <v>0</v>
      </c>
      <c r="M45" s="67">
        <f ca="1">+GETPIVOTDATA("XNT4",'nghiathanh (2016)'!$A$3,"MA_HT","ODT","MA_QH","RPH")</f>
        <v>0</v>
      </c>
      <c r="N45" s="67">
        <f ca="1">+GETPIVOTDATA("XNT4",'nghiathanh (2016)'!$A$3,"MA_HT","ODT","MA_QH","RDD")</f>
        <v>0</v>
      </c>
      <c r="O45" s="67">
        <f ca="1">+GETPIVOTDATA("XNT4",'nghiathanh (2016)'!$A$3,"MA_HT","ODT","MA_QH","NTS")</f>
        <v>0</v>
      </c>
      <c r="P45" s="67">
        <f ca="1">+GETPIVOTDATA("XNT4",'nghiathanh (2016)'!$A$3,"MA_HT","ODT","MA_QH","LMU")</f>
        <v>0</v>
      </c>
      <c r="Q45" s="67">
        <f ca="1">+GETPIVOTDATA("XNT4",'nghiathanh (2016)'!$A$3,"MA_HT","ODT","MA_QH","NKH")</f>
        <v>0</v>
      </c>
      <c r="R45" s="79">
        <f ca="1">SUM(S45:AA45,AN45:AQ45,AS45:BD45)</f>
        <v>0</v>
      </c>
      <c r="S45" s="67">
        <f ca="1">+GETPIVOTDATA("XNT4",'nghiathanh (2016)'!$A$3,"MA_HT","ODT","MA_QH","CQP")</f>
        <v>0</v>
      </c>
      <c r="T45" s="67">
        <f ca="1">+GETPIVOTDATA("XNT4",'nghiathanh (2016)'!$A$3,"MA_HT","ODT","MA_QH","CAN")</f>
        <v>0</v>
      </c>
      <c r="U45" s="67">
        <f ca="1">+GETPIVOTDATA("XNT4",'nghiathanh (2016)'!$A$3,"MA_HT","ODT","MA_QH","SKK")</f>
        <v>0</v>
      </c>
      <c r="V45" s="67">
        <f ca="1">+GETPIVOTDATA("XNT4",'nghiathanh (2016)'!$A$3,"MA_HT","ODT","MA_QH","SKT")</f>
        <v>0</v>
      </c>
      <c r="W45" s="67">
        <f ca="1">+GETPIVOTDATA("XNT4",'nghiathanh (2016)'!$A$3,"MA_HT","ODT","MA_QH","SKN")</f>
        <v>0</v>
      </c>
      <c r="X45" s="67">
        <f ca="1">+GETPIVOTDATA("XNT4",'nghiathanh (2016)'!$A$3,"MA_HT","ODT","MA_QH","TMD")</f>
        <v>0</v>
      </c>
      <c r="Y45" s="67">
        <f ca="1">+GETPIVOTDATA("XNT4",'nghiathanh (2016)'!$A$3,"MA_HT","ODT","MA_QH","SKC")</f>
        <v>0</v>
      </c>
      <c r="Z45" s="67">
        <f ca="1">+GETPIVOTDATA("XNT4",'nghiathanh (2016)'!$A$3,"MA_HT","ODT","MA_QH","SKS")</f>
        <v>0</v>
      </c>
      <c r="AA45" s="66">
        <f ca="1" t="shared" si="21"/>
        <v>0</v>
      </c>
      <c r="AB45" s="67">
        <f ca="1">+GETPIVOTDATA("XNT4",'nghiathanh (2016)'!$A$3,"MA_HT","ODT","MA_QH","DGT")</f>
        <v>0</v>
      </c>
      <c r="AC45" s="67">
        <f ca="1">+GETPIVOTDATA("XNT4",'nghiathanh (2016)'!$A$3,"MA_HT","ODT","MA_QH","DTL")</f>
        <v>0</v>
      </c>
      <c r="AD45" s="67">
        <f ca="1">+GETPIVOTDATA("XNT4",'nghiathanh (2016)'!$A$3,"MA_HT","ODT","MA_QH","DNL")</f>
        <v>0</v>
      </c>
      <c r="AE45" s="67">
        <f ca="1">+GETPIVOTDATA("XNT4",'nghiathanh (2016)'!$A$3,"MA_HT","ODT","MA_QH","DBV")</f>
        <v>0</v>
      </c>
      <c r="AF45" s="67">
        <f ca="1">+GETPIVOTDATA("XNT4",'nghiathanh (2016)'!$A$3,"MA_HT","ODT","MA_QH","DVH")</f>
        <v>0</v>
      </c>
      <c r="AG45" s="67">
        <f ca="1">+GETPIVOTDATA("XNT4",'nghiathanh (2016)'!$A$3,"MA_HT","ODT","MA_QH","DYT")</f>
        <v>0</v>
      </c>
      <c r="AH45" s="67">
        <f ca="1">+GETPIVOTDATA("XNT4",'nghiathanh (2016)'!$A$3,"MA_HT","ODT","MA_QH","DGD")</f>
        <v>0</v>
      </c>
      <c r="AI45" s="67">
        <f ca="1">+GETPIVOTDATA("XNT4",'nghiathanh (2016)'!$A$3,"MA_HT","ODT","MA_QH","DTT")</f>
        <v>0</v>
      </c>
      <c r="AJ45" s="67">
        <f ca="1">+GETPIVOTDATA("XNT4",'nghiathanh (2016)'!$A$3,"MA_HT","ODT","MA_QH","NCK")</f>
        <v>0</v>
      </c>
      <c r="AK45" s="67">
        <f ca="1">+GETPIVOTDATA("XNT4",'nghiathanh (2016)'!$A$3,"MA_HT","ODT","MA_QH","DXH")</f>
        <v>0</v>
      </c>
      <c r="AL45" s="67">
        <f ca="1">+GETPIVOTDATA("XNT4",'nghiathanh (2016)'!$A$3,"MA_HT","ODT","MA_QH","DCH")</f>
        <v>0</v>
      </c>
      <c r="AM45" s="67">
        <f ca="1">+GETPIVOTDATA("XNT4",'nghiathanh (2016)'!$A$3,"MA_HT","ODT","MA_QH","DKG")</f>
        <v>0</v>
      </c>
      <c r="AN45" s="67">
        <f ca="1">+GETPIVOTDATA("XNT4",'nghiathanh (2016)'!$A$3,"MA_HT","ODT","MA_QH","DDT")</f>
        <v>0</v>
      </c>
      <c r="AO45" s="67">
        <f ca="1">+GETPIVOTDATA("XNT4",'nghiathanh (2016)'!$A$3,"MA_HT","ODT","MA_QH","DDL")</f>
        <v>0</v>
      </c>
      <c r="AP45" s="67">
        <f ca="1">+GETPIVOTDATA("XNT4",'nghiathanh (2016)'!$A$3,"MA_HT","ODT","MA_QH","DRA")</f>
        <v>0</v>
      </c>
      <c r="AQ45" s="67">
        <f ca="1">+GETPIVOTDATA("XNT4",'nghiathanh (2016)'!$A$3,"MA_HT","ODT","MA_QH","ONT")</f>
        <v>0</v>
      </c>
      <c r="AR45" s="82" t="e">
        <f ca="1">$D45-$BF45</f>
        <v>#REF!</v>
      </c>
      <c r="AS45" s="67">
        <f ca="1">+GETPIVOTDATA("XNT4",'nghiathanh (2016)'!$A$3,"MA_HT","ODT","MA_QH","TSC")</f>
        <v>0</v>
      </c>
      <c r="AT45" s="67">
        <f ca="1">+GETPIVOTDATA("XNT4",'nghiathanh (2016)'!$A$3,"MA_HT","ODT","MA_QH","DTS")</f>
        <v>0</v>
      </c>
      <c r="AU45" s="67">
        <f ca="1">+GETPIVOTDATA("XNT4",'nghiathanh (2016)'!$A$3,"MA_HT","ODT","MA_QH","DNG")</f>
        <v>0</v>
      </c>
      <c r="AV45" s="67">
        <f ca="1">+GETPIVOTDATA("XNT4",'nghiathanh (2016)'!$A$3,"MA_HT","ODT","MA_QH","TON")</f>
        <v>0</v>
      </c>
      <c r="AW45" s="67">
        <f ca="1">+GETPIVOTDATA("XNT4",'nghiathanh (2016)'!$A$3,"MA_HT","ODT","MA_QH","NTD")</f>
        <v>0</v>
      </c>
      <c r="AX45" s="67">
        <f ca="1">+GETPIVOTDATA("XNT4",'nghiathanh (2016)'!$A$3,"MA_HT","ODT","MA_QH","SKX")</f>
        <v>0</v>
      </c>
      <c r="AY45" s="67">
        <f ca="1">+GETPIVOTDATA("XNT4",'nghiathanh (2016)'!$A$3,"MA_HT","ODT","MA_QH","DSH")</f>
        <v>0</v>
      </c>
      <c r="AZ45" s="67">
        <f ca="1">+GETPIVOTDATA("XNT4",'nghiathanh (2016)'!$A$3,"MA_HT","ODT","MA_QH","DKV")</f>
        <v>0</v>
      </c>
      <c r="BA45" s="92">
        <f ca="1">+GETPIVOTDATA("XNT4",'nghiathanh (2016)'!$A$3,"MA_HT","ODT","MA_QH","TIN")</f>
        <v>0</v>
      </c>
      <c r="BB45" s="93">
        <f ca="1">+GETPIVOTDATA("XNT4",'nghiathanh (2016)'!$A$3,"MA_HT","ODT","MA_QH","SON")</f>
        <v>0</v>
      </c>
      <c r="BC45" s="93">
        <f ca="1">+GETPIVOTDATA("XNT4",'nghiathanh (2016)'!$A$3,"MA_HT","ODT","MA_QH","MNC")</f>
        <v>0</v>
      </c>
      <c r="BD45" s="67">
        <f ca="1">+GETPIVOTDATA("XNT4",'nghiathanh (2016)'!$A$3,"MA_HT","ODT","MA_QH","PNK")</f>
        <v>0</v>
      </c>
      <c r="BE45" s="116">
        <f ca="1">+GETPIVOTDATA("XNT4",'nghiathanh (2016)'!$A$3,"MA_HT","ODT","MA_QH","CSD")</f>
        <v>0</v>
      </c>
      <c r="BF45" s="117">
        <f ca="1" t="shared" si="13"/>
        <v>0</v>
      </c>
      <c r="BG45" s="118">
        <f ca="1">AR$59-$BF45</f>
        <v>0</v>
      </c>
      <c r="BH45" s="64" t="e">
        <f ca="1" t="shared" si="14"/>
        <v>#REF!</v>
      </c>
      <c r="BI45" s="98"/>
      <c r="BJ45" s="107" t="e">
        <f>#REF!</f>
        <v>#REF!</v>
      </c>
      <c r="BK45" s="107" t="e">
        <f ca="1">BH45-BJ45</f>
        <v>#REF!</v>
      </c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</row>
    <row r="46" s="6" customFormat="1" ht="15.75" customHeight="1" spans="1:79">
      <c r="A46" s="39" t="s">
        <v>8410</v>
      </c>
      <c r="B46" s="53" t="s">
        <v>8411</v>
      </c>
      <c r="C46" s="40" t="s">
        <v>336</v>
      </c>
      <c r="D46" s="41" t="e">
        <f>+#REF!</f>
        <v>#REF!</v>
      </c>
      <c r="E46" s="42">
        <f ca="1" t="shared" si="15"/>
        <v>0</v>
      </c>
      <c r="F46" s="52">
        <f ca="1" t="shared" si="9"/>
        <v>0</v>
      </c>
      <c r="G46" s="22">
        <f ca="1">+GETPIVOTDATA("XNT4",'nghiathanh (2016)'!$A$3,"MA_HT","TSC","MA_QH","LUC")</f>
        <v>0</v>
      </c>
      <c r="H46" s="22">
        <f ca="1">+GETPIVOTDATA("XNT4",'nghiathanh (2016)'!$A$3,"MA_HT","TSC","MA_QH","LUK")</f>
        <v>0</v>
      </c>
      <c r="I46" s="22">
        <f ca="1">+GETPIVOTDATA("XNT4",'nghiathanh (2016)'!$A$3,"MA_HT","TSC","MA_QH","LUN")</f>
        <v>0</v>
      </c>
      <c r="J46" s="22">
        <f ca="1">+GETPIVOTDATA("XNT4",'nghiathanh (2016)'!$A$3,"MA_HT","TSC","MA_QH","HNK")</f>
        <v>0</v>
      </c>
      <c r="K46" s="22">
        <f ca="1">+GETPIVOTDATA("XNT4",'nghiathanh (2016)'!$A$3,"MA_HT","TSC","MA_QH","CLN")</f>
        <v>0</v>
      </c>
      <c r="L46" s="22">
        <f ca="1">+GETPIVOTDATA("XNT4",'nghiathanh (2016)'!$A$3,"MA_HT","TSC","MA_QH","RSX")</f>
        <v>0</v>
      </c>
      <c r="M46" s="22">
        <f ca="1">+GETPIVOTDATA("XNT4",'nghiathanh (2016)'!$A$3,"MA_HT","TSC","MA_QH","RPH")</f>
        <v>0</v>
      </c>
      <c r="N46" s="22">
        <f ca="1">+GETPIVOTDATA("XNT4",'nghiathanh (2016)'!$A$3,"MA_HT","TSC","MA_QH","RDD")</f>
        <v>0</v>
      </c>
      <c r="O46" s="22">
        <f ca="1">+GETPIVOTDATA("XNT4",'nghiathanh (2016)'!$A$3,"MA_HT","TSC","MA_QH","NTS")</f>
        <v>0</v>
      </c>
      <c r="P46" s="22">
        <f ca="1">+GETPIVOTDATA("XNT4",'nghiathanh (2016)'!$A$3,"MA_HT","TSC","MA_QH","LMU")</f>
        <v>0</v>
      </c>
      <c r="Q46" s="22">
        <f ca="1">+GETPIVOTDATA("XNT4",'nghiathanh (2016)'!$A$3,"MA_HT","TSC","MA_QH","NKH")</f>
        <v>0</v>
      </c>
      <c r="R46" s="48">
        <f ca="1">SUM(S46:AA46,AN46:AR46,AT46:BD46)</f>
        <v>0</v>
      </c>
      <c r="S46" s="22">
        <f ca="1">+GETPIVOTDATA("XNT4",'nghiathanh (2016)'!$A$3,"MA_HT","TSC","MA_QH","CQP")</f>
        <v>0</v>
      </c>
      <c r="T46" s="22">
        <f ca="1">+GETPIVOTDATA("XNT4",'nghiathanh (2016)'!$A$3,"MA_HT","TSC","MA_QH","CAN")</f>
        <v>0</v>
      </c>
      <c r="U46" s="22">
        <f ca="1">+GETPIVOTDATA("XNT4",'nghiathanh (2016)'!$A$3,"MA_HT","TSC","MA_QH","SKK")</f>
        <v>0</v>
      </c>
      <c r="V46" s="22">
        <f ca="1">+GETPIVOTDATA("XNT4",'nghiathanh (2016)'!$A$3,"MA_HT","TSC","MA_QH","SKT")</f>
        <v>0</v>
      </c>
      <c r="W46" s="22">
        <f ca="1">+GETPIVOTDATA("XNT4",'nghiathanh (2016)'!$A$3,"MA_HT","TSC","MA_QH","SKN")</f>
        <v>0</v>
      </c>
      <c r="X46" s="22">
        <f ca="1">+GETPIVOTDATA("XNT4",'nghiathanh (2016)'!$A$3,"MA_HT","TSC","MA_QH","TMD")</f>
        <v>0</v>
      </c>
      <c r="Y46" s="22">
        <f ca="1">+GETPIVOTDATA("XNT4",'nghiathanh (2016)'!$A$3,"MA_HT","TSC","MA_QH","SKC")</f>
        <v>0</v>
      </c>
      <c r="Z46" s="22">
        <f ca="1">+GETPIVOTDATA("XNT4",'nghiathanh (2016)'!$A$3,"MA_HT","TSC","MA_QH","SKS")</f>
        <v>0</v>
      </c>
      <c r="AA46" s="52">
        <f ca="1" t="shared" si="21"/>
        <v>0</v>
      </c>
      <c r="AB46" s="22">
        <f ca="1">+GETPIVOTDATA("XNT4",'nghiathanh (2016)'!$A$3,"MA_HT","TSC","MA_QH","DGT")</f>
        <v>0</v>
      </c>
      <c r="AC46" s="22">
        <f ca="1">+GETPIVOTDATA("XNT4",'nghiathanh (2016)'!$A$3,"MA_HT","TSC","MA_QH","DTL")</f>
        <v>0</v>
      </c>
      <c r="AD46" s="22">
        <f ca="1">+GETPIVOTDATA("XNT4",'nghiathanh (2016)'!$A$3,"MA_HT","TSC","MA_QH","DNL")</f>
        <v>0</v>
      </c>
      <c r="AE46" s="22">
        <f ca="1">+GETPIVOTDATA("XNT4",'nghiathanh (2016)'!$A$3,"MA_HT","TSC","MA_QH","DBV")</f>
        <v>0</v>
      </c>
      <c r="AF46" s="22">
        <f ca="1">+GETPIVOTDATA("XNT4",'nghiathanh (2016)'!$A$3,"MA_HT","TSC","MA_QH","DVH")</f>
        <v>0</v>
      </c>
      <c r="AG46" s="22">
        <f ca="1">+GETPIVOTDATA("XNT4",'nghiathanh (2016)'!$A$3,"MA_HT","TSC","MA_QH","DYT")</f>
        <v>0</v>
      </c>
      <c r="AH46" s="22">
        <f ca="1">+GETPIVOTDATA("XNT4",'nghiathanh (2016)'!$A$3,"MA_HT","TSC","MA_QH","DGD")</f>
        <v>0</v>
      </c>
      <c r="AI46" s="22">
        <f ca="1">+GETPIVOTDATA("XNT4",'nghiathanh (2016)'!$A$3,"MA_HT","TSC","MA_QH","DTT")</f>
        <v>0</v>
      </c>
      <c r="AJ46" s="22">
        <f ca="1">+GETPIVOTDATA("XNT4",'nghiathanh (2016)'!$A$3,"MA_HT","TSC","MA_QH","NCK")</f>
        <v>0</v>
      </c>
      <c r="AK46" s="22">
        <f ca="1">+GETPIVOTDATA("XNT4",'nghiathanh (2016)'!$A$3,"MA_HT","TSC","MA_QH","DXH")</f>
        <v>0</v>
      </c>
      <c r="AL46" s="22">
        <f ca="1">+GETPIVOTDATA("XNT4",'nghiathanh (2016)'!$A$3,"MA_HT","TSC","MA_QH","DCH")</f>
        <v>0</v>
      </c>
      <c r="AM46" s="22">
        <f ca="1">+GETPIVOTDATA("XNT4",'nghiathanh (2016)'!$A$3,"MA_HT","TSC","MA_QH","DKG")</f>
        <v>0</v>
      </c>
      <c r="AN46" s="22">
        <f ca="1">+GETPIVOTDATA("XNT4",'nghiathanh (2016)'!$A$3,"MA_HT","TSC","MA_QH","DDT")</f>
        <v>0</v>
      </c>
      <c r="AO46" s="22">
        <f ca="1">+GETPIVOTDATA("XNT4",'nghiathanh (2016)'!$A$3,"MA_HT","TSC","MA_QH","DDL")</f>
        <v>0</v>
      </c>
      <c r="AP46" s="22">
        <f ca="1">+GETPIVOTDATA("XNT4",'nghiathanh (2016)'!$A$3,"MA_HT","TSC","MA_QH","DRA")</f>
        <v>0</v>
      </c>
      <c r="AQ46" s="22">
        <f ca="1">+GETPIVOTDATA("XNT4",'nghiathanh (2016)'!$A$3,"MA_HT","TSC","MA_QH","ONT")</f>
        <v>0</v>
      </c>
      <c r="AR46" s="22">
        <f ca="1">+GETPIVOTDATA("XNT4",'nghiathanh (2016)'!$A$3,"MA_HT","TSC","MA_QH","ODT")</f>
        <v>0</v>
      </c>
      <c r="AS46" s="43" t="e">
        <f ca="1">$D46-$BF46</f>
        <v>#REF!</v>
      </c>
      <c r="AT46" s="22">
        <f ca="1">+GETPIVOTDATA("XNT4",'nghiathanh (2016)'!$A$3,"MA_HT","TSC","MA_QH","DTS")</f>
        <v>0</v>
      </c>
      <c r="AU46" s="22">
        <f ca="1">+GETPIVOTDATA("XNT4",'nghiathanh (2016)'!$A$3,"MA_HT","TSC","MA_QH","DNG")</f>
        <v>0</v>
      </c>
      <c r="AV46" s="22">
        <f ca="1">+GETPIVOTDATA("XNT4",'nghiathanh (2016)'!$A$3,"MA_HT","TSC","MA_QH","TON")</f>
        <v>0</v>
      </c>
      <c r="AW46" s="22">
        <f ca="1">+GETPIVOTDATA("XNT4",'nghiathanh (2016)'!$A$3,"MA_HT","TSC","MA_QH","NTD")</f>
        <v>0</v>
      </c>
      <c r="AX46" s="22">
        <f ca="1">+GETPIVOTDATA("XNT4",'nghiathanh (2016)'!$A$3,"MA_HT","TSC","MA_QH","SKX")</f>
        <v>0</v>
      </c>
      <c r="AY46" s="22">
        <f ca="1">+GETPIVOTDATA("XNT4",'nghiathanh (2016)'!$A$3,"MA_HT","TSC","MA_QH","DSH")</f>
        <v>0</v>
      </c>
      <c r="AZ46" s="22">
        <f ca="1">+GETPIVOTDATA("XNT4",'nghiathanh (2016)'!$A$3,"MA_HT","TSC","MA_QH","DKV")</f>
        <v>0</v>
      </c>
      <c r="BA46" s="89">
        <f ca="1">+GETPIVOTDATA("XNT4",'nghiathanh (2016)'!$A$3,"MA_HT","TSC","MA_QH","TIN")</f>
        <v>0</v>
      </c>
      <c r="BB46" s="50">
        <f ca="1">+GETPIVOTDATA("XNT4",'nghiathanh (2016)'!$A$3,"MA_HT","TSC","MA_QH","SON")</f>
        <v>0</v>
      </c>
      <c r="BC46" s="50">
        <f ca="1">+GETPIVOTDATA("XNT4",'nghiathanh (2016)'!$A$3,"MA_HT","TSC","MA_QH","MNC")</f>
        <v>0</v>
      </c>
      <c r="BD46" s="22">
        <f ca="1">+GETPIVOTDATA("XNT4",'nghiathanh (2016)'!$A$3,"MA_HT","TSC","MA_QH","PNK")</f>
        <v>0</v>
      </c>
      <c r="BE46" s="71">
        <f ca="1">+GETPIVOTDATA("XNT4",'nghiathanh (2016)'!$A$3,"MA_HT","TSC","MA_QH","CSD")</f>
        <v>0</v>
      </c>
      <c r="BF46" s="74">
        <f ca="1" t="shared" si="13"/>
        <v>0</v>
      </c>
      <c r="BG46" s="101">
        <f ca="1">AS$59-$BF46</f>
        <v>0</v>
      </c>
      <c r="BH46" s="41" t="e">
        <f ca="1" t="shared" si="14"/>
        <v>#REF!</v>
      </c>
      <c r="BI46" s="114"/>
      <c r="BJ46" s="114" t="e">
        <f>#REF!</f>
        <v>#REF!</v>
      </c>
      <c r="BK46" s="115" t="e">
        <f ca="1">BH46-BJ46</f>
        <v>#REF!</v>
      </c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</row>
    <row r="47" s="2" customFormat="1" ht="15.75" customHeight="1" spans="1:79">
      <c r="A47" s="54" t="s">
        <v>8412</v>
      </c>
      <c r="B47" s="55" t="s">
        <v>8413</v>
      </c>
      <c r="C47" s="56" t="s">
        <v>8293</v>
      </c>
      <c r="D47" s="57" t="e">
        <f>+#REF!</f>
        <v>#REF!</v>
      </c>
      <c r="E47" s="58">
        <f ca="1" t="shared" si="15"/>
        <v>0</v>
      </c>
      <c r="F47" s="59">
        <f ca="1" t="shared" si="9"/>
        <v>0</v>
      </c>
      <c r="G47" s="60">
        <f ca="1">+GETPIVOTDATA("XNT4",'nghiathanh (2016)'!$A$3,"MA_HT","DTS","MA_QH","LUC")</f>
        <v>0</v>
      </c>
      <c r="H47" s="60">
        <f ca="1">+GETPIVOTDATA("XNT4",'nghiathanh (2016)'!$A$3,"MA_HT","DTS","MA_QH","LUK")</f>
        <v>0</v>
      </c>
      <c r="I47" s="60">
        <f ca="1">+GETPIVOTDATA("XNT4",'nghiathanh (2016)'!$A$3,"MA_HT","DTS","MA_QH","LUN")</f>
        <v>0</v>
      </c>
      <c r="J47" s="60">
        <f ca="1">+GETPIVOTDATA("XNT4",'nghiathanh (2016)'!$A$3,"MA_HT","DTS","MA_QH","HNK")</f>
        <v>0</v>
      </c>
      <c r="K47" s="60">
        <f ca="1">+GETPIVOTDATA("XNT4",'nghiathanh (2016)'!$A$3,"MA_HT","DTS","MA_QH","CLN")</f>
        <v>0</v>
      </c>
      <c r="L47" s="60">
        <f ca="1">+GETPIVOTDATA("XNT4",'nghiathanh (2016)'!$A$3,"MA_HT","DTS","MA_QH","RSX")</f>
        <v>0</v>
      </c>
      <c r="M47" s="60">
        <f ca="1">+GETPIVOTDATA("XNT4",'nghiathanh (2016)'!$A$3,"MA_HT","DTS","MA_QH","RPH")</f>
        <v>0</v>
      </c>
      <c r="N47" s="60">
        <f ca="1">+GETPIVOTDATA("XNT4",'nghiathanh (2016)'!$A$3,"MA_HT","DTS","MA_QH","RDD")</f>
        <v>0</v>
      </c>
      <c r="O47" s="60">
        <f ca="1">+GETPIVOTDATA("XNT4",'nghiathanh (2016)'!$A$3,"MA_HT","DTS","MA_QH","NTS")</f>
        <v>0</v>
      </c>
      <c r="P47" s="60">
        <f ca="1">+GETPIVOTDATA("XNT4",'nghiathanh (2016)'!$A$3,"MA_HT","DTS","MA_QH","LMU")</f>
        <v>0</v>
      </c>
      <c r="Q47" s="60">
        <f ca="1">+GETPIVOTDATA("XNT4",'nghiathanh (2016)'!$A$3,"MA_HT","DTS","MA_QH","NKH")</f>
        <v>0</v>
      </c>
      <c r="R47" s="78">
        <f ca="1">SUM(S47:AA47,AN47:AS47,AU47:BD47)</f>
        <v>0</v>
      </c>
      <c r="S47" s="60">
        <f ca="1">+GETPIVOTDATA("XNT4",'nghiathanh (2016)'!$A$3,"MA_HT","DTS","MA_QH","CQP")</f>
        <v>0</v>
      </c>
      <c r="T47" s="60">
        <f ca="1">+GETPIVOTDATA("XNT4",'nghiathanh (2016)'!$A$3,"MA_HT","DTS","MA_QH","CAN")</f>
        <v>0</v>
      </c>
      <c r="U47" s="60">
        <f ca="1">+GETPIVOTDATA("XNT4",'nghiathanh (2016)'!$A$3,"MA_HT","DTS","MA_QH","SKK")</f>
        <v>0</v>
      </c>
      <c r="V47" s="60">
        <f ca="1">+GETPIVOTDATA("XNT4",'nghiathanh (2016)'!$A$3,"MA_HT","DTS","MA_QH","SKT")</f>
        <v>0</v>
      </c>
      <c r="W47" s="60">
        <f ca="1">+GETPIVOTDATA("XNT4",'nghiathanh (2016)'!$A$3,"MA_HT","DTS","MA_QH","SKN")</f>
        <v>0</v>
      </c>
      <c r="X47" s="60">
        <f ca="1">+GETPIVOTDATA("XNT4",'nghiathanh (2016)'!$A$3,"MA_HT","DTS","MA_QH","TMD")</f>
        <v>0</v>
      </c>
      <c r="Y47" s="60">
        <f ca="1">+GETPIVOTDATA("XNT4",'nghiathanh (2016)'!$A$3,"MA_HT","DTS","MA_QH","SKC")</f>
        <v>0</v>
      </c>
      <c r="Z47" s="60">
        <f ca="1">+GETPIVOTDATA("XNT4",'nghiathanh (2016)'!$A$3,"MA_HT","DTS","MA_QH","SKS")</f>
        <v>0</v>
      </c>
      <c r="AA47" s="59">
        <f ca="1" t="shared" si="21"/>
        <v>0</v>
      </c>
      <c r="AB47" s="60">
        <f ca="1">+GETPIVOTDATA("XNT4",'nghiathanh (2016)'!$A$3,"MA_HT","DTS","MA_QH","DGT")</f>
        <v>0</v>
      </c>
      <c r="AC47" s="60">
        <f ca="1">+GETPIVOTDATA("XNT4",'nghiathanh (2016)'!$A$3,"MA_HT","DTS","MA_QH","DTL")</f>
        <v>0</v>
      </c>
      <c r="AD47" s="60">
        <f ca="1">+GETPIVOTDATA("XNT4",'nghiathanh (2016)'!$A$3,"MA_HT","DTS","MA_QH","DNL")</f>
        <v>0</v>
      </c>
      <c r="AE47" s="60">
        <f ca="1">+GETPIVOTDATA("XNT4",'nghiathanh (2016)'!$A$3,"MA_HT","DTS","MA_QH","DBV")</f>
        <v>0</v>
      </c>
      <c r="AF47" s="60">
        <f ca="1">+GETPIVOTDATA("XNT4",'nghiathanh (2016)'!$A$3,"MA_HT","DTS","MA_QH","DVH")</f>
        <v>0</v>
      </c>
      <c r="AG47" s="60">
        <f ca="1">+GETPIVOTDATA("XNT4",'nghiathanh (2016)'!$A$3,"MA_HT","DTS","MA_QH","DYT")</f>
        <v>0</v>
      </c>
      <c r="AH47" s="60">
        <f ca="1">+GETPIVOTDATA("XNT4",'nghiathanh (2016)'!$A$3,"MA_HT","DTS","MA_QH","DGD")</f>
        <v>0</v>
      </c>
      <c r="AI47" s="60">
        <f ca="1">+GETPIVOTDATA("XNT4",'nghiathanh (2016)'!$A$3,"MA_HT","DTS","MA_QH","DTT")</f>
        <v>0</v>
      </c>
      <c r="AJ47" s="60">
        <f ca="1">+GETPIVOTDATA("XNT4",'nghiathanh (2016)'!$A$3,"MA_HT","DTS","MA_QH","NCK")</f>
        <v>0</v>
      </c>
      <c r="AK47" s="60">
        <f ca="1">+GETPIVOTDATA("XNT4",'nghiathanh (2016)'!$A$3,"MA_HT","DTS","MA_QH","DXH")</f>
        <v>0</v>
      </c>
      <c r="AL47" s="60">
        <f ca="1">+GETPIVOTDATA("XNT4",'nghiathanh (2016)'!$A$3,"MA_HT","DTS","MA_QH","DCH")</f>
        <v>0</v>
      </c>
      <c r="AM47" s="60">
        <f ca="1">+GETPIVOTDATA("XNT4",'nghiathanh (2016)'!$A$3,"MA_HT","DTS","MA_QH","DKG")</f>
        <v>0</v>
      </c>
      <c r="AN47" s="60">
        <f ca="1">+GETPIVOTDATA("XNT4",'nghiathanh (2016)'!$A$3,"MA_HT","DTS","MA_QH","DDT")</f>
        <v>0</v>
      </c>
      <c r="AO47" s="60">
        <f ca="1">+GETPIVOTDATA("XNT4",'nghiathanh (2016)'!$A$3,"MA_HT","DTS","MA_QH","DDL")</f>
        <v>0</v>
      </c>
      <c r="AP47" s="60">
        <f ca="1">+GETPIVOTDATA("XNT4",'nghiathanh (2016)'!$A$3,"MA_HT","DTS","MA_QH","DRA")</f>
        <v>0</v>
      </c>
      <c r="AQ47" s="60">
        <f ca="1">+GETPIVOTDATA("XNT4",'nghiathanh (2016)'!$A$3,"MA_HT","DTS","MA_QH","ONT")</f>
        <v>0</v>
      </c>
      <c r="AR47" s="60">
        <f ca="1">+GETPIVOTDATA("XNT4",'nghiathanh (2016)'!$A$3,"MA_HT","DTS","MA_QH","ODT")</f>
        <v>0</v>
      </c>
      <c r="AS47" s="60">
        <f ca="1">+GETPIVOTDATA("XNT4",'nghiathanh (2016)'!$A$3,"MA_HT","DTS","MA_QH","TSC")</f>
        <v>0</v>
      </c>
      <c r="AT47" s="81" t="e">
        <f ca="1">$D47-$BF47</f>
        <v>#REF!</v>
      </c>
      <c r="AU47" s="60">
        <f ca="1">+GETPIVOTDATA("XNT4",'nghiathanh (2016)'!$A$3,"MA_HT","DTS","MA_QH","DNG")</f>
        <v>0</v>
      </c>
      <c r="AV47" s="60">
        <f ca="1">+GETPIVOTDATA("XNT4",'nghiathanh (2016)'!$A$3,"MA_HT","DTS","MA_QH","TON")</f>
        <v>0</v>
      </c>
      <c r="AW47" s="60">
        <f ca="1">+GETPIVOTDATA("XNT4",'nghiathanh (2016)'!$A$3,"MA_HT","DTS","MA_QH","NTD")</f>
        <v>0</v>
      </c>
      <c r="AX47" s="60">
        <f ca="1">+GETPIVOTDATA("XNT4",'nghiathanh (2016)'!$A$3,"MA_HT","DTS","MA_QH","SKX")</f>
        <v>0</v>
      </c>
      <c r="AY47" s="60">
        <f ca="1">+GETPIVOTDATA("XNT4",'nghiathanh (2016)'!$A$3,"MA_HT","DTS","MA_QH","DSH")</f>
        <v>0</v>
      </c>
      <c r="AZ47" s="60">
        <f ca="1">+GETPIVOTDATA("XNT4",'nghiathanh (2016)'!$A$3,"MA_HT","DTS","MA_QH","DKV")</f>
        <v>0</v>
      </c>
      <c r="BA47" s="90">
        <f ca="1">+GETPIVOTDATA("XNT4",'nghiathanh (2016)'!$A$3,"MA_HT","DTS","MA_QH","TIN")</f>
        <v>0</v>
      </c>
      <c r="BB47" s="91">
        <f ca="1">+GETPIVOTDATA("XNT4",'nghiathanh (2016)'!$A$3,"MA_HT","DTS","MA_QH","SON")</f>
        <v>0</v>
      </c>
      <c r="BC47" s="91">
        <f ca="1">+GETPIVOTDATA("XNT4",'nghiathanh (2016)'!$A$3,"MA_HT","DTS","MA_QH","MNC")</f>
        <v>0</v>
      </c>
      <c r="BD47" s="60">
        <f ca="1">+GETPIVOTDATA("XNT4",'nghiathanh (2016)'!$A$3,"MA_HT","DTS","MA_QH","PNK")</f>
        <v>0</v>
      </c>
      <c r="BE47" s="111">
        <f ca="1">+GETPIVOTDATA("XNT4",'nghiathanh (2016)'!$A$3,"MA_HT","DTS","MA_QH","CSD")</f>
        <v>0</v>
      </c>
      <c r="BF47" s="112">
        <f ca="1" t="shared" si="13"/>
        <v>0</v>
      </c>
      <c r="BG47" s="113">
        <f ca="1">AT$59-$BF47</f>
        <v>0</v>
      </c>
      <c r="BH47" s="57" t="e">
        <f ca="1" t="shared" si="14"/>
        <v>#REF!</v>
      </c>
      <c r="BI47" s="98"/>
      <c r="BJ47" s="98"/>
      <c r="BK47" s="107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</row>
    <row r="48" s="2" customFormat="1" ht="15.75" customHeight="1" spans="1:79">
      <c r="A48" s="39" t="s">
        <v>8414</v>
      </c>
      <c r="B48" s="53" t="s">
        <v>8415</v>
      </c>
      <c r="C48" s="40" t="s">
        <v>8290</v>
      </c>
      <c r="D48" s="41" t="e">
        <f>+#REF!</f>
        <v>#REF!</v>
      </c>
      <c r="E48" s="42">
        <f ca="1" t="shared" si="15"/>
        <v>0</v>
      </c>
      <c r="F48" s="52">
        <f ca="1" t="shared" si="9"/>
        <v>0</v>
      </c>
      <c r="G48" s="22">
        <f ca="1">+GETPIVOTDATA("XNT4",'nghiathanh (2016)'!$A$3,"MA_HT","DNG","MA_QH","LUC")</f>
        <v>0</v>
      </c>
      <c r="H48" s="22">
        <f ca="1">+GETPIVOTDATA("XNT4",'nghiathanh (2016)'!$A$3,"MA_HT","DNG","MA_QH","LUK")</f>
        <v>0</v>
      </c>
      <c r="I48" s="22">
        <f ca="1">+GETPIVOTDATA("XNT4",'nghiathanh (2016)'!$A$3,"MA_HT","DNG","MA_QH","LUN")</f>
        <v>0</v>
      </c>
      <c r="J48" s="22">
        <f ca="1">+GETPIVOTDATA("XNT4",'nghiathanh (2016)'!$A$3,"MA_HT","DNG","MA_QH","HNK")</f>
        <v>0</v>
      </c>
      <c r="K48" s="22">
        <f ca="1">+GETPIVOTDATA("XNT4",'nghiathanh (2016)'!$A$3,"MA_HT","DNG","MA_QH","CLN")</f>
        <v>0</v>
      </c>
      <c r="L48" s="22">
        <f ca="1">+GETPIVOTDATA("XNT4",'nghiathanh (2016)'!$A$3,"MA_HT","DNG","MA_QH","RSX")</f>
        <v>0</v>
      </c>
      <c r="M48" s="22">
        <f ca="1">+GETPIVOTDATA("XNT4",'nghiathanh (2016)'!$A$3,"MA_HT","DNG","MA_QH","RPH")</f>
        <v>0</v>
      </c>
      <c r="N48" s="22">
        <f ca="1">+GETPIVOTDATA("XNT4",'nghiathanh (2016)'!$A$3,"MA_HT","DNG","MA_QH","RDD")</f>
        <v>0</v>
      </c>
      <c r="O48" s="22">
        <f ca="1">+GETPIVOTDATA("XNT4",'nghiathanh (2016)'!$A$3,"MA_HT","DNG","MA_QH","NTS")</f>
        <v>0</v>
      </c>
      <c r="P48" s="22">
        <f ca="1">+GETPIVOTDATA("XNT4",'nghiathanh (2016)'!$A$3,"MA_HT","DNG","MA_QH","LMU")</f>
        <v>0</v>
      </c>
      <c r="Q48" s="22">
        <f ca="1">+GETPIVOTDATA("XNT4",'nghiathanh (2016)'!$A$3,"MA_HT","DNG","MA_QH","NKH")</f>
        <v>0</v>
      </c>
      <c r="R48" s="79">
        <f ca="1">SUM(S48:AA48,AN48:AT48,AV48:BD48)</f>
        <v>0</v>
      </c>
      <c r="S48" s="22">
        <f ca="1">+GETPIVOTDATA("XNT4",'nghiathanh (2016)'!$A$3,"MA_HT","DNG","MA_QH","CQP")</f>
        <v>0</v>
      </c>
      <c r="T48" s="22">
        <f ca="1">+GETPIVOTDATA("XNT4",'nghiathanh (2016)'!$A$3,"MA_HT","DNG","MA_QH","CAN")</f>
        <v>0</v>
      </c>
      <c r="U48" s="22">
        <f ca="1">+GETPIVOTDATA("XNT4",'nghiathanh (2016)'!$A$3,"MA_HT","DNG","MA_QH","SKK")</f>
        <v>0</v>
      </c>
      <c r="V48" s="22">
        <f ca="1">+GETPIVOTDATA("XNT4",'nghiathanh (2016)'!$A$3,"MA_HT","DNG","MA_QH","SKT")</f>
        <v>0</v>
      </c>
      <c r="W48" s="22">
        <f ca="1">+GETPIVOTDATA("XNT4",'nghiathanh (2016)'!$A$3,"MA_HT","DNG","MA_QH","SKN")</f>
        <v>0</v>
      </c>
      <c r="X48" s="22">
        <f ca="1">+GETPIVOTDATA("XNT4",'nghiathanh (2016)'!$A$3,"MA_HT","DNG","MA_QH","TMD")</f>
        <v>0</v>
      </c>
      <c r="Y48" s="22">
        <f ca="1">+GETPIVOTDATA("XNT4",'nghiathanh (2016)'!$A$3,"MA_HT","DNG","MA_QH","SKC")</f>
        <v>0</v>
      </c>
      <c r="Z48" s="22">
        <f ca="1">+GETPIVOTDATA("XNT4",'nghiathanh (2016)'!$A$3,"MA_HT","DNG","MA_QH","SKS")</f>
        <v>0</v>
      </c>
      <c r="AA48" s="52">
        <f ca="1" t="shared" si="21"/>
        <v>0</v>
      </c>
      <c r="AB48" s="22">
        <f ca="1">+GETPIVOTDATA("XNT4",'nghiathanh (2016)'!$A$3,"MA_HT","DNG","MA_QH","DGT")</f>
        <v>0</v>
      </c>
      <c r="AC48" s="22">
        <f ca="1">+GETPIVOTDATA("XNT4",'nghiathanh (2016)'!$A$3,"MA_HT","DNG","MA_QH","DTL")</f>
        <v>0</v>
      </c>
      <c r="AD48" s="22">
        <f ca="1">+GETPIVOTDATA("XNT4",'nghiathanh (2016)'!$A$3,"MA_HT","DNG","MA_QH","DNL")</f>
        <v>0</v>
      </c>
      <c r="AE48" s="22">
        <f ca="1">+GETPIVOTDATA("XNT4",'nghiathanh (2016)'!$A$3,"MA_HT","DNG","MA_QH","DBV")</f>
        <v>0</v>
      </c>
      <c r="AF48" s="22">
        <f ca="1">+GETPIVOTDATA("XNT4",'nghiathanh (2016)'!$A$3,"MA_HT","DNG","MA_QH","DVH")</f>
        <v>0</v>
      </c>
      <c r="AG48" s="22">
        <f ca="1">+GETPIVOTDATA("XNT4",'nghiathanh (2016)'!$A$3,"MA_HT","DNG","MA_QH","DYT")</f>
        <v>0</v>
      </c>
      <c r="AH48" s="22">
        <f ca="1">+GETPIVOTDATA("XNT4",'nghiathanh (2016)'!$A$3,"MA_HT","DNG","MA_QH","DGD")</f>
        <v>0</v>
      </c>
      <c r="AI48" s="22">
        <f ca="1">+GETPIVOTDATA("XNT4",'nghiathanh (2016)'!$A$3,"MA_HT","DNG","MA_QH","DTT")</f>
        <v>0</v>
      </c>
      <c r="AJ48" s="22">
        <f ca="1">+GETPIVOTDATA("XNT4",'nghiathanh (2016)'!$A$3,"MA_HT","DNG","MA_QH","NCK")</f>
        <v>0</v>
      </c>
      <c r="AK48" s="22">
        <f ca="1">+GETPIVOTDATA("XNT4",'nghiathanh (2016)'!$A$3,"MA_HT","DNG","MA_QH","DXH")</f>
        <v>0</v>
      </c>
      <c r="AL48" s="22">
        <f ca="1">+GETPIVOTDATA("XNT4",'nghiathanh (2016)'!$A$3,"MA_HT","DNG","MA_QH","DCH")</f>
        <v>0</v>
      </c>
      <c r="AM48" s="22">
        <f ca="1">+GETPIVOTDATA("XNT4",'nghiathanh (2016)'!$A$3,"MA_HT","DNG","MA_QH","DKG")</f>
        <v>0</v>
      </c>
      <c r="AN48" s="22">
        <f ca="1">+GETPIVOTDATA("XNT4",'nghiathanh (2016)'!$A$3,"MA_HT","DNG","MA_QH","DDT")</f>
        <v>0</v>
      </c>
      <c r="AO48" s="22">
        <f ca="1">+GETPIVOTDATA("XNT4",'nghiathanh (2016)'!$A$3,"MA_HT","DNG","MA_QH","DDL")</f>
        <v>0</v>
      </c>
      <c r="AP48" s="22">
        <f ca="1">+GETPIVOTDATA("XNT4",'nghiathanh (2016)'!$A$3,"MA_HT","DNG","MA_QH","DRA")</f>
        <v>0</v>
      </c>
      <c r="AQ48" s="22">
        <f ca="1">+GETPIVOTDATA("XNT4",'nghiathanh (2016)'!$A$3,"MA_HT","DNG","MA_QH","ONT")</f>
        <v>0</v>
      </c>
      <c r="AR48" s="22">
        <f ca="1">+GETPIVOTDATA("XNT4",'nghiathanh (2016)'!$A$3,"MA_HT","DNG","MA_QH","ODT")</f>
        <v>0</v>
      </c>
      <c r="AS48" s="22">
        <f ca="1">+GETPIVOTDATA("XNT4",'nghiathanh (2016)'!$A$3,"MA_HT","DNG","MA_QH","TSC")</f>
        <v>0</v>
      </c>
      <c r="AT48" s="22">
        <f ca="1">+GETPIVOTDATA("XNT4",'nghiathanh (2016)'!$A$3,"MA_HT","DNG","MA_QH","DTS")</f>
        <v>0</v>
      </c>
      <c r="AU48" s="43" t="e">
        <f ca="1">$D48-$BF48</f>
        <v>#REF!</v>
      </c>
      <c r="AV48" s="22">
        <f ca="1">+GETPIVOTDATA("XNT4",'nghiathanh (2016)'!$A$3,"MA_HT","DNG","MA_QH","TON")</f>
        <v>0</v>
      </c>
      <c r="AW48" s="22">
        <f ca="1">+GETPIVOTDATA("XNT4",'nghiathanh (2016)'!$A$3,"MA_HT","DNG","MA_QH","NTD")</f>
        <v>0</v>
      </c>
      <c r="AX48" s="22">
        <f ca="1">+GETPIVOTDATA("XNT4",'nghiathanh (2016)'!$A$3,"MA_HT","DNG","MA_QH","SKX")</f>
        <v>0</v>
      </c>
      <c r="AY48" s="22">
        <f ca="1">+GETPIVOTDATA("XNT4",'nghiathanh (2016)'!$A$3,"MA_HT","DNG","MA_QH","DSH")</f>
        <v>0</v>
      </c>
      <c r="AZ48" s="22">
        <f ca="1">+GETPIVOTDATA("XNT4",'nghiathanh (2016)'!$A$3,"MA_HT","DNG","MA_QH","DKV")</f>
        <v>0</v>
      </c>
      <c r="BA48" s="89">
        <f ca="1">+GETPIVOTDATA("XNT4",'nghiathanh (2016)'!$A$3,"MA_HT","DNG","MA_QH","TIN")</f>
        <v>0</v>
      </c>
      <c r="BB48" s="50">
        <f ca="1">+GETPIVOTDATA("XNT4",'nghiathanh (2016)'!$A$3,"MA_HT","DNG","MA_QH","SON")</f>
        <v>0</v>
      </c>
      <c r="BC48" s="50">
        <f ca="1">+GETPIVOTDATA("XNT4",'nghiathanh (2016)'!$A$3,"MA_HT","DNG","MA_QH","MNC")</f>
        <v>0</v>
      </c>
      <c r="BD48" s="22">
        <f ca="1">+GETPIVOTDATA("XNT4",'nghiathanh (2016)'!$A$3,"MA_HT","DNG","MA_QH","PNK")</f>
        <v>0</v>
      </c>
      <c r="BE48" s="71">
        <f ca="1">+GETPIVOTDATA("XNT4",'nghiathanh (2016)'!$A$3,"MA_HT","DNG","MA_QH","CSD")</f>
        <v>0</v>
      </c>
      <c r="BF48" s="74">
        <f ca="1" t="shared" si="13"/>
        <v>0</v>
      </c>
      <c r="BG48" s="101">
        <f ca="1">AU$59-$BF48</f>
        <v>0</v>
      </c>
      <c r="BH48" s="41" t="e">
        <f ca="1" t="shared" si="14"/>
        <v>#REF!</v>
      </c>
      <c r="BI48" s="98"/>
      <c r="BJ48" s="98" t="e">
        <f>#REF!</f>
        <v>#REF!</v>
      </c>
      <c r="BK48" s="107" t="e">
        <f ca="1">BH48-BJ48</f>
        <v>#REF!</v>
      </c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</row>
    <row r="49" s="2" customFormat="1" ht="15.75" customHeight="1" spans="1:79">
      <c r="A49" s="39" t="s">
        <v>8416</v>
      </c>
      <c r="B49" s="53" t="s">
        <v>8417</v>
      </c>
      <c r="C49" s="40" t="s">
        <v>324</v>
      </c>
      <c r="D49" s="41" t="e">
        <f>+#REF!</f>
        <v>#REF!</v>
      </c>
      <c r="E49" s="42">
        <f ca="1" t="shared" si="15"/>
        <v>0</v>
      </c>
      <c r="F49" s="52">
        <f ca="1" t="shared" si="9"/>
        <v>0</v>
      </c>
      <c r="G49" s="22">
        <f ca="1">+GETPIVOTDATA("XNT4",'nghiathanh (2016)'!$A$3,"MA_HT","TON","MA_QH","LUC")</f>
        <v>0</v>
      </c>
      <c r="H49" s="22">
        <f ca="1">+GETPIVOTDATA("XNT4",'nghiathanh (2016)'!$A$3,"MA_HT","TON","MA_QH","LUK")</f>
        <v>0</v>
      </c>
      <c r="I49" s="22">
        <f ca="1">+GETPIVOTDATA("XNT4",'nghiathanh (2016)'!$A$3,"MA_HT","TON","MA_QH","LUN")</f>
        <v>0</v>
      </c>
      <c r="J49" s="22">
        <f ca="1">+GETPIVOTDATA("XNT4",'nghiathanh (2016)'!$A$3,"MA_HT","TON","MA_QH","HNK")</f>
        <v>0</v>
      </c>
      <c r="K49" s="22">
        <f ca="1">+GETPIVOTDATA("XNT4",'nghiathanh (2016)'!$A$3,"MA_HT","TON","MA_QH","CLN")</f>
        <v>0</v>
      </c>
      <c r="L49" s="22">
        <f ca="1">+GETPIVOTDATA("XNT4",'nghiathanh (2016)'!$A$3,"MA_HT","TON","MA_QH","RSX")</f>
        <v>0</v>
      </c>
      <c r="M49" s="22">
        <f ca="1">+GETPIVOTDATA("XNT4",'nghiathanh (2016)'!$A$3,"MA_HT","TON","MA_QH","RPH")</f>
        <v>0</v>
      </c>
      <c r="N49" s="22">
        <f ca="1">+GETPIVOTDATA("XNT4",'nghiathanh (2016)'!$A$3,"MA_HT","TON","MA_QH","RDD")</f>
        <v>0</v>
      </c>
      <c r="O49" s="22">
        <f ca="1">+GETPIVOTDATA("XNT4",'nghiathanh (2016)'!$A$3,"MA_HT","TON","MA_QH","NTS")</f>
        <v>0</v>
      </c>
      <c r="P49" s="22">
        <f ca="1">+GETPIVOTDATA("XNT4",'nghiathanh (2016)'!$A$3,"MA_HT","TON","MA_QH","LMU")</f>
        <v>0</v>
      </c>
      <c r="Q49" s="22">
        <f ca="1">+GETPIVOTDATA("XNT4",'nghiathanh (2016)'!$A$3,"MA_HT","TON","MA_QH","NKH")</f>
        <v>0</v>
      </c>
      <c r="R49" s="79">
        <f ca="1">SUM(S49:AA49,AN49:AU49,AW49:BD49)</f>
        <v>0</v>
      </c>
      <c r="S49" s="22">
        <f ca="1">+GETPIVOTDATA("XNT4",'nghiathanh (2016)'!$A$3,"MA_HT","TON","MA_QH","CQP")</f>
        <v>0</v>
      </c>
      <c r="T49" s="22">
        <f ca="1">+GETPIVOTDATA("XNT4",'nghiathanh (2016)'!$A$3,"MA_HT","TON","MA_QH","CAN")</f>
        <v>0</v>
      </c>
      <c r="U49" s="22">
        <f ca="1">+GETPIVOTDATA("XNT4",'nghiathanh (2016)'!$A$3,"MA_HT","TON","MA_QH","SKK")</f>
        <v>0</v>
      </c>
      <c r="V49" s="22">
        <f ca="1">+GETPIVOTDATA("XNT4",'nghiathanh (2016)'!$A$3,"MA_HT","TON","MA_QH","SKT")</f>
        <v>0</v>
      </c>
      <c r="W49" s="22">
        <f ca="1">+GETPIVOTDATA("XNT4",'nghiathanh (2016)'!$A$3,"MA_HT","TON","MA_QH","SKN")</f>
        <v>0</v>
      </c>
      <c r="X49" s="22">
        <f ca="1">+GETPIVOTDATA("XNT4",'nghiathanh (2016)'!$A$3,"MA_HT","TON","MA_QH","TMD")</f>
        <v>0</v>
      </c>
      <c r="Y49" s="22">
        <f ca="1">+GETPIVOTDATA("XNT4",'nghiathanh (2016)'!$A$3,"MA_HT","TON","MA_QH","SKC")</f>
        <v>0</v>
      </c>
      <c r="Z49" s="22">
        <f ca="1">+GETPIVOTDATA("XNT4",'nghiathanh (2016)'!$A$3,"MA_HT","TON","MA_QH","SKS")</f>
        <v>0</v>
      </c>
      <c r="AA49" s="52">
        <f ca="1" t="shared" si="21"/>
        <v>0</v>
      </c>
      <c r="AB49" s="22">
        <f ca="1">+GETPIVOTDATA("XNT4",'nghiathanh (2016)'!$A$3,"MA_HT","TON","MA_QH","DGT")</f>
        <v>0</v>
      </c>
      <c r="AC49" s="22">
        <f ca="1">+GETPIVOTDATA("XNT4",'nghiathanh (2016)'!$A$3,"MA_HT","TON","MA_QH","DTL")</f>
        <v>0</v>
      </c>
      <c r="AD49" s="22">
        <f ca="1">+GETPIVOTDATA("XNT4",'nghiathanh (2016)'!$A$3,"MA_HT","TON","MA_QH","DNL")</f>
        <v>0</v>
      </c>
      <c r="AE49" s="22">
        <f ca="1">+GETPIVOTDATA("XNT4",'nghiathanh (2016)'!$A$3,"MA_HT","TON","MA_QH","DBV")</f>
        <v>0</v>
      </c>
      <c r="AF49" s="22">
        <f ca="1">+GETPIVOTDATA("XNT4",'nghiathanh (2016)'!$A$3,"MA_HT","TON","MA_QH","DVH")</f>
        <v>0</v>
      </c>
      <c r="AG49" s="22">
        <f ca="1">+GETPIVOTDATA("XNT4",'nghiathanh (2016)'!$A$3,"MA_HT","TON","MA_QH","DYT")</f>
        <v>0</v>
      </c>
      <c r="AH49" s="22">
        <f ca="1">+GETPIVOTDATA("XNT4",'nghiathanh (2016)'!$A$3,"MA_HT","TON","MA_QH","DGD")</f>
        <v>0</v>
      </c>
      <c r="AI49" s="22">
        <f ca="1">+GETPIVOTDATA("XNT4",'nghiathanh (2016)'!$A$3,"MA_HT","TON","MA_QH","DTT")</f>
        <v>0</v>
      </c>
      <c r="AJ49" s="22">
        <f ca="1">+GETPIVOTDATA("XNT4",'nghiathanh (2016)'!$A$3,"MA_HT","TON","MA_QH","NCK")</f>
        <v>0</v>
      </c>
      <c r="AK49" s="22">
        <f ca="1">+GETPIVOTDATA("XNT4",'nghiathanh (2016)'!$A$3,"MA_HT","TON","MA_QH","DXH")</f>
        <v>0</v>
      </c>
      <c r="AL49" s="22">
        <f ca="1">+GETPIVOTDATA("XNT4",'nghiathanh (2016)'!$A$3,"MA_HT","TON","MA_QH","DCH")</f>
        <v>0</v>
      </c>
      <c r="AM49" s="22">
        <f ca="1">+GETPIVOTDATA("XNT4",'nghiathanh (2016)'!$A$3,"MA_HT","TON","MA_QH","DKG")</f>
        <v>0</v>
      </c>
      <c r="AN49" s="22">
        <f ca="1">+GETPIVOTDATA("XNT4",'nghiathanh (2016)'!$A$3,"MA_HT","TON","MA_QH","DDT")</f>
        <v>0</v>
      </c>
      <c r="AO49" s="22">
        <f ca="1">+GETPIVOTDATA("XNT4",'nghiathanh (2016)'!$A$3,"MA_HT","TON","MA_QH","DDL")</f>
        <v>0</v>
      </c>
      <c r="AP49" s="22">
        <f ca="1">+GETPIVOTDATA("XNT4",'nghiathanh (2016)'!$A$3,"MA_HT","TON","MA_QH","DRA")</f>
        <v>0</v>
      </c>
      <c r="AQ49" s="22">
        <f ca="1">+GETPIVOTDATA("XNT4",'nghiathanh (2016)'!$A$3,"MA_HT","TON","MA_QH","ONT")</f>
        <v>0</v>
      </c>
      <c r="AR49" s="22">
        <f ca="1">+GETPIVOTDATA("XNT4",'nghiathanh (2016)'!$A$3,"MA_HT","TON","MA_QH","ODT")</f>
        <v>0</v>
      </c>
      <c r="AS49" s="22">
        <f ca="1">+GETPIVOTDATA("XNT4",'nghiathanh (2016)'!$A$3,"MA_HT","TON","MA_QH","TSC")</f>
        <v>0</v>
      </c>
      <c r="AT49" s="22">
        <f ca="1">+GETPIVOTDATA("XNT4",'nghiathanh (2016)'!$A$3,"MA_HT","TON","MA_QH","DTS")</f>
        <v>0</v>
      </c>
      <c r="AU49" s="22">
        <f ca="1">+GETPIVOTDATA("XNT4",'nghiathanh (2016)'!$A$3,"MA_HT","TON","MA_QH","DNG")</f>
        <v>0</v>
      </c>
      <c r="AV49" s="43" t="e">
        <f ca="1">$D49-$BF49</f>
        <v>#REF!</v>
      </c>
      <c r="AW49" s="22">
        <f ca="1">+GETPIVOTDATA("XNT4",'nghiathanh (2016)'!$A$3,"MA_HT","TON","MA_QH","NTD")</f>
        <v>0</v>
      </c>
      <c r="AX49" s="22">
        <f ca="1">+GETPIVOTDATA("XNT4",'nghiathanh (2016)'!$A$3,"MA_HT","TON","MA_QH","SKX")</f>
        <v>0</v>
      </c>
      <c r="AY49" s="22">
        <f ca="1">+GETPIVOTDATA("XNT4",'nghiathanh (2016)'!$A$3,"MA_HT","TON","MA_QH","DSH")</f>
        <v>0</v>
      </c>
      <c r="AZ49" s="22">
        <f ca="1">+GETPIVOTDATA("XNT4",'nghiathanh (2016)'!$A$3,"MA_HT","TON","MA_QH","DKV")</f>
        <v>0</v>
      </c>
      <c r="BA49" s="89">
        <f ca="1">+GETPIVOTDATA("XNT4",'nghiathanh (2016)'!$A$3,"MA_HT","TON","MA_QH","TIN")</f>
        <v>0</v>
      </c>
      <c r="BB49" s="50">
        <f ca="1">+GETPIVOTDATA("XNT4",'nghiathanh (2016)'!$A$3,"MA_HT","TON","MA_QH","SON")</f>
        <v>0</v>
      </c>
      <c r="BC49" s="50">
        <f ca="1">+GETPIVOTDATA("XNT4",'nghiathanh (2016)'!$A$3,"MA_HT","TON","MA_QH","MNC")</f>
        <v>0</v>
      </c>
      <c r="BD49" s="22">
        <f ca="1">+GETPIVOTDATA("XNT4",'nghiathanh (2016)'!$A$3,"MA_HT","TON","MA_QH","PNK")</f>
        <v>0</v>
      </c>
      <c r="BE49" s="71">
        <f ca="1">+GETPIVOTDATA("XNT4",'nghiathanh (2016)'!$A$3,"MA_HT","TON","MA_QH","CSD")</f>
        <v>0</v>
      </c>
      <c r="BF49" s="74">
        <f ca="1" t="shared" si="13"/>
        <v>0</v>
      </c>
      <c r="BG49" s="101">
        <f ca="1">AV$59-$BF49</f>
        <v>0</v>
      </c>
      <c r="BH49" s="41" t="e">
        <f ca="1" t="shared" si="14"/>
        <v>#REF!</v>
      </c>
      <c r="BI49" s="98"/>
      <c r="BJ49" s="98" t="e">
        <f>#REF!</f>
        <v>#REF!</v>
      </c>
      <c r="BK49" s="107" t="e">
        <f ca="1">BH49-BJ49</f>
        <v>#REF!</v>
      </c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</row>
    <row r="50" s="2" customFormat="1" ht="15.75" customHeight="1" spans="1:79">
      <c r="A50" s="39" t="s">
        <v>8418</v>
      </c>
      <c r="B50" s="53" t="s">
        <v>8419</v>
      </c>
      <c r="C50" s="40" t="s">
        <v>182</v>
      </c>
      <c r="D50" s="41" t="e">
        <f>+#REF!</f>
        <v>#REF!</v>
      </c>
      <c r="E50" s="42">
        <f ca="1" t="shared" si="15"/>
        <v>0</v>
      </c>
      <c r="F50" s="52">
        <f ca="1" t="shared" si="9"/>
        <v>0</v>
      </c>
      <c r="G50" s="22">
        <f ca="1">+GETPIVOTDATA("XNT4",'nghiathanh (2016)'!$A$3,"MA_HT","NTD","MA_QH","LUC")</f>
        <v>0</v>
      </c>
      <c r="H50" s="22">
        <f ca="1">+GETPIVOTDATA("XNT4",'nghiathanh (2016)'!$A$3,"MA_HT","NTD","MA_QH","LUK")</f>
        <v>0</v>
      </c>
      <c r="I50" s="22">
        <f ca="1">+GETPIVOTDATA("XNT4",'nghiathanh (2016)'!$A$3,"MA_HT","NTD","MA_QH","LUN")</f>
        <v>0</v>
      </c>
      <c r="J50" s="22">
        <f ca="1">+GETPIVOTDATA("XNT4",'nghiathanh (2016)'!$A$3,"MA_HT","NTD","MA_QH","HNK")</f>
        <v>0</v>
      </c>
      <c r="K50" s="22">
        <f ca="1">+GETPIVOTDATA("XNT4",'nghiathanh (2016)'!$A$3,"MA_HT","NTD","MA_QH","CLN")</f>
        <v>0</v>
      </c>
      <c r="L50" s="22">
        <f ca="1">+GETPIVOTDATA("XNT4",'nghiathanh (2016)'!$A$3,"MA_HT","NTD","MA_QH","RSX")</f>
        <v>0</v>
      </c>
      <c r="M50" s="22">
        <f ca="1">+GETPIVOTDATA("XNT4",'nghiathanh (2016)'!$A$3,"MA_HT","NTD","MA_QH","RPH")</f>
        <v>0</v>
      </c>
      <c r="N50" s="22">
        <f ca="1">+GETPIVOTDATA("XNT4",'nghiathanh (2016)'!$A$3,"MA_HT","NTD","MA_QH","RDD")</f>
        <v>0</v>
      </c>
      <c r="O50" s="22">
        <f ca="1">+GETPIVOTDATA("XNT4",'nghiathanh (2016)'!$A$3,"MA_HT","NTD","MA_QH","NTS")</f>
        <v>0</v>
      </c>
      <c r="P50" s="22">
        <f ca="1">+GETPIVOTDATA("XNT4",'nghiathanh (2016)'!$A$3,"MA_HT","NTD","MA_QH","LMU")</f>
        <v>0</v>
      </c>
      <c r="Q50" s="22">
        <f ca="1">+GETPIVOTDATA("XNT4",'nghiathanh (2016)'!$A$3,"MA_HT","NTD","MA_QH","NKH")</f>
        <v>0</v>
      </c>
      <c r="R50" s="79">
        <f ca="1">SUM(S50:AA50,AN50:AV50,AX50:BD50)</f>
        <v>0</v>
      </c>
      <c r="S50" s="22">
        <f ca="1">+GETPIVOTDATA("XNT4",'nghiathanh (2016)'!$A$3,"MA_HT","NTD","MA_QH","CQP")</f>
        <v>0</v>
      </c>
      <c r="T50" s="22">
        <f ca="1">+GETPIVOTDATA("XNT4",'nghiathanh (2016)'!$A$3,"MA_HT","NTD","MA_QH","CAN")</f>
        <v>0</v>
      </c>
      <c r="U50" s="22">
        <f ca="1">+GETPIVOTDATA("XNT4",'nghiathanh (2016)'!$A$3,"MA_HT","NTD","MA_QH","SKK")</f>
        <v>0</v>
      </c>
      <c r="V50" s="22">
        <f ca="1">+GETPIVOTDATA("XNT4",'nghiathanh (2016)'!$A$3,"MA_HT","NTD","MA_QH","SKT")</f>
        <v>0</v>
      </c>
      <c r="W50" s="22">
        <f ca="1">+GETPIVOTDATA("XNT4",'nghiathanh (2016)'!$A$3,"MA_HT","NTD","MA_QH","SKN")</f>
        <v>0</v>
      </c>
      <c r="X50" s="22">
        <f ca="1">+GETPIVOTDATA("XNT4",'nghiathanh (2016)'!$A$3,"MA_HT","NTD","MA_QH","TMD")</f>
        <v>0</v>
      </c>
      <c r="Y50" s="22">
        <f ca="1">+GETPIVOTDATA("XNT4",'nghiathanh (2016)'!$A$3,"MA_HT","NTD","MA_QH","SKC")</f>
        <v>0</v>
      </c>
      <c r="Z50" s="22">
        <f ca="1">+GETPIVOTDATA("XNT4",'nghiathanh (2016)'!$A$3,"MA_HT","NTD","MA_QH","SKS")</f>
        <v>0</v>
      </c>
      <c r="AA50" s="52">
        <f ca="1" t="shared" si="21"/>
        <v>0</v>
      </c>
      <c r="AB50" s="22">
        <f ca="1">+GETPIVOTDATA("XNT4",'nghiathanh (2016)'!$A$3,"MA_HT","NTD","MA_QH","DGT")</f>
        <v>0</v>
      </c>
      <c r="AC50" s="22">
        <f ca="1">+GETPIVOTDATA("XNT4",'nghiathanh (2016)'!$A$3,"MA_HT","NTD","MA_QH","DTL")</f>
        <v>0</v>
      </c>
      <c r="AD50" s="22">
        <f ca="1">+GETPIVOTDATA("XNT4",'nghiathanh (2016)'!$A$3,"MA_HT","NTD","MA_QH","DNL")</f>
        <v>0</v>
      </c>
      <c r="AE50" s="22">
        <f ca="1">+GETPIVOTDATA("XNT4",'nghiathanh (2016)'!$A$3,"MA_HT","NTD","MA_QH","DBV")</f>
        <v>0</v>
      </c>
      <c r="AF50" s="22">
        <f ca="1">+GETPIVOTDATA("XNT4",'nghiathanh (2016)'!$A$3,"MA_HT","NTD","MA_QH","DVH")</f>
        <v>0</v>
      </c>
      <c r="AG50" s="22">
        <f ca="1">+GETPIVOTDATA("XNT4",'nghiathanh (2016)'!$A$3,"MA_HT","NTD","MA_QH","DYT")</f>
        <v>0</v>
      </c>
      <c r="AH50" s="22">
        <f ca="1">+GETPIVOTDATA("XNT4",'nghiathanh (2016)'!$A$3,"MA_HT","NTD","MA_QH","DGD")</f>
        <v>0</v>
      </c>
      <c r="AI50" s="22">
        <f ca="1">+GETPIVOTDATA("XNT4",'nghiathanh (2016)'!$A$3,"MA_HT","NTD","MA_QH","DTT")</f>
        <v>0</v>
      </c>
      <c r="AJ50" s="22">
        <f ca="1">+GETPIVOTDATA("XNT4",'nghiathanh (2016)'!$A$3,"MA_HT","NTD","MA_QH","NCK")</f>
        <v>0</v>
      </c>
      <c r="AK50" s="22">
        <f ca="1">+GETPIVOTDATA("XNT4",'nghiathanh (2016)'!$A$3,"MA_HT","NTD","MA_QH","DXH")</f>
        <v>0</v>
      </c>
      <c r="AL50" s="22">
        <f ca="1">+GETPIVOTDATA("XNT4",'nghiathanh (2016)'!$A$3,"MA_HT","NTD","MA_QH","DCH")</f>
        <v>0</v>
      </c>
      <c r="AM50" s="22">
        <f ca="1">+GETPIVOTDATA("XNT4",'nghiathanh (2016)'!$A$3,"MA_HT","NTD","MA_QH","DKG")</f>
        <v>0</v>
      </c>
      <c r="AN50" s="22">
        <f ca="1">+GETPIVOTDATA("XNT4",'nghiathanh (2016)'!$A$3,"MA_HT","NTD","MA_QH","DDT")</f>
        <v>0</v>
      </c>
      <c r="AO50" s="22">
        <f ca="1">+GETPIVOTDATA("XNT4",'nghiathanh (2016)'!$A$3,"MA_HT","NTD","MA_QH","DDL")</f>
        <v>0</v>
      </c>
      <c r="AP50" s="22">
        <f ca="1">+GETPIVOTDATA("XNT4",'nghiathanh (2016)'!$A$3,"MA_HT","NTD","MA_QH","DRA")</f>
        <v>0</v>
      </c>
      <c r="AQ50" s="22">
        <f ca="1">+GETPIVOTDATA("XNT4",'nghiathanh (2016)'!$A$3,"MA_HT","NTD","MA_QH","ONT")</f>
        <v>0</v>
      </c>
      <c r="AR50" s="22">
        <f ca="1">+GETPIVOTDATA("XNT4",'nghiathanh (2016)'!$A$3,"MA_HT","NTD","MA_QH","ODT")</f>
        <v>0</v>
      </c>
      <c r="AS50" s="22">
        <f ca="1">+GETPIVOTDATA("XNT4",'nghiathanh (2016)'!$A$3,"MA_HT","NTD","MA_QH","TSC")</f>
        <v>0</v>
      </c>
      <c r="AT50" s="22">
        <f ca="1">+GETPIVOTDATA("XNT4",'nghiathanh (2016)'!$A$3,"MA_HT","NTD","MA_QH","DTS")</f>
        <v>0</v>
      </c>
      <c r="AU50" s="22">
        <f ca="1">+GETPIVOTDATA("XNT4",'nghiathanh (2016)'!$A$3,"MA_HT","NTD","MA_QH","DNG")</f>
        <v>0</v>
      </c>
      <c r="AV50" s="22">
        <f ca="1">+GETPIVOTDATA("XNT4",'nghiathanh (2016)'!$A$3,"MA_HT","NTD","MA_QH","TON")</f>
        <v>0</v>
      </c>
      <c r="AW50" s="43" t="e">
        <f ca="1">$D50-$BF50</f>
        <v>#REF!</v>
      </c>
      <c r="AX50" s="22">
        <f ca="1">+GETPIVOTDATA("XNT4",'nghiathanh (2016)'!$A$3,"MA_HT","NTD","MA_QH","SKX")</f>
        <v>0</v>
      </c>
      <c r="AY50" s="22">
        <f ca="1">+GETPIVOTDATA("XNT4",'nghiathanh (2016)'!$A$3,"MA_HT","NTD","MA_QH","DSH")</f>
        <v>0</v>
      </c>
      <c r="AZ50" s="22">
        <f ca="1">+GETPIVOTDATA("XNT4",'nghiathanh (2016)'!$A$3,"MA_HT","NTD","MA_QH","DKV")</f>
        <v>0</v>
      </c>
      <c r="BA50" s="89">
        <f ca="1">+GETPIVOTDATA("XNT4",'nghiathanh (2016)'!$A$3,"MA_HT","NTD","MA_QH","TIN")</f>
        <v>0</v>
      </c>
      <c r="BB50" s="50">
        <f ca="1">+GETPIVOTDATA("XNT4",'nghiathanh (2016)'!$A$3,"MA_HT","NTD","MA_QH","SON")</f>
        <v>0</v>
      </c>
      <c r="BC50" s="50">
        <f ca="1">+GETPIVOTDATA("XNT4",'nghiathanh (2016)'!$A$3,"MA_HT","NTD","MA_QH","MNC")</f>
        <v>0</v>
      </c>
      <c r="BD50" s="22">
        <f ca="1">+GETPIVOTDATA("XNT4",'nghiathanh (2016)'!$A$3,"MA_HT","NTD","MA_QH","PNK")</f>
        <v>0</v>
      </c>
      <c r="BE50" s="71">
        <f ca="1">+GETPIVOTDATA("XNT4",'nghiathanh (2016)'!$A$3,"MA_HT","NTD","MA_QH","CSD")</f>
        <v>0</v>
      </c>
      <c r="BF50" s="74">
        <f ca="1" t="shared" si="13"/>
        <v>0</v>
      </c>
      <c r="BG50" s="101">
        <f ca="1">AW$59-$BF50</f>
        <v>0</v>
      </c>
      <c r="BH50" s="41" t="e">
        <f ca="1" t="shared" si="14"/>
        <v>#REF!</v>
      </c>
      <c r="BI50" s="98"/>
      <c r="BJ50" s="98"/>
      <c r="BK50" s="107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</row>
    <row r="51" s="2" customFormat="1" ht="15.75" customHeight="1" spans="1:79">
      <c r="A51" s="39" t="s">
        <v>8420</v>
      </c>
      <c r="B51" s="39" t="s">
        <v>8421</v>
      </c>
      <c r="C51" s="40" t="s">
        <v>236</v>
      </c>
      <c r="D51" s="41" t="e">
        <f>+#REF!</f>
        <v>#REF!</v>
      </c>
      <c r="E51" s="42">
        <f ca="1" t="shared" si="15"/>
        <v>0</v>
      </c>
      <c r="F51" s="52">
        <f ca="1" t="shared" si="9"/>
        <v>0</v>
      </c>
      <c r="G51" s="22">
        <f ca="1">+GETPIVOTDATA("XNT4",'nghiathanh (2016)'!$A$3,"MA_HT","SKX","MA_QH","LUC")</f>
        <v>0</v>
      </c>
      <c r="H51" s="22">
        <f ca="1">+GETPIVOTDATA("XNT4",'nghiathanh (2016)'!$A$3,"MA_HT","SKX","MA_QH","LUK")</f>
        <v>0</v>
      </c>
      <c r="I51" s="22">
        <f ca="1">+GETPIVOTDATA("XNT4",'nghiathanh (2016)'!$A$3,"MA_HT","SKX","MA_QH","LUN")</f>
        <v>0</v>
      </c>
      <c r="J51" s="22">
        <f ca="1">+GETPIVOTDATA("XNT4",'nghiathanh (2016)'!$A$3,"MA_HT","SKX","MA_QH","HNK")</f>
        <v>0</v>
      </c>
      <c r="K51" s="22">
        <f ca="1">+GETPIVOTDATA("XNT4",'nghiathanh (2016)'!$A$3,"MA_HT","SKX","MA_QH","CLN")</f>
        <v>0</v>
      </c>
      <c r="L51" s="22">
        <f ca="1">+GETPIVOTDATA("XNT4",'nghiathanh (2016)'!$A$3,"MA_HT","SKX","MA_QH","RSX")</f>
        <v>0</v>
      </c>
      <c r="M51" s="22">
        <f ca="1">+GETPIVOTDATA("XNT4",'nghiathanh (2016)'!$A$3,"MA_HT","SKX","MA_QH","RPH")</f>
        <v>0</v>
      </c>
      <c r="N51" s="22">
        <f ca="1">+GETPIVOTDATA("XNT4",'nghiathanh (2016)'!$A$3,"MA_HT","SKX","MA_QH","RDD")</f>
        <v>0</v>
      </c>
      <c r="O51" s="22">
        <f ca="1">+GETPIVOTDATA("XNT4",'nghiathanh (2016)'!$A$3,"MA_HT","SKX","MA_QH","NTS")</f>
        <v>0</v>
      </c>
      <c r="P51" s="22">
        <f ca="1">+GETPIVOTDATA("XNT4",'nghiathanh (2016)'!$A$3,"MA_HT","SKX","MA_QH","LMU")</f>
        <v>0</v>
      </c>
      <c r="Q51" s="22">
        <f ca="1">+GETPIVOTDATA("XNT4",'nghiathanh (2016)'!$A$3,"MA_HT","SKX","MA_QH","NKH")</f>
        <v>0</v>
      </c>
      <c r="R51" s="79">
        <f ca="1">SUM(S51:AA51,AN51:AW51,AY51:BD51)</f>
        <v>0</v>
      </c>
      <c r="S51" s="22">
        <f ca="1">+GETPIVOTDATA("XNT4",'nghiathanh (2016)'!$A$3,"MA_HT","SKX","MA_QH","CQP")</f>
        <v>0</v>
      </c>
      <c r="T51" s="22">
        <f ca="1">+GETPIVOTDATA("XNT4",'nghiathanh (2016)'!$A$3,"MA_HT","SKX","MA_QH","CAN")</f>
        <v>0</v>
      </c>
      <c r="U51" s="22">
        <f ca="1">+GETPIVOTDATA("XNT4",'nghiathanh (2016)'!$A$3,"MA_HT","SKX","MA_QH","SKK")</f>
        <v>0</v>
      </c>
      <c r="V51" s="22">
        <f ca="1">+GETPIVOTDATA("XNT4",'nghiathanh (2016)'!$A$3,"MA_HT","SKX","MA_QH","SKT")</f>
        <v>0</v>
      </c>
      <c r="W51" s="22">
        <f ca="1">+GETPIVOTDATA("XNT4",'nghiathanh (2016)'!$A$3,"MA_HT","SKX","MA_QH","SKN")</f>
        <v>0</v>
      </c>
      <c r="X51" s="22">
        <f ca="1">+GETPIVOTDATA("XNT4",'nghiathanh (2016)'!$A$3,"MA_HT","SKX","MA_QH","TMD")</f>
        <v>0</v>
      </c>
      <c r="Y51" s="22">
        <f ca="1">+GETPIVOTDATA("XNT4",'nghiathanh (2016)'!$A$3,"MA_HT","SKX","MA_QH","SKC")</f>
        <v>0</v>
      </c>
      <c r="Z51" s="22">
        <f ca="1">+GETPIVOTDATA("XNT4",'nghiathanh (2016)'!$A$3,"MA_HT","SKX","MA_QH","SKS")</f>
        <v>0</v>
      </c>
      <c r="AA51" s="52">
        <f ca="1" t="shared" si="21"/>
        <v>0</v>
      </c>
      <c r="AB51" s="22">
        <f ca="1">+GETPIVOTDATA("XNT4",'nghiathanh (2016)'!$A$3,"MA_HT","SKX","MA_QH","DGT")</f>
        <v>0</v>
      </c>
      <c r="AC51" s="22">
        <f ca="1">+GETPIVOTDATA("XNT4",'nghiathanh (2016)'!$A$3,"MA_HT","SKX","MA_QH","DTL")</f>
        <v>0</v>
      </c>
      <c r="AD51" s="22">
        <f ca="1">+GETPIVOTDATA("XNT4",'nghiathanh (2016)'!$A$3,"MA_HT","SKX","MA_QH","DNL")</f>
        <v>0</v>
      </c>
      <c r="AE51" s="22">
        <f ca="1">+GETPIVOTDATA("XNT4",'nghiathanh (2016)'!$A$3,"MA_HT","SKX","MA_QH","DBV")</f>
        <v>0</v>
      </c>
      <c r="AF51" s="22">
        <f ca="1">+GETPIVOTDATA("XNT4",'nghiathanh (2016)'!$A$3,"MA_HT","SKX","MA_QH","DVH")</f>
        <v>0</v>
      </c>
      <c r="AG51" s="22">
        <f ca="1">+GETPIVOTDATA("XNT4",'nghiathanh (2016)'!$A$3,"MA_HT","SKX","MA_QH","DYT")</f>
        <v>0</v>
      </c>
      <c r="AH51" s="22">
        <f ca="1">+GETPIVOTDATA("XNT4",'nghiathanh (2016)'!$A$3,"MA_HT","SKX","MA_QH","DGD")</f>
        <v>0</v>
      </c>
      <c r="AI51" s="22">
        <f ca="1">+GETPIVOTDATA("XNT4",'nghiathanh (2016)'!$A$3,"MA_HT","SKX","MA_QH","DTT")</f>
        <v>0</v>
      </c>
      <c r="AJ51" s="22">
        <f ca="1">+GETPIVOTDATA("XNT4",'nghiathanh (2016)'!$A$3,"MA_HT","SKX","MA_QH","NCK")</f>
        <v>0</v>
      </c>
      <c r="AK51" s="22">
        <f ca="1">+GETPIVOTDATA("XNT4",'nghiathanh (2016)'!$A$3,"MA_HT","SKX","MA_QH","DXH")</f>
        <v>0</v>
      </c>
      <c r="AL51" s="22">
        <f ca="1">+GETPIVOTDATA("XNT4",'nghiathanh (2016)'!$A$3,"MA_HT","SKX","MA_QH","DCH")</f>
        <v>0</v>
      </c>
      <c r="AM51" s="22">
        <f ca="1">+GETPIVOTDATA("XNT4",'nghiathanh (2016)'!$A$3,"MA_HT","SKX","MA_QH","DKG")</f>
        <v>0</v>
      </c>
      <c r="AN51" s="22">
        <f ca="1">+GETPIVOTDATA("XNT4",'nghiathanh (2016)'!$A$3,"MA_HT","SKX","MA_QH","DDT")</f>
        <v>0</v>
      </c>
      <c r="AO51" s="22">
        <f ca="1">+GETPIVOTDATA("XNT4",'nghiathanh (2016)'!$A$3,"MA_HT","SKX","MA_QH","DDL")</f>
        <v>0</v>
      </c>
      <c r="AP51" s="22">
        <f ca="1">+GETPIVOTDATA("XNT4",'nghiathanh (2016)'!$A$3,"MA_HT","SKX","MA_QH","DRA")</f>
        <v>0</v>
      </c>
      <c r="AQ51" s="22">
        <f ca="1">+GETPIVOTDATA("XNT4",'nghiathanh (2016)'!$A$3,"MA_HT","SKX","MA_QH","ONT")</f>
        <v>0</v>
      </c>
      <c r="AR51" s="22">
        <f ca="1">+GETPIVOTDATA("XNT4",'nghiathanh (2016)'!$A$3,"MA_HT","SKX","MA_QH","ODT")</f>
        <v>0</v>
      </c>
      <c r="AS51" s="22">
        <f ca="1">+GETPIVOTDATA("XNT4",'nghiathanh (2016)'!$A$3,"MA_HT","SKX","MA_QH","TSC")</f>
        <v>0</v>
      </c>
      <c r="AT51" s="22">
        <f ca="1">+GETPIVOTDATA("XNT4",'nghiathanh (2016)'!$A$3,"MA_HT","SKX","MA_QH","DTS")</f>
        <v>0</v>
      </c>
      <c r="AU51" s="22">
        <f ca="1">+GETPIVOTDATA("XNT4",'nghiathanh (2016)'!$A$3,"MA_HT","SKX","MA_QH","DNG")</f>
        <v>0</v>
      </c>
      <c r="AV51" s="22">
        <f ca="1">+GETPIVOTDATA("XNT4",'nghiathanh (2016)'!$A$3,"MA_HT","SKX","MA_QH","TON")</f>
        <v>0</v>
      </c>
      <c r="AW51" s="22">
        <f ca="1">+GETPIVOTDATA("XNT4",'nghiathanh (2016)'!$A$3,"MA_HT","SKX","MA_QH","NTD")</f>
        <v>0</v>
      </c>
      <c r="AX51" s="43" t="e">
        <f ca="1">$D51-$BF51</f>
        <v>#REF!</v>
      </c>
      <c r="AY51" s="22">
        <f ca="1">+GETPIVOTDATA("XNT4",'nghiathanh (2016)'!$A$3,"MA_HT","SKX","MA_QH","DSH")</f>
        <v>0</v>
      </c>
      <c r="AZ51" s="22">
        <f ca="1">+GETPIVOTDATA("XNT4",'nghiathanh (2016)'!$A$3,"MA_HT","SKX","MA_QH","DKV")</f>
        <v>0</v>
      </c>
      <c r="BA51" s="89">
        <f ca="1">+GETPIVOTDATA("XNT4",'nghiathanh (2016)'!$A$3,"MA_HT","SKX","MA_QH","TIN")</f>
        <v>0</v>
      </c>
      <c r="BB51" s="50">
        <f ca="1">+GETPIVOTDATA("XNT4",'nghiathanh (2016)'!$A$3,"MA_HT","SKX","MA_QH","SON")</f>
        <v>0</v>
      </c>
      <c r="BC51" s="50">
        <f ca="1">+GETPIVOTDATA("XNT4",'nghiathanh (2016)'!$A$3,"MA_HT","SKX","MA_QH","MNC")</f>
        <v>0</v>
      </c>
      <c r="BD51" s="22">
        <f ca="1">+GETPIVOTDATA("XNT4",'nghiathanh (2016)'!$A$3,"MA_HT","SKX","MA_QH","PNK")</f>
        <v>0</v>
      </c>
      <c r="BE51" s="71">
        <f ca="1">+GETPIVOTDATA("XNT4",'nghiathanh (2016)'!$A$3,"MA_HT","SKX","MA_QH","CSD")</f>
        <v>0</v>
      </c>
      <c r="BF51" s="74">
        <f ca="1" t="shared" si="13"/>
        <v>0</v>
      </c>
      <c r="BG51" s="101">
        <f ca="1">AX$59-$BF51</f>
        <v>0</v>
      </c>
      <c r="BH51" s="41" t="e">
        <f ca="1" t="shared" si="14"/>
        <v>#REF!</v>
      </c>
      <c r="BI51" s="98"/>
      <c r="BJ51" s="98" t="e">
        <f>#REF!</f>
        <v>#REF!</v>
      </c>
      <c r="BK51" s="107" t="e">
        <f ca="1">BH51-BJ51</f>
        <v>#REF!</v>
      </c>
      <c r="BL51" s="98"/>
      <c r="BM51" s="122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</row>
    <row r="52" s="2" customFormat="1" ht="15.75" customHeight="1" spans="1:79">
      <c r="A52" s="39" t="s">
        <v>8422</v>
      </c>
      <c r="B52" s="39" t="s">
        <v>8423</v>
      </c>
      <c r="C52" s="40" t="s">
        <v>8292</v>
      </c>
      <c r="D52" s="41" t="e">
        <f>+#REF!</f>
        <v>#REF!</v>
      </c>
      <c r="E52" s="42">
        <f ca="1" t="shared" si="15"/>
        <v>0</v>
      </c>
      <c r="F52" s="52">
        <f ca="1" t="shared" si="9"/>
        <v>0</v>
      </c>
      <c r="G52" s="22">
        <f ca="1">+GETPIVOTDATA("XNT4",'nghiathanh (2016)'!$A$3,"MA_HT","DSH","MA_QH","LUC")</f>
        <v>0</v>
      </c>
      <c r="H52" s="22">
        <f ca="1">+GETPIVOTDATA("XNT4",'nghiathanh (2016)'!$A$3,"MA_HT","DSH","MA_QH","LUK")</f>
        <v>0</v>
      </c>
      <c r="I52" s="22">
        <f ca="1">+GETPIVOTDATA("XNT4",'nghiathanh (2016)'!$A$3,"MA_HT","DSH","MA_QH","LUN")</f>
        <v>0</v>
      </c>
      <c r="J52" s="22">
        <f ca="1">+GETPIVOTDATA("XNT4",'nghiathanh (2016)'!$A$3,"MA_HT","DSH","MA_QH","HNK")</f>
        <v>0</v>
      </c>
      <c r="K52" s="22">
        <f ca="1">+GETPIVOTDATA("XNT4",'nghiathanh (2016)'!$A$3,"MA_HT","DSH","MA_QH","CLN")</f>
        <v>0</v>
      </c>
      <c r="L52" s="22">
        <f ca="1">+GETPIVOTDATA("XNT4",'nghiathanh (2016)'!$A$3,"MA_HT","DSH","MA_QH","RSX")</f>
        <v>0</v>
      </c>
      <c r="M52" s="22">
        <f ca="1">+GETPIVOTDATA("XNT4",'nghiathanh (2016)'!$A$3,"MA_HT","DSH","MA_QH","RPH")</f>
        <v>0</v>
      </c>
      <c r="N52" s="22">
        <f ca="1">+GETPIVOTDATA("XNT4",'nghiathanh (2016)'!$A$3,"MA_HT","DSH","MA_QH","RDD")</f>
        <v>0</v>
      </c>
      <c r="O52" s="22">
        <f ca="1">+GETPIVOTDATA("XNT4",'nghiathanh (2016)'!$A$3,"MA_HT","DSH","MA_QH","NTS")</f>
        <v>0</v>
      </c>
      <c r="P52" s="22">
        <f ca="1">+GETPIVOTDATA("XNT4",'nghiathanh (2016)'!$A$3,"MA_HT","DSH","MA_QH","LMU")</f>
        <v>0</v>
      </c>
      <c r="Q52" s="22">
        <f ca="1">+GETPIVOTDATA("XNT4",'nghiathanh (2016)'!$A$3,"MA_HT","DSH","MA_QH","NKH")</f>
        <v>0</v>
      </c>
      <c r="R52" s="79">
        <f ca="1">SUM(S52:AA52,AN52:AX52,AZ52:BD52)</f>
        <v>0</v>
      </c>
      <c r="S52" s="22">
        <f ca="1">+GETPIVOTDATA("XNT4",'nghiathanh (2016)'!$A$3,"MA_HT","DSH","MA_QH","CQP")</f>
        <v>0</v>
      </c>
      <c r="T52" s="22">
        <f ca="1">+GETPIVOTDATA("XNT4",'nghiathanh (2016)'!$A$3,"MA_HT","DSH","MA_QH","CAN")</f>
        <v>0</v>
      </c>
      <c r="U52" s="22">
        <f ca="1">+GETPIVOTDATA("XNT4",'nghiathanh (2016)'!$A$3,"MA_HT","DSH","MA_QH","SKK")</f>
        <v>0</v>
      </c>
      <c r="V52" s="22">
        <f ca="1">+GETPIVOTDATA("XNT4",'nghiathanh (2016)'!$A$3,"MA_HT","DSH","MA_QH","SKT")</f>
        <v>0</v>
      </c>
      <c r="W52" s="22">
        <f ca="1">+GETPIVOTDATA("XNT4",'nghiathanh (2016)'!$A$3,"MA_HT","DSH","MA_QH","SKN")</f>
        <v>0</v>
      </c>
      <c r="X52" s="22">
        <f ca="1">+GETPIVOTDATA("XNT4",'nghiathanh (2016)'!$A$3,"MA_HT","DSH","MA_QH","TMD")</f>
        <v>0</v>
      </c>
      <c r="Y52" s="22">
        <f ca="1">+GETPIVOTDATA("XNT4",'nghiathanh (2016)'!$A$3,"MA_HT","DSH","MA_QH","SKC")</f>
        <v>0</v>
      </c>
      <c r="Z52" s="22">
        <f ca="1">+GETPIVOTDATA("XNT4",'nghiathanh (2016)'!$A$3,"MA_HT","DSH","MA_QH","SKS")</f>
        <v>0</v>
      </c>
      <c r="AA52" s="52">
        <f ca="1" t="shared" si="21"/>
        <v>0</v>
      </c>
      <c r="AB52" s="22">
        <f ca="1">+GETPIVOTDATA("XNT4",'nghiathanh (2016)'!$A$3,"MA_HT","DSH","MA_QH","DGT")</f>
        <v>0</v>
      </c>
      <c r="AC52" s="22">
        <f ca="1">+GETPIVOTDATA("XNT4",'nghiathanh (2016)'!$A$3,"MA_HT","DSH","MA_QH","DTL")</f>
        <v>0</v>
      </c>
      <c r="AD52" s="22">
        <f ca="1">+GETPIVOTDATA("XNT4",'nghiathanh (2016)'!$A$3,"MA_HT","DSH","MA_QH","DNL")</f>
        <v>0</v>
      </c>
      <c r="AE52" s="22">
        <f ca="1">+GETPIVOTDATA("XNT4",'nghiathanh (2016)'!$A$3,"MA_HT","DSH","MA_QH","DBV")</f>
        <v>0</v>
      </c>
      <c r="AF52" s="22">
        <f ca="1">+GETPIVOTDATA("XNT4",'nghiathanh (2016)'!$A$3,"MA_HT","DSH","MA_QH","DVH")</f>
        <v>0</v>
      </c>
      <c r="AG52" s="22">
        <f ca="1">+GETPIVOTDATA("XNT4",'nghiathanh (2016)'!$A$3,"MA_HT","DSH","MA_QH","DYT")</f>
        <v>0</v>
      </c>
      <c r="AH52" s="22">
        <f ca="1">+GETPIVOTDATA("XNT4",'nghiathanh (2016)'!$A$3,"MA_HT","DSH","MA_QH","DGD")</f>
        <v>0</v>
      </c>
      <c r="AI52" s="22">
        <f ca="1">+GETPIVOTDATA("XNT4",'nghiathanh (2016)'!$A$3,"MA_HT","DSH","MA_QH","DTT")</f>
        <v>0</v>
      </c>
      <c r="AJ52" s="22">
        <f ca="1">+GETPIVOTDATA("XNT4",'nghiathanh (2016)'!$A$3,"MA_HT","DSH","MA_QH","NCK")</f>
        <v>0</v>
      </c>
      <c r="AK52" s="22">
        <f ca="1">+GETPIVOTDATA("XNT4",'nghiathanh (2016)'!$A$3,"MA_HT","DSH","MA_QH","DXH")</f>
        <v>0</v>
      </c>
      <c r="AL52" s="22">
        <f ca="1">+GETPIVOTDATA("XNT4",'nghiathanh (2016)'!$A$3,"MA_HT","DSH","MA_QH","DCH")</f>
        <v>0</v>
      </c>
      <c r="AM52" s="22">
        <f ca="1">+GETPIVOTDATA("XNT4",'nghiathanh (2016)'!$A$3,"MA_HT","DSH","MA_QH","DKG")</f>
        <v>0</v>
      </c>
      <c r="AN52" s="22">
        <f ca="1">+GETPIVOTDATA("XNT4",'nghiathanh (2016)'!$A$3,"MA_HT","DSH","MA_QH","DDT")</f>
        <v>0</v>
      </c>
      <c r="AO52" s="22">
        <f ca="1">+GETPIVOTDATA("XNT4",'nghiathanh (2016)'!$A$3,"MA_HT","DSH","MA_QH","DDL")</f>
        <v>0</v>
      </c>
      <c r="AP52" s="22">
        <f ca="1">+GETPIVOTDATA("XNT4",'nghiathanh (2016)'!$A$3,"MA_HT","DSH","MA_QH","DRA")</f>
        <v>0</v>
      </c>
      <c r="AQ52" s="22">
        <f ca="1">+GETPIVOTDATA("XNT4",'nghiathanh (2016)'!$A$3,"MA_HT","DSH","MA_QH","ONT")</f>
        <v>0</v>
      </c>
      <c r="AR52" s="22">
        <f ca="1">+GETPIVOTDATA("XNT4",'nghiathanh (2016)'!$A$3,"MA_HT","DSH","MA_QH","ODT")</f>
        <v>0</v>
      </c>
      <c r="AS52" s="22">
        <f ca="1">+GETPIVOTDATA("XNT4",'nghiathanh (2016)'!$A$3,"MA_HT","DSH","MA_QH","TSC")</f>
        <v>0</v>
      </c>
      <c r="AT52" s="22">
        <f ca="1">+GETPIVOTDATA("XNT4",'nghiathanh (2016)'!$A$3,"MA_HT","DSH","MA_QH","DTS")</f>
        <v>0</v>
      </c>
      <c r="AU52" s="22">
        <f ca="1">+GETPIVOTDATA("XNT4",'nghiathanh (2016)'!$A$3,"MA_HT","DSH","MA_QH","DNG")</f>
        <v>0</v>
      </c>
      <c r="AV52" s="22">
        <f ca="1">+GETPIVOTDATA("XNT4",'nghiathanh (2016)'!$A$3,"MA_HT","DSH","MA_QH","TON")</f>
        <v>0</v>
      </c>
      <c r="AW52" s="22">
        <f ca="1">+GETPIVOTDATA("XNT4",'nghiathanh (2016)'!$A$3,"MA_HT","DSH","MA_QH","NTD")</f>
        <v>0</v>
      </c>
      <c r="AX52" s="22">
        <f ca="1">+GETPIVOTDATA("XNT4",'nghiathanh (2016)'!$A$3,"MA_HT","DSH","MA_QH","SKX")</f>
        <v>0</v>
      </c>
      <c r="AY52" s="43" t="e">
        <f ca="1">$D52-$BF52</f>
        <v>#REF!</v>
      </c>
      <c r="AZ52" s="22">
        <f ca="1">+GETPIVOTDATA("XNT4",'nghiathanh (2016)'!$A$3,"MA_HT","DSH","MA_QH","DKV")</f>
        <v>0</v>
      </c>
      <c r="BA52" s="89">
        <f ca="1">+GETPIVOTDATA("XNT4",'nghiathanh (2016)'!$A$3,"MA_HT","DSH","MA_QH","TIN")</f>
        <v>0</v>
      </c>
      <c r="BB52" s="50">
        <f ca="1">+GETPIVOTDATA("XNT4",'nghiathanh (2016)'!$A$3,"MA_HT","DSH","MA_QH","SON")</f>
        <v>0</v>
      </c>
      <c r="BC52" s="50">
        <f ca="1">+GETPIVOTDATA("XNT4",'nghiathanh (2016)'!$A$3,"MA_HT","DSH","MA_QH","MNC")</f>
        <v>0</v>
      </c>
      <c r="BD52" s="22">
        <f ca="1">+GETPIVOTDATA("XNT4",'nghiathanh (2016)'!$A$3,"MA_HT","DSH","MA_QH","PNK")</f>
        <v>0</v>
      </c>
      <c r="BE52" s="71">
        <f ca="1">+GETPIVOTDATA("XNT4",'nghiathanh (2016)'!$A$3,"MA_HT","DSH","MA_QH","CSD")</f>
        <v>0</v>
      </c>
      <c r="BF52" s="74">
        <f ca="1" t="shared" si="13"/>
        <v>0</v>
      </c>
      <c r="BG52" s="101">
        <f ca="1">AY$59-$BF52</f>
        <v>0</v>
      </c>
      <c r="BH52" s="41" t="e">
        <f ca="1" t="shared" si="14"/>
        <v>#REF!</v>
      </c>
      <c r="BI52" s="98"/>
      <c r="BJ52" s="98" t="e">
        <f>#REF!</f>
        <v>#REF!</v>
      </c>
      <c r="BK52" s="107" t="e">
        <f ca="1">BH52-BJ52</f>
        <v>#REF!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</row>
    <row r="53" s="2" customFormat="1" ht="15.75" customHeight="1" spans="1:79">
      <c r="A53" s="39" t="s">
        <v>8424</v>
      </c>
      <c r="B53" s="39" t="s">
        <v>8425</v>
      </c>
      <c r="C53" s="40" t="s">
        <v>8289</v>
      </c>
      <c r="D53" s="41" t="e">
        <f>+#REF!</f>
        <v>#REF!</v>
      </c>
      <c r="E53" s="42">
        <f ca="1" t="shared" si="15"/>
        <v>0</v>
      </c>
      <c r="F53" s="52">
        <f ca="1" t="shared" si="9"/>
        <v>0</v>
      </c>
      <c r="G53" s="22">
        <f ca="1">+GETPIVOTDATA("XNT4",'nghiathanh (2016)'!$A$3,"MA_HT","DKV","MA_QH","LUC")</f>
        <v>0</v>
      </c>
      <c r="H53" s="22">
        <f ca="1">+GETPIVOTDATA("XNT4",'nghiathanh (2016)'!$A$3,"MA_HT","DKV","MA_QH","LUK")</f>
        <v>0</v>
      </c>
      <c r="I53" s="22">
        <f ca="1">+GETPIVOTDATA("XNT4",'nghiathanh (2016)'!$A$3,"MA_HT","DKV","MA_QH","LUN")</f>
        <v>0</v>
      </c>
      <c r="J53" s="22">
        <f ca="1">+GETPIVOTDATA("XNT4",'nghiathanh (2016)'!$A$3,"MA_HT","DKV","MA_QH","HNK")</f>
        <v>0</v>
      </c>
      <c r="K53" s="22">
        <f ca="1">+GETPIVOTDATA("XNT4",'nghiathanh (2016)'!$A$3,"MA_HT","DKV","MA_QH","CLN")</f>
        <v>0</v>
      </c>
      <c r="L53" s="22">
        <f ca="1">+GETPIVOTDATA("XNT4",'nghiathanh (2016)'!$A$3,"MA_HT","DKV","MA_QH","RSX")</f>
        <v>0</v>
      </c>
      <c r="M53" s="22">
        <f ca="1">+GETPIVOTDATA("XNT4",'nghiathanh (2016)'!$A$3,"MA_HT","DKV","MA_QH","RPH")</f>
        <v>0</v>
      </c>
      <c r="N53" s="22">
        <f ca="1">+GETPIVOTDATA("XNT4",'nghiathanh (2016)'!$A$3,"MA_HT","DKV","MA_QH","RDD")</f>
        <v>0</v>
      </c>
      <c r="O53" s="22">
        <f ca="1">+GETPIVOTDATA("XNT4",'nghiathanh (2016)'!$A$3,"MA_HT","DKV","MA_QH","NTS")</f>
        <v>0</v>
      </c>
      <c r="P53" s="22">
        <f ca="1">+GETPIVOTDATA("XNT4",'nghiathanh (2016)'!$A$3,"MA_HT","DKV","MA_QH","LMU")</f>
        <v>0</v>
      </c>
      <c r="Q53" s="22">
        <f ca="1">+GETPIVOTDATA("XNT4",'nghiathanh (2016)'!$A$3,"MA_HT","DKV","MA_QH","NKH")</f>
        <v>0</v>
      </c>
      <c r="R53" s="79">
        <f ca="1">SUM(S53:AA53,AN53:AY53,BB53:BD53)</f>
        <v>0</v>
      </c>
      <c r="S53" s="22">
        <f ca="1">+GETPIVOTDATA("XNT4",'nghiathanh (2016)'!$A$3,"MA_HT","DKV","MA_QH","CQP")</f>
        <v>0</v>
      </c>
      <c r="T53" s="22">
        <f ca="1">+GETPIVOTDATA("XNT4",'nghiathanh (2016)'!$A$3,"MA_HT","DKV","MA_QH","CAN")</f>
        <v>0</v>
      </c>
      <c r="U53" s="22">
        <f ca="1">+GETPIVOTDATA("XNT4",'nghiathanh (2016)'!$A$3,"MA_HT","DKV","MA_QH","SKK")</f>
        <v>0</v>
      </c>
      <c r="V53" s="22">
        <f ca="1">+GETPIVOTDATA("XNT4",'nghiathanh (2016)'!$A$3,"MA_HT","DKV","MA_QH","SKT")</f>
        <v>0</v>
      </c>
      <c r="W53" s="22">
        <f ca="1">+GETPIVOTDATA("XNT4",'nghiathanh (2016)'!$A$3,"MA_HT","DKV","MA_QH","SKN")</f>
        <v>0</v>
      </c>
      <c r="X53" s="22">
        <f ca="1">+GETPIVOTDATA("XNT4",'nghiathanh (2016)'!$A$3,"MA_HT","DKV","MA_QH","TMD")</f>
        <v>0</v>
      </c>
      <c r="Y53" s="22">
        <f ca="1">+GETPIVOTDATA("XNT4",'nghiathanh (2016)'!$A$3,"MA_HT","DKV","MA_QH","SKC")</f>
        <v>0</v>
      </c>
      <c r="Z53" s="22">
        <f ca="1">+GETPIVOTDATA("XNT4",'nghiathanh (2016)'!$A$3,"MA_HT","DKV","MA_QH","SKS")</f>
        <v>0</v>
      </c>
      <c r="AA53" s="52">
        <f ca="1" t="shared" si="21"/>
        <v>0</v>
      </c>
      <c r="AB53" s="22">
        <f ca="1">+GETPIVOTDATA("XNT4",'nghiathanh (2016)'!$A$3,"MA_HT","DKV","MA_QH","DGT")</f>
        <v>0</v>
      </c>
      <c r="AC53" s="22">
        <f ca="1">+GETPIVOTDATA("XNT4",'nghiathanh (2016)'!$A$3,"MA_HT","DKV","MA_QH","DTL")</f>
        <v>0</v>
      </c>
      <c r="AD53" s="22">
        <f ca="1">+GETPIVOTDATA("XNT4",'nghiathanh (2016)'!$A$3,"MA_HT","DKV","MA_QH","DNL")</f>
        <v>0</v>
      </c>
      <c r="AE53" s="22">
        <f ca="1">+GETPIVOTDATA("XNT4",'nghiathanh (2016)'!$A$3,"MA_HT","DKV","MA_QH","DBV")</f>
        <v>0</v>
      </c>
      <c r="AF53" s="22">
        <f ca="1">+GETPIVOTDATA("XNT4",'nghiathanh (2016)'!$A$3,"MA_HT","DKV","MA_QH","DVH")</f>
        <v>0</v>
      </c>
      <c r="AG53" s="22">
        <f ca="1">+GETPIVOTDATA("XNT4",'nghiathanh (2016)'!$A$3,"MA_HT","DKV","MA_QH","DYT")</f>
        <v>0</v>
      </c>
      <c r="AH53" s="22">
        <f ca="1">+GETPIVOTDATA("XNT4",'nghiathanh (2016)'!$A$3,"MA_HT","DKV","MA_QH","DGD")</f>
        <v>0</v>
      </c>
      <c r="AI53" s="22">
        <f ca="1">+GETPIVOTDATA("XNT4",'nghiathanh (2016)'!$A$3,"MA_HT","DKV","MA_QH","DTT")</f>
        <v>0</v>
      </c>
      <c r="AJ53" s="22">
        <f ca="1">+GETPIVOTDATA("XNT4",'nghiathanh (2016)'!$A$3,"MA_HT","DKV","MA_QH","NCK")</f>
        <v>0</v>
      </c>
      <c r="AK53" s="22">
        <f ca="1">+GETPIVOTDATA("XNT4",'nghiathanh (2016)'!$A$3,"MA_HT","DKV","MA_QH","DXH")</f>
        <v>0</v>
      </c>
      <c r="AL53" s="22">
        <f ca="1">+GETPIVOTDATA("XNT4",'nghiathanh (2016)'!$A$3,"MA_HT","DKV","MA_QH","DCH")</f>
        <v>0</v>
      </c>
      <c r="AM53" s="22">
        <f ca="1">+GETPIVOTDATA("XNT4",'nghiathanh (2016)'!$A$3,"MA_HT","DKV","MA_QH","DKG")</f>
        <v>0</v>
      </c>
      <c r="AN53" s="22">
        <f ca="1">+GETPIVOTDATA("XNT4",'nghiathanh (2016)'!$A$3,"MA_HT","DKV","MA_QH","DDT")</f>
        <v>0</v>
      </c>
      <c r="AO53" s="22">
        <f ca="1">+GETPIVOTDATA("XNT4",'nghiathanh (2016)'!$A$3,"MA_HT","DKV","MA_QH","DDL")</f>
        <v>0</v>
      </c>
      <c r="AP53" s="22">
        <f ca="1">+GETPIVOTDATA("XNT4",'nghiathanh (2016)'!$A$3,"MA_HT","DKV","MA_QH","DRA")</f>
        <v>0</v>
      </c>
      <c r="AQ53" s="22">
        <f ca="1">+GETPIVOTDATA("XNT4",'nghiathanh (2016)'!$A$3,"MA_HT","DKV","MA_QH","ONT")</f>
        <v>0</v>
      </c>
      <c r="AR53" s="22">
        <f ca="1">+GETPIVOTDATA("XNT4",'nghiathanh (2016)'!$A$3,"MA_HT","DKV","MA_QH","ODT")</f>
        <v>0</v>
      </c>
      <c r="AS53" s="22">
        <f ca="1">+GETPIVOTDATA("XNT4",'nghiathanh (2016)'!$A$3,"MA_HT","DKV","MA_QH","TSC")</f>
        <v>0</v>
      </c>
      <c r="AT53" s="22">
        <f ca="1">+GETPIVOTDATA("XNT4",'nghiathanh (2016)'!$A$3,"MA_HT","DKV","MA_QH","DTS")</f>
        <v>0</v>
      </c>
      <c r="AU53" s="22">
        <f ca="1">+GETPIVOTDATA("XNT4",'nghiathanh (2016)'!$A$3,"MA_HT","DKV","MA_QH","DNG")</f>
        <v>0</v>
      </c>
      <c r="AV53" s="22">
        <f ca="1">+GETPIVOTDATA("XNT4",'nghiathanh (2016)'!$A$3,"MA_HT","DKV","MA_QH","TON")</f>
        <v>0</v>
      </c>
      <c r="AW53" s="22">
        <f ca="1">+GETPIVOTDATA("XNT4",'nghiathanh (2016)'!$A$3,"MA_HT","DKV","MA_QH","NTD")</f>
        <v>0</v>
      </c>
      <c r="AX53" s="22">
        <f ca="1">+GETPIVOTDATA("XNT4",'nghiathanh (2016)'!$A$3,"MA_HT","DKV","MA_QH","SKX")</f>
        <v>0</v>
      </c>
      <c r="AY53" s="22">
        <f ca="1">+GETPIVOTDATA("XNT4",'nghiathanh (2016)'!$A$3,"MA_HT","DKV","MA_QH","DSH")</f>
        <v>0</v>
      </c>
      <c r="AZ53" s="43" t="e">
        <f ca="1">$D53-$BF53</f>
        <v>#REF!</v>
      </c>
      <c r="BA53" s="89">
        <f ca="1">+GETPIVOTDATA("XNT4",'nghiathanh (2016)'!$A$3,"MA_HT","DKV","MA_QH","TIN")</f>
        <v>0</v>
      </c>
      <c r="BB53" s="50">
        <f ca="1">+GETPIVOTDATA("XNT4",'nghiathanh (2016)'!$A$3,"MA_HT","DKV","MA_QH","SON")</f>
        <v>0</v>
      </c>
      <c r="BC53" s="50">
        <f ca="1">+GETPIVOTDATA("XNT4",'nghiathanh (2016)'!$A$3,"MA_HT","DKV","MA_QH","MNC")</f>
        <v>0</v>
      </c>
      <c r="BD53" s="22">
        <f ca="1">+GETPIVOTDATA("XNT4",'nghiathanh (2016)'!$A$3,"MA_HT","DKV","MA_QH","PNK")</f>
        <v>0</v>
      </c>
      <c r="BE53" s="71">
        <f ca="1">+GETPIVOTDATA("XNT4",'nghiathanh (2016)'!$A$3,"MA_HT","DKV","MA_QH","CSD")</f>
        <v>0</v>
      </c>
      <c r="BF53" s="74">
        <f ca="1" t="shared" si="13"/>
        <v>0</v>
      </c>
      <c r="BG53" s="101">
        <f ca="1">AZ$59-$BF53</f>
        <v>0</v>
      </c>
      <c r="BH53" s="41" t="e">
        <f ca="1" t="shared" si="14"/>
        <v>#REF!</v>
      </c>
      <c r="BI53" s="98"/>
      <c r="BJ53" s="98" t="e">
        <f>#REF!</f>
        <v>#REF!</v>
      </c>
      <c r="BK53" s="107" t="e">
        <f ca="1">BH53-BJ53</f>
        <v>#REF!</v>
      </c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</row>
    <row r="54" s="2" customFormat="1" ht="15.75" customHeight="1" spans="1:75">
      <c r="A54" s="39" t="s">
        <v>8426</v>
      </c>
      <c r="B54" s="39" t="s">
        <v>8427</v>
      </c>
      <c r="C54" s="40" t="s">
        <v>8310</v>
      </c>
      <c r="D54" s="41" t="e">
        <f>+#REF!</f>
        <v>#REF!</v>
      </c>
      <c r="E54" s="33">
        <f ca="1" t="shared" si="15"/>
        <v>0</v>
      </c>
      <c r="F54" s="52">
        <f ca="1">SUM(F29:F39)</f>
        <v>0</v>
      </c>
      <c r="G54" s="22">
        <f ca="1">+GETPIVOTDATA("XNT4",'nghiathanh (2016)'!$A$3,"MA_HT","TIN","MA_QH","LUC")</f>
        <v>0</v>
      </c>
      <c r="H54" s="22">
        <f ca="1">+GETPIVOTDATA("XNT4",'nghiathanh (2016)'!$A$3,"MA_HT","TIN","MA_QH","LUK")</f>
        <v>0</v>
      </c>
      <c r="I54" s="22">
        <f ca="1">+GETPIVOTDATA("XNT4",'nghiathanh (2016)'!$A$3,"MA_HT","TIN","MA_QH","LUN")</f>
        <v>0</v>
      </c>
      <c r="J54" s="22">
        <f ca="1">+GETPIVOTDATA("XNT4",'nghiathanh (2016)'!$A$3,"MA_HT","TIN","MA_QH","HNK")</f>
        <v>0</v>
      </c>
      <c r="K54" s="22">
        <f ca="1">+GETPIVOTDATA("XNT4",'nghiathanh (2016)'!$A$3,"MA_HT","TIN","MA_QH","CLN")</f>
        <v>0</v>
      </c>
      <c r="L54" s="22">
        <f ca="1">+GETPIVOTDATA("XNT4",'nghiathanh (2016)'!$A$3,"MA_HT","TIN","MA_QH","RSX")</f>
        <v>0</v>
      </c>
      <c r="M54" s="22">
        <f ca="1">+GETPIVOTDATA("XNT4",'nghiathanh (2016)'!$A$3,"MA_HT","TIN","MA_QH","RPH")</f>
        <v>0</v>
      </c>
      <c r="N54" s="22">
        <f ca="1">+GETPIVOTDATA("XNT4",'nghiathanh (2016)'!$A$3,"MA_HT","TIN","MA_QH","RDD")</f>
        <v>0</v>
      </c>
      <c r="O54" s="22">
        <f ca="1">+GETPIVOTDATA("XNT4",'nghiathanh (2016)'!$A$3,"MA_HT","TIN","MA_QH","NTS")</f>
        <v>0</v>
      </c>
      <c r="P54" s="22">
        <f ca="1">+GETPIVOTDATA("XNT4",'nghiathanh (2016)'!$A$3,"MA_HT","TIN","MA_QH","LMU")</f>
        <v>0</v>
      </c>
      <c r="Q54" s="22">
        <f ca="1">+GETPIVOTDATA("XNT4",'nghiathanh (2016)'!$A$3,"MA_HT","TIN","MA_QH","NKH")</f>
        <v>0</v>
      </c>
      <c r="R54" s="79">
        <f ca="1">SUM(S54:AA54,AN54:AZ54,BB54:BD54)</f>
        <v>0</v>
      </c>
      <c r="S54" s="22">
        <f ca="1">+GETPIVOTDATA("XNT4",'nghiathanh (2016)'!$A$3,"MA_HT","TIN","MA_QH","CQP")</f>
        <v>0</v>
      </c>
      <c r="T54" s="22">
        <f ca="1">+GETPIVOTDATA("XNT4",'nghiathanh (2016)'!$A$3,"MA_HT","TIN","MA_QH","CAN")</f>
        <v>0</v>
      </c>
      <c r="U54" s="22">
        <f ca="1">+GETPIVOTDATA("XNT4",'nghiathanh (2016)'!$A$3,"MA_HT","TIN","MA_QH","SKK")</f>
        <v>0</v>
      </c>
      <c r="V54" s="22">
        <f ca="1">+GETPIVOTDATA("XNT4",'nghiathanh (2016)'!$A$3,"MA_HT","TIN","MA_QH","SKT")</f>
        <v>0</v>
      </c>
      <c r="W54" s="22">
        <f ca="1">+GETPIVOTDATA("XNT4",'nghiathanh (2016)'!$A$3,"MA_HT","TIN","MA_QH","SKN")</f>
        <v>0</v>
      </c>
      <c r="X54" s="22">
        <f ca="1">+GETPIVOTDATA("XNT4",'nghiathanh (2016)'!$A$3,"MA_HT","TIN","MA_QH","TMD")</f>
        <v>0</v>
      </c>
      <c r="Y54" s="22">
        <f ca="1">+GETPIVOTDATA("XNT4",'nghiathanh (2016)'!$A$3,"MA_HT","TIN","MA_QH","SKC")</f>
        <v>0</v>
      </c>
      <c r="Z54" s="22">
        <f ca="1">+GETPIVOTDATA("XNT4",'nghiathanh (2016)'!$A$3,"MA_HT","TIN","MA_QH","SKS")</f>
        <v>0</v>
      </c>
      <c r="AA54" s="52">
        <f ca="1" t="shared" si="21"/>
        <v>0</v>
      </c>
      <c r="AB54" s="22">
        <f ca="1">+GETPIVOTDATA("XNT4",'nghiathanh (2016)'!$A$3,"MA_HT","TIN","MA_QH","DGT")</f>
        <v>0</v>
      </c>
      <c r="AC54" s="22">
        <f ca="1">+GETPIVOTDATA("XNT4",'nghiathanh (2016)'!$A$3,"MA_HT","TIN","MA_QH","DTL")</f>
        <v>0</v>
      </c>
      <c r="AD54" s="22">
        <f ca="1">+GETPIVOTDATA("XNT4",'nghiathanh (2016)'!$A$3,"MA_HT","TIN","MA_QH","DNL")</f>
        <v>0</v>
      </c>
      <c r="AE54" s="22">
        <f ca="1">+GETPIVOTDATA("XNT4",'nghiathanh (2016)'!$A$3,"MA_HT","TIN","MA_QH","DBV")</f>
        <v>0</v>
      </c>
      <c r="AF54" s="22">
        <f ca="1">+GETPIVOTDATA("XNT4",'nghiathanh (2016)'!$A$3,"MA_HT","TIN","MA_QH","DVH")</f>
        <v>0</v>
      </c>
      <c r="AG54" s="22">
        <f ca="1">+GETPIVOTDATA("XNT4",'nghiathanh (2016)'!$A$3,"MA_HT","TIN","MA_QH","DYT")</f>
        <v>0</v>
      </c>
      <c r="AH54" s="22">
        <f ca="1">+GETPIVOTDATA("XNT4",'nghiathanh (2016)'!$A$3,"MA_HT","TIN","MA_QH","DGD")</f>
        <v>0</v>
      </c>
      <c r="AI54" s="22">
        <f ca="1">+GETPIVOTDATA("XNT4",'nghiathanh (2016)'!$A$3,"MA_HT","TIN","MA_QH","DTT")</f>
        <v>0</v>
      </c>
      <c r="AJ54" s="22">
        <f ca="1">+GETPIVOTDATA("XNT4",'nghiathanh (2016)'!$A$3,"MA_HT","TIN","MA_QH","NCK")</f>
        <v>0</v>
      </c>
      <c r="AK54" s="22">
        <f ca="1">+GETPIVOTDATA("XNT4",'nghiathanh (2016)'!$A$3,"MA_HT","TIN","MA_QH","DXH")</f>
        <v>0</v>
      </c>
      <c r="AL54" s="22">
        <f ca="1">+GETPIVOTDATA("XNT4",'nghiathanh (2016)'!$A$3,"MA_HT","TIN","MA_QH","DCH")</f>
        <v>0</v>
      </c>
      <c r="AM54" s="22">
        <f ca="1">+GETPIVOTDATA("XNT4",'nghiathanh (2016)'!$A$3,"MA_HT","TIN","MA_QH","DKG")</f>
        <v>0</v>
      </c>
      <c r="AN54" s="22">
        <f ca="1">+GETPIVOTDATA("XNT4",'nghiathanh (2016)'!$A$3,"MA_HT","TIN","MA_QH","DDT")</f>
        <v>0</v>
      </c>
      <c r="AO54" s="22">
        <f ca="1">+GETPIVOTDATA("XNT4",'nghiathanh (2016)'!$A$3,"MA_HT","TIN","MA_QH","DDL")</f>
        <v>0</v>
      </c>
      <c r="AP54" s="22">
        <f ca="1">+GETPIVOTDATA("XNT4",'nghiathanh (2016)'!$A$3,"MA_HT","TIN","MA_QH","DRA")</f>
        <v>0</v>
      </c>
      <c r="AQ54" s="22">
        <f ca="1">+GETPIVOTDATA("XNT4",'nghiathanh (2016)'!$A$3,"MA_HT","TIN","MA_QH","ONT")</f>
        <v>0</v>
      </c>
      <c r="AR54" s="22">
        <f ca="1">+GETPIVOTDATA("XNT4",'nghiathanh (2016)'!$A$3,"MA_HT","TIN","MA_QH","ODT")</f>
        <v>0</v>
      </c>
      <c r="AS54" s="22">
        <f ca="1">+GETPIVOTDATA("XNT4",'nghiathanh (2016)'!$A$3,"MA_HT","TIN","MA_QH","TSC")</f>
        <v>0</v>
      </c>
      <c r="AT54" s="22">
        <f ca="1">+GETPIVOTDATA("XNT4",'nghiathanh (2016)'!$A$3,"MA_HT","TIN","MA_QH","DTS")</f>
        <v>0</v>
      </c>
      <c r="AU54" s="22">
        <f ca="1">+GETPIVOTDATA("XNT4",'nghiathanh (2016)'!$A$3,"MA_HT","TIN","MA_QH","DNG")</f>
        <v>0</v>
      </c>
      <c r="AV54" s="22">
        <f ca="1">+GETPIVOTDATA("XNT4",'nghiathanh (2016)'!$A$3,"MA_HT","TIN","MA_QH","TON")</f>
        <v>0</v>
      </c>
      <c r="AW54" s="22">
        <f ca="1">+GETPIVOTDATA("XNT4",'nghiathanh (2016)'!$A$3,"MA_HT","TIN","MA_QH","NTD")</f>
        <v>0</v>
      </c>
      <c r="AX54" s="22">
        <f ca="1">+GETPIVOTDATA("XNT4",'nghiathanh (2016)'!$A$3,"MA_HT","TIN","MA_QH","SKX")</f>
        <v>0</v>
      </c>
      <c r="AY54" s="22">
        <f ca="1">+GETPIVOTDATA("XNT4",'nghiathanh (2016)'!$A$3,"MA_HT","TIN","MA_QH","DSH")</f>
        <v>0</v>
      </c>
      <c r="AZ54" s="22">
        <f ca="1">+GETPIVOTDATA("XNT4",'nghiathanh (2016)'!$A$3,"MA_HT","TIN","MA_QH","DKV")</f>
        <v>0</v>
      </c>
      <c r="BA54" s="43" t="e">
        <f ca="1">$D54-$BF54</f>
        <v>#REF!</v>
      </c>
      <c r="BB54" s="22">
        <f ca="1">+GETPIVOTDATA("XNT4",'nghiathanh (2016)'!$A$3,"MA_HT","TIN","MA_QH","SON")</f>
        <v>0</v>
      </c>
      <c r="BC54" s="22">
        <f ca="1">+GETPIVOTDATA("XNT4",'nghiathanh (2016)'!$A$3,"MA_HT","TIN","MA_QH","MNC")</f>
        <v>0</v>
      </c>
      <c r="BD54" s="22">
        <f ca="1">+GETPIVOTDATA("XNT4",'nghiathanh (2016)'!$A$3,"MA_HT","TIN","MA_QH","PNK")</f>
        <v>0</v>
      </c>
      <c r="BE54" s="71">
        <f ca="1">+GETPIVOTDATA("XNT4",'nghiathanh (2016)'!$A$3,"MA_HT","TIN","MA_QH","CSD")</f>
        <v>0</v>
      </c>
      <c r="BF54" s="74">
        <f ca="1" t="shared" si="13"/>
        <v>0</v>
      </c>
      <c r="BG54" s="101">
        <f ca="1">BA59-BF54</f>
        <v>0</v>
      </c>
      <c r="BH54" s="41" t="e">
        <f ca="1" t="shared" si="14"/>
        <v>#REF!</v>
      </c>
      <c r="BI54" s="98"/>
      <c r="BJ54" s="39" t="e">
        <f>SUM(BJ29:BJ39)</f>
        <v>#REF!</v>
      </c>
      <c r="BK54" s="107" t="e">
        <f ca="1">BH54-BJ54</f>
        <v>#REF!</v>
      </c>
      <c r="BL54" s="107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</row>
    <row r="55" s="2" customFormat="1" ht="15.75" customHeight="1" spans="1:79">
      <c r="A55" s="68" t="s">
        <v>8428</v>
      </c>
      <c r="B55" s="69" t="s">
        <v>8429</v>
      </c>
      <c r="C55" s="40" t="s">
        <v>8309</v>
      </c>
      <c r="D55" s="41" t="e">
        <f>+#REF!</f>
        <v>#REF!</v>
      </c>
      <c r="E55" s="42">
        <f ca="1" t="shared" si="15"/>
        <v>0</v>
      </c>
      <c r="F55" s="52">
        <f ca="1" t="shared" si="9"/>
        <v>0</v>
      </c>
      <c r="G55" s="22">
        <f ca="1">+GETPIVOTDATA("XNT4",'nghiathanh (2016)'!$A$3,"MA_HT","SON","MA_QH","LUC")</f>
        <v>0</v>
      </c>
      <c r="H55" s="22">
        <f ca="1">+GETPIVOTDATA("XNT4",'nghiathanh (2016)'!$A$3,"MA_HT","SON","MA_QH","LUK")</f>
        <v>0</v>
      </c>
      <c r="I55" s="22">
        <f ca="1">+GETPIVOTDATA("XNT4",'nghiathanh (2016)'!$A$3,"MA_HT","SON","MA_QH","LUN")</f>
        <v>0</v>
      </c>
      <c r="J55" s="22">
        <f ca="1">+GETPIVOTDATA("XNT4",'nghiathanh (2016)'!$A$3,"MA_HT","SON","MA_QH","HNK")</f>
        <v>0</v>
      </c>
      <c r="K55" s="22">
        <f ca="1">+GETPIVOTDATA("XNT4",'nghiathanh (2016)'!$A$3,"MA_HT","SON","MA_QH","CLN")</f>
        <v>0</v>
      </c>
      <c r="L55" s="22">
        <f ca="1">+GETPIVOTDATA("XNT4",'nghiathanh (2016)'!$A$3,"MA_HT","SON","MA_QH","RSX")</f>
        <v>0</v>
      </c>
      <c r="M55" s="22">
        <f ca="1">+GETPIVOTDATA("XNT4",'nghiathanh (2016)'!$A$3,"MA_HT","SON","MA_QH","RPH")</f>
        <v>0</v>
      </c>
      <c r="N55" s="22">
        <f ca="1">+GETPIVOTDATA("XNT4",'nghiathanh (2016)'!$A$3,"MA_HT","SON","MA_QH","RDD")</f>
        <v>0</v>
      </c>
      <c r="O55" s="22">
        <f ca="1">+GETPIVOTDATA("XNT4",'nghiathanh (2016)'!$A$3,"MA_HT","SON","MA_QH","NTS")</f>
        <v>0</v>
      </c>
      <c r="P55" s="22">
        <f ca="1">+GETPIVOTDATA("XNT4",'nghiathanh (2016)'!$A$3,"MA_HT","SON","MA_QH","LMU")</f>
        <v>0</v>
      </c>
      <c r="Q55" s="22">
        <f ca="1">+GETPIVOTDATA("XNT4",'nghiathanh (2016)'!$A$3,"MA_HT","SON","MA_QH","NKH")</f>
        <v>0</v>
      </c>
      <c r="R55" s="79">
        <f ca="1">SUM(S55:AA55,AN55:AZ55,BC55:BD55)</f>
        <v>0</v>
      </c>
      <c r="S55" s="22">
        <f ca="1">+GETPIVOTDATA("XNT4",'nghiathanh (2016)'!$A$3,"MA_HT","SON","MA_QH","CQP")</f>
        <v>0</v>
      </c>
      <c r="T55" s="22">
        <f ca="1">+GETPIVOTDATA("XNT4",'nghiathanh (2016)'!$A$3,"MA_HT","SON","MA_QH","CAN")</f>
        <v>0</v>
      </c>
      <c r="U55" s="22">
        <f ca="1">+GETPIVOTDATA("XNT4",'nghiathanh (2016)'!$A$3,"MA_HT","SON","MA_QH","SKK")</f>
        <v>0</v>
      </c>
      <c r="V55" s="22">
        <f ca="1">+GETPIVOTDATA("XNT4",'nghiathanh (2016)'!$A$3,"MA_HT","SON","MA_QH","SKT")</f>
        <v>0</v>
      </c>
      <c r="W55" s="22">
        <f ca="1">+GETPIVOTDATA("XNT4",'nghiathanh (2016)'!$A$3,"MA_HT","SON","MA_QH","SKN")</f>
        <v>0</v>
      </c>
      <c r="X55" s="22">
        <f ca="1">+GETPIVOTDATA("XNT4",'nghiathanh (2016)'!$A$3,"MA_HT","SON","MA_QH","TMD")</f>
        <v>0</v>
      </c>
      <c r="Y55" s="22">
        <f ca="1">+GETPIVOTDATA("XNT4",'nghiathanh (2016)'!$A$3,"MA_HT","SON","MA_QH","SKC")</f>
        <v>0</v>
      </c>
      <c r="Z55" s="22">
        <f ca="1">+GETPIVOTDATA("XNT4",'nghiathanh (2016)'!$A$3,"MA_HT","SON","MA_QH","SKS")</f>
        <v>0</v>
      </c>
      <c r="AA55" s="52">
        <f ca="1" t="shared" si="21"/>
        <v>0</v>
      </c>
      <c r="AB55" s="22">
        <f ca="1">+GETPIVOTDATA("XNT4",'nghiathanh (2016)'!$A$3,"MA_HT","SON","MA_QH","DGT")</f>
        <v>0</v>
      </c>
      <c r="AC55" s="22">
        <f ca="1">+GETPIVOTDATA("XNT4",'nghiathanh (2016)'!$A$3,"MA_HT","SON","MA_QH","DTL")</f>
        <v>0</v>
      </c>
      <c r="AD55" s="22">
        <f ca="1">+GETPIVOTDATA("XNT4",'nghiathanh (2016)'!$A$3,"MA_HT","SON","MA_QH","DNL")</f>
        <v>0</v>
      </c>
      <c r="AE55" s="22">
        <f ca="1">+GETPIVOTDATA("XNT4",'nghiathanh (2016)'!$A$3,"MA_HT","SON","MA_QH","DBV")</f>
        <v>0</v>
      </c>
      <c r="AF55" s="22">
        <f ca="1">+GETPIVOTDATA("XNT4",'nghiathanh (2016)'!$A$3,"MA_HT","SON","MA_QH","DVH")</f>
        <v>0</v>
      </c>
      <c r="AG55" s="22">
        <f ca="1">+GETPIVOTDATA("XNT4",'nghiathanh (2016)'!$A$3,"MA_HT","SON","MA_QH","DYT")</f>
        <v>0</v>
      </c>
      <c r="AH55" s="22">
        <f ca="1">+GETPIVOTDATA("XNT4",'nghiathanh (2016)'!$A$3,"MA_HT","SON","MA_QH","DGD")</f>
        <v>0</v>
      </c>
      <c r="AI55" s="22">
        <f ca="1">+GETPIVOTDATA("XNT4",'nghiathanh (2016)'!$A$3,"MA_HT","SON","MA_QH","DTT")</f>
        <v>0</v>
      </c>
      <c r="AJ55" s="22">
        <f ca="1">+GETPIVOTDATA("XNT4",'nghiathanh (2016)'!$A$3,"MA_HT","SON","MA_QH","NCK")</f>
        <v>0</v>
      </c>
      <c r="AK55" s="22">
        <f ca="1">+GETPIVOTDATA("XNT4",'nghiathanh (2016)'!$A$3,"MA_HT","SON","MA_QH","DXH")</f>
        <v>0</v>
      </c>
      <c r="AL55" s="22">
        <f ca="1">+GETPIVOTDATA("XNT4",'nghiathanh (2016)'!$A$3,"MA_HT","SON","MA_QH","DCH")</f>
        <v>0</v>
      </c>
      <c r="AM55" s="22">
        <f ca="1">+GETPIVOTDATA("XNT4",'nghiathanh (2016)'!$A$3,"MA_HT","SON","MA_QH","DKG")</f>
        <v>0</v>
      </c>
      <c r="AN55" s="22">
        <f ca="1">+GETPIVOTDATA("XNT4",'nghiathanh (2016)'!$A$3,"MA_HT","SON","MA_QH","DDT")</f>
        <v>0</v>
      </c>
      <c r="AO55" s="22">
        <f ca="1">+GETPIVOTDATA("XNT4",'nghiathanh (2016)'!$A$3,"MA_HT","SON","MA_QH","DDL")</f>
        <v>0</v>
      </c>
      <c r="AP55" s="22">
        <f ca="1">+GETPIVOTDATA("XNT4",'nghiathanh (2016)'!$A$3,"MA_HT","SON","MA_QH","DRA")</f>
        <v>0</v>
      </c>
      <c r="AQ55" s="22">
        <f ca="1">+GETPIVOTDATA("XNT4",'nghiathanh (2016)'!$A$3,"MA_HT","SON","MA_QH","ONT")</f>
        <v>0</v>
      </c>
      <c r="AR55" s="22">
        <f ca="1">+GETPIVOTDATA("XNT4",'nghiathanh (2016)'!$A$3,"MA_HT","SON","MA_QH","ODT")</f>
        <v>0</v>
      </c>
      <c r="AS55" s="22">
        <f ca="1">+GETPIVOTDATA("XNT4",'nghiathanh (2016)'!$A$3,"MA_HT","SON","MA_QH","TSC")</f>
        <v>0</v>
      </c>
      <c r="AT55" s="22">
        <f ca="1">+GETPIVOTDATA("XNT4",'nghiathanh (2016)'!$A$3,"MA_HT","SON","MA_QH","DTS")</f>
        <v>0</v>
      </c>
      <c r="AU55" s="22">
        <f ca="1">+GETPIVOTDATA("XNT4",'nghiathanh (2016)'!$A$3,"MA_HT","SON","MA_QH","DNG")</f>
        <v>0</v>
      </c>
      <c r="AV55" s="22">
        <f ca="1">+GETPIVOTDATA("XNT4",'nghiathanh (2016)'!$A$3,"MA_HT","SON","MA_QH","TON")</f>
        <v>0</v>
      </c>
      <c r="AW55" s="22">
        <f ca="1">+GETPIVOTDATA("XNT4",'nghiathanh (2016)'!$A$3,"MA_HT","SON","MA_QH","NTD")</f>
        <v>0</v>
      </c>
      <c r="AX55" s="22">
        <f ca="1">+GETPIVOTDATA("XNT4",'nghiathanh (2016)'!$A$3,"MA_HT","SON","MA_QH","SKX")</f>
        <v>0</v>
      </c>
      <c r="AY55" s="22">
        <f ca="1">+GETPIVOTDATA("XNT4",'nghiathanh (2016)'!$A$3,"MA_HT","SON","MA_QH","DSH")</f>
        <v>0</v>
      </c>
      <c r="AZ55" s="22">
        <f ca="1">+GETPIVOTDATA("XNT4",'nghiathanh (2016)'!$A$3,"MA_HT","SON","MA_QH","DKV")</f>
        <v>0</v>
      </c>
      <c r="BA55" s="89">
        <f ca="1">+GETPIVOTDATA("XNT4",'nghiathanh (2016)'!$A$3,"MA_HT","SON","MA_QH","TIN")</f>
        <v>0</v>
      </c>
      <c r="BB55" s="43" t="e">
        <f ca="1">$D55-$BF55</f>
        <v>#REF!</v>
      </c>
      <c r="BC55" s="50">
        <f ca="1">+GETPIVOTDATA("XNT4",'nghiathanh (2016)'!$A$3,"MA_HT","SON","MA_QH","MNC")</f>
        <v>0</v>
      </c>
      <c r="BD55" s="22">
        <f ca="1">+GETPIVOTDATA("XNT4",'nghiathanh (2016)'!$A$3,"MA_HT","SON","MA_QH","PNK")</f>
        <v>0</v>
      </c>
      <c r="BE55" s="71">
        <f ca="1">+GETPIVOTDATA("XNT4",'nghiathanh (2016)'!$A$3,"MA_HT","SON","MA_QH","CSD")</f>
        <v>0</v>
      </c>
      <c r="BF55" s="74">
        <f ca="1" t="shared" si="13"/>
        <v>0</v>
      </c>
      <c r="BG55" s="101">
        <f ca="1">BB$59-$BF55</f>
        <v>0</v>
      </c>
      <c r="BH55" s="41" t="e">
        <f ca="1" t="shared" si="14"/>
        <v>#REF!</v>
      </c>
      <c r="BI55" s="98"/>
      <c r="BJ55" s="98"/>
      <c r="BK55" s="107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</row>
    <row r="56" s="2" customFormat="1" ht="15.75" customHeight="1" spans="1:79">
      <c r="A56" s="68" t="s">
        <v>8430</v>
      </c>
      <c r="B56" s="69" t="s">
        <v>8431</v>
      </c>
      <c r="C56" s="40" t="s">
        <v>8301</v>
      </c>
      <c r="D56" s="41" t="e">
        <f>+#REF!</f>
        <v>#REF!</v>
      </c>
      <c r="E56" s="42">
        <f ca="1" t="shared" si="15"/>
        <v>0</v>
      </c>
      <c r="F56" s="52">
        <f ca="1" t="shared" si="9"/>
        <v>0</v>
      </c>
      <c r="G56" s="22">
        <f ca="1">+GETPIVOTDATA("XNT4",'nghiathanh (2016)'!$A$3,"MA_HT","MNC","MA_QH","LUC")</f>
        <v>0</v>
      </c>
      <c r="H56" s="22">
        <f ca="1">+GETPIVOTDATA("XNT4",'nghiathanh (2016)'!$A$3,"MA_HT","MNC","MA_QH","LUK")</f>
        <v>0</v>
      </c>
      <c r="I56" s="22">
        <f ca="1">+GETPIVOTDATA("XNT4",'nghiathanh (2016)'!$A$3,"MA_HT","MNC","MA_QH","LUN")</f>
        <v>0</v>
      </c>
      <c r="J56" s="22">
        <f ca="1">+GETPIVOTDATA("XNT4",'nghiathanh (2016)'!$A$3,"MA_HT","MNC","MA_QH","HNK")</f>
        <v>0</v>
      </c>
      <c r="K56" s="22">
        <f ca="1">+GETPIVOTDATA("XNT4",'nghiathanh (2016)'!$A$3,"MA_HT","MNC","MA_QH","CLN")</f>
        <v>0</v>
      </c>
      <c r="L56" s="22">
        <f ca="1">+GETPIVOTDATA("XNT4",'nghiathanh (2016)'!$A$3,"MA_HT","MNC","MA_QH","RSX")</f>
        <v>0</v>
      </c>
      <c r="M56" s="22">
        <f ca="1">+GETPIVOTDATA("XNT4",'nghiathanh (2016)'!$A$3,"MA_HT","MNC","MA_QH","RPH")</f>
        <v>0</v>
      </c>
      <c r="N56" s="22">
        <f ca="1">+GETPIVOTDATA("XNT4",'nghiathanh (2016)'!$A$3,"MA_HT","MNC","MA_QH","RDD")</f>
        <v>0</v>
      </c>
      <c r="O56" s="22">
        <f ca="1">+GETPIVOTDATA("XNT4",'nghiathanh (2016)'!$A$3,"MA_HT","MNC","MA_QH","NTS")</f>
        <v>0</v>
      </c>
      <c r="P56" s="22">
        <f ca="1">+GETPIVOTDATA("XNT4",'nghiathanh (2016)'!$A$3,"MA_HT","MNC","MA_QH","LMU")</f>
        <v>0</v>
      </c>
      <c r="Q56" s="22">
        <f ca="1">+GETPIVOTDATA("XNT4",'nghiathanh (2016)'!$A$3,"MA_HT","MNC","MA_QH","NKH")</f>
        <v>0</v>
      </c>
      <c r="R56" s="79">
        <f ca="1">SUM(S56:AA56,AN56:BB56,BD56)</f>
        <v>0</v>
      </c>
      <c r="S56" s="22">
        <f ca="1">+GETPIVOTDATA("XNT4",'nghiathanh (2016)'!$A$3,"MA_HT","MNC","MA_QH","CQP")</f>
        <v>0</v>
      </c>
      <c r="T56" s="22">
        <f ca="1">+GETPIVOTDATA("XNT4",'nghiathanh (2016)'!$A$3,"MA_HT","MNC","MA_QH","CAN")</f>
        <v>0</v>
      </c>
      <c r="U56" s="22">
        <f ca="1">+GETPIVOTDATA("XNT4",'nghiathanh (2016)'!$A$3,"MA_HT","MNC","MA_QH","SKK")</f>
        <v>0</v>
      </c>
      <c r="V56" s="22">
        <f ca="1">+GETPIVOTDATA("XNT4",'nghiathanh (2016)'!$A$3,"MA_HT","MNC","MA_QH","SKT")</f>
        <v>0</v>
      </c>
      <c r="W56" s="22">
        <f ca="1">+GETPIVOTDATA("XNT4",'nghiathanh (2016)'!$A$3,"MA_HT","MNC","MA_QH","SKN")</f>
        <v>0</v>
      </c>
      <c r="X56" s="22">
        <f ca="1">+GETPIVOTDATA("XNT4",'nghiathanh (2016)'!$A$3,"MA_HT","MNC","MA_QH","TMD")</f>
        <v>0</v>
      </c>
      <c r="Y56" s="22">
        <f ca="1">+GETPIVOTDATA("XNT4",'nghiathanh (2016)'!$A$3,"MA_HT","MNC","MA_QH","SKC")</f>
        <v>0</v>
      </c>
      <c r="Z56" s="22">
        <f ca="1">+GETPIVOTDATA("XNT4",'nghiathanh (2016)'!$A$3,"MA_HT","MNC","MA_QH","SKS")</f>
        <v>0</v>
      </c>
      <c r="AA56" s="52">
        <f ca="1" t="shared" si="21"/>
        <v>0</v>
      </c>
      <c r="AB56" s="22">
        <f ca="1">+GETPIVOTDATA("XNT4",'nghiathanh (2016)'!$A$3,"MA_HT","MNC","MA_QH","DGT")</f>
        <v>0</v>
      </c>
      <c r="AC56" s="22">
        <f ca="1">+GETPIVOTDATA("XNT4",'nghiathanh (2016)'!$A$3,"MA_HT","MNC","MA_QH","DTL")</f>
        <v>0</v>
      </c>
      <c r="AD56" s="22">
        <f ca="1">+GETPIVOTDATA("XNT4",'nghiathanh (2016)'!$A$3,"MA_HT","MNC","MA_QH","DNL")</f>
        <v>0</v>
      </c>
      <c r="AE56" s="22">
        <f ca="1">+GETPIVOTDATA("XNT4",'nghiathanh (2016)'!$A$3,"MA_HT","MNC","MA_QH","DBV")</f>
        <v>0</v>
      </c>
      <c r="AF56" s="22">
        <f ca="1">+GETPIVOTDATA("XNT4",'nghiathanh (2016)'!$A$3,"MA_HT","MNC","MA_QH","DVH")</f>
        <v>0</v>
      </c>
      <c r="AG56" s="22">
        <f ca="1">+GETPIVOTDATA("XNT4",'nghiathanh (2016)'!$A$3,"MA_HT","MNC","MA_QH","DYT")</f>
        <v>0</v>
      </c>
      <c r="AH56" s="22">
        <f ca="1">+GETPIVOTDATA("XNT4",'nghiathanh (2016)'!$A$3,"MA_HT","MNC","MA_QH","DGD")</f>
        <v>0</v>
      </c>
      <c r="AI56" s="22">
        <f ca="1">+GETPIVOTDATA("XNT4",'nghiathanh (2016)'!$A$3,"MA_HT","MNC","MA_QH","DTT")</f>
        <v>0</v>
      </c>
      <c r="AJ56" s="22">
        <f ca="1">+GETPIVOTDATA("XNT4",'nghiathanh (2016)'!$A$3,"MA_HT","MNC","MA_QH","NCK")</f>
        <v>0</v>
      </c>
      <c r="AK56" s="22">
        <f ca="1">+GETPIVOTDATA("XNT4",'nghiathanh (2016)'!$A$3,"MA_HT","MNC","MA_QH","DXH")</f>
        <v>0</v>
      </c>
      <c r="AL56" s="22">
        <f ca="1">+GETPIVOTDATA("XNT4",'nghiathanh (2016)'!$A$3,"MA_HT","MNC","MA_QH","DCH")</f>
        <v>0</v>
      </c>
      <c r="AM56" s="22">
        <f ca="1">+GETPIVOTDATA("XNT4",'nghiathanh (2016)'!$A$3,"MA_HT","MNC","MA_QH","DKG")</f>
        <v>0</v>
      </c>
      <c r="AN56" s="22">
        <f ca="1">+GETPIVOTDATA("XNT4",'nghiathanh (2016)'!$A$3,"MA_HT","MNC","MA_QH","DDT")</f>
        <v>0</v>
      </c>
      <c r="AO56" s="22">
        <f ca="1">+GETPIVOTDATA("XNT4",'nghiathanh (2016)'!$A$3,"MA_HT","MNC","MA_QH","DDL")</f>
        <v>0</v>
      </c>
      <c r="AP56" s="22">
        <f ca="1">+GETPIVOTDATA("XNT4",'nghiathanh (2016)'!$A$3,"MA_HT","MNC","MA_QH","DRA")</f>
        <v>0</v>
      </c>
      <c r="AQ56" s="22">
        <f ca="1">+GETPIVOTDATA("XNT4",'nghiathanh (2016)'!$A$3,"MA_HT","MNC","MA_QH","ONT")</f>
        <v>0</v>
      </c>
      <c r="AR56" s="22">
        <f ca="1">+GETPIVOTDATA("XNT4",'nghiathanh (2016)'!$A$3,"MA_HT","MNC","MA_QH","ODT")</f>
        <v>0</v>
      </c>
      <c r="AS56" s="22">
        <f ca="1">+GETPIVOTDATA("XNT4",'nghiathanh (2016)'!$A$3,"MA_HT","MNC","MA_QH","TSC")</f>
        <v>0</v>
      </c>
      <c r="AT56" s="22">
        <f ca="1">+GETPIVOTDATA("XNT4",'nghiathanh (2016)'!$A$3,"MA_HT","MNC","MA_QH","DTS")</f>
        <v>0</v>
      </c>
      <c r="AU56" s="22">
        <f ca="1">+GETPIVOTDATA("XNT4",'nghiathanh (2016)'!$A$3,"MA_HT","MNC","MA_QH","DNG")</f>
        <v>0</v>
      </c>
      <c r="AV56" s="22">
        <f ca="1">+GETPIVOTDATA("XNT4",'nghiathanh (2016)'!$A$3,"MA_HT","MNC","MA_QH","TON")</f>
        <v>0</v>
      </c>
      <c r="AW56" s="22">
        <f ca="1">+GETPIVOTDATA("XNT4",'nghiathanh (2016)'!$A$3,"MA_HT","MNC","MA_QH","NTD")</f>
        <v>0</v>
      </c>
      <c r="AX56" s="22">
        <f ca="1">+GETPIVOTDATA("XNT4",'nghiathanh (2016)'!$A$3,"MA_HT","MNC","MA_QH","SKX")</f>
        <v>0</v>
      </c>
      <c r="AY56" s="22">
        <f ca="1">+GETPIVOTDATA("XNT4",'nghiathanh (2016)'!$A$3,"MA_HT","MNC","MA_QH","DSH")</f>
        <v>0</v>
      </c>
      <c r="AZ56" s="22">
        <f ca="1">+GETPIVOTDATA("XNT4",'nghiathanh (2016)'!$A$3,"MA_HT","MNC","MA_QH","DKV")</f>
        <v>0</v>
      </c>
      <c r="BA56" s="89">
        <f ca="1">+GETPIVOTDATA("XNT4",'nghiathanh (2016)'!$A$3,"MA_HT","MNC","MA_QH","TIN")</f>
        <v>0</v>
      </c>
      <c r="BB56" s="50">
        <f ca="1">+GETPIVOTDATA("XNT4",'nghiathanh (2016)'!$A$3,"MA_HT","MNC","MA_QH","SON")</f>
        <v>0</v>
      </c>
      <c r="BC56" s="43" t="e">
        <f ca="1">$D56-$BF56</f>
        <v>#REF!</v>
      </c>
      <c r="BD56" s="22">
        <f ca="1">+GETPIVOTDATA("XNT4",'nghiathanh (2016)'!$A$3,"MA_HT","MNC","MA_QH","PNK")</f>
        <v>0</v>
      </c>
      <c r="BE56" s="71">
        <f ca="1">+GETPIVOTDATA("XNT4",'nghiathanh (2016)'!$A$3,"MA_HT","MNC","MA_QH","CSD")</f>
        <v>0</v>
      </c>
      <c r="BF56" s="74">
        <f ca="1" t="shared" si="13"/>
        <v>0</v>
      </c>
      <c r="BG56" s="101">
        <f ca="1">BC$59-$BF56</f>
        <v>0</v>
      </c>
      <c r="BH56" s="41" t="e">
        <f ca="1" t="shared" si="14"/>
        <v>#REF!</v>
      </c>
      <c r="BI56" s="98"/>
      <c r="BJ56" s="98"/>
      <c r="BK56" s="107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</row>
    <row r="57" s="2" customFormat="1" ht="15.75" customHeight="1" spans="1:79">
      <c r="A57" s="68" t="s">
        <v>8432</v>
      </c>
      <c r="B57" s="69" t="s">
        <v>8433</v>
      </c>
      <c r="C57" s="40" t="s">
        <v>59</v>
      </c>
      <c r="D57" s="41" t="e">
        <f>+#REF!</f>
        <v>#REF!</v>
      </c>
      <c r="E57" s="42">
        <f ca="1" t="shared" si="15"/>
        <v>0</v>
      </c>
      <c r="F57" s="52">
        <f ca="1" t="shared" si="9"/>
        <v>0</v>
      </c>
      <c r="G57" s="22">
        <f ca="1">+GETPIVOTDATA("XNT4",'nghiathanh (2016)'!$A$3,"MA_HT","PNK","MA_QH","LUC")</f>
        <v>0</v>
      </c>
      <c r="H57" s="22">
        <f ca="1">+GETPIVOTDATA("XNT4",'nghiathanh (2016)'!$A$3,"MA_HT","PNK","MA_QH","LUK")</f>
        <v>0</v>
      </c>
      <c r="I57" s="22">
        <f ca="1">+GETPIVOTDATA("XNT4",'nghiathanh (2016)'!$A$3,"MA_HT","PNK","MA_QH","LUN")</f>
        <v>0</v>
      </c>
      <c r="J57" s="22">
        <f ca="1">+GETPIVOTDATA("XNT4",'nghiathanh (2016)'!$A$3,"MA_HT","PNK","MA_QH","HNK")</f>
        <v>0</v>
      </c>
      <c r="K57" s="22">
        <f ca="1">+GETPIVOTDATA("XNT4",'nghiathanh (2016)'!$A$3,"MA_HT","PNK","MA_QH","CLN")</f>
        <v>0</v>
      </c>
      <c r="L57" s="22">
        <f ca="1">+GETPIVOTDATA("XNT4",'nghiathanh (2016)'!$A$3,"MA_HT","PNK","MA_QH","RSX")</f>
        <v>0</v>
      </c>
      <c r="M57" s="22">
        <f ca="1">+GETPIVOTDATA("XNT4",'nghiathanh (2016)'!$A$3,"MA_HT","PNK","MA_QH","RPH")</f>
        <v>0</v>
      </c>
      <c r="N57" s="22">
        <f ca="1">+GETPIVOTDATA("XNT4",'nghiathanh (2016)'!$A$3,"MA_HT","PNK","MA_QH","RDD")</f>
        <v>0</v>
      </c>
      <c r="O57" s="22">
        <f ca="1">+GETPIVOTDATA("XNT4",'nghiathanh (2016)'!$A$3,"MA_HT","PNK","MA_QH","NTS")</f>
        <v>0</v>
      </c>
      <c r="P57" s="22">
        <f ca="1">+GETPIVOTDATA("XNT4",'nghiathanh (2016)'!$A$3,"MA_HT","PNK","MA_QH","LMU")</f>
        <v>0</v>
      </c>
      <c r="Q57" s="22">
        <f ca="1">+GETPIVOTDATA("XNT4",'nghiathanh (2016)'!$A$3,"MA_HT","PNK","MA_QH","NKH")</f>
        <v>0</v>
      </c>
      <c r="R57" s="79">
        <f ca="1">SUM(S57:AA57,AN57:BC57)</f>
        <v>0</v>
      </c>
      <c r="S57" s="22">
        <f ca="1">+GETPIVOTDATA("XNT4",'nghiathanh (2016)'!$A$3,"MA_HT","PNK","MA_QH","CQP")</f>
        <v>0</v>
      </c>
      <c r="T57" s="22">
        <f ca="1">+GETPIVOTDATA("XNT4",'nghiathanh (2016)'!$A$3,"MA_HT","PNK","MA_QH","CAN")</f>
        <v>0</v>
      </c>
      <c r="U57" s="22">
        <f ca="1">+GETPIVOTDATA("XNT4",'nghiathanh (2016)'!$A$3,"MA_HT","PNK","MA_QH","SKK")</f>
        <v>0</v>
      </c>
      <c r="V57" s="22">
        <f ca="1">+GETPIVOTDATA("XNT4",'nghiathanh (2016)'!$A$3,"MA_HT","PNK","MA_QH","SKT")</f>
        <v>0</v>
      </c>
      <c r="W57" s="22">
        <f ca="1">+GETPIVOTDATA("XNT4",'nghiathanh (2016)'!$A$3,"MA_HT","PNK","MA_QH","SKN")</f>
        <v>0</v>
      </c>
      <c r="X57" s="22">
        <f ca="1">+GETPIVOTDATA("XNT4",'nghiathanh (2016)'!$A$3,"MA_HT","PNK","MA_QH","TMD")</f>
        <v>0</v>
      </c>
      <c r="Y57" s="22">
        <f ca="1">+GETPIVOTDATA("XNT4",'nghiathanh (2016)'!$A$3,"MA_HT","PNK","MA_QH","SKC")</f>
        <v>0</v>
      </c>
      <c r="Z57" s="22">
        <f ca="1">+GETPIVOTDATA("XNT4",'nghiathanh (2016)'!$A$3,"MA_HT","PNK","MA_QH","SKS")</f>
        <v>0</v>
      </c>
      <c r="AA57" s="52">
        <f ca="1" t="shared" si="21"/>
        <v>0</v>
      </c>
      <c r="AB57" s="22">
        <f ca="1">+GETPIVOTDATA("XNT4",'nghiathanh (2016)'!$A$3,"MA_HT","PNK","MA_QH","DGT")</f>
        <v>0</v>
      </c>
      <c r="AC57" s="22">
        <f ca="1">+GETPIVOTDATA("XNT4",'nghiathanh (2016)'!$A$3,"MA_HT","PNK","MA_QH","DTL")</f>
        <v>0</v>
      </c>
      <c r="AD57" s="22">
        <f ca="1">+GETPIVOTDATA("XNT4",'nghiathanh (2016)'!$A$3,"MA_HT","PNK","MA_QH","DNL")</f>
        <v>0</v>
      </c>
      <c r="AE57" s="22">
        <f ca="1">+GETPIVOTDATA("XNT4",'nghiathanh (2016)'!$A$3,"MA_HT","PNK","MA_QH","DBV")</f>
        <v>0</v>
      </c>
      <c r="AF57" s="22">
        <f ca="1">+GETPIVOTDATA("XNT4",'nghiathanh (2016)'!$A$3,"MA_HT","PNK","MA_QH","DVH")</f>
        <v>0</v>
      </c>
      <c r="AG57" s="22">
        <f ca="1">+GETPIVOTDATA("XNT4",'nghiathanh (2016)'!$A$3,"MA_HT","PNK","MA_QH","DYT")</f>
        <v>0</v>
      </c>
      <c r="AH57" s="22">
        <f ca="1">+GETPIVOTDATA("XNT4",'nghiathanh (2016)'!$A$3,"MA_HT","PNK","MA_QH","DGD")</f>
        <v>0</v>
      </c>
      <c r="AI57" s="22">
        <f ca="1">+GETPIVOTDATA("XNT4",'nghiathanh (2016)'!$A$3,"MA_HT","PNK","MA_QH","DTT")</f>
        <v>0</v>
      </c>
      <c r="AJ57" s="22">
        <f ca="1">+GETPIVOTDATA("XNT4",'nghiathanh (2016)'!$A$3,"MA_HT","PNK","MA_QH","NCK")</f>
        <v>0</v>
      </c>
      <c r="AK57" s="22">
        <f ca="1">+GETPIVOTDATA("XNT4",'nghiathanh (2016)'!$A$3,"MA_HT","PNK","MA_QH","DXH")</f>
        <v>0</v>
      </c>
      <c r="AL57" s="22">
        <f ca="1">+GETPIVOTDATA("XNT4",'nghiathanh (2016)'!$A$3,"MA_HT","PNK","MA_QH","DCH")</f>
        <v>0</v>
      </c>
      <c r="AM57" s="22">
        <f ca="1">+GETPIVOTDATA("XNT4",'nghiathanh (2016)'!$A$3,"MA_HT","PNK","MA_QH","DKG")</f>
        <v>0</v>
      </c>
      <c r="AN57" s="22">
        <f ca="1">+GETPIVOTDATA("XNT4",'nghiathanh (2016)'!$A$3,"MA_HT","PNK","MA_QH","DDT")</f>
        <v>0</v>
      </c>
      <c r="AO57" s="22">
        <f ca="1">+GETPIVOTDATA("XNT4",'nghiathanh (2016)'!$A$3,"MA_HT","PNK","MA_QH","DDL")</f>
        <v>0</v>
      </c>
      <c r="AP57" s="22">
        <f ca="1">+GETPIVOTDATA("XNT4",'nghiathanh (2016)'!$A$3,"MA_HT","PNK","MA_QH","DRA")</f>
        <v>0</v>
      </c>
      <c r="AQ57" s="22">
        <f ca="1">+GETPIVOTDATA("XNT4",'nghiathanh (2016)'!$A$3,"MA_HT","PNK","MA_QH","ONT")</f>
        <v>0</v>
      </c>
      <c r="AR57" s="22">
        <f ca="1">+GETPIVOTDATA("XNT4",'nghiathanh (2016)'!$A$3,"MA_HT","PNK","MA_QH","ODT")</f>
        <v>0</v>
      </c>
      <c r="AS57" s="22">
        <f ca="1">+GETPIVOTDATA("XNT4",'nghiathanh (2016)'!$A$3,"MA_HT","PNK","MA_QH","TSC")</f>
        <v>0</v>
      </c>
      <c r="AT57" s="22">
        <f ca="1">+GETPIVOTDATA("XNT4",'nghiathanh (2016)'!$A$3,"MA_HT","PNK","MA_QH","DTS")</f>
        <v>0</v>
      </c>
      <c r="AU57" s="22">
        <f ca="1">+GETPIVOTDATA("XNT4",'nghiathanh (2016)'!$A$3,"MA_HT","PNK","MA_QH","DNG")</f>
        <v>0</v>
      </c>
      <c r="AV57" s="22">
        <f ca="1">+GETPIVOTDATA("XNT4",'nghiathanh (2016)'!$A$3,"MA_HT","PNK","MA_QH","TON")</f>
        <v>0</v>
      </c>
      <c r="AW57" s="22">
        <f ca="1">+GETPIVOTDATA("XNT4",'nghiathanh (2016)'!$A$3,"MA_HT","PNK","MA_QH","NTD")</f>
        <v>0</v>
      </c>
      <c r="AX57" s="22">
        <f ca="1">+GETPIVOTDATA("XNT4",'nghiathanh (2016)'!$A$3,"MA_HT","PNK","MA_QH","SKX")</f>
        <v>0</v>
      </c>
      <c r="AY57" s="22">
        <f ca="1">+GETPIVOTDATA("XNT4",'nghiathanh (2016)'!$A$3,"MA_HT","PNK","MA_QH","DSH")</f>
        <v>0</v>
      </c>
      <c r="AZ57" s="22">
        <f ca="1">+GETPIVOTDATA("XNT4",'nghiathanh (2016)'!$A$3,"MA_HT","PNK","MA_QH","DKV")</f>
        <v>0</v>
      </c>
      <c r="BA57" s="89">
        <f ca="1">+GETPIVOTDATA("XNT4",'nghiathanh (2016)'!$A$3,"MA_HT","PNK","MA_QH","TIN")</f>
        <v>0</v>
      </c>
      <c r="BB57" s="50">
        <f ca="1">+GETPIVOTDATA("XNT4",'nghiathanh (2016)'!$A$3,"MA_HT","PNK","MA_QH","SON")</f>
        <v>0</v>
      </c>
      <c r="BC57" s="50">
        <f ca="1">+GETPIVOTDATA("XNT4",'nghiathanh (2016)'!$A$3,"MA_HT","PNK","MA_QH","MNC")</f>
        <v>0</v>
      </c>
      <c r="BD57" s="43" t="e">
        <f ca="1">$D57-$BF57</f>
        <v>#REF!</v>
      </c>
      <c r="BE57" s="71">
        <f ca="1">+GETPIVOTDATA("XNT4",'nghiathanh (2016)'!$A$3,"MA_HT","PNK","MA_QH","CSD")</f>
        <v>0</v>
      </c>
      <c r="BF57" s="74">
        <f ca="1" t="shared" si="13"/>
        <v>0</v>
      </c>
      <c r="BG57" s="101">
        <f ca="1">BD$59-$BF57</f>
        <v>0</v>
      </c>
      <c r="BH57" s="41" t="e">
        <f ca="1" t="shared" si="14"/>
        <v>#REF!</v>
      </c>
      <c r="BI57" s="98"/>
      <c r="BJ57" s="98" t="e">
        <f>#REF!</f>
        <v>#REF!</v>
      </c>
      <c r="BK57" s="107" t="e">
        <f ca="1">BH57-BJ57</f>
        <v>#REF!</v>
      </c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</row>
    <row r="58" s="3" customFormat="1" ht="15.75" customHeight="1" spans="1:79">
      <c r="A58" s="70" t="s">
        <v>8434</v>
      </c>
      <c r="B58" s="36" t="s">
        <v>8435</v>
      </c>
      <c r="C58" s="37" t="s">
        <v>8284</v>
      </c>
      <c r="D58" s="32" t="e">
        <f>+#REF!</f>
        <v>#REF!</v>
      </c>
      <c r="E58" s="42">
        <f ca="1" t="shared" si="15"/>
        <v>0</v>
      </c>
      <c r="F58" s="33">
        <f ca="1" t="shared" si="9"/>
        <v>0</v>
      </c>
      <c r="G58" s="71">
        <f ca="1">+GETPIVOTDATA("XNT4",'nghiathanh (2016)'!$A$3,"MA_HT","CSD","MA_QH","LUC")</f>
        <v>0</v>
      </c>
      <c r="H58" s="71">
        <f ca="1">+GETPIVOTDATA("XNT4",'nghiathanh (2016)'!$A$3,"MA_HT","CSD","MA_QH","LUK")</f>
        <v>0</v>
      </c>
      <c r="I58" s="71">
        <f ca="1">+GETPIVOTDATA("XNT4",'nghiathanh (2016)'!$A$3,"MA_HT","CSD","MA_QH","LUN")</f>
        <v>0</v>
      </c>
      <c r="J58" s="71">
        <f ca="1">+GETPIVOTDATA("XNT4",'nghiathanh (2016)'!$A$3,"MA_HT","CSD","MA_QH","HNK")</f>
        <v>0</v>
      </c>
      <c r="K58" s="71">
        <f ca="1">+GETPIVOTDATA("XNT4",'nghiathanh (2016)'!$A$3,"MA_HT","CSD","MA_QH","CLN")</f>
        <v>0</v>
      </c>
      <c r="L58" s="71">
        <f ca="1">+GETPIVOTDATA("XNT4",'nghiathanh (2016)'!$A$3,"MA_HT","CSD","MA_QH","RSX")</f>
        <v>0</v>
      </c>
      <c r="M58" s="71">
        <f ca="1">+GETPIVOTDATA("XNT4",'nghiathanh (2016)'!$A$3,"MA_HT","CSD","MA_QH","RPH")</f>
        <v>0</v>
      </c>
      <c r="N58" s="71">
        <f ca="1">+GETPIVOTDATA("XNT4",'nghiathanh (2016)'!$A$3,"MA_HT","CSD","MA_QH","RDD")</f>
        <v>0</v>
      </c>
      <c r="O58" s="71">
        <f ca="1">+GETPIVOTDATA("XNT4",'nghiathanh (2016)'!$A$3,"MA_HT","CSD","MA_QH","NTS")</f>
        <v>0</v>
      </c>
      <c r="P58" s="71">
        <f ca="1">+GETPIVOTDATA("XNT4",'nghiathanh (2016)'!$A$3,"MA_HT","CSD","MA_QH","LMU")</f>
        <v>0</v>
      </c>
      <c r="Q58" s="71">
        <f ca="1">+GETPIVOTDATA("XNT4",'nghiathanh (2016)'!$A$3,"MA_HT","CSD","MA_QH","NKH")</f>
        <v>0</v>
      </c>
      <c r="R58" s="79">
        <f ca="1">SUM(S58:AA58,AN58:BD58)</f>
        <v>0</v>
      </c>
      <c r="S58" s="80">
        <f ca="1">+GETPIVOTDATA("XNT4",'nghiathanh (2016)'!$A$3,"MA_HT","CSD","MA_QH","CQP")</f>
        <v>0</v>
      </c>
      <c r="T58" s="80">
        <f ca="1">+GETPIVOTDATA("XNT4",'nghiathanh (2016)'!$A$3,"MA_HT","CSD","MA_QH","CAN")</f>
        <v>0</v>
      </c>
      <c r="U58" s="71">
        <f ca="1">+GETPIVOTDATA("XNT4",'nghiathanh (2016)'!$A$3,"MA_HT","CSD","MA_QH","SKK")</f>
        <v>0</v>
      </c>
      <c r="V58" s="71">
        <f ca="1">+GETPIVOTDATA("XNT4",'nghiathanh (2016)'!$A$3,"MA_HT","CSD","MA_QH","SKT")</f>
        <v>0</v>
      </c>
      <c r="W58" s="71">
        <f ca="1">+GETPIVOTDATA("XNT4",'nghiathanh (2016)'!$A$3,"MA_HT","CSD","MA_QH","SKN")</f>
        <v>0</v>
      </c>
      <c r="X58" s="71">
        <f ca="1">+GETPIVOTDATA("XNT4",'nghiathanh (2016)'!$A$3,"MA_HT","CSD","MA_QH","TMD")</f>
        <v>0</v>
      </c>
      <c r="Y58" s="71">
        <f ca="1">+GETPIVOTDATA("XNT4",'nghiathanh (2016)'!$A$3,"MA_HT","CSD","MA_QH","SKC")</f>
        <v>0</v>
      </c>
      <c r="Z58" s="71">
        <f ca="1">+GETPIVOTDATA("XNT4",'nghiathanh (2016)'!$A$3,"MA_HT","CSD","MA_QH","SKS")</f>
        <v>0</v>
      </c>
      <c r="AA58" s="52">
        <f ca="1" t="shared" si="21"/>
        <v>0</v>
      </c>
      <c r="AB58" s="80">
        <f ca="1">+GETPIVOTDATA("XNT4",'nghiathanh (2016)'!$A$3,"MA_HT","CSD","MA_QH","DGT")</f>
        <v>0</v>
      </c>
      <c r="AC58" s="80">
        <f ca="1">+GETPIVOTDATA("XNT4",'nghiathanh (2016)'!$A$3,"MA_HT","CSD","MA_QH","DTL")</f>
        <v>0</v>
      </c>
      <c r="AD58" s="80">
        <f ca="1">+GETPIVOTDATA("XNT4",'nghiathanh (2016)'!$A$3,"MA_HT","CSD","MA_QH","DNL")</f>
        <v>0</v>
      </c>
      <c r="AE58" s="80">
        <f ca="1">+GETPIVOTDATA("XNT4",'nghiathanh (2016)'!$A$3,"MA_HT","CSD","MA_QH","DBV")</f>
        <v>0</v>
      </c>
      <c r="AF58" s="80">
        <f ca="1">+GETPIVOTDATA("XNT4",'nghiathanh (2016)'!$A$3,"MA_HT","CSD","MA_QH","DVH")</f>
        <v>0</v>
      </c>
      <c r="AG58" s="80">
        <f ca="1">+GETPIVOTDATA("XNT4",'nghiathanh (2016)'!$A$3,"MA_HT","CSD","MA_QH","DYT")</f>
        <v>0</v>
      </c>
      <c r="AH58" s="80">
        <f ca="1">+GETPIVOTDATA("XNT4",'nghiathanh (2016)'!$A$3,"MA_HT","CSD","MA_QH","DGD")</f>
        <v>0</v>
      </c>
      <c r="AI58" s="80">
        <f ca="1">+GETPIVOTDATA("XNT4",'nghiathanh (2016)'!$A$3,"MA_HT","CSD","MA_QH","DTT")</f>
        <v>0</v>
      </c>
      <c r="AJ58" s="80">
        <f ca="1">+GETPIVOTDATA("XNT4",'nghiathanh (2016)'!$A$3,"MA_HT","CSD","MA_QH","NCK")</f>
        <v>0</v>
      </c>
      <c r="AK58" s="80">
        <f ca="1">+GETPIVOTDATA("XNT4",'nghiathanh (2016)'!$A$3,"MA_HT","CSD","MA_QH","DXH")</f>
        <v>0</v>
      </c>
      <c r="AL58" s="80">
        <f ca="1">+GETPIVOTDATA("XNT4",'nghiathanh (2016)'!$A$3,"MA_HT","CSD","MA_QH","DCH")</f>
        <v>0</v>
      </c>
      <c r="AM58" s="80">
        <f ca="1">+GETPIVOTDATA("XNT4",'nghiathanh (2016)'!$A$3,"MA_HT","CSD","MA_QH","DKG")</f>
        <v>0</v>
      </c>
      <c r="AN58" s="71">
        <f ca="1">+GETPIVOTDATA("XNT4",'nghiathanh (2016)'!$A$3,"MA_HT","CSD","MA_QH","DDT")</f>
        <v>0</v>
      </c>
      <c r="AO58" s="71">
        <f ca="1">+GETPIVOTDATA("XNT4",'nghiathanh (2016)'!$A$3,"MA_HT","CSD","MA_QH","DDL")</f>
        <v>0</v>
      </c>
      <c r="AP58" s="71">
        <f ca="1">+GETPIVOTDATA("XNT4",'nghiathanh (2016)'!$A$3,"MA_HT","CSD","MA_QH","DRA")</f>
        <v>0</v>
      </c>
      <c r="AQ58" s="71">
        <f ca="1">+GETPIVOTDATA("XNT4",'nghiathanh (2016)'!$A$3,"MA_HT","CSD","MA_QH","ONT")</f>
        <v>0</v>
      </c>
      <c r="AR58" s="71">
        <f ca="1">+GETPIVOTDATA("XNT4",'nghiathanh (2016)'!$A$3,"MA_HT","CSD","MA_QH","ODT")</f>
        <v>0</v>
      </c>
      <c r="AS58" s="71">
        <f ca="1">+GETPIVOTDATA("XNT4",'nghiathanh (2016)'!$A$3,"MA_HT","CSD","MA_QH","TSC")</f>
        <v>0</v>
      </c>
      <c r="AT58" s="71">
        <f ca="1">+GETPIVOTDATA("XNT4",'nghiathanh (2016)'!$A$3,"MA_HT","CSD","MA_QH","DTS")</f>
        <v>0</v>
      </c>
      <c r="AU58" s="71">
        <f ca="1">+GETPIVOTDATA("XNT4",'nghiathanh (2016)'!$A$3,"MA_HT","CSD","MA_QH","DNG")</f>
        <v>0</v>
      </c>
      <c r="AV58" s="71">
        <f ca="1">+GETPIVOTDATA("XNT4",'nghiathanh (2016)'!$A$3,"MA_HT","CSD","MA_QH","TON")</f>
        <v>0</v>
      </c>
      <c r="AW58" s="71">
        <f ca="1">+GETPIVOTDATA("XNT4",'nghiathanh (2016)'!$A$3,"MA_HT","CSD","MA_QH","NTD")</f>
        <v>0</v>
      </c>
      <c r="AX58" s="71">
        <f ca="1">+GETPIVOTDATA("XNT4",'nghiathanh (2016)'!$A$3,"MA_HT","CSD","MA_QH","SKX")</f>
        <v>0</v>
      </c>
      <c r="AY58" s="71">
        <f ca="1">+GETPIVOTDATA("XNT4",'nghiathanh (2016)'!$A$3,"MA_HT","CSD","MA_QH","DSH")</f>
        <v>0</v>
      </c>
      <c r="AZ58" s="71">
        <f ca="1">+GETPIVOTDATA("XNT4",'nghiathanh (2016)'!$A$3,"MA_HT","CSD","MA_QH","DKV")</f>
        <v>0</v>
      </c>
      <c r="BA58" s="89">
        <f ca="1">+GETPIVOTDATA("XNT4",'nghiathanh (2016)'!$A$3,"MA_HT","CSD","MA_QH","TIN")</f>
        <v>0</v>
      </c>
      <c r="BB58" s="80">
        <f ca="1">+GETPIVOTDATA("XNT4",'nghiathanh (2016)'!$A$3,"MA_HT","CSD","MA_QH","SON")</f>
        <v>0</v>
      </c>
      <c r="BC58" s="80">
        <f ca="1">+GETPIVOTDATA("XNT4",'nghiathanh (2016)'!$A$3,"MA_HT","CSD","MA_QH","MNC")</f>
        <v>0</v>
      </c>
      <c r="BD58" s="71">
        <f ca="1">+GETPIVOTDATA("XNT4",'nghiathanh (2016)'!$A$3,"MA_HT","CSD","MA_QH","PNK")</f>
        <v>0</v>
      </c>
      <c r="BE58" s="38" t="e">
        <f ca="1">$D58-$BF58</f>
        <v>#REF!</v>
      </c>
      <c r="BF58" s="74">
        <f ca="1">R58+E58</f>
        <v>0</v>
      </c>
      <c r="BG58" s="119">
        <f ca="1">BE$59-$BF58</f>
        <v>0</v>
      </c>
      <c r="BH58" s="41" t="e">
        <f ca="1" t="shared" si="14"/>
        <v>#REF!</v>
      </c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</row>
    <row r="59" s="2" customFormat="1" ht="13.5" spans="1:246">
      <c r="A59" s="72"/>
      <c r="B59" s="72" t="s">
        <v>8436</v>
      </c>
      <c r="C59" s="73"/>
      <c r="D59" s="74"/>
      <c r="E59" s="75">
        <f ca="1">E58+E19</f>
        <v>0</v>
      </c>
      <c r="F59" s="74">
        <f ca="1" t="shared" ref="F59:Q59" si="22">F58+F19+F6</f>
        <v>0</v>
      </c>
      <c r="G59" s="74">
        <f ca="1" t="shared" si="22"/>
        <v>0</v>
      </c>
      <c r="H59" s="74">
        <f ca="1" t="shared" si="22"/>
        <v>0</v>
      </c>
      <c r="I59" s="74">
        <f ca="1" t="shared" si="22"/>
        <v>0</v>
      </c>
      <c r="J59" s="74">
        <f ca="1" t="shared" si="22"/>
        <v>0</v>
      </c>
      <c r="K59" s="74">
        <f ca="1" t="shared" si="22"/>
        <v>0</v>
      </c>
      <c r="L59" s="74">
        <f ca="1" t="shared" si="22"/>
        <v>0</v>
      </c>
      <c r="M59" s="74">
        <f ca="1" t="shared" si="22"/>
        <v>0</v>
      </c>
      <c r="N59" s="74">
        <f ca="1" t="shared" si="22"/>
        <v>0</v>
      </c>
      <c r="O59" s="74">
        <f ca="1" t="shared" si="22"/>
        <v>0</v>
      </c>
      <c r="P59" s="74">
        <f ca="1" t="shared" si="22"/>
        <v>0</v>
      </c>
      <c r="Q59" s="74">
        <f ca="1" t="shared" si="22"/>
        <v>0</v>
      </c>
      <c r="R59" s="75">
        <f ca="1">+R58+R6</f>
        <v>0</v>
      </c>
      <c r="S59" s="74">
        <f ca="1" t="shared" ref="S59:BD59" si="23">S58+S19+S6</f>
        <v>0</v>
      </c>
      <c r="T59" s="74">
        <f ca="1" t="shared" si="23"/>
        <v>0</v>
      </c>
      <c r="U59" s="74">
        <f ca="1" t="shared" si="23"/>
        <v>0</v>
      </c>
      <c r="V59" s="74">
        <f ca="1" t="shared" si="23"/>
        <v>0</v>
      </c>
      <c r="W59" s="74">
        <f ca="1" t="shared" si="23"/>
        <v>0</v>
      </c>
      <c r="X59" s="74">
        <f ca="1" t="shared" si="23"/>
        <v>0</v>
      </c>
      <c r="Y59" s="74">
        <f ca="1" t="shared" si="23"/>
        <v>0</v>
      </c>
      <c r="Z59" s="74">
        <f ca="1" t="shared" si="23"/>
        <v>0</v>
      </c>
      <c r="AA59" s="74">
        <f ca="1" t="shared" si="23"/>
        <v>0</v>
      </c>
      <c r="AB59" s="74">
        <f ca="1" t="shared" si="23"/>
        <v>0</v>
      </c>
      <c r="AC59" s="74">
        <f ca="1" t="shared" si="23"/>
        <v>0</v>
      </c>
      <c r="AD59" s="74">
        <f ca="1" t="shared" si="23"/>
        <v>0</v>
      </c>
      <c r="AE59" s="74">
        <f ca="1" t="shared" si="23"/>
        <v>0</v>
      </c>
      <c r="AF59" s="74">
        <f ca="1" t="shared" si="23"/>
        <v>0</v>
      </c>
      <c r="AG59" s="74">
        <f ca="1" t="shared" si="23"/>
        <v>0</v>
      </c>
      <c r="AH59" s="74">
        <f ca="1" t="shared" si="23"/>
        <v>0</v>
      </c>
      <c r="AI59" s="74">
        <f ca="1" t="shared" si="23"/>
        <v>0</v>
      </c>
      <c r="AJ59" s="74">
        <f ca="1" t="shared" si="23"/>
        <v>0</v>
      </c>
      <c r="AK59" s="74">
        <f ca="1" t="shared" si="23"/>
        <v>0</v>
      </c>
      <c r="AL59" s="74">
        <f ca="1" t="shared" si="23"/>
        <v>0</v>
      </c>
      <c r="AM59" s="74">
        <f ca="1" t="shared" si="23"/>
        <v>0</v>
      </c>
      <c r="AN59" s="74">
        <f ca="1" t="shared" si="23"/>
        <v>0</v>
      </c>
      <c r="AO59" s="74">
        <f ca="1" t="shared" si="23"/>
        <v>0</v>
      </c>
      <c r="AP59" s="74">
        <f ca="1" t="shared" si="23"/>
        <v>0</v>
      </c>
      <c r="AQ59" s="74">
        <f ca="1" t="shared" si="23"/>
        <v>0</v>
      </c>
      <c r="AR59" s="74">
        <f ca="1" t="shared" si="23"/>
        <v>0</v>
      </c>
      <c r="AS59" s="74">
        <f ca="1" t="shared" si="23"/>
        <v>0</v>
      </c>
      <c r="AT59" s="74">
        <f ca="1" t="shared" si="23"/>
        <v>0</v>
      </c>
      <c r="AU59" s="74">
        <f ca="1" t="shared" si="23"/>
        <v>0</v>
      </c>
      <c r="AV59" s="74">
        <f ca="1" t="shared" si="23"/>
        <v>0</v>
      </c>
      <c r="AW59" s="74">
        <f ca="1" t="shared" si="23"/>
        <v>0</v>
      </c>
      <c r="AX59" s="74">
        <f ca="1" t="shared" si="23"/>
        <v>0</v>
      </c>
      <c r="AY59" s="74">
        <f ca="1" t="shared" si="23"/>
        <v>0</v>
      </c>
      <c r="AZ59" s="74">
        <f ca="1" t="shared" si="23"/>
        <v>0</v>
      </c>
      <c r="BA59" s="75">
        <f ca="1" t="shared" si="23"/>
        <v>0</v>
      </c>
      <c r="BB59" s="74">
        <f ca="1" t="shared" si="23"/>
        <v>0</v>
      </c>
      <c r="BC59" s="74">
        <f ca="1" t="shared" si="23"/>
        <v>0</v>
      </c>
      <c r="BD59" s="74">
        <f ca="1" t="shared" si="23"/>
        <v>0</v>
      </c>
      <c r="BE59" s="120">
        <f ca="1">BE19+BE6</f>
        <v>0</v>
      </c>
      <c r="BF59" s="74"/>
      <c r="BG59" s="74"/>
      <c r="BH59" s="74"/>
      <c r="BI59" s="121"/>
      <c r="BJ59" s="121"/>
      <c r="BK59" s="121"/>
      <c r="BL59" s="1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3"/>
      <c r="CB59" s="123"/>
      <c r="CC59" s="124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</row>
    <row r="61" spans="61:76"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</row>
  </sheetData>
  <mergeCells count="3">
    <mergeCell ref="A3:A4"/>
    <mergeCell ref="B3:B4"/>
    <mergeCell ref="C3:C4"/>
  </mergeCells>
  <pageMargins left="0.65" right="0" top="0.5" bottom="0.25" header="0.5" footer="0.5"/>
  <pageSetup paperSize="8" orientation="landscape" horizontalDpi="360" verticalDpi="36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6">
    <tabColor rgb="FFFF0000"/>
  </sheetPr>
  <dimension ref="A3:BD59"/>
  <sheetViews>
    <sheetView workbookViewId="0">
      <selection activeCell="A1" sqref="A1"/>
    </sheetView>
  </sheetViews>
  <sheetFormatPr defaultColWidth="9" defaultRowHeight="14.25"/>
  <cols>
    <col min="1" max="1" width="12" customWidth="1"/>
    <col min="2" max="55" width="9.125" customWidth="1"/>
    <col min="56" max="56" width="10.375" customWidth="1"/>
  </cols>
  <sheetData>
    <row r="3" spans="1:56">
      <c r="A3" s="125" t="s">
        <v>8280</v>
      </c>
      <c r="B3" s="125" t="s">
        <v>8281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36"/>
    </row>
    <row r="4" spans="1:56">
      <c r="A4" s="125" t="s">
        <v>8282</v>
      </c>
      <c r="B4" s="125" t="s">
        <v>8283</v>
      </c>
      <c r="C4" s="127" t="s">
        <v>30</v>
      </c>
      <c r="D4" s="127" t="s">
        <v>31</v>
      </c>
      <c r="E4" s="127" t="s">
        <v>8284</v>
      </c>
      <c r="F4" s="127" t="s">
        <v>8285</v>
      </c>
      <c r="G4" s="127" t="s">
        <v>178</v>
      </c>
      <c r="H4" s="127" t="s">
        <v>8286</v>
      </c>
      <c r="I4" s="127" t="s">
        <v>8287</v>
      </c>
      <c r="J4" s="127" t="s">
        <v>165</v>
      </c>
      <c r="K4" s="127" t="s">
        <v>94</v>
      </c>
      <c r="L4" s="127" t="s">
        <v>8288</v>
      </c>
      <c r="M4" s="127" t="s">
        <v>8289</v>
      </c>
      <c r="N4" s="127" t="s">
        <v>8290</v>
      </c>
      <c r="O4" s="127" t="s">
        <v>71</v>
      </c>
      <c r="P4" s="127" t="s">
        <v>8291</v>
      </c>
      <c r="Q4" s="127" t="s">
        <v>8292</v>
      </c>
      <c r="R4" s="127" t="s">
        <v>216</v>
      </c>
      <c r="S4" s="127" t="s">
        <v>8293</v>
      </c>
      <c r="T4" s="127" t="s">
        <v>8294</v>
      </c>
      <c r="U4" s="127" t="s">
        <v>212</v>
      </c>
      <c r="V4" s="127" t="s">
        <v>8295</v>
      </c>
      <c r="W4" s="127" t="s">
        <v>8296</v>
      </c>
      <c r="X4" s="127" t="s">
        <v>2492</v>
      </c>
      <c r="Y4" s="127" t="s">
        <v>8297</v>
      </c>
      <c r="Z4" s="127" t="s">
        <v>8298</v>
      </c>
      <c r="AA4" s="127" t="s">
        <v>8299</v>
      </c>
      <c r="AB4" s="127" t="s">
        <v>221</v>
      </c>
      <c r="AC4" s="127" t="s">
        <v>8300</v>
      </c>
      <c r="AD4" s="127" t="s">
        <v>8301</v>
      </c>
      <c r="AE4" s="127" t="s">
        <v>8302</v>
      </c>
      <c r="AF4" s="127" t="s">
        <v>553</v>
      </c>
      <c r="AG4" s="127" t="s">
        <v>8303</v>
      </c>
      <c r="AH4" s="127" t="s">
        <v>182</v>
      </c>
      <c r="AI4" s="127" t="s">
        <v>318</v>
      </c>
      <c r="AJ4" s="127" t="s">
        <v>201</v>
      </c>
      <c r="AK4" s="127" t="s">
        <v>188</v>
      </c>
      <c r="AL4" s="127" t="s">
        <v>59</v>
      </c>
      <c r="AM4" s="127" t="s">
        <v>8304</v>
      </c>
      <c r="AN4" s="127" t="s">
        <v>8305</v>
      </c>
      <c r="AO4" s="127" t="s">
        <v>8306</v>
      </c>
      <c r="AP4" s="127" t="s">
        <v>8307</v>
      </c>
      <c r="AQ4" s="127" t="s">
        <v>204</v>
      </c>
      <c r="AR4" s="127" t="s">
        <v>47</v>
      </c>
      <c r="AS4" s="127" t="s">
        <v>56</v>
      </c>
      <c r="AT4" s="127" t="s">
        <v>174</v>
      </c>
      <c r="AU4" s="127" t="s">
        <v>8308</v>
      </c>
      <c r="AV4" s="127" t="s">
        <v>236</v>
      </c>
      <c r="AW4" s="127" t="s">
        <v>8309</v>
      </c>
      <c r="AX4" s="127" t="s">
        <v>8310</v>
      </c>
      <c r="AY4" s="127" t="s">
        <v>265</v>
      </c>
      <c r="AZ4" s="127" t="s">
        <v>324</v>
      </c>
      <c r="BA4" s="127" t="s">
        <v>336</v>
      </c>
      <c r="BB4" s="127" t="s">
        <v>8311</v>
      </c>
      <c r="BC4" s="127" t="s">
        <v>8312</v>
      </c>
      <c r="BD4" s="137" t="s">
        <v>8313</v>
      </c>
    </row>
    <row r="5" spans="1:56">
      <c r="A5" s="125" t="s">
        <v>8283</v>
      </c>
      <c r="B5" s="128">
        <v>0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38">
        <v>0</v>
      </c>
    </row>
    <row r="6" spans="1:56">
      <c r="A6" s="130" t="s">
        <v>30</v>
      </c>
      <c r="B6" s="131"/>
      <c r="C6" s="132">
        <v>0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9">
        <v>0</v>
      </c>
    </row>
    <row r="7" spans="1:56">
      <c r="A7" s="130" t="s">
        <v>31</v>
      </c>
      <c r="B7" s="131"/>
      <c r="C7" s="132"/>
      <c r="D7" s="132">
        <v>0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9">
        <v>0</v>
      </c>
    </row>
    <row r="8" spans="1:56">
      <c r="A8" s="130" t="s">
        <v>8284</v>
      </c>
      <c r="B8" s="131"/>
      <c r="C8" s="132"/>
      <c r="D8" s="132"/>
      <c r="E8" s="132">
        <v>0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9">
        <v>0</v>
      </c>
    </row>
    <row r="9" spans="1:56">
      <c r="A9" s="130" t="s">
        <v>8285</v>
      </c>
      <c r="B9" s="131"/>
      <c r="C9" s="132"/>
      <c r="D9" s="132"/>
      <c r="E9" s="132"/>
      <c r="F9" s="132">
        <v>0</v>
      </c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9">
        <v>0</v>
      </c>
    </row>
    <row r="10" spans="1:56">
      <c r="A10" s="130" t="s">
        <v>178</v>
      </c>
      <c r="B10" s="131"/>
      <c r="C10" s="132"/>
      <c r="D10" s="132"/>
      <c r="E10" s="132"/>
      <c r="F10" s="132"/>
      <c r="G10" s="132">
        <v>0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9">
        <v>0</v>
      </c>
    </row>
    <row r="11" spans="1:56">
      <c r="A11" s="130" t="s">
        <v>8286</v>
      </c>
      <c r="B11" s="131"/>
      <c r="C11" s="132"/>
      <c r="D11" s="132"/>
      <c r="E11" s="132"/>
      <c r="F11" s="132"/>
      <c r="G11" s="132"/>
      <c r="H11" s="132">
        <v>0</v>
      </c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9">
        <v>0</v>
      </c>
    </row>
    <row r="12" spans="1:56">
      <c r="A12" s="130" t="s">
        <v>8287</v>
      </c>
      <c r="B12" s="131"/>
      <c r="C12" s="132"/>
      <c r="D12" s="132"/>
      <c r="E12" s="132"/>
      <c r="F12" s="132"/>
      <c r="G12" s="132"/>
      <c r="H12" s="132"/>
      <c r="I12" s="132"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9">
        <v>0</v>
      </c>
    </row>
    <row r="13" spans="1:56">
      <c r="A13" s="130" t="s">
        <v>165</v>
      </c>
      <c r="B13" s="131"/>
      <c r="C13" s="132"/>
      <c r="D13" s="132"/>
      <c r="E13" s="132"/>
      <c r="F13" s="132"/>
      <c r="G13" s="132"/>
      <c r="H13" s="132"/>
      <c r="I13" s="132"/>
      <c r="J13" s="132"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9">
        <v>0</v>
      </c>
    </row>
    <row r="14" spans="1:56">
      <c r="A14" s="130" t="s">
        <v>94</v>
      </c>
      <c r="B14" s="131"/>
      <c r="C14" s="132"/>
      <c r="D14" s="132"/>
      <c r="E14" s="132"/>
      <c r="F14" s="132"/>
      <c r="G14" s="132"/>
      <c r="H14" s="132"/>
      <c r="I14" s="132"/>
      <c r="J14" s="132"/>
      <c r="K14" s="132">
        <v>0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9">
        <v>0</v>
      </c>
    </row>
    <row r="15" spans="1:56">
      <c r="A15" s="130" t="s">
        <v>8288</v>
      </c>
      <c r="B15" s="131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0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9">
        <v>0</v>
      </c>
    </row>
    <row r="16" spans="1:56">
      <c r="A16" s="130" t="s">
        <v>8289</v>
      </c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>
        <v>0</v>
      </c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9">
        <v>0</v>
      </c>
    </row>
    <row r="17" spans="1:56">
      <c r="A17" s="130" t="s">
        <v>8290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>
        <v>0</v>
      </c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9">
        <v>0</v>
      </c>
    </row>
    <row r="18" spans="1:56">
      <c r="A18" s="130" t="s">
        <v>71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9">
        <v>0</v>
      </c>
    </row>
    <row r="19" spans="1:56">
      <c r="A19" s="130" t="s">
        <v>8291</v>
      </c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>
        <v>0</v>
      </c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9">
        <v>0</v>
      </c>
    </row>
    <row r="20" spans="1:56">
      <c r="A20" s="130" t="s">
        <v>8292</v>
      </c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>
        <v>0</v>
      </c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9">
        <v>0</v>
      </c>
    </row>
    <row r="21" spans="1:56">
      <c r="A21" s="130" t="s">
        <v>216</v>
      </c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>
        <v>0</v>
      </c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9">
        <v>0</v>
      </c>
    </row>
    <row r="22" spans="1:56">
      <c r="A22" s="130" t="s">
        <v>8293</v>
      </c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>
        <v>0</v>
      </c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9">
        <v>0</v>
      </c>
    </row>
    <row r="23" spans="1:56">
      <c r="A23" s="130" t="s">
        <v>8294</v>
      </c>
      <c r="B23" s="13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>
        <v>0</v>
      </c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9">
        <v>0</v>
      </c>
    </row>
    <row r="24" spans="1:56">
      <c r="A24" s="130" t="s">
        <v>212</v>
      </c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0</v>
      </c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9">
        <v>0</v>
      </c>
    </row>
    <row r="25" spans="1:56">
      <c r="A25" s="130" t="s">
        <v>8295</v>
      </c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>
        <v>0</v>
      </c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9">
        <v>0</v>
      </c>
    </row>
    <row r="26" spans="1:56">
      <c r="A26" s="130" t="s">
        <v>8296</v>
      </c>
      <c r="B26" s="13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9">
        <v>0</v>
      </c>
    </row>
    <row r="27" spans="1:56">
      <c r="A27" s="130" t="s">
        <v>2492</v>
      </c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>
        <v>0</v>
      </c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9">
        <v>0</v>
      </c>
    </row>
    <row r="28" spans="1:56">
      <c r="A28" s="130" t="s">
        <v>8297</v>
      </c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9">
        <v>0</v>
      </c>
    </row>
    <row r="29" spans="1:56">
      <c r="A29" s="130" t="s">
        <v>8298</v>
      </c>
      <c r="B29" s="13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>
        <v>0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9">
        <v>0</v>
      </c>
    </row>
    <row r="30" spans="1:56">
      <c r="A30" s="130" t="s">
        <v>8299</v>
      </c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>
        <v>0</v>
      </c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9">
        <v>0</v>
      </c>
    </row>
    <row r="31" spans="1:56">
      <c r="A31" s="130" t="s">
        <v>221</v>
      </c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>
        <v>0</v>
      </c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9">
        <v>0</v>
      </c>
    </row>
    <row r="32" spans="1:56">
      <c r="A32" s="130" t="s">
        <v>8300</v>
      </c>
      <c r="B32" s="13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>
        <v>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9">
        <v>0</v>
      </c>
    </row>
    <row r="33" spans="1:56">
      <c r="A33" s="130" t="s">
        <v>8301</v>
      </c>
      <c r="B33" s="13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>
        <v>0</v>
      </c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9">
        <v>0</v>
      </c>
    </row>
    <row r="34" spans="1:56">
      <c r="A34" s="130" t="s">
        <v>8302</v>
      </c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>
        <v>0</v>
      </c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9">
        <v>0</v>
      </c>
    </row>
    <row r="35" spans="1:56">
      <c r="A35" s="130" t="s">
        <v>553</v>
      </c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>
        <v>0</v>
      </c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9">
        <v>0</v>
      </c>
    </row>
    <row r="36" spans="1:56">
      <c r="A36" s="130" t="s">
        <v>8303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>
        <v>0</v>
      </c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9">
        <v>0</v>
      </c>
    </row>
    <row r="37" spans="1:56">
      <c r="A37" s="130" t="s">
        <v>182</v>
      </c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>
        <v>0</v>
      </c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9">
        <v>0</v>
      </c>
    </row>
    <row r="38" spans="1:56">
      <c r="A38" s="130" t="s">
        <v>318</v>
      </c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>
        <v>0</v>
      </c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9">
        <v>0</v>
      </c>
    </row>
    <row r="39" spans="1:56">
      <c r="A39" s="130" t="s">
        <v>201</v>
      </c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>
        <v>0</v>
      </c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9">
        <v>0</v>
      </c>
    </row>
    <row r="40" spans="1:56">
      <c r="A40" s="130" t="s">
        <v>188</v>
      </c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>
        <v>0</v>
      </c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9">
        <v>0</v>
      </c>
    </row>
    <row r="41" spans="1:56">
      <c r="A41" s="130" t="s">
        <v>59</v>
      </c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>
        <v>0</v>
      </c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9">
        <v>0</v>
      </c>
    </row>
    <row r="42" spans="1:56">
      <c r="A42" s="130" t="s">
        <v>8304</v>
      </c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>
        <v>0</v>
      </c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9">
        <v>0</v>
      </c>
    </row>
    <row r="43" spans="1:56">
      <c r="A43" s="130" t="s">
        <v>8305</v>
      </c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9">
        <v>0</v>
      </c>
    </row>
    <row r="44" spans="1:56">
      <c r="A44" s="130" t="s">
        <v>8306</v>
      </c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9">
        <v>0</v>
      </c>
    </row>
    <row r="45" spans="1:56">
      <c r="A45" s="130" t="s">
        <v>8307</v>
      </c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>
        <v>0</v>
      </c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9">
        <v>0</v>
      </c>
    </row>
    <row r="46" spans="1:56">
      <c r="A46" s="130" t="s">
        <v>204</v>
      </c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>
        <v>0</v>
      </c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9">
        <v>0</v>
      </c>
    </row>
    <row r="47" spans="1:56">
      <c r="A47" s="130" t="s">
        <v>47</v>
      </c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>
        <v>0</v>
      </c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9">
        <v>0</v>
      </c>
    </row>
    <row r="48" spans="1:56">
      <c r="A48" s="130" t="s">
        <v>56</v>
      </c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>
        <v>0</v>
      </c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9">
        <v>0</v>
      </c>
    </row>
    <row r="49" spans="1:56">
      <c r="A49" s="130" t="s">
        <v>174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>
        <v>0</v>
      </c>
      <c r="AU49" s="132"/>
      <c r="AV49" s="132"/>
      <c r="AW49" s="132"/>
      <c r="AX49" s="132"/>
      <c r="AY49" s="132"/>
      <c r="AZ49" s="132"/>
      <c r="BA49" s="132"/>
      <c r="BB49" s="132"/>
      <c r="BC49" s="132"/>
      <c r="BD49" s="139">
        <v>0</v>
      </c>
    </row>
    <row r="50" spans="1:56">
      <c r="A50" s="130" t="s">
        <v>8308</v>
      </c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>
        <v>0</v>
      </c>
      <c r="AV50" s="132"/>
      <c r="AW50" s="132"/>
      <c r="AX50" s="132"/>
      <c r="AY50" s="132"/>
      <c r="AZ50" s="132"/>
      <c r="BA50" s="132"/>
      <c r="BB50" s="132"/>
      <c r="BC50" s="132"/>
      <c r="BD50" s="139">
        <v>0</v>
      </c>
    </row>
    <row r="51" spans="1:56">
      <c r="A51" s="130" t="s">
        <v>236</v>
      </c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>
        <v>0</v>
      </c>
      <c r="AW51" s="132"/>
      <c r="AX51" s="132"/>
      <c r="AY51" s="132"/>
      <c r="AZ51" s="132"/>
      <c r="BA51" s="132"/>
      <c r="BB51" s="132"/>
      <c r="BC51" s="132"/>
      <c r="BD51" s="139">
        <v>0</v>
      </c>
    </row>
    <row r="52" spans="1:56">
      <c r="A52" s="130" t="s">
        <v>8309</v>
      </c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>
        <v>0</v>
      </c>
      <c r="AX52" s="132"/>
      <c r="AY52" s="132"/>
      <c r="AZ52" s="132"/>
      <c r="BA52" s="132"/>
      <c r="BB52" s="132"/>
      <c r="BC52" s="132"/>
      <c r="BD52" s="139">
        <v>0</v>
      </c>
    </row>
    <row r="53" spans="1:56">
      <c r="A53" s="130" t="s">
        <v>8310</v>
      </c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>
        <v>0</v>
      </c>
      <c r="AY53" s="132"/>
      <c r="AZ53" s="132"/>
      <c r="BA53" s="132"/>
      <c r="BB53" s="132"/>
      <c r="BC53" s="132"/>
      <c r="BD53" s="139">
        <v>0</v>
      </c>
    </row>
    <row r="54" spans="1:56">
      <c r="A54" s="130" t="s">
        <v>265</v>
      </c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>
        <v>0</v>
      </c>
      <c r="AZ54" s="132"/>
      <c r="BA54" s="132"/>
      <c r="BB54" s="132"/>
      <c r="BC54" s="132"/>
      <c r="BD54" s="139">
        <v>0</v>
      </c>
    </row>
    <row r="55" spans="1:56">
      <c r="A55" s="130" t="s">
        <v>324</v>
      </c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>
        <v>0</v>
      </c>
      <c r="BA55" s="132"/>
      <c r="BB55" s="132"/>
      <c r="BC55" s="132"/>
      <c r="BD55" s="139">
        <v>0</v>
      </c>
    </row>
    <row r="56" spans="1:56">
      <c r="A56" s="130" t="s">
        <v>336</v>
      </c>
      <c r="B56" s="13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>
        <v>0</v>
      </c>
      <c r="BB56" s="132"/>
      <c r="BC56" s="132"/>
      <c r="BD56" s="139">
        <v>0</v>
      </c>
    </row>
    <row r="57" spans="1:56">
      <c r="A57" s="130" t="s">
        <v>8311</v>
      </c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>
        <v>0</v>
      </c>
      <c r="BC57" s="132"/>
      <c r="BD57" s="139">
        <v>0</v>
      </c>
    </row>
    <row r="58" spans="1:56">
      <c r="A58" s="130" t="s">
        <v>8312</v>
      </c>
      <c r="B58" s="13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>
        <v>0</v>
      </c>
      <c r="BD58" s="139">
        <v>0</v>
      </c>
    </row>
    <row r="59" spans="1:56">
      <c r="A59" s="133" t="s">
        <v>8313</v>
      </c>
      <c r="B59" s="134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40">
        <v>0</v>
      </c>
    </row>
  </sheetData>
  <pageMargins left="0.7" right="0.7" top="0.75" bottom="0.75" header="0.3" footer="0.3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9">
    <tabColor rgb="FFFF0000"/>
  </sheetPr>
  <dimension ref="A1:IL61"/>
  <sheetViews>
    <sheetView workbookViewId="0">
      <selection activeCell="A1" sqref="A1"/>
    </sheetView>
  </sheetViews>
  <sheetFormatPr defaultColWidth="9" defaultRowHeight="15"/>
  <cols>
    <col min="1" max="1" width="6.375" style="7" customWidth="1"/>
    <col min="2" max="2" width="29.125" style="7" customWidth="1"/>
    <col min="3" max="3" width="6" style="7" customWidth="1"/>
    <col min="4" max="4" width="9.75" style="8" customWidth="1"/>
    <col min="5" max="5" width="9.375" style="9" customWidth="1"/>
    <col min="6" max="6" width="7" style="8" customWidth="1"/>
    <col min="7" max="7" width="7.75" style="8" customWidth="1"/>
    <col min="8" max="8" width="7" style="8" customWidth="1"/>
    <col min="9" max="9" width="6.875" style="8" customWidth="1"/>
    <col min="10" max="10" width="7.625" style="8" customWidth="1"/>
    <col min="11" max="11" width="9.125" style="8" customWidth="1"/>
    <col min="12" max="12" width="8.25" style="8" customWidth="1"/>
    <col min="13" max="13" width="6" style="8" customWidth="1"/>
    <col min="14" max="14" width="6.25" style="8" customWidth="1"/>
    <col min="15" max="15" width="5.875" style="8" customWidth="1"/>
    <col min="16" max="16" width="5.75" style="8" customWidth="1"/>
    <col min="17" max="17" width="6.25" style="8" customWidth="1"/>
    <col min="18" max="18" width="8.75" style="10" customWidth="1"/>
    <col min="19" max="19" width="7.125" style="8" customWidth="1"/>
    <col min="20" max="20" width="7.75" style="8" customWidth="1"/>
    <col min="21" max="23" width="6.125" style="8" customWidth="1"/>
    <col min="24" max="24" width="7.125" style="8" customWidth="1"/>
    <col min="25" max="25" width="7.75" style="8" customWidth="1"/>
    <col min="26" max="26" width="6.875" style="8" customWidth="1"/>
    <col min="27" max="27" width="7.375" style="8" customWidth="1"/>
    <col min="28" max="28" width="9" style="8"/>
    <col min="29" max="29" width="7.25" style="8" customWidth="1"/>
    <col min="30" max="30" width="7" style="8" customWidth="1"/>
    <col min="31" max="31" width="6.125" style="8" customWidth="1"/>
    <col min="32" max="33" width="6.625" style="8" customWidth="1"/>
    <col min="34" max="34" width="6.125" style="8" customWidth="1"/>
    <col min="35" max="35" width="8.5" style="8" customWidth="1"/>
    <col min="36" max="36" width="8.875" style="8" customWidth="1"/>
    <col min="37" max="37" width="8.75" style="8" customWidth="1"/>
    <col min="38" max="39" width="6.625" style="8" customWidth="1"/>
    <col min="40" max="41" width="6.875" style="8" customWidth="1"/>
    <col min="42" max="42" width="6.75" style="8" customWidth="1"/>
    <col min="43" max="43" width="6.375" style="8" customWidth="1"/>
    <col min="44" max="44" width="6.125" style="8" customWidth="1"/>
    <col min="45" max="46" width="5.75" style="8" customWidth="1"/>
    <col min="47" max="47" width="6.5" style="8" customWidth="1"/>
    <col min="48" max="49" width="5.625" style="8" customWidth="1"/>
    <col min="50" max="51" width="6.125" style="8" customWidth="1"/>
    <col min="52" max="52" width="7.625" style="8" customWidth="1"/>
    <col min="53" max="53" width="9.375" style="11" customWidth="1"/>
    <col min="54" max="54" width="6.625" style="12" customWidth="1"/>
    <col min="55" max="55" width="6.25" style="12" customWidth="1"/>
    <col min="56" max="56" width="7.125" style="8" customWidth="1"/>
    <col min="57" max="57" width="6.25" style="9" customWidth="1"/>
    <col min="58" max="58" width="7.25" style="11" customWidth="1"/>
    <col min="59" max="59" width="8.25" style="11" customWidth="1"/>
    <col min="60" max="60" width="10.125" style="11" customWidth="1"/>
    <col min="61" max="61" width="5.125" style="7" customWidth="1"/>
    <col min="62" max="62" width="8.375" style="7" hidden="1" customWidth="1"/>
    <col min="63" max="63" width="9" style="7" hidden="1" customWidth="1"/>
    <col min="64" max="64" width="4.875" style="7" customWidth="1"/>
    <col min="65" max="65" width="6.25" style="7" customWidth="1"/>
    <col min="66" max="66" width="5" style="7" customWidth="1"/>
    <col min="67" max="67" width="4.25" style="7" customWidth="1"/>
    <col min="68" max="68" width="5.375" style="7" customWidth="1"/>
    <col min="69" max="69" width="5.125" style="7" customWidth="1"/>
    <col min="70" max="70" width="4.625" style="7" customWidth="1"/>
    <col min="71" max="71" width="5.625" style="7" customWidth="1"/>
    <col min="72" max="72" width="5.875" style="7" customWidth="1"/>
    <col min="73" max="73" width="5" style="7" customWidth="1"/>
    <col min="74" max="74" width="3.875" style="7" customWidth="1"/>
    <col min="75" max="75" width="4.625" style="7" customWidth="1"/>
    <col min="76" max="76" width="5.5" style="7" customWidth="1"/>
    <col min="77" max="77" width="7.625" style="13" customWidth="1"/>
    <col min="78" max="79" width="8.375" style="13" customWidth="1"/>
    <col min="80" max="80" width="7.5" style="7" customWidth="1"/>
    <col min="81" max="16384" width="9" style="7"/>
  </cols>
  <sheetData>
    <row r="1" ht="21" customHeight="1" spans="1:82">
      <c r="A1" s="14" t="s">
        <v>8330</v>
      </c>
      <c r="B1" s="15"/>
      <c r="C1" s="16" t="e">
        <f>+"CHU CHUYỂN ĐẤT ĐAI TRONG KẾ HOẠCH SỬ DỤNG ĐẤT NĂM 2015 CỦA "&amp;#REF!</f>
        <v>#REF!</v>
      </c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83"/>
      <c r="BC1" s="83"/>
      <c r="BD1" s="18"/>
      <c r="BE1" s="18"/>
      <c r="BF1" s="18"/>
      <c r="BG1" s="18"/>
      <c r="BH1" s="18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7"/>
      <c r="BZ1" s="7"/>
      <c r="CA1" s="7"/>
      <c r="CB1" s="8"/>
      <c r="CC1" s="8"/>
      <c r="CD1" s="8"/>
    </row>
    <row r="2" s="1" customFormat="1" ht="7.5" customHeight="1" spans="1:82">
      <c r="A2" s="1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9"/>
      <c r="BA2" s="20"/>
      <c r="BB2" s="84"/>
      <c r="BC2" s="84"/>
      <c r="BD2" s="20"/>
      <c r="BE2" s="20"/>
      <c r="BF2" s="20"/>
      <c r="BG2" s="20"/>
      <c r="BH2" s="95" t="s">
        <v>8331</v>
      </c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CB2" s="9"/>
      <c r="CC2" s="9"/>
      <c r="CD2" s="9"/>
    </row>
    <row r="3" s="2" customFormat="1" ht="15.75" customHeight="1" spans="1:79">
      <c r="A3" s="21" t="s">
        <v>3</v>
      </c>
      <c r="B3" s="21" t="s">
        <v>8332</v>
      </c>
      <c r="C3" s="21" t="s">
        <v>8333</v>
      </c>
      <c r="D3" s="22"/>
      <c r="E3" s="23" t="s">
        <v>8334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7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85"/>
      <c r="BC3" s="85"/>
      <c r="BD3" s="24"/>
      <c r="BE3" s="97"/>
      <c r="BF3" s="22"/>
      <c r="BG3" s="22"/>
      <c r="BH3" s="22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</row>
    <row r="4" s="2" customFormat="1" ht="31.5" customHeight="1" spans="1:79">
      <c r="A4" s="25"/>
      <c r="B4" s="25"/>
      <c r="C4" s="25"/>
      <c r="D4" s="26" t="s">
        <v>8335</v>
      </c>
      <c r="E4" s="27" t="s">
        <v>8303</v>
      </c>
      <c r="F4" s="28" t="s">
        <v>8298</v>
      </c>
      <c r="G4" s="29" t="s">
        <v>8299</v>
      </c>
      <c r="H4" s="29" t="s">
        <v>221</v>
      </c>
      <c r="I4" s="29" t="s">
        <v>8300</v>
      </c>
      <c r="J4" s="28" t="s">
        <v>2492</v>
      </c>
      <c r="K4" s="28" t="s">
        <v>30</v>
      </c>
      <c r="L4" s="28" t="s">
        <v>8307</v>
      </c>
      <c r="M4" s="28" t="s">
        <v>8306</v>
      </c>
      <c r="N4" s="28" t="s">
        <v>8305</v>
      </c>
      <c r="O4" s="76" t="s">
        <v>318</v>
      </c>
      <c r="P4" s="28" t="s">
        <v>8297</v>
      </c>
      <c r="Q4" s="28" t="s">
        <v>553</v>
      </c>
      <c r="R4" s="37" t="s">
        <v>8304</v>
      </c>
      <c r="S4" s="40" t="s">
        <v>31</v>
      </c>
      <c r="T4" s="40" t="s">
        <v>8283</v>
      </c>
      <c r="U4" s="40" t="s">
        <v>47</v>
      </c>
      <c r="V4" s="40" t="s">
        <v>8308</v>
      </c>
      <c r="W4" s="40" t="s">
        <v>56</v>
      </c>
      <c r="X4" s="40" t="s">
        <v>265</v>
      </c>
      <c r="Y4" s="40" t="s">
        <v>204</v>
      </c>
      <c r="Z4" s="40" t="s">
        <v>174</v>
      </c>
      <c r="AA4" s="40" t="s">
        <v>8288</v>
      </c>
      <c r="AB4" s="46" t="s">
        <v>94</v>
      </c>
      <c r="AC4" s="46" t="s">
        <v>216</v>
      </c>
      <c r="AD4" s="46" t="s">
        <v>71</v>
      </c>
      <c r="AE4" s="46" t="s">
        <v>8285</v>
      </c>
      <c r="AF4" s="46" t="s">
        <v>212</v>
      </c>
      <c r="AG4" s="46" t="s">
        <v>8296</v>
      </c>
      <c r="AH4" s="46" t="s">
        <v>165</v>
      </c>
      <c r="AI4" s="46" t="s">
        <v>8294</v>
      </c>
      <c r="AJ4" s="46" t="s">
        <v>8302</v>
      </c>
      <c r="AK4" s="46" t="s">
        <v>8295</v>
      </c>
      <c r="AL4" s="46" t="s">
        <v>178</v>
      </c>
      <c r="AM4" s="46" t="s">
        <v>8312</v>
      </c>
      <c r="AN4" s="40" t="s">
        <v>8287</v>
      </c>
      <c r="AO4" s="40" t="s">
        <v>8286</v>
      </c>
      <c r="AP4" s="40" t="s">
        <v>8291</v>
      </c>
      <c r="AQ4" s="40" t="s">
        <v>188</v>
      </c>
      <c r="AR4" s="40" t="s">
        <v>201</v>
      </c>
      <c r="AS4" s="40" t="s">
        <v>336</v>
      </c>
      <c r="AT4" s="40" t="s">
        <v>8293</v>
      </c>
      <c r="AU4" s="40" t="s">
        <v>8290</v>
      </c>
      <c r="AV4" s="40" t="s">
        <v>324</v>
      </c>
      <c r="AW4" s="40" t="s">
        <v>182</v>
      </c>
      <c r="AX4" s="40" t="s">
        <v>236</v>
      </c>
      <c r="AY4" s="40" t="s">
        <v>8292</v>
      </c>
      <c r="AZ4" s="40" t="s">
        <v>8289</v>
      </c>
      <c r="BA4" s="40" t="s">
        <v>8310</v>
      </c>
      <c r="BB4" s="40" t="s">
        <v>8309</v>
      </c>
      <c r="BC4" s="40" t="s">
        <v>8301</v>
      </c>
      <c r="BD4" s="40" t="s">
        <v>59</v>
      </c>
      <c r="BE4" s="27" t="s">
        <v>8284</v>
      </c>
      <c r="BF4" s="99" t="s">
        <v>8336</v>
      </c>
      <c r="BG4" s="100" t="s">
        <v>8337</v>
      </c>
      <c r="BH4" s="26" t="s">
        <v>8335</v>
      </c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</row>
    <row r="5" s="2" customFormat="1" ht="15.75" customHeight="1" spans="1:79">
      <c r="A5" s="30"/>
      <c r="B5" s="30" t="s">
        <v>8338</v>
      </c>
      <c r="C5" s="31"/>
      <c r="D5" s="32" t="e">
        <f>+#REF!</f>
        <v>#REF!</v>
      </c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86"/>
      <c r="BC5" s="86"/>
      <c r="BD5" s="34"/>
      <c r="BE5" s="33"/>
      <c r="BF5" s="34"/>
      <c r="BG5" s="34"/>
      <c r="BH5" s="34" t="e">
        <f ca="1">BH6+BH19+BH58</f>
        <v>#REF!</v>
      </c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</row>
    <row r="6" s="3" customFormat="1" ht="15.75" customHeight="1" spans="1:79">
      <c r="A6" s="35">
        <v>1</v>
      </c>
      <c r="B6" s="36" t="s">
        <v>8339</v>
      </c>
      <c r="C6" s="37" t="s">
        <v>8303</v>
      </c>
      <c r="D6" s="33" t="e">
        <f>+#REF!</f>
        <v>#REF!</v>
      </c>
      <c r="E6" s="38" t="e">
        <f ca="1">$D6-$BF6</f>
        <v>#REF!</v>
      </c>
      <c r="F6" s="33">
        <f ca="1">SUM(F11:F18)</f>
        <v>0</v>
      </c>
      <c r="G6" s="33">
        <f ca="1">SUM(G7,G11:G18)</f>
        <v>0</v>
      </c>
      <c r="H6" s="33">
        <f ca="1">SUM(H7,H11:H18)</f>
        <v>0</v>
      </c>
      <c r="I6" s="33">
        <f ca="1">SUM(I7,I11:I18)</f>
        <v>0</v>
      </c>
      <c r="J6" s="33">
        <f ca="1">SUM(J7,J12:J18)</f>
        <v>0</v>
      </c>
      <c r="K6" s="33">
        <f ca="1">SUM(K7,K11,K13:K18)</f>
        <v>0</v>
      </c>
      <c r="L6" s="33">
        <f ca="1">SUM(L7,L11:L12,L14:L18)</f>
        <v>0</v>
      </c>
      <c r="M6" s="33">
        <f ca="1">SUM(M7,M11:M13,M15:M18)</f>
        <v>0</v>
      </c>
      <c r="N6" s="33">
        <f ca="1">SUM(N7,N11:N14,N16:N18)</f>
        <v>0</v>
      </c>
      <c r="O6" s="33">
        <f ca="1">SUM(O7,O11:O15,O17:O18)</f>
        <v>0</v>
      </c>
      <c r="P6" s="33">
        <f ca="1">SUM(P7,P11:P16,P18:P18)</f>
        <v>0</v>
      </c>
      <c r="Q6" s="33">
        <f ca="1">SUM(Q7,Q11:Q17)</f>
        <v>0</v>
      </c>
      <c r="R6" s="33">
        <f ca="1">SUM(R7,R11:R18)</f>
        <v>0</v>
      </c>
      <c r="S6" s="33">
        <f ca="1">SUM(S7,S11:S18)</f>
        <v>0</v>
      </c>
      <c r="T6" s="33">
        <f ca="1" t="shared" ref="T6:BE6" si="0">SUM(T7,T11:T18)</f>
        <v>0</v>
      </c>
      <c r="U6" s="33">
        <f ca="1" t="shared" si="0"/>
        <v>0</v>
      </c>
      <c r="V6" s="33">
        <f ca="1" t="shared" si="0"/>
        <v>0</v>
      </c>
      <c r="W6" s="33">
        <f ca="1" t="shared" si="0"/>
        <v>0</v>
      </c>
      <c r="X6" s="33">
        <f ca="1" t="shared" si="0"/>
        <v>0</v>
      </c>
      <c r="Y6" s="33">
        <f ca="1" t="shared" si="0"/>
        <v>0</v>
      </c>
      <c r="Z6" s="33">
        <f ca="1" t="shared" si="0"/>
        <v>0</v>
      </c>
      <c r="AA6" s="33">
        <f ca="1" t="shared" si="0"/>
        <v>0</v>
      </c>
      <c r="AB6" s="33">
        <f ca="1" t="shared" si="0"/>
        <v>0</v>
      </c>
      <c r="AC6" s="33">
        <f ca="1" t="shared" si="0"/>
        <v>0</v>
      </c>
      <c r="AD6" s="33">
        <f ca="1" t="shared" si="0"/>
        <v>0</v>
      </c>
      <c r="AE6" s="33">
        <f ca="1" t="shared" si="0"/>
        <v>0</v>
      </c>
      <c r="AF6" s="33">
        <f ca="1" t="shared" si="0"/>
        <v>0</v>
      </c>
      <c r="AG6" s="33">
        <f ca="1" t="shared" si="0"/>
        <v>0</v>
      </c>
      <c r="AH6" s="33">
        <f ca="1" t="shared" si="0"/>
        <v>0</v>
      </c>
      <c r="AI6" s="33">
        <f ca="1" t="shared" si="0"/>
        <v>0</v>
      </c>
      <c r="AJ6" s="33">
        <f ca="1" t="shared" si="0"/>
        <v>0</v>
      </c>
      <c r="AK6" s="33">
        <f ca="1" t="shared" si="0"/>
        <v>0</v>
      </c>
      <c r="AL6" s="33">
        <f ca="1" t="shared" si="0"/>
        <v>0</v>
      </c>
      <c r="AM6" s="33">
        <f ca="1" t="shared" si="0"/>
        <v>0</v>
      </c>
      <c r="AN6" s="33">
        <f ca="1" t="shared" si="0"/>
        <v>0</v>
      </c>
      <c r="AO6" s="33">
        <f ca="1" t="shared" si="0"/>
        <v>0</v>
      </c>
      <c r="AP6" s="33">
        <f ca="1" t="shared" si="0"/>
        <v>0</v>
      </c>
      <c r="AQ6" s="33">
        <f ca="1" t="shared" si="0"/>
        <v>0</v>
      </c>
      <c r="AR6" s="33">
        <f ca="1" t="shared" si="0"/>
        <v>0</v>
      </c>
      <c r="AS6" s="33">
        <f ca="1" t="shared" si="0"/>
        <v>0</v>
      </c>
      <c r="AT6" s="33">
        <f ca="1" t="shared" si="0"/>
        <v>0</v>
      </c>
      <c r="AU6" s="33">
        <f ca="1" t="shared" si="0"/>
        <v>0</v>
      </c>
      <c r="AV6" s="33">
        <f ca="1" t="shared" si="0"/>
        <v>0</v>
      </c>
      <c r="AW6" s="33">
        <f ca="1" t="shared" si="0"/>
        <v>0</v>
      </c>
      <c r="AX6" s="33">
        <f ca="1" t="shared" si="0"/>
        <v>0</v>
      </c>
      <c r="AY6" s="33">
        <f ca="1" t="shared" si="0"/>
        <v>0</v>
      </c>
      <c r="AZ6" s="33">
        <f ca="1" t="shared" si="0"/>
        <v>0</v>
      </c>
      <c r="BA6" s="33">
        <f ca="1" t="shared" si="0"/>
        <v>0</v>
      </c>
      <c r="BB6" s="33">
        <f ca="1" t="shared" si="0"/>
        <v>0</v>
      </c>
      <c r="BC6" s="33">
        <f ca="1" t="shared" si="0"/>
        <v>0</v>
      </c>
      <c r="BD6" s="33">
        <f ca="1" t="shared" si="0"/>
        <v>0</v>
      </c>
      <c r="BE6" s="33">
        <f ca="1" t="shared" si="0"/>
        <v>0</v>
      </c>
      <c r="BF6" s="74">
        <f ca="1">BE6+R6</f>
        <v>0</v>
      </c>
      <c r="BG6" s="101">
        <f ca="1">E$59-$BF6</f>
        <v>0</v>
      </c>
      <c r="BH6" s="33" t="e">
        <f ca="1">SUM(BH7,BH11:BH18)</f>
        <v>#REF!</v>
      </c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</row>
    <row r="7" s="2" customFormat="1" ht="15.75" customHeight="1" spans="1:79">
      <c r="A7" s="39" t="s">
        <v>27</v>
      </c>
      <c r="B7" s="39" t="s">
        <v>8340</v>
      </c>
      <c r="C7" s="40" t="s">
        <v>8298</v>
      </c>
      <c r="D7" s="41" t="e">
        <f>+#REF!</f>
        <v>#REF!</v>
      </c>
      <c r="E7" s="42">
        <f ca="1">SUM(J7:Q7)</f>
        <v>0</v>
      </c>
      <c r="F7" s="43" t="e">
        <f ca="1">$D7-$BF7</f>
        <v>#REF!</v>
      </c>
      <c r="G7" s="44">
        <f ca="1">SUM(G9:G10)</f>
        <v>0</v>
      </c>
      <c r="H7" s="44">
        <f ca="1">SUM(H8,H10)</f>
        <v>0</v>
      </c>
      <c r="I7" s="44">
        <f ca="1">SUM(I8:I9)</f>
        <v>0</v>
      </c>
      <c r="J7" s="44">
        <f ca="1">SUM(J8:J10)</f>
        <v>0</v>
      </c>
      <c r="K7" s="44">
        <f ca="1" t="shared" ref="K7:Q7" si="1">SUM(K8:K10)</f>
        <v>0</v>
      </c>
      <c r="L7" s="44">
        <f ca="1" t="shared" si="1"/>
        <v>0</v>
      </c>
      <c r="M7" s="44">
        <f ca="1" t="shared" si="1"/>
        <v>0</v>
      </c>
      <c r="N7" s="44">
        <f ca="1" t="shared" si="1"/>
        <v>0</v>
      </c>
      <c r="O7" s="44">
        <f ca="1" t="shared" si="1"/>
        <v>0</v>
      </c>
      <c r="P7" s="44">
        <f ca="1" t="shared" si="1"/>
        <v>0</v>
      </c>
      <c r="Q7" s="44">
        <f ca="1" t="shared" si="1"/>
        <v>0</v>
      </c>
      <c r="R7" s="42">
        <f ca="1" t="shared" ref="R7:R18" si="2">SUM(S7:AA7,AN7:BD7)</f>
        <v>0</v>
      </c>
      <c r="S7" s="52">
        <f ca="1" t="shared" ref="S7:AY7" si="3">SUM(S8:S10)</f>
        <v>0</v>
      </c>
      <c r="T7" s="52">
        <f ca="1" t="shared" si="3"/>
        <v>0</v>
      </c>
      <c r="U7" s="52">
        <f ca="1" t="shared" si="3"/>
        <v>0</v>
      </c>
      <c r="V7" s="52">
        <f ca="1" t="shared" si="3"/>
        <v>0</v>
      </c>
      <c r="W7" s="52">
        <f ca="1" t="shared" si="3"/>
        <v>0</v>
      </c>
      <c r="X7" s="52">
        <f ca="1" t="shared" si="3"/>
        <v>0</v>
      </c>
      <c r="Y7" s="52">
        <f ca="1" t="shared" si="3"/>
        <v>0</v>
      </c>
      <c r="Z7" s="52">
        <f ca="1" t="shared" si="3"/>
        <v>0</v>
      </c>
      <c r="AA7" s="52">
        <f ca="1" t="shared" ref="AA7:AA18" si="4">+SUM(AB7:AM7)</f>
        <v>0</v>
      </c>
      <c r="AB7" s="52">
        <f ca="1" t="shared" ref="AB7:AM7" si="5">SUM(AB8:AB10)</f>
        <v>0</v>
      </c>
      <c r="AC7" s="52">
        <f ca="1" t="shared" si="5"/>
        <v>0</v>
      </c>
      <c r="AD7" s="52">
        <f ca="1" t="shared" si="5"/>
        <v>0</v>
      </c>
      <c r="AE7" s="52">
        <f ca="1" t="shared" si="5"/>
        <v>0</v>
      </c>
      <c r="AF7" s="52">
        <f ca="1" t="shared" si="5"/>
        <v>0</v>
      </c>
      <c r="AG7" s="52">
        <f ca="1" t="shared" si="5"/>
        <v>0</v>
      </c>
      <c r="AH7" s="52">
        <f ca="1" t="shared" si="5"/>
        <v>0</v>
      </c>
      <c r="AI7" s="52">
        <f ca="1" t="shared" si="5"/>
        <v>0</v>
      </c>
      <c r="AJ7" s="52">
        <f ca="1" t="shared" si="5"/>
        <v>0</v>
      </c>
      <c r="AK7" s="52">
        <f ca="1" t="shared" si="5"/>
        <v>0</v>
      </c>
      <c r="AL7" s="52">
        <f ca="1" t="shared" si="5"/>
        <v>0</v>
      </c>
      <c r="AM7" s="52">
        <f ca="1" t="shared" si="5"/>
        <v>0</v>
      </c>
      <c r="AN7" s="52">
        <f ca="1" t="shared" si="3"/>
        <v>0</v>
      </c>
      <c r="AO7" s="52">
        <f ca="1" t="shared" si="3"/>
        <v>0</v>
      </c>
      <c r="AP7" s="52">
        <f ca="1" t="shared" si="3"/>
        <v>0</v>
      </c>
      <c r="AQ7" s="52">
        <f ca="1" t="shared" si="3"/>
        <v>0</v>
      </c>
      <c r="AR7" s="52">
        <f ca="1" t="shared" si="3"/>
        <v>0</v>
      </c>
      <c r="AS7" s="52">
        <f ca="1" t="shared" si="3"/>
        <v>0</v>
      </c>
      <c r="AT7" s="52">
        <f ca="1" t="shared" si="3"/>
        <v>0</v>
      </c>
      <c r="AU7" s="52">
        <f ca="1" t="shared" si="3"/>
        <v>0</v>
      </c>
      <c r="AV7" s="52">
        <f ca="1" t="shared" si="3"/>
        <v>0</v>
      </c>
      <c r="AW7" s="52">
        <f ca="1" t="shared" si="3"/>
        <v>0</v>
      </c>
      <c r="AX7" s="52">
        <f ca="1" t="shared" si="3"/>
        <v>0</v>
      </c>
      <c r="AY7" s="52">
        <f ca="1" t="shared" si="3"/>
        <v>0</v>
      </c>
      <c r="AZ7" s="52">
        <f ca="1" t="shared" ref="AZ7:BE7" si="6">SUM(AZ8:AZ10)</f>
        <v>0</v>
      </c>
      <c r="BA7" s="87">
        <f ca="1" t="shared" si="6"/>
        <v>0</v>
      </c>
      <c r="BB7" s="52">
        <f ca="1" t="shared" si="6"/>
        <v>0</v>
      </c>
      <c r="BC7" s="52">
        <f ca="1" t="shared" si="6"/>
        <v>0</v>
      </c>
      <c r="BD7" s="52">
        <f ca="1" t="shared" si="6"/>
        <v>0</v>
      </c>
      <c r="BE7" s="52">
        <f ca="1" t="shared" si="6"/>
        <v>0</v>
      </c>
      <c r="BF7" s="74">
        <f ca="1" t="shared" ref="BF7:BF18" si="7">BE7+R7+E7</f>
        <v>0</v>
      </c>
      <c r="BG7" s="101">
        <f ca="1">F$59-$BF7</f>
        <v>0</v>
      </c>
      <c r="BH7" s="41" t="e">
        <f ca="1" t="shared" ref="BH7:BH18" si="8">BG7+D7</f>
        <v>#REF!</v>
      </c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</row>
    <row r="8" s="4" customFormat="1" ht="15.75" customHeight="1" spans="1:79">
      <c r="A8" s="45"/>
      <c r="B8" s="316" t="s">
        <v>8341</v>
      </c>
      <c r="C8" s="46" t="s">
        <v>8299</v>
      </c>
      <c r="D8" s="47" t="e">
        <f>+#REF!</f>
        <v>#REF!</v>
      </c>
      <c r="E8" s="48">
        <f ca="1">SUM(F8,J8:Q8)</f>
        <v>0</v>
      </c>
      <c r="F8" s="44">
        <f ca="1">SUM(H8:I8)</f>
        <v>0</v>
      </c>
      <c r="G8" s="49" t="e">
        <f ca="1">$D8-$BF8</f>
        <v>#REF!</v>
      </c>
      <c r="H8" s="50">
        <f ca="1">+GETPIVOTDATA("XQT4",'quangthanh (2016)'!$A$3,"MA_HT","LUC","MA_QH","LUK")</f>
        <v>0</v>
      </c>
      <c r="I8" s="50">
        <f ca="1">+GETPIVOTDATA("XQT4",'quangthanh (2016)'!$A$3,"MA_HT","LUC","MA_QH","LUN")</f>
        <v>0</v>
      </c>
      <c r="J8" s="50">
        <f ca="1">+GETPIVOTDATA("XQT4",'quangthanh (2016)'!$A$3,"MA_HT","LUC","MA_QH","HNK")</f>
        <v>0</v>
      </c>
      <c r="K8" s="50">
        <f ca="1">+GETPIVOTDATA("XQT4",'quangthanh (2016)'!$A$3,"MA_HT","LUC","MA_QH","CLN")</f>
        <v>0</v>
      </c>
      <c r="L8" s="50">
        <f ca="1">+GETPIVOTDATA("XQT4",'quangthanh (2016)'!$A$3,"MA_HT","LUC","MA_QH","RSX")</f>
        <v>0</v>
      </c>
      <c r="M8" s="50">
        <f ca="1">+GETPIVOTDATA("XQT4",'quangthanh (2016)'!$A$3,"MA_HT","LUC","MA_QH","RPH")</f>
        <v>0</v>
      </c>
      <c r="N8" s="50">
        <f ca="1">+GETPIVOTDATA("XQT4",'quangthanh (2016)'!$A$3,"MA_HT","LUC","MA_QH","RDD")</f>
        <v>0</v>
      </c>
      <c r="O8" s="50">
        <f ca="1">+GETPIVOTDATA("XQT4",'quangthanh (2016)'!$A$3,"MA_HT","LUC","MA_QH","NTS")</f>
        <v>0</v>
      </c>
      <c r="P8" s="50">
        <f ca="1">+GETPIVOTDATA("XQT4",'quangthanh (2016)'!$A$3,"MA_HT","LUC","MA_QH","LMU")</f>
        <v>0</v>
      </c>
      <c r="Q8" s="50">
        <f ca="1">+GETPIVOTDATA("XQT4",'quangthanh (2016)'!$A$3,"MA_HT","LUC","MA_QH","NKH")</f>
        <v>0</v>
      </c>
      <c r="R8" s="48">
        <f ca="1" t="shared" si="2"/>
        <v>0</v>
      </c>
      <c r="S8" s="50">
        <f ca="1">+GETPIVOTDATA("XQT4",'quangthanh (2016)'!$A$3,"MA_HT","LUC","MA_QH","CQP")</f>
        <v>0</v>
      </c>
      <c r="T8" s="50">
        <f ca="1">+GETPIVOTDATA("XQT4",'quangthanh (2016)'!$A$3,"MA_HT","LUC","MA_QH","CAN")</f>
        <v>0</v>
      </c>
      <c r="U8" s="50">
        <f ca="1">+GETPIVOTDATA("XQT4",'quangthanh (2016)'!$A$3,"MA_HT","LUC","MA_QH","SKK")</f>
        <v>0</v>
      </c>
      <c r="V8" s="50">
        <f ca="1">+GETPIVOTDATA("XQT4",'quangthanh (2016)'!$A$3,"MA_HT","LUC","MA_QH","SKT")</f>
        <v>0</v>
      </c>
      <c r="W8" s="50">
        <f ca="1">+GETPIVOTDATA("XQT4",'quangthanh (2016)'!$A$3,"MA_HT","LUC","MA_QH","SKN")</f>
        <v>0</v>
      </c>
      <c r="X8" s="50">
        <f ca="1">+GETPIVOTDATA("XQT4",'quangthanh (2016)'!$A$3,"MA_HT","LUC","MA_QH","TMD")</f>
        <v>0</v>
      </c>
      <c r="Y8" s="50">
        <f ca="1">+GETPIVOTDATA("XQT4",'quangthanh (2016)'!$A$3,"MA_HT","LUC","MA_QH","SKC")</f>
        <v>0</v>
      </c>
      <c r="Z8" s="50">
        <f ca="1">+GETPIVOTDATA("XQT4",'quangthanh (2016)'!$A$3,"MA_HT","LUC","MA_QH","SKS")</f>
        <v>0</v>
      </c>
      <c r="AA8" s="52">
        <f ca="1" t="shared" si="4"/>
        <v>0</v>
      </c>
      <c r="AB8" s="50">
        <f ca="1">+GETPIVOTDATA("XQT4",'quangthanh (2016)'!$A$3,"MA_HT","LUC","MA_QH","DGT")</f>
        <v>0</v>
      </c>
      <c r="AC8" s="50">
        <f ca="1">+GETPIVOTDATA("XQT4",'quangthanh (2016)'!$A$3,"MA_HT","LUC","MA_QH","DTL")</f>
        <v>0</v>
      </c>
      <c r="AD8" s="50">
        <f ca="1">+GETPIVOTDATA("XQT4",'quangthanh (2016)'!$A$3,"MA_HT","LUC","MA_QH","DNL")</f>
        <v>0</v>
      </c>
      <c r="AE8" s="50">
        <f ca="1">+GETPIVOTDATA("XQT4",'quangthanh (2016)'!$A$3,"MA_HT","LUC","MA_QH","DBV")</f>
        <v>0</v>
      </c>
      <c r="AF8" s="50">
        <f ca="1">+GETPIVOTDATA("XQT4",'quangthanh (2016)'!$A$3,"MA_HT","LUC","MA_QH","DVH")</f>
        <v>0</v>
      </c>
      <c r="AG8" s="50">
        <f ca="1">+GETPIVOTDATA("XQT4",'quangthanh (2016)'!$A$3,"MA_HT","LUC","MA_QH","DYT")</f>
        <v>0</v>
      </c>
      <c r="AH8" s="50">
        <f ca="1">+GETPIVOTDATA("XQT4",'quangthanh (2016)'!$A$3,"MA_HT","LUC","MA_QH","DGD")</f>
        <v>0</v>
      </c>
      <c r="AI8" s="50">
        <f ca="1">+GETPIVOTDATA("XQT4",'quangthanh (2016)'!$A$3,"MA_HT","LUC","MA_QH","DTT")</f>
        <v>0</v>
      </c>
      <c r="AJ8" s="50">
        <f ca="1">+GETPIVOTDATA("XQT4",'quangthanh (2016)'!$A$3,"MA_HT","LUC","MA_QH","NCK")</f>
        <v>0</v>
      </c>
      <c r="AK8" s="50">
        <f ca="1">+GETPIVOTDATA("XQT4",'quangthanh (2016)'!$A$3,"MA_HT","LUC","MA_QH","DXH")</f>
        <v>0</v>
      </c>
      <c r="AL8" s="50">
        <f ca="1">+GETPIVOTDATA("XQT4",'quangthanh (2016)'!$A$3,"MA_HT","LUC","MA_QH","DCH")</f>
        <v>0</v>
      </c>
      <c r="AM8" s="50">
        <f ca="1">+GETPIVOTDATA("XQT4",'quangthanh (2016)'!$A$3,"MA_HT","LUC","MA_QH","DKG")</f>
        <v>0</v>
      </c>
      <c r="AN8" s="50">
        <f ca="1">+GETPIVOTDATA("XQT4",'quangthanh (2016)'!$A$3,"MA_HT","LUC","MA_QH","DDT")</f>
        <v>0</v>
      </c>
      <c r="AO8" s="50">
        <f ca="1">+GETPIVOTDATA("XQT4",'quangthanh (2016)'!$A$3,"MA_HT","LUC","MA_QH","DDL")</f>
        <v>0</v>
      </c>
      <c r="AP8" s="50">
        <f ca="1">+GETPIVOTDATA("XQT4",'quangthanh (2016)'!$A$3,"MA_HT","LUC","MA_QH","DRA")</f>
        <v>0</v>
      </c>
      <c r="AQ8" s="50">
        <f ca="1">+GETPIVOTDATA("XQT4",'quangthanh (2016)'!$A$3,"MA_HT","LUC","MA_QH","ONT")</f>
        <v>0</v>
      </c>
      <c r="AR8" s="50">
        <f ca="1">+GETPIVOTDATA("XQT4",'quangthanh (2016)'!$A$3,"MA_HT","LUC","MA_QH","ODT")</f>
        <v>0</v>
      </c>
      <c r="AS8" s="50">
        <f ca="1">+GETPIVOTDATA("XQT4",'quangthanh (2016)'!$A$3,"MA_HT","LUC","MA_QH","TSC")</f>
        <v>0</v>
      </c>
      <c r="AT8" s="50">
        <f ca="1">+GETPIVOTDATA("XQT4",'quangthanh (2016)'!$A$3,"MA_HT","LUC","MA_QH","DTS")</f>
        <v>0</v>
      </c>
      <c r="AU8" s="50">
        <f ca="1">+GETPIVOTDATA("XQT4",'quangthanh (2016)'!$A$3,"MA_HT","LUC","MA_QH","DNG")</f>
        <v>0</v>
      </c>
      <c r="AV8" s="50">
        <f ca="1">+GETPIVOTDATA("XQT4",'quangthanh (2016)'!$A$3,"MA_HT","LUC","MA_QH","TON")</f>
        <v>0</v>
      </c>
      <c r="AW8" s="50">
        <f ca="1">+GETPIVOTDATA("XQT4",'quangthanh (2016)'!$A$3,"MA_HT","LUC","MA_QH","NTD")</f>
        <v>0</v>
      </c>
      <c r="AX8" s="50">
        <f ca="1">+GETPIVOTDATA("XQT4",'quangthanh (2016)'!$A$3,"MA_HT","LUC","MA_QH","SKX")</f>
        <v>0</v>
      </c>
      <c r="AY8" s="50">
        <f ca="1">+GETPIVOTDATA("XQT4",'quangthanh (2016)'!$A$3,"MA_HT","LUC","MA_QH","DSH")</f>
        <v>0</v>
      </c>
      <c r="AZ8" s="50">
        <f ca="1">+GETPIVOTDATA("XQT4",'quangthanh (2016)'!$A$3,"MA_HT","LUC","MA_QH","DKV")</f>
        <v>0</v>
      </c>
      <c r="BA8" s="88">
        <f ca="1">+GETPIVOTDATA("XQT4",'quangthanh (2016)'!$A$3,"MA_HT","LUC","MA_QH","TIN")</f>
        <v>0</v>
      </c>
      <c r="BB8" s="50">
        <f ca="1">+GETPIVOTDATA("XQT4",'quangthanh (2016)'!$A$3,"MA_HT","LUC","MA_QH","SON")</f>
        <v>0</v>
      </c>
      <c r="BC8" s="50">
        <f ca="1">+GETPIVOTDATA("XQT4",'quangthanh (2016)'!$A$3,"MA_HT","LUC","MA_QH","MNC")</f>
        <v>0</v>
      </c>
      <c r="BD8" s="50">
        <f ca="1">+GETPIVOTDATA("XQT4",'quangthanh (2016)'!$A$3,"MA_HT","LUC","MA_QH","PNK")</f>
        <v>0</v>
      </c>
      <c r="BE8" s="80">
        <f ca="1">+GETPIVOTDATA("XQT4",'quangthanh (2016)'!$A$3,"MA_HT","LUC","MA_QH","CSD")</f>
        <v>0</v>
      </c>
      <c r="BF8" s="103">
        <f ca="1" t="shared" si="7"/>
        <v>0</v>
      </c>
      <c r="BG8" s="104">
        <f ca="1">G$59-$BF8</f>
        <v>0</v>
      </c>
      <c r="BH8" s="47" t="e">
        <f ca="1" t="shared" si="8"/>
        <v>#REF!</v>
      </c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</row>
    <row r="9" s="4" customFormat="1" ht="15.75" customHeight="1" spans="1:79">
      <c r="A9" s="45"/>
      <c r="B9" s="316" t="s">
        <v>8342</v>
      </c>
      <c r="C9" s="46" t="s">
        <v>221</v>
      </c>
      <c r="D9" s="47" t="e">
        <f>+#REF!</f>
        <v>#REF!</v>
      </c>
      <c r="E9" s="48">
        <f ca="1">SUM(F9,J9:Q9)</f>
        <v>0</v>
      </c>
      <c r="F9" s="44">
        <f ca="1">SUM(G9,I9)</f>
        <v>0</v>
      </c>
      <c r="G9" s="51">
        <f ca="1">+GETPIVOTDATA("XQT4",'quangthanh (2016)'!$A$3,"MA_HT","LUK","MA_QH","LUC")</f>
        <v>0</v>
      </c>
      <c r="H9" s="49" t="e">
        <f ca="1">$D9-$BF9</f>
        <v>#REF!</v>
      </c>
      <c r="I9" s="50">
        <f ca="1">+GETPIVOTDATA("XQT4",'quangthanh (2016)'!$A$3,"MA_HT","LUK","MA_QH","LUN")</f>
        <v>0</v>
      </c>
      <c r="J9" s="50">
        <f ca="1">+GETPIVOTDATA("XQT4",'quangthanh (2016)'!$A$3,"MA_HT","LUK","MA_QH","HNK")</f>
        <v>0</v>
      </c>
      <c r="K9" s="50">
        <f ca="1">+GETPIVOTDATA("XQT4",'quangthanh (2016)'!$A$3,"MA_HT","LUK","MA_QH","CLN")</f>
        <v>0</v>
      </c>
      <c r="L9" s="50">
        <f ca="1">+GETPIVOTDATA("XQT4",'quangthanh (2016)'!$A$3,"MA_HT","LUK","MA_QH","RSX")</f>
        <v>0</v>
      </c>
      <c r="M9" s="50">
        <f ca="1">+GETPIVOTDATA("XQT4",'quangthanh (2016)'!$A$3,"MA_HT","LUK","MA_QH","RPH")</f>
        <v>0</v>
      </c>
      <c r="N9" s="50">
        <f ca="1">+GETPIVOTDATA("XQT4",'quangthanh (2016)'!$A$3,"MA_HT","LUK","MA_QH","RDD")</f>
        <v>0</v>
      </c>
      <c r="O9" s="50">
        <f ca="1">+GETPIVOTDATA("XQT4",'quangthanh (2016)'!$A$3,"MA_HT","LUK","MA_QH","NTS")</f>
        <v>0</v>
      </c>
      <c r="P9" s="50">
        <f ca="1">+GETPIVOTDATA("XQT4",'quangthanh (2016)'!$A$3,"MA_HT","LUK","MA_QH","LMU")</f>
        <v>0</v>
      </c>
      <c r="Q9" s="50">
        <f ca="1">+GETPIVOTDATA("XQT4",'quangthanh (2016)'!$A$3,"MA_HT","LUK","MA_QH","NKH")</f>
        <v>0</v>
      </c>
      <c r="R9" s="48">
        <f ca="1" t="shared" si="2"/>
        <v>0</v>
      </c>
      <c r="S9" s="50">
        <f ca="1">+GETPIVOTDATA("XQT4",'quangthanh (2016)'!$A$3,"MA_HT","LUK","MA_QH","CQP")</f>
        <v>0</v>
      </c>
      <c r="T9" s="50">
        <f ca="1">+GETPIVOTDATA("XQT4",'quangthanh (2016)'!$A$3,"MA_HT","LUK","MA_QH","CAN")</f>
        <v>0</v>
      </c>
      <c r="U9" s="50">
        <f ca="1">+GETPIVOTDATA("XQT4",'quangthanh (2016)'!$A$3,"MA_HT","LUK","MA_QH","SKK")</f>
        <v>0</v>
      </c>
      <c r="V9" s="50">
        <f ca="1">+GETPIVOTDATA("XQT4",'quangthanh (2016)'!$A$3,"MA_HT","LUK","MA_QH","SKT")</f>
        <v>0</v>
      </c>
      <c r="W9" s="50">
        <f ca="1">+GETPIVOTDATA("XQT4",'quangthanh (2016)'!$A$3,"MA_HT","LUK","MA_QH","SKN")</f>
        <v>0</v>
      </c>
      <c r="X9" s="50">
        <f ca="1">+GETPIVOTDATA("XQT4",'quangthanh (2016)'!$A$3,"MA_HT","LUK","MA_QH","TMD")</f>
        <v>0</v>
      </c>
      <c r="Y9" s="50">
        <f ca="1">+GETPIVOTDATA("XQT4",'quangthanh (2016)'!$A$3,"MA_HT","LUK","MA_QH","SKC")</f>
        <v>0</v>
      </c>
      <c r="Z9" s="50">
        <f ca="1">+GETPIVOTDATA("XQT4",'quangthanh (2016)'!$A$3,"MA_HT","LUK","MA_QH","SKS")</f>
        <v>0</v>
      </c>
      <c r="AA9" s="52">
        <f ca="1" t="shared" si="4"/>
        <v>0</v>
      </c>
      <c r="AB9" s="50">
        <f ca="1">+GETPIVOTDATA("XQT4",'quangthanh (2016)'!$A$3,"MA_HT","LUK","MA_QH","DGT")</f>
        <v>0</v>
      </c>
      <c r="AC9" s="50">
        <f ca="1">+GETPIVOTDATA("XQT4",'quangthanh (2016)'!$A$3,"MA_HT","LUK","MA_QH","DTL")</f>
        <v>0</v>
      </c>
      <c r="AD9" s="50">
        <f ca="1">+GETPIVOTDATA("XQT4",'quangthanh (2016)'!$A$3,"MA_HT","LUK","MA_QH","DNL")</f>
        <v>0</v>
      </c>
      <c r="AE9" s="50">
        <f ca="1">+GETPIVOTDATA("XQT4",'quangthanh (2016)'!$A$3,"MA_HT","LUK","MA_QH","DBV")</f>
        <v>0</v>
      </c>
      <c r="AF9" s="50">
        <f ca="1">+GETPIVOTDATA("XQT4",'quangthanh (2016)'!$A$3,"MA_HT","LUK","MA_QH","DVH")</f>
        <v>0</v>
      </c>
      <c r="AG9" s="50">
        <f ca="1">+GETPIVOTDATA("XQT4",'quangthanh (2016)'!$A$3,"MA_HT","LUK","MA_QH","DYT")</f>
        <v>0</v>
      </c>
      <c r="AH9" s="50">
        <f ca="1">+GETPIVOTDATA("XQT4",'quangthanh (2016)'!$A$3,"MA_HT","LUK","MA_QH","DGD")</f>
        <v>0</v>
      </c>
      <c r="AI9" s="50">
        <f ca="1">+GETPIVOTDATA("XQT4",'quangthanh (2016)'!$A$3,"MA_HT","LUK","MA_QH","DTT")</f>
        <v>0</v>
      </c>
      <c r="AJ9" s="50">
        <f ca="1">+GETPIVOTDATA("XQT4",'quangthanh (2016)'!$A$3,"MA_HT","LUK","MA_QH","NCK")</f>
        <v>0</v>
      </c>
      <c r="AK9" s="50">
        <f ca="1">+GETPIVOTDATA("XQT4",'quangthanh (2016)'!$A$3,"MA_HT","LUK","MA_QH","DXH")</f>
        <v>0</v>
      </c>
      <c r="AL9" s="50">
        <f ca="1">+GETPIVOTDATA("XQT4",'quangthanh (2016)'!$A$3,"MA_HT","LUK","MA_QH","DCH")</f>
        <v>0</v>
      </c>
      <c r="AM9" s="50">
        <f ca="1">+GETPIVOTDATA("XQT4",'quangthanh (2016)'!$A$3,"MA_HT","LUK","MA_QH","DKG")</f>
        <v>0</v>
      </c>
      <c r="AN9" s="50">
        <f ca="1">+GETPIVOTDATA("XQT4",'quangthanh (2016)'!$A$3,"MA_HT","LUK","MA_QH","DDT")</f>
        <v>0</v>
      </c>
      <c r="AO9" s="50">
        <f ca="1">+GETPIVOTDATA("XQT4",'quangthanh (2016)'!$A$3,"MA_HT","LUK","MA_QH","DDL")</f>
        <v>0</v>
      </c>
      <c r="AP9" s="50">
        <f ca="1">+GETPIVOTDATA("XQT4",'quangthanh (2016)'!$A$3,"MA_HT","LUK","MA_QH","DRA")</f>
        <v>0</v>
      </c>
      <c r="AQ9" s="50">
        <f ca="1">+GETPIVOTDATA("XQT4",'quangthanh (2016)'!$A$3,"MA_HT","LUK","MA_QH","ONT")</f>
        <v>0</v>
      </c>
      <c r="AR9" s="50">
        <f ca="1">+GETPIVOTDATA("XQT4",'quangthanh (2016)'!$A$3,"MA_HT","LUK","MA_QH","ODT")</f>
        <v>0</v>
      </c>
      <c r="AS9" s="50">
        <f ca="1">+GETPIVOTDATA("XQT4",'quangthanh (2016)'!$A$3,"MA_HT","LUK","MA_QH","TSC")</f>
        <v>0</v>
      </c>
      <c r="AT9" s="50">
        <f ca="1">+GETPIVOTDATA("XQT4",'quangthanh (2016)'!$A$3,"MA_HT","LUK","MA_QH","DTS")</f>
        <v>0</v>
      </c>
      <c r="AU9" s="50">
        <f ca="1">+GETPIVOTDATA("XQT4",'quangthanh (2016)'!$A$3,"MA_HT","LUK","MA_QH","DNG")</f>
        <v>0</v>
      </c>
      <c r="AV9" s="50">
        <f ca="1">+GETPIVOTDATA("XQT4",'quangthanh (2016)'!$A$3,"MA_HT","LUK","MA_QH","TON")</f>
        <v>0</v>
      </c>
      <c r="AW9" s="50">
        <f ca="1">+GETPIVOTDATA("XQT4",'quangthanh (2016)'!$A$3,"MA_HT","LUK","MA_QH","NTD")</f>
        <v>0</v>
      </c>
      <c r="AX9" s="50">
        <f ca="1">+GETPIVOTDATA("XQT4",'quangthanh (2016)'!$A$3,"MA_HT","LUK","MA_QH","SKX")</f>
        <v>0</v>
      </c>
      <c r="AY9" s="50">
        <f ca="1">+GETPIVOTDATA("XQT4",'quangthanh (2016)'!$A$3,"MA_HT","LUK","MA_QH","DSH")</f>
        <v>0</v>
      </c>
      <c r="AZ9" s="50">
        <f ca="1">+GETPIVOTDATA("XQT4",'quangthanh (2016)'!$A$3,"MA_HT","LUK","MA_QH","DKV")</f>
        <v>0</v>
      </c>
      <c r="BA9" s="88">
        <f ca="1">+GETPIVOTDATA("XQT4",'quangthanh (2016)'!$A$3,"MA_HT","LUK","MA_QH","TIN")</f>
        <v>0</v>
      </c>
      <c r="BB9" s="50">
        <f ca="1">+GETPIVOTDATA("XQT4",'quangthanh (2016)'!$A$3,"MA_HT","LUK","MA_QH","SON")</f>
        <v>0</v>
      </c>
      <c r="BC9" s="50">
        <f ca="1">+GETPIVOTDATA("XQT4",'quangthanh (2016)'!$A$3,"MA_HT","LUK","MA_QH","MNC")</f>
        <v>0</v>
      </c>
      <c r="BD9" s="50">
        <f ca="1">+GETPIVOTDATA("XQT4",'quangthanh (2016)'!$A$3,"MA_HT","LUK","MA_QH","PNK")</f>
        <v>0</v>
      </c>
      <c r="BE9" s="80">
        <f ca="1">+GETPIVOTDATA("XQT4",'quangthanh (2016)'!$A$3,"MA_HT","LUK","MA_QH","CSD")</f>
        <v>0</v>
      </c>
      <c r="BF9" s="103">
        <f ca="1" t="shared" si="7"/>
        <v>0</v>
      </c>
      <c r="BG9" s="104">
        <f ca="1">H$59-$BF9</f>
        <v>0</v>
      </c>
      <c r="BH9" s="47" t="e">
        <f ca="1" t="shared" si="8"/>
        <v>#REF!</v>
      </c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</row>
    <row r="10" s="4" customFormat="1" ht="15.75" customHeight="1" spans="1:79">
      <c r="A10" s="45"/>
      <c r="B10" s="316" t="s">
        <v>8343</v>
      </c>
      <c r="C10" s="46" t="s">
        <v>8300</v>
      </c>
      <c r="D10" s="47" t="e">
        <f>+#REF!</f>
        <v>#REF!</v>
      </c>
      <c r="E10" s="48">
        <f ca="1">SUM(J10:Q10,F10)</f>
        <v>0</v>
      </c>
      <c r="F10" s="44">
        <f ca="1">SUM(G10:H10)</f>
        <v>0</v>
      </c>
      <c r="G10" s="50">
        <f ca="1">+GETPIVOTDATA("XQT4",'quangthanh (2016)'!$A$3,"MA_HT","LUN","MA_QH","LUC")</f>
        <v>0</v>
      </c>
      <c r="H10" s="50">
        <f ca="1">+GETPIVOTDATA("XQT4",'quangthanh (2016)'!$A$3,"MA_HT","LUN","MA_QH","LUK")</f>
        <v>0</v>
      </c>
      <c r="I10" s="49" t="e">
        <f ca="1">$D10-$BF10</f>
        <v>#REF!</v>
      </c>
      <c r="J10" s="50">
        <f ca="1">+GETPIVOTDATA("XQT4",'quangthanh (2016)'!$A$3,"MA_HT","LUN","MA_QH","HNK")</f>
        <v>0</v>
      </c>
      <c r="K10" s="50">
        <f ca="1">+GETPIVOTDATA("XQT4",'quangthanh (2016)'!$A$3,"MA_HT","LUN","MA_QH","CLN")</f>
        <v>0</v>
      </c>
      <c r="L10" s="50">
        <f ca="1">+GETPIVOTDATA("XQT4",'quangthanh (2016)'!$A$3,"MA_HT","LUN","MA_QH","RSX")</f>
        <v>0</v>
      </c>
      <c r="M10" s="50">
        <f ca="1">+GETPIVOTDATA("XQT4",'quangthanh (2016)'!$A$3,"MA_HT","LUN","MA_QH","RPH")</f>
        <v>0</v>
      </c>
      <c r="N10" s="50">
        <f ca="1">+GETPIVOTDATA("XQT4",'quangthanh (2016)'!$A$3,"MA_HT","LUN","MA_QH","RDD")</f>
        <v>0</v>
      </c>
      <c r="O10" s="50">
        <f ca="1">+GETPIVOTDATA("XQT4",'quangthanh (2016)'!$A$3,"MA_HT","LUN","MA_QH","NTS")</f>
        <v>0</v>
      </c>
      <c r="P10" s="50">
        <f ca="1">+GETPIVOTDATA("XQT4",'quangthanh (2016)'!$A$3,"MA_HT","LUN","MA_QH","LMU")</f>
        <v>0</v>
      </c>
      <c r="Q10" s="50">
        <f ca="1">+GETPIVOTDATA("XQT4",'quangthanh (2016)'!$A$3,"MA_HT","LUN","MA_QH","NKH")</f>
        <v>0</v>
      </c>
      <c r="R10" s="48">
        <f ca="1" t="shared" si="2"/>
        <v>0</v>
      </c>
      <c r="S10" s="50">
        <f ca="1">+GETPIVOTDATA("XQT4",'quangthanh (2016)'!$A$3,"MA_HT","LUN","MA_QH","CQP")</f>
        <v>0</v>
      </c>
      <c r="T10" s="50">
        <f ca="1">+GETPIVOTDATA("XQT4",'quangthanh (2016)'!$A$3,"MA_HT","LUN","MA_QH","CAN")</f>
        <v>0</v>
      </c>
      <c r="U10" s="50">
        <f ca="1">+GETPIVOTDATA("XQT4",'quangthanh (2016)'!$A$3,"MA_HT","LUN","MA_QH","SKK")</f>
        <v>0</v>
      </c>
      <c r="V10" s="50">
        <f ca="1">+GETPIVOTDATA("XQT4",'quangthanh (2016)'!$A$3,"MA_HT","LUN","MA_QH","SKT")</f>
        <v>0</v>
      </c>
      <c r="W10" s="50">
        <f ca="1">+GETPIVOTDATA("XQT4",'quangthanh (2016)'!$A$3,"MA_HT","LUN","MA_QH","SKN")</f>
        <v>0</v>
      </c>
      <c r="X10" s="50">
        <f ca="1">+GETPIVOTDATA("XQT4",'quangthanh (2016)'!$A$3,"MA_HT","LUN","MA_QH","TMD")</f>
        <v>0</v>
      </c>
      <c r="Y10" s="50">
        <f ca="1">+GETPIVOTDATA("XQT4",'quangthanh (2016)'!$A$3,"MA_HT","LUN","MA_QH","SKC")</f>
        <v>0</v>
      </c>
      <c r="Z10" s="50">
        <f ca="1">+GETPIVOTDATA("XQT4",'quangthanh (2016)'!$A$3,"MA_HT","LUN","MA_QH","SKS")</f>
        <v>0</v>
      </c>
      <c r="AA10" s="52">
        <f ca="1" t="shared" si="4"/>
        <v>0</v>
      </c>
      <c r="AB10" s="50">
        <f ca="1">+GETPIVOTDATA("XQT4",'quangthanh (2016)'!$A$3,"MA_HT","LUN","MA_QH","DGT")</f>
        <v>0</v>
      </c>
      <c r="AC10" s="50">
        <f ca="1">+GETPIVOTDATA("XQT4",'quangthanh (2016)'!$A$3,"MA_HT","LUN","MA_QH","DTL")</f>
        <v>0</v>
      </c>
      <c r="AD10" s="50">
        <f ca="1">+GETPIVOTDATA("XQT4",'quangthanh (2016)'!$A$3,"MA_HT","LUN","MA_QH","DNL")</f>
        <v>0</v>
      </c>
      <c r="AE10" s="50">
        <f ca="1">+GETPIVOTDATA("XQT4",'quangthanh (2016)'!$A$3,"MA_HT","LUN","MA_QH","DBV")</f>
        <v>0</v>
      </c>
      <c r="AF10" s="50">
        <f ca="1">+GETPIVOTDATA("XQT4",'quangthanh (2016)'!$A$3,"MA_HT","LUN","MA_QH","DVH")</f>
        <v>0</v>
      </c>
      <c r="AG10" s="50">
        <f ca="1">+GETPIVOTDATA("XQT4",'quangthanh (2016)'!$A$3,"MA_HT","LUN","MA_QH","DYT")</f>
        <v>0</v>
      </c>
      <c r="AH10" s="50">
        <f ca="1">+GETPIVOTDATA("XQT4",'quangthanh (2016)'!$A$3,"MA_HT","LUN","MA_QH","DGD")</f>
        <v>0</v>
      </c>
      <c r="AI10" s="50">
        <f ca="1">+GETPIVOTDATA("XQT4",'quangthanh (2016)'!$A$3,"MA_HT","LUN","MA_QH","DTT")</f>
        <v>0</v>
      </c>
      <c r="AJ10" s="50">
        <f ca="1">+GETPIVOTDATA("XQT4",'quangthanh (2016)'!$A$3,"MA_HT","LUN","MA_QH","NCK")</f>
        <v>0</v>
      </c>
      <c r="AK10" s="50">
        <f ca="1">+GETPIVOTDATA("XQT4",'quangthanh (2016)'!$A$3,"MA_HT","LUN","MA_QH","DXH")</f>
        <v>0</v>
      </c>
      <c r="AL10" s="50">
        <f ca="1">+GETPIVOTDATA("XQT4",'quangthanh (2016)'!$A$3,"MA_HT","LUN","MA_QH","DCH")</f>
        <v>0</v>
      </c>
      <c r="AM10" s="50">
        <f ca="1">+GETPIVOTDATA("XQT4",'quangthanh (2016)'!$A$3,"MA_HT","LUN","MA_QH","DKG")</f>
        <v>0</v>
      </c>
      <c r="AN10" s="50">
        <f ca="1">+GETPIVOTDATA("XQT4",'quangthanh (2016)'!$A$3,"MA_HT","LUN","MA_QH","DDT")</f>
        <v>0</v>
      </c>
      <c r="AO10" s="50">
        <f ca="1">+GETPIVOTDATA("XQT4",'quangthanh (2016)'!$A$3,"MA_HT","LUN","MA_QH","DDL")</f>
        <v>0</v>
      </c>
      <c r="AP10" s="50">
        <f ca="1">+GETPIVOTDATA("XQT4",'quangthanh (2016)'!$A$3,"MA_HT","LUN","MA_QH","DRA")</f>
        <v>0</v>
      </c>
      <c r="AQ10" s="50">
        <f ca="1">+GETPIVOTDATA("XQT4",'quangthanh (2016)'!$A$3,"MA_HT","LUN","MA_QH","ONT")</f>
        <v>0</v>
      </c>
      <c r="AR10" s="50">
        <f ca="1">+GETPIVOTDATA("XQT4",'quangthanh (2016)'!$A$3,"MA_HT","LUN","MA_QH","ODT")</f>
        <v>0</v>
      </c>
      <c r="AS10" s="50">
        <f ca="1">+GETPIVOTDATA("XQT4",'quangthanh (2016)'!$A$3,"MA_HT","LUN","MA_QH","TSC")</f>
        <v>0</v>
      </c>
      <c r="AT10" s="50">
        <f ca="1">+GETPIVOTDATA("XQT4",'quangthanh (2016)'!$A$3,"MA_HT","LUN","MA_QH","DTS")</f>
        <v>0</v>
      </c>
      <c r="AU10" s="50">
        <f ca="1">+GETPIVOTDATA("XQT4",'quangthanh (2016)'!$A$3,"MA_HT","LUN","MA_QH","DNG")</f>
        <v>0</v>
      </c>
      <c r="AV10" s="50">
        <f ca="1">+GETPIVOTDATA("XQT4",'quangthanh (2016)'!$A$3,"MA_HT","LUN","MA_QH","TON")</f>
        <v>0</v>
      </c>
      <c r="AW10" s="50">
        <f ca="1">+GETPIVOTDATA("XQT4",'quangthanh (2016)'!$A$3,"MA_HT","LUN","MA_QH","NTD")</f>
        <v>0</v>
      </c>
      <c r="AX10" s="50">
        <f ca="1">+GETPIVOTDATA("XQT4",'quangthanh (2016)'!$A$3,"MA_HT","LUN","MA_QH","SKX")</f>
        <v>0</v>
      </c>
      <c r="AY10" s="50">
        <f ca="1">+GETPIVOTDATA("XQT4",'quangthanh (2016)'!$A$3,"MA_HT","LUN","MA_QH","DSH")</f>
        <v>0</v>
      </c>
      <c r="AZ10" s="50">
        <f ca="1">+GETPIVOTDATA("XQT4",'quangthanh (2016)'!$A$3,"MA_HT","LUN","MA_QH","DKV")</f>
        <v>0</v>
      </c>
      <c r="BA10" s="88">
        <f ca="1">+GETPIVOTDATA("XQT4",'quangthanh (2016)'!$A$3,"MA_HT","LUN","MA_QH","TIN")</f>
        <v>0</v>
      </c>
      <c r="BB10" s="50">
        <f ca="1">+GETPIVOTDATA("XQT4",'quangthanh (2016)'!$A$3,"MA_HT","LUN","MA_QH","SON")</f>
        <v>0</v>
      </c>
      <c r="BC10" s="50">
        <f ca="1">+GETPIVOTDATA("XQT4",'quangthanh (2016)'!$A$3,"MA_HT","LUN","MA_QH","MNC")</f>
        <v>0</v>
      </c>
      <c r="BD10" s="50">
        <f ca="1">+GETPIVOTDATA("XQT4",'quangthanh (2016)'!$A$3,"MA_HT","LUN","MA_QH","PNK")</f>
        <v>0</v>
      </c>
      <c r="BE10" s="80">
        <f ca="1">+GETPIVOTDATA("XQT4",'quangthanh (2016)'!$A$3,"MA_HT","LUN","MA_QH","CSD")</f>
        <v>0</v>
      </c>
      <c r="BF10" s="103">
        <f ca="1" t="shared" si="7"/>
        <v>0</v>
      </c>
      <c r="BG10" s="104">
        <f ca="1">I$59-$BF10</f>
        <v>0</v>
      </c>
      <c r="BH10" s="47" t="e">
        <f ca="1" t="shared" si="8"/>
        <v>#REF!</v>
      </c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</row>
    <row r="11" s="2" customFormat="1" ht="15.75" customHeight="1" spans="1:79">
      <c r="A11" s="39" t="s">
        <v>40</v>
      </c>
      <c r="B11" s="39" t="s">
        <v>8344</v>
      </c>
      <c r="C11" s="40" t="s">
        <v>2492</v>
      </c>
      <c r="D11" s="47" t="e">
        <f>+#REF!</f>
        <v>#REF!</v>
      </c>
      <c r="E11" s="42">
        <f ca="1">SUM(K11:Q11,F11)</f>
        <v>0</v>
      </c>
      <c r="F11" s="52">
        <f ca="1">SUM(G11:I11)</f>
        <v>0</v>
      </c>
      <c r="G11" s="22">
        <f ca="1">+GETPIVOTDATA("XQT4",'quangthanh (2016)'!$A$3,"MA_HT","HNK","MA_QH","LUC")</f>
        <v>0</v>
      </c>
      <c r="H11" s="22">
        <f ca="1">+GETPIVOTDATA("XQT4",'quangthanh (2016)'!$A$3,"MA_HT","HNK","MA_QH","LUK")</f>
        <v>0</v>
      </c>
      <c r="I11" s="22">
        <f ca="1">+GETPIVOTDATA("XQT4",'quangthanh (2016)'!$A$3,"MA_HT","HNK","MA_QH","LUN")</f>
        <v>0</v>
      </c>
      <c r="J11" s="43" t="e">
        <f ca="1">$D11-$BF11</f>
        <v>#REF!</v>
      </c>
      <c r="K11" s="22">
        <f ca="1">+GETPIVOTDATA("XQT4",'quangthanh (2016)'!$A$3,"MA_HT","HNK","MA_QH","CLN")</f>
        <v>0</v>
      </c>
      <c r="L11" s="22">
        <f ca="1">+GETPIVOTDATA("XQT4",'quangthanh (2016)'!$A$3,"MA_HT","HNK","MA_QH","RSX")</f>
        <v>0</v>
      </c>
      <c r="M11" s="22">
        <f ca="1">+GETPIVOTDATA("XQT4",'quangthanh (2016)'!$A$3,"MA_HT","HNK","MA_QH","RPH")</f>
        <v>0</v>
      </c>
      <c r="N11" s="22">
        <f ca="1">+GETPIVOTDATA("XQT4",'quangthanh (2016)'!$A$3,"MA_HT","HNK","MA_QH","RDD")</f>
        <v>0</v>
      </c>
      <c r="O11" s="22">
        <f ca="1">+GETPIVOTDATA("XQT4",'quangthanh (2016)'!$A$3,"MA_HT","HNK","MA_QH","NTS")</f>
        <v>0</v>
      </c>
      <c r="P11" s="22">
        <f ca="1">+GETPIVOTDATA("XQT4",'quangthanh (2016)'!$A$3,"MA_HT","HNK","MA_QH","LMU")</f>
        <v>0</v>
      </c>
      <c r="Q11" s="22">
        <f ca="1">+GETPIVOTDATA("XQT4",'quangthanh (2016)'!$A$3,"MA_HT","HNK","MA_QH","NKH")</f>
        <v>0</v>
      </c>
      <c r="R11" s="42">
        <f ca="1" t="shared" si="2"/>
        <v>0</v>
      </c>
      <c r="S11" s="22">
        <f ca="1">+GETPIVOTDATA("XQT4",'quangthanh (2016)'!$A$3,"MA_HT","HNK","MA_QH","CQP")</f>
        <v>0</v>
      </c>
      <c r="T11" s="22">
        <f ca="1">+GETPIVOTDATA("XQT4",'quangthanh (2016)'!$A$3,"MA_HT","HNK","MA_QH","CAN")</f>
        <v>0</v>
      </c>
      <c r="U11" s="22">
        <f ca="1">+GETPIVOTDATA("XQT4",'quangthanh (2016)'!$A$3,"MA_HT","HNK","MA_QH","SKK")</f>
        <v>0</v>
      </c>
      <c r="V11" s="22">
        <f ca="1">+GETPIVOTDATA("XQT4",'quangthanh (2016)'!$A$3,"MA_HT","HNK","MA_QH","SKT")</f>
        <v>0</v>
      </c>
      <c r="W11" s="22">
        <f ca="1">+GETPIVOTDATA("XQT4",'quangthanh (2016)'!$A$3,"MA_HT","HNK","MA_QH","SKN")</f>
        <v>0</v>
      </c>
      <c r="X11" s="22">
        <f ca="1">+GETPIVOTDATA("XQT4",'quangthanh (2016)'!$A$3,"MA_HT","HNK","MA_QH","TMD")</f>
        <v>0</v>
      </c>
      <c r="Y11" s="22">
        <f ca="1">+GETPIVOTDATA("XQT4",'quangthanh (2016)'!$A$3,"MA_HT","HNK","MA_QH","SKC")</f>
        <v>0</v>
      </c>
      <c r="Z11" s="22">
        <f ca="1">+GETPIVOTDATA("XQT4",'quangthanh (2016)'!$A$3,"MA_HT","HNK","MA_QH","SKS")</f>
        <v>0</v>
      </c>
      <c r="AA11" s="52">
        <f ca="1" t="shared" si="4"/>
        <v>0</v>
      </c>
      <c r="AB11" s="22">
        <f ca="1">+GETPIVOTDATA("XQT4",'quangthanh (2016)'!$A$3,"MA_HT","HNK","MA_QH","DGT")</f>
        <v>0</v>
      </c>
      <c r="AC11" s="22">
        <f ca="1">+GETPIVOTDATA("XQT4",'quangthanh (2016)'!$A$3,"MA_HT","HNK","MA_QH","DTL")</f>
        <v>0</v>
      </c>
      <c r="AD11" s="22">
        <f ca="1">+GETPIVOTDATA("XQT4",'quangthanh (2016)'!$A$3,"MA_HT","HNK","MA_QH","DNL")</f>
        <v>0</v>
      </c>
      <c r="AE11" s="22">
        <f ca="1">+GETPIVOTDATA("XQT4",'quangthanh (2016)'!$A$3,"MA_HT","HNK","MA_QH","DBV")</f>
        <v>0</v>
      </c>
      <c r="AF11" s="22">
        <f ca="1">+GETPIVOTDATA("XQT4",'quangthanh (2016)'!$A$3,"MA_HT","HNK","MA_QH","DVH")</f>
        <v>0</v>
      </c>
      <c r="AG11" s="22">
        <f ca="1">+GETPIVOTDATA("XQT4",'quangthanh (2016)'!$A$3,"MA_HT","HNK","MA_QH","DYT")</f>
        <v>0</v>
      </c>
      <c r="AH11" s="22">
        <f ca="1">+GETPIVOTDATA("XQT4",'quangthanh (2016)'!$A$3,"MA_HT","HNK","MA_QH","DGD")</f>
        <v>0</v>
      </c>
      <c r="AI11" s="22">
        <f ca="1">+GETPIVOTDATA("XQT4",'quangthanh (2016)'!$A$3,"MA_HT","HNK","MA_QH","DTT")</f>
        <v>0</v>
      </c>
      <c r="AJ11" s="22">
        <f ca="1">+GETPIVOTDATA("XQT4",'quangthanh (2016)'!$A$3,"MA_HT","HNK","MA_QH","NCK")</f>
        <v>0</v>
      </c>
      <c r="AK11" s="22">
        <f ca="1">+GETPIVOTDATA("XQT4",'quangthanh (2016)'!$A$3,"MA_HT","HNK","MA_QH","DXH")</f>
        <v>0</v>
      </c>
      <c r="AL11" s="22">
        <f ca="1">+GETPIVOTDATA("XQT4",'quangthanh (2016)'!$A$3,"MA_HT","HNK","MA_QH","DCH")</f>
        <v>0</v>
      </c>
      <c r="AM11" s="22">
        <f ca="1">+GETPIVOTDATA("XQT4",'quangthanh (2016)'!$A$3,"MA_HT","HNK","MA_QH","DKG")</f>
        <v>0</v>
      </c>
      <c r="AN11" s="22">
        <f ca="1">+GETPIVOTDATA("XQT4",'quangthanh (2016)'!$A$3,"MA_HT","HNK","MA_QH","DDT")</f>
        <v>0</v>
      </c>
      <c r="AO11" s="22">
        <f ca="1">+GETPIVOTDATA("XQT4",'quangthanh (2016)'!$A$3,"MA_HT","HNK","MA_QH","DDL")</f>
        <v>0</v>
      </c>
      <c r="AP11" s="22">
        <f ca="1">+GETPIVOTDATA("XQT4",'quangthanh (2016)'!$A$3,"MA_HT","HNK","MA_QH","DRA")</f>
        <v>0</v>
      </c>
      <c r="AQ11" s="22">
        <f ca="1">+GETPIVOTDATA("XQT4",'quangthanh (2016)'!$A$3,"MA_HT","HNK","MA_QH","ONT")</f>
        <v>0</v>
      </c>
      <c r="AR11" s="22">
        <f ca="1">+GETPIVOTDATA("XQT4",'quangthanh (2016)'!$A$3,"MA_HT","HNK","MA_QH","ODT")</f>
        <v>0</v>
      </c>
      <c r="AS11" s="22">
        <f ca="1">+GETPIVOTDATA("XQT4",'quangthanh (2016)'!$A$3,"MA_HT","HNK","MA_QH","TSC")</f>
        <v>0</v>
      </c>
      <c r="AT11" s="22">
        <f ca="1">+GETPIVOTDATA("XQT4",'quangthanh (2016)'!$A$3,"MA_HT","HNK","MA_QH","DTS")</f>
        <v>0</v>
      </c>
      <c r="AU11" s="22">
        <f ca="1">+GETPIVOTDATA("XQT4",'quangthanh (2016)'!$A$3,"MA_HT","HNK","MA_QH","DNG")</f>
        <v>0</v>
      </c>
      <c r="AV11" s="22">
        <f ca="1">+GETPIVOTDATA("XQT4",'quangthanh (2016)'!$A$3,"MA_HT","HNK","MA_QH","TON")</f>
        <v>0</v>
      </c>
      <c r="AW11" s="22">
        <f ca="1">+GETPIVOTDATA("XQT4",'quangthanh (2016)'!$A$3,"MA_HT","HNK","MA_QH","NTD")</f>
        <v>0</v>
      </c>
      <c r="AX11" s="22">
        <f ca="1">+GETPIVOTDATA("XQT4",'quangthanh (2016)'!$A$3,"MA_HT","HNK","MA_QH","SKX")</f>
        <v>0</v>
      </c>
      <c r="AY11" s="22">
        <f ca="1">+GETPIVOTDATA("XQT4",'quangthanh (2016)'!$A$3,"MA_HT","HNK","MA_QH","DSH")</f>
        <v>0</v>
      </c>
      <c r="AZ11" s="22">
        <f ca="1">+GETPIVOTDATA("XQT4",'quangthanh (2016)'!$A$3,"MA_HT","HNK","MA_QH","DKV")</f>
        <v>0</v>
      </c>
      <c r="BA11" s="89">
        <f ca="1">+GETPIVOTDATA("XQT4",'quangthanh (2016)'!$A$3,"MA_HT","HNK","MA_QH","TIN")</f>
        <v>0</v>
      </c>
      <c r="BB11" s="50">
        <f ca="1">+GETPIVOTDATA("XQT4",'quangthanh (2016)'!$A$3,"MA_HT","HNK","MA_QH","SON")</f>
        <v>0</v>
      </c>
      <c r="BC11" s="50">
        <f ca="1">+GETPIVOTDATA("XQT4",'quangthanh (2016)'!$A$3,"MA_HT","HNK","MA_QH","MNC")</f>
        <v>0</v>
      </c>
      <c r="BD11" s="22">
        <f ca="1">+GETPIVOTDATA("XQT4",'quangthanh (2016)'!$A$3,"MA_HT","HNK","MA_QH","PNK")</f>
        <v>0</v>
      </c>
      <c r="BE11" s="71">
        <f ca="1">+GETPIVOTDATA("XQT4",'quangthanh (2016)'!$A$3,"MA_HT","HNK","MA_QH","CSD")</f>
        <v>0</v>
      </c>
      <c r="BF11" s="74">
        <f ca="1" t="shared" si="7"/>
        <v>0</v>
      </c>
      <c r="BG11" s="101">
        <f ca="1">J$59-$BF11</f>
        <v>0</v>
      </c>
      <c r="BH11" s="41" t="e">
        <f ca="1" t="shared" si="8"/>
        <v>#REF!</v>
      </c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</row>
    <row r="12" s="2" customFormat="1" ht="15.75" customHeight="1" spans="1:79">
      <c r="A12" s="39" t="s">
        <v>8345</v>
      </c>
      <c r="B12" s="39" t="s">
        <v>8346</v>
      </c>
      <c r="C12" s="40" t="s">
        <v>30</v>
      </c>
      <c r="D12" s="47" t="e">
        <f>+#REF!</f>
        <v>#REF!</v>
      </c>
      <c r="E12" s="42">
        <f ca="1">SUM(L12:Q12,F12,J12)</f>
        <v>0</v>
      </c>
      <c r="F12" s="52">
        <f ca="1" t="shared" ref="F12:F58" si="9">SUM(G12:I12)</f>
        <v>0</v>
      </c>
      <c r="G12" s="22">
        <f ca="1">+GETPIVOTDATA("XQT4",'quangthanh (2016)'!$A$3,"MA_HT","CLN","MA_QH","LUC")</f>
        <v>0</v>
      </c>
      <c r="H12" s="22">
        <f ca="1">+GETPIVOTDATA("XQT4",'quangthanh (2016)'!$A$3,"MA_HT","CLN","MA_QH","LUK")</f>
        <v>0</v>
      </c>
      <c r="I12" s="22">
        <f ca="1">+GETPIVOTDATA("XQT4",'quangthanh (2016)'!$A$3,"MA_HT","CLN","MA_QH","LUN")</f>
        <v>0</v>
      </c>
      <c r="J12" s="22">
        <f ca="1">+GETPIVOTDATA("XQT4",'quangthanh (2016)'!$A$3,"MA_HT","CLN","MA_QH","HNK")</f>
        <v>0</v>
      </c>
      <c r="K12" s="43" t="e">
        <f ca="1">$D12-$BF12</f>
        <v>#REF!</v>
      </c>
      <c r="L12" s="22">
        <f ca="1">+GETPIVOTDATA("XQT4",'quangthanh (2016)'!$A$3,"MA_HT","CLN","MA_QH","RSX")</f>
        <v>0</v>
      </c>
      <c r="M12" s="22">
        <f ca="1">+GETPIVOTDATA("XQT4",'quangthanh (2016)'!$A$3,"MA_HT","CLN","MA_QH","RPH")</f>
        <v>0</v>
      </c>
      <c r="N12" s="22">
        <f ca="1">+GETPIVOTDATA("XQT4",'quangthanh (2016)'!$A$3,"MA_HT","CLN","MA_QH","RDD")</f>
        <v>0</v>
      </c>
      <c r="O12" s="22">
        <f ca="1">+GETPIVOTDATA("XQT4",'quangthanh (2016)'!$A$3,"MA_HT","CLN","MA_QH","NTS")</f>
        <v>0</v>
      </c>
      <c r="P12" s="22">
        <f ca="1">+GETPIVOTDATA("XQT4",'quangthanh (2016)'!$A$3,"MA_HT","CLN","MA_QH","LMU")</f>
        <v>0</v>
      </c>
      <c r="Q12" s="22">
        <f ca="1">+GETPIVOTDATA("XQT4",'quangthanh (2016)'!$A$3,"MA_HT","CLN","MA_QH","NKH")</f>
        <v>0</v>
      </c>
      <c r="R12" s="42">
        <f ca="1" t="shared" si="2"/>
        <v>0</v>
      </c>
      <c r="S12" s="22">
        <f ca="1">+GETPIVOTDATA("XQT4",'quangthanh (2016)'!$A$3,"MA_HT","CLN","MA_QH","CQP")</f>
        <v>0</v>
      </c>
      <c r="T12" s="22">
        <f ca="1">+GETPIVOTDATA("XQT4",'quangthanh (2016)'!$A$3,"MA_HT","CLN","MA_QH","CAN")</f>
        <v>0</v>
      </c>
      <c r="U12" s="22">
        <f ca="1">+GETPIVOTDATA("XQT4",'quangthanh (2016)'!$A$3,"MA_HT","CLN","MA_QH","SKK")</f>
        <v>0</v>
      </c>
      <c r="V12" s="22">
        <f ca="1">+GETPIVOTDATA("XQT4",'quangthanh (2016)'!$A$3,"MA_HT","CLN","MA_QH","SKT")</f>
        <v>0</v>
      </c>
      <c r="W12" s="22">
        <f ca="1">+GETPIVOTDATA("XQT4",'quangthanh (2016)'!$A$3,"MA_HT","CLN","MA_QH","SKN")</f>
        <v>0</v>
      </c>
      <c r="X12" s="22">
        <f ca="1">+GETPIVOTDATA("XQT4",'quangthanh (2016)'!$A$3,"MA_HT","CLN","MA_QH","TMD")</f>
        <v>0</v>
      </c>
      <c r="Y12" s="22">
        <f ca="1">+GETPIVOTDATA("XQT4",'quangthanh (2016)'!$A$3,"MA_HT","CLN","MA_QH","SKC")</f>
        <v>0</v>
      </c>
      <c r="Z12" s="22">
        <f ca="1">+GETPIVOTDATA("XQT4",'quangthanh (2016)'!$A$3,"MA_HT","CLN","MA_QH","SKS")</f>
        <v>0</v>
      </c>
      <c r="AA12" s="52">
        <f ca="1" t="shared" si="4"/>
        <v>0</v>
      </c>
      <c r="AB12" s="22">
        <f ca="1">+GETPIVOTDATA("XQT4",'quangthanh (2016)'!$A$3,"MA_HT","CLN","MA_QH","DGT")</f>
        <v>0</v>
      </c>
      <c r="AC12" s="22">
        <f ca="1">+GETPIVOTDATA("XQT4",'quangthanh (2016)'!$A$3,"MA_HT","CLN","MA_QH","DTL")</f>
        <v>0</v>
      </c>
      <c r="AD12" s="22">
        <f ca="1">+GETPIVOTDATA("XQT4",'quangthanh (2016)'!$A$3,"MA_HT","CLN","MA_QH","DNL")</f>
        <v>0</v>
      </c>
      <c r="AE12" s="22">
        <f ca="1">+GETPIVOTDATA("XQT4",'quangthanh (2016)'!$A$3,"MA_HT","CLN","MA_QH","DBV")</f>
        <v>0</v>
      </c>
      <c r="AF12" s="22">
        <f ca="1">+GETPIVOTDATA("XQT4",'quangthanh (2016)'!$A$3,"MA_HT","CLN","MA_QH","DVH")</f>
        <v>0</v>
      </c>
      <c r="AG12" s="22">
        <f ca="1">+GETPIVOTDATA("XQT4",'quangthanh (2016)'!$A$3,"MA_HT","CLN","MA_QH","DYT")</f>
        <v>0</v>
      </c>
      <c r="AH12" s="22">
        <f ca="1">+GETPIVOTDATA("XQT4",'quangthanh (2016)'!$A$3,"MA_HT","CLN","MA_QH","DGD")</f>
        <v>0</v>
      </c>
      <c r="AI12" s="22">
        <f ca="1">+GETPIVOTDATA("XQT4",'quangthanh (2016)'!$A$3,"MA_HT","CLN","MA_QH","DTT")</f>
        <v>0</v>
      </c>
      <c r="AJ12" s="22">
        <f ca="1">+GETPIVOTDATA("XQT4",'quangthanh (2016)'!$A$3,"MA_HT","CLN","MA_QH","NCK")</f>
        <v>0</v>
      </c>
      <c r="AK12" s="22">
        <f ca="1">+GETPIVOTDATA("XQT4",'quangthanh (2016)'!$A$3,"MA_HT","CLN","MA_QH","DXH")</f>
        <v>0</v>
      </c>
      <c r="AL12" s="22">
        <f ca="1">+GETPIVOTDATA("XQT4",'quangthanh (2016)'!$A$3,"MA_HT","CLN","MA_QH","DCH")</f>
        <v>0</v>
      </c>
      <c r="AM12" s="22">
        <f ca="1">+GETPIVOTDATA("XQT4",'quangthanh (2016)'!$A$3,"MA_HT","CLN","MA_QH","DKG")</f>
        <v>0</v>
      </c>
      <c r="AN12" s="22">
        <f ca="1">+GETPIVOTDATA("XQT4",'quangthanh (2016)'!$A$3,"MA_HT","CLN","MA_QH","DDT")</f>
        <v>0</v>
      </c>
      <c r="AO12" s="22">
        <f ca="1">+GETPIVOTDATA("XQT4",'quangthanh (2016)'!$A$3,"MA_HT","CLN","MA_QH","DDL")</f>
        <v>0</v>
      </c>
      <c r="AP12" s="22">
        <f ca="1">+GETPIVOTDATA("XQT4",'quangthanh (2016)'!$A$3,"MA_HT","CLN","MA_QH","DRA")</f>
        <v>0</v>
      </c>
      <c r="AQ12" s="22">
        <f ca="1">+GETPIVOTDATA("XQT4",'quangthanh (2016)'!$A$3,"MA_HT","CLN","MA_QH","ONT")</f>
        <v>0</v>
      </c>
      <c r="AR12" s="22">
        <f ca="1">+GETPIVOTDATA("XQT4",'quangthanh (2016)'!$A$3,"MA_HT","CLN","MA_QH","ODT")</f>
        <v>0</v>
      </c>
      <c r="AS12" s="22">
        <f ca="1">+GETPIVOTDATA("XQT4",'quangthanh (2016)'!$A$3,"MA_HT","CLN","MA_QH","TSC")</f>
        <v>0</v>
      </c>
      <c r="AT12" s="22">
        <f ca="1">+GETPIVOTDATA("XQT4",'quangthanh (2016)'!$A$3,"MA_HT","CLN","MA_QH","DTS")</f>
        <v>0</v>
      </c>
      <c r="AU12" s="22">
        <f ca="1">+GETPIVOTDATA("XQT4",'quangthanh (2016)'!$A$3,"MA_HT","CLN","MA_QH","DNG")</f>
        <v>0</v>
      </c>
      <c r="AV12" s="22">
        <f ca="1">+GETPIVOTDATA("XQT4",'quangthanh (2016)'!$A$3,"MA_HT","CLN","MA_QH","TON")</f>
        <v>0</v>
      </c>
      <c r="AW12" s="22">
        <f ca="1">+GETPIVOTDATA("XQT4",'quangthanh (2016)'!$A$3,"MA_HT","CLN","MA_QH","NTD")</f>
        <v>0</v>
      </c>
      <c r="AX12" s="22">
        <f ca="1">+GETPIVOTDATA("XQT4",'quangthanh (2016)'!$A$3,"MA_HT","CLN","MA_QH","SKX")</f>
        <v>0</v>
      </c>
      <c r="AY12" s="22">
        <f ca="1">+GETPIVOTDATA("XQT4",'quangthanh (2016)'!$A$3,"MA_HT","CLN","MA_QH","DSH")</f>
        <v>0</v>
      </c>
      <c r="AZ12" s="22">
        <f ca="1">+GETPIVOTDATA("XQT4",'quangthanh (2016)'!$A$3,"MA_HT","CLN","MA_QH","DKV")</f>
        <v>0</v>
      </c>
      <c r="BA12" s="89">
        <f ca="1">+GETPIVOTDATA("XQT4",'quangthanh (2016)'!$A$3,"MA_HT","CLN","MA_QH","TIN")</f>
        <v>0</v>
      </c>
      <c r="BB12" s="50">
        <f ca="1">+GETPIVOTDATA("XQT4",'quangthanh (2016)'!$A$3,"MA_HT","CLN","MA_QH","SON")</f>
        <v>0</v>
      </c>
      <c r="BC12" s="50">
        <f ca="1">+GETPIVOTDATA("XQT4",'quangthanh (2016)'!$A$3,"MA_HT","CLN","MA_QH","MNC")</f>
        <v>0</v>
      </c>
      <c r="BD12" s="22">
        <f ca="1">+GETPIVOTDATA("XQT4",'quangthanh (2016)'!$A$3,"MA_HT","CLN","MA_QH","PNK")</f>
        <v>0</v>
      </c>
      <c r="BE12" s="71">
        <f ca="1">+GETPIVOTDATA("XQT4",'quangthanh (2016)'!$A$3,"MA_HT","CLN","MA_QH","CSD")</f>
        <v>0</v>
      </c>
      <c r="BF12" s="74">
        <f ca="1" t="shared" si="7"/>
        <v>0</v>
      </c>
      <c r="BG12" s="101">
        <f ca="1">K$59-$BF12</f>
        <v>0</v>
      </c>
      <c r="BH12" s="41" t="e">
        <f ca="1" t="shared" si="8"/>
        <v>#REF!</v>
      </c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</row>
    <row r="13" s="2" customFormat="1" ht="15.75" customHeight="1" spans="1:79">
      <c r="A13" s="39" t="s">
        <v>8347</v>
      </c>
      <c r="B13" s="39" t="s">
        <v>8348</v>
      </c>
      <c r="C13" s="40" t="s">
        <v>8307</v>
      </c>
      <c r="D13" s="47" t="e">
        <f>+#REF!</f>
        <v>#REF!</v>
      </c>
      <c r="E13" s="42">
        <f ca="1">SUM(F13,J13:K13,M13:Q13)</f>
        <v>0</v>
      </c>
      <c r="F13" s="52">
        <f ca="1" t="shared" si="9"/>
        <v>0</v>
      </c>
      <c r="G13" s="22">
        <f ca="1">+GETPIVOTDATA("XQT4",'quangthanh (2016)'!$A$3,"MA_HT","RSX","MA_QH","LUC")</f>
        <v>0</v>
      </c>
      <c r="H13" s="22">
        <f ca="1">+GETPIVOTDATA("XQT4",'quangthanh (2016)'!$A$3,"MA_HT","RSX","MA_QH","LUK")</f>
        <v>0</v>
      </c>
      <c r="I13" s="22">
        <f ca="1">+GETPIVOTDATA("XQT4",'quangthanh (2016)'!$A$3,"MA_HT","RSX","MA_QH","LUN")</f>
        <v>0</v>
      </c>
      <c r="J13" s="22">
        <f ca="1">+GETPIVOTDATA("XQT4",'quangthanh (2016)'!$A$3,"MA_HT","RSX","MA_QH","HNK")</f>
        <v>0</v>
      </c>
      <c r="K13" s="22">
        <f ca="1">+GETPIVOTDATA("XQT4",'quangthanh (2016)'!$A$3,"MA_HT","RSX","MA_QH","CLN")</f>
        <v>0</v>
      </c>
      <c r="L13" s="43" t="e">
        <f ca="1">$D13-$BF13</f>
        <v>#REF!</v>
      </c>
      <c r="M13" s="22">
        <f ca="1">+GETPIVOTDATA("XQT4",'quangthanh (2016)'!$A$3,"MA_HT","RSX","MA_QH","RPH")</f>
        <v>0</v>
      </c>
      <c r="N13" s="22">
        <f ca="1">+GETPIVOTDATA("XQT4",'quangthanh (2016)'!$A$3,"MA_HT","RSX","MA_QH","RDD")</f>
        <v>0</v>
      </c>
      <c r="O13" s="22">
        <f ca="1">+GETPIVOTDATA("XQT4",'quangthanh (2016)'!$A$3,"MA_HT","RSX","MA_QH","NTS")</f>
        <v>0</v>
      </c>
      <c r="P13" s="22">
        <f ca="1">+GETPIVOTDATA("XQT4",'quangthanh (2016)'!$A$3,"MA_HT","RSX","MA_QH","LMU")</f>
        <v>0</v>
      </c>
      <c r="Q13" s="22">
        <f ca="1">+GETPIVOTDATA("XQT4",'quangthanh (2016)'!$A$3,"MA_HT","RSX","MA_QH","NKH")</f>
        <v>0</v>
      </c>
      <c r="R13" s="42">
        <f ca="1" t="shared" si="2"/>
        <v>0</v>
      </c>
      <c r="S13" s="22">
        <f ca="1">+GETPIVOTDATA("XQT4",'quangthanh (2016)'!$A$3,"MA_HT","RSX","MA_QH","CQP")</f>
        <v>0</v>
      </c>
      <c r="T13" s="22">
        <f ca="1">+GETPIVOTDATA("XQT4",'quangthanh (2016)'!$A$3,"MA_HT","RSX","MA_QH","CAN")</f>
        <v>0</v>
      </c>
      <c r="U13" s="22">
        <f ca="1">+GETPIVOTDATA("XQT4",'quangthanh (2016)'!$A$3,"MA_HT","RSX","MA_QH","SKK")</f>
        <v>0</v>
      </c>
      <c r="V13" s="22">
        <f ca="1">+GETPIVOTDATA("XQT4",'quangthanh (2016)'!$A$3,"MA_HT","RSX","MA_QH","SKT")</f>
        <v>0</v>
      </c>
      <c r="W13" s="22">
        <f ca="1">+GETPIVOTDATA("XQT4",'quangthanh (2016)'!$A$3,"MA_HT","RSX","MA_QH","SKN")</f>
        <v>0</v>
      </c>
      <c r="X13" s="22">
        <f ca="1">+GETPIVOTDATA("XQT4",'quangthanh (2016)'!$A$3,"MA_HT","RSX","MA_QH","TMD")</f>
        <v>0</v>
      </c>
      <c r="Y13" s="22">
        <f ca="1">+GETPIVOTDATA("XQT4",'quangthanh (2016)'!$A$3,"MA_HT","RSX","MA_QH","SKC")</f>
        <v>0</v>
      </c>
      <c r="Z13" s="22">
        <f ca="1">+GETPIVOTDATA("XQT4",'quangthanh (2016)'!$A$3,"MA_HT","RSX","MA_QH","SKS")</f>
        <v>0</v>
      </c>
      <c r="AA13" s="52">
        <f ca="1" t="shared" si="4"/>
        <v>0</v>
      </c>
      <c r="AB13" s="22">
        <f ca="1">+GETPIVOTDATA("XQT4",'quangthanh (2016)'!$A$3,"MA_HT","RSX","MA_QH","DGT")</f>
        <v>0</v>
      </c>
      <c r="AC13" s="22">
        <f ca="1">+GETPIVOTDATA("XQT4",'quangthanh (2016)'!$A$3,"MA_HT","RSX","MA_QH","DTL")</f>
        <v>0</v>
      </c>
      <c r="AD13" s="22">
        <f ca="1">+GETPIVOTDATA("XQT4",'quangthanh (2016)'!$A$3,"MA_HT","RSX","MA_QH","DNL")</f>
        <v>0</v>
      </c>
      <c r="AE13" s="22">
        <f ca="1">+GETPIVOTDATA("XQT4",'quangthanh (2016)'!$A$3,"MA_HT","RSX","MA_QH","DBV")</f>
        <v>0</v>
      </c>
      <c r="AF13" s="22">
        <f ca="1">+GETPIVOTDATA("XQT4",'quangthanh (2016)'!$A$3,"MA_HT","RSX","MA_QH","DVH")</f>
        <v>0</v>
      </c>
      <c r="AG13" s="22">
        <f ca="1">+GETPIVOTDATA("XQT4",'quangthanh (2016)'!$A$3,"MA_HT","RSX","MA_QH","DYT")</f>
        <v>0</v>
      </c>
      <c r="AH13" s="22">
        <f ca="1">+GETPIVOTDATA("XQT4",'quangthanh (2016)'!$A$3,"MA_HT","RSX","MA_QH","DGD")</f>
        <v>0</v>
      </c>
      <c r="AI13" s="22">
        <f ca="1">+GETPIVOTDATA("XQT4",'quangthanh (2016)'!$A$3,"MA_HT","RSX","MA_QH","DTT")</f>
        <v>0</v>
      </c>
      <c r="AJ13" s="22">
        <f ca="1">+GETPIVOTDATA("XQT4",'quangthanh (2016)'!$A$3,"MA_HT","RSX","MA_QH","NCK")</f>
        <v>0</v>
      </c>
      <c r="AK13" s="22">
        <f ca="1">+GETPIVOTDATA("XQT4",'quangthanh (2016)'!$A$3,"MA_HT","RSX","MA_QH","DXH")</f>
        <v>0</v>
      </c>
      <c r="AL13" s="22">
        <f ca="1">+GETPIVOTDATA("XQT4",'quangthanh (2016)'!$A$3,"MA_HT","RSX","MA_QH","DCH")</f>
        <v>0</v>
      </c>
      <c r="AM13" s="22">
        <f ca="1">+GETPIVOTDATA("XQT4",'quangthanh (2016)'!$A$3,"MA_HT","RSX","MA_QH","DKG")</f>
        <v>0</v>
      </c>
      <c r="AN13" s="22">
        <f ca="1">+GETPIVOTDATA("XQT4",'quangthanh (2016)'!$A$3,"MA_HT","RSX","MA_QH","DDT")</f>
        <v>0</v>
      </c>
      <c r="AO13" s="22">
        <f ca="1">+GETPIVOTDATA("XQT4",'quangthanh (2016)'!$A$3,"MA_HT","RSX","MA_QH","DDL")</f>
        <v>0</v>
      </c>
      <c r="AP13" s="22">
        <f ca="1">+GETPIVOTDATA("XQT4",'quangthanh (2016)'!$A$3,"MA_HT","RSX","MA_QH","DRA")</f>
        <v>0</v>
      </c>
      <c r="AQ13" s="22">
        <f ca="1">+GETPIVOTDATA("XQT4",'quangthanh (2016)'!$A$3,"MA_HT","RSX","MA_QH","ONT")</f>
        <v>0</v>
      </c>
      <c r="AR13" s="22">
        <f ca="1">+GETPIVOTDATA("XQT4",'quangthanh (2016)'!$A$3,"MA_HT","RSX","MA_QH","ODT")</f>
        <v>0</v>
      </c>
      <c r="AS13" s="22">
        <f ca="1">+GETPIVOTDATA("XQT4",'quangthanh (2016)'!$A$3,"MA_HT","RSX","MA_QH","TSC")</f>
        <v>0</v>
      </c>
      <c r="AT13" s="22">
        <f ca="1">+GETPIVOTDATA("XQT4",'quangthanh (2016)'!$A$3,"MA_HT","RSX","MA_QH","DTS")</f>
        <v>0</v>
      </c>
      <c r="AU13" s="22">
        <f ca="1">+GETPIVOTDATA("XQT4",'quangthanh (2016)'!$A$3,"MA_HT","RSX","MA_QH","DNG")</f>
        <v>0</v>
      </c>
      <c r="AV13" s="22">
        <f ca="1">+GETPIVOTDATA("XQT4",'quangthanh (2016)'!$A$3,"MA_HT","RSX","MA_QH","TON")</f>
        <v>0</v>
      </c>
      <c r="AW13" s="22">
        <f ca="1">+GETPIVOTDATA("XQT4",'quangthanh (2016)'!$A$3,"MA_HT","RSX","MA_QH","NTD")</f>
        <v>0</v>
      </c>
      <c r="AX13" s="22">
        <f ca="1">+GETPIVOTDATA("XQT4",'quangthanh (2016)'!$A$3,"MA_HT","RSX","MA_QH","SKX")</f>
        <v>0</v>
      </c>
      <c r="AY13" s="22">
        <f ca="1">+GETPIVOTDATA("XQT4",'quangthanh (2016)'!$A$3,"MA_HT","RSX","MA_QH","DSH")</f>
        <v>0</v>
      </c>
      <c r="AZ13" s="22">
        <f ca="1">+GETPIVOTDATA("XQT4",'quangthanh (2016)'!$A$3,"MA_HT","RSX","MA_QH","DKV")</f>
        <v>0</v>
      </c>
      <c r="BA13" s="89">
        <f ca="1">+GETPIVOTDATA("XQT4",'quangthanh (2016)'!$A$3,"MA_HT","RSX","MA_QH","TIN")</f>
        <v>0</v>
      </c>
      <c r="BB13" s="50">
        <f ca="1">+GETPIVOTDATA("XQT4",'quangthanh (2016)'!$A$3,"MA_HT","RSX","MA_QH","SON")</f>
        <v>0</v>
      </c>
      <c r="BC13" s="50">
        <f ca="1">+GETPIVOTDATA("XQT4",'quangthanh (2016)'!$A$3,"MA_HT","RSX","MA_QH","MNC")</f>
        <v>0</v>
      </c>
      <c r="BD13" s="22">
        <f ca="1">+GETPIVOTDATA("XQT4",'quangthanh (2016)'!$A$3,"MA_HT","RSX","MA_QH","PNK")</f>
        <v>0</v>
      </c>
      <c r="BE13" s="71">
        <f ca="1">+GETPIVOTDATA("XQT4",'quangthanh (2016)'!$A$3,"MA_HT","RSX","MA_QH","CSD")</f>
        <v>0</v>
      </c>
      <c r="BF13" s="74">
        <f ca="1" t="shared" si="7"/>
        <v>0</v>
      </c>
      <c r="BG13" s="101">
        <f ca="1">L$59-$BF13</f>
        <v>0</v>
      </c>
      <c r="BH13" s="41" t="e">
        <f ca="1" t="shared" si="8"/>
        <v>#REF!</v>
      </c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</row>
    <row r="14" s="2" customFormat="1" ht="15.75" customHeight="1" spans="1:79">
      <c r="A14" s="39" t="s">
        <v>8349</v>
      </c>
      <c r="B14" s="39" t="s">
        <v>8350</v>
      </c>
      <c r="C14" s="40" t="s">
        <v>8306</v>
      </c>
      <c r="D14" s="47" t="e">
        <f>+#REF!</f>
        <v>#REF!</v>
      </c>
      <c r="E14" s="42">
        <f ca="1">SUM(F14,J14:L14,N14:Q14)</f>
        <v>0</v>
      </c>
      <c r="F14" s="52">
        <f ca="1" t="shared" si="9"/>
        <v>0</v>
      </c>
      <c r="G14" s="22">
        <f ca="1">+GETPIVOTDATA("XQT4",'quangthanh (2016)'!$A$3,"MA_HT","RPH","MA_QH","LUC")</f>
        <v>0</v>
      </c>
      <c r="H14" s="22">
        <f ca="1">+GETPIVOTDATA("XQT4",'quangthanh (2016)'!$A$3,"MA_HT","RPH","MA_QH","LUK")</f>
        <v>0</v>
      </c>
      <c r="I14" s="22">
        <f ca="1">+GETPIVOTDATA("XQT4",'quangthanh (2016)'!$A$3,"MA_HT","RPH","MA_QH","LUN")</f>
        <v>0</v>
      </c>
      <c r="J14" s="22">
        <f ca="1">+GETPIVOTDATA("XQT4",'quangthanh (2016)'!$A$3,"MA_HT","RPH","MA_QH","HNK")</f>
        <v>0</v>
      </c>
      <c r="K14" s="22">
        <f ca="1">+GETPIVOTDATA("XQT4",'quangthanh (2016)'!$A$3,"MA_HT","RPH","MA_QH","CLN")</f>
        <v>0</v>
      </c>
      <c r="L14" s="22">
        <f ca="1">+GETPIVOTDATA("XQT4",'quangthanh (2016)'!$A$3,"MA_HT","RPH","MA_QH","RSX")</f>
        <v>0</v>
      </c>
      <c r="M14" s="43" t="e">
        <f ca="1">$D14-$BF14</f>
        <v>#REF!</v>
      </c>
      <c r="N14" s="22">
        <f ca="1">+GETPIVOTDATA("XQT4",'quangthanh (2016)'!$A$3,"MA_HT","RPH","MA_QH","RDD")</f>
        <v>0</v>
      </c>
      <c r="O14" s="22">
        <f ca="1">+GETPIVOTDATA("XQT4",'quangthanh (2016)'!$A$3,"MA_HT","RPH","MA_QH","NTS")</f>
        <v>0</v>
      </c>
      <c r="P14" s="22">
        <f ca="1">+GETPIVOTDATA("XQT4",'quangthanh (2016)'!$A$3,"MA_HT","RPH","MA_QH","LMU")</f>
        <v>0</v>
      </c>
      <c r="Q14" s="22">
        <f ca="1">+GETPIVOTDATA("XQT4",'quangthanh (2016)'!$A$3,"MA_HT","RPH","MA_QH","NKH")</f>
        <v>0</v>
      </c>
      <c r="R14" s="42">
        <f ca="1" t="shared" si="2"/>
        <v>0</v>
      </c>
      <c r="S14" s="22">
        <f ca="1">+GETPIVOTDATA("XQT4",'quangthanh (2016)'!$A$3,"MA_HT","RPH","MA_QH","CQP")</f>
        <v>0</v>
      </c>
      <c r="T14" s="22">
        <f ca="1">+GETPIVOTDATA("XQT4",'quangthanh (2016)'!$A$3,"MA_HT","RPH","MA_QH","CAN")</f>
        <v>0</v>
      </c>
      <c r="U14" s="22">
        <f ca="1">+GETPIVOTDATA("XQT4",'quangthanh (2016)'!$A$3,"MA_HT","RPH","MA_QH","SKK")</f>
        <v>0</v>
      </c>
      <c r="V14" s="22">
        <f ca="1">+GETPIVOTDATA("XQT4",'quangthanh (2016)'!$A$3,"MA_HT","RPH","MA_QH","SKT")</f>
        <v>0</v>
      </c>
      <c r="W14" s="22">
        <f ca="1">+GETPIVOTDATA("XQT4",'quangthanh (2016)'!$A$3,"MA_HT","RPH","MA_QH","SKN")</f>
        <v>0</v>
      </c>
      <c r="X14" s="22">
        <f ca="1">+GETPIVOTDATA("XQT4",'quangthanh (2016)'!$A$3,"MA_HT","RPH","MA_QH","TMD")</f>
        <v>0</v>
      </c>
      <c r="Y14" s="22">
        <f ca="1">+GETPIVOTDATA("XQT4",'quangthanh (2016)'!$A$3,"MA_HT","RPH","MA_QH","SKC")</f>
        <v>0</v>
      </c>
      <c r="Z14" s="22">
        <f ca="1">+GETPIVOTDATA("XQT4",'quangthanh (2016)'!$A$3,"MA_HT","RPH","MA_QH","SKS")</f>
        <v>0</v>
      </c>
      <c r="AA14" s="52">
        <f ca="1" t="shared" si="4"/>
        <v>0</v>
      </c>
      <c r="AB14" s="22">
        <f ca="1">+GETPIVOTDATA("XQT4",'quangthanh (2016)'!$A$3,"MA_HT","RPH","MA_QH","DGT")</f>
        <v>0</v>
      </c>
      <c r="AC14" s="22">
        <f ca="1">+GETPIVOTDATA("XQT4",'quangthanh (2016)'!$A$3,"MA_HT","RPH","MA_QH","DTL")</f>
        <v>0</v>
      </c>
      <c r="AD14" s="22">
        <f ca="1">+GETPIVOTDATA("XQT4",'quangthanh (2016)'!$A$3,"MA_HT","RPH","MA_QH","DNL")</f>
        <v>0</v>
      </c>
      <c r="AE14" s="22">
        <f ca="1">+GETPIVOTDATA("XQT4",'quangthanh (2016)'!$A$3,"MA_HT","RPH","MA_QH","DBV")</f>
        <v>0</v>
      </c>
      <c r="AF14" s="22">
        <f ca="1">+GETPIVOTDATA("XQT4",'quangthanh (2016)'!$A$3,"MA_HT","RPH","MA_QH","DVH")</f>
        <v>0</v>
      </c>
      <c r="AG14" s="22">
        <f ca="1">+GETPIVOTDATA("XQT4",'quangthanh (2016)'!$A$3,"MA_HT","RPH","MA_QH","DYT")</f>
        <v>0</v>
      </c>
      <c r="AH14" s="22">
        <f ca="1">+GETPIVOTDATA("XQT4",'quangthanh (2016)'!$A$3,"MA_HT","RPH","MA_QH","DGD")</f>
        <v>0</v>
      </c>
      <c r="AI14" s="22">
        <f ca="1">+GETPIVOTDATA("XQT4",'quangthanh (2016)'!$A$3,"MA_HT","RPH","MA_QH","DTT")</f>
        <v>0</v>
      </c>
      <c r="AJ14" s="22">
        <f ca="1">+GETPIVOTDATA("XQT4",'quangthanh (2016)'!$A$3,"MA_HT","RPH","MA_QH","NCK")</f>
        <v>0</v>
      </c>
      <c r="AK14" s="22">
        <f ca="1">+GETPIVOTDATA("XQT4",'quangthanh (2016)'!$A$3,"MA_HT","RPH","MA_QH","DXH")</f>
        <v>0</v>
      </c>
      <c r="AL14" s="22">
        <f ca="1">+GETPIVOTDATA("XQT4",'quangthanh (2016)'!$A$3,"MA_HT","RPH","MA_QH","DCH")</f>
        <v>0</v>
      </c>
      <c r="AM14" s="22">
        <f ca="1">+GETPIVOTDATA("XQT4",'quangthanh (2016)'!$A$3,"MA_HT","RPH","MA_QH","DKG")</f>
        <v>0</v>
      </c>
      <c r="AN14" s="22">
        <f ca="1">+GETPIVOTDATA("XQT4",'quangthanh (2016)'!$A$3,"MA_HT","RPH","MA_QH","DDT")</f>
        <v>0</v>
      </c>
      <c r="AO14" s="22">
        <f ca="1">+GETPIVOTDATA("XQT4",'quangthanh (2016)'!$A$3,"MA_HT","RPH","MA_QH","DDL")</f>
        <v>0</v>
      </c>
      <c r="AP14" s="22">
        <f ca="1">+GETPIVOTDATA("XQT4",'quangthanh (2016)'!$A$3,"MA_HT","RPH","MA_QH","DRA")</f>
        <v>0</v>
      </c>
      <c r="AQ14" s="22">
        <f ca="1">+GETPIVOTDATA("XQT4",'quangthanh (2016)'!$A$3,"MA_HT","RPH","MA_QH","ONT")</f>
        <v>0</v>
      </c>
      <c r="AR14" s="22">
        <f ca="1">+GETPIVOTDATA("XQT4",'quangthanh (2016)'!$A$3,"MA_HT","RPH","MA_QH","ODT")</f>
        <v>0</v>
      </c>
      <c r="AS14" s="22">
        <f ca="1">+GETPIVOTDATA("XQT4",'quangthanh (2016)'!$A$3,"MA_HT","RPH","MA_QH","TSC")</f>
        <v>0</v>
      </c>
      <c r="AT14" s="22">
        <f ca="1">+GETPIVOTDATA("XQT4",'quangthanh (2016)'!$A$3,"MA_HT","RPH","MA_QH","DTS")</f>
        <v>0</v>
      </c>
      <c r="AU14" s="22">
        <f ca="1">+GETPIVOTDATA("XQT4",'quangthanh (2016)'!$A$3,"MA_HT","RPH","MA_QH","DNG")</f>
        <v>0</v>
      </c>
      <c r="AV14" s="22">
        <f ca="1">+GETPIVOTDATA("XQT4",'quangthanh (2016)'!$A$3,"MA_HT","RPH","MA_QH","TON")</f>
        <v>0</v>
      </c>
      <c r="AW14" s="22">
        <f ca="1">+GETPIVOTDATA("XQT4",'quangthanh (2016)'!$A$3,"MA_HT","RPH","MA_QH","NTD")</f>
        <v>0</v>
      </c>
      <c r="AX14" s="22">
        <f ca="1">+GETPIVOTDATA("XQT4",'quangthanh (2016)'!$A$3,"MA_HT","RPH","MA_QH","SKX")</f>
        <v>0</v>
      </c>
      <c r="AY14" s="22">
        <f ca="1">+GETPIVOTDATA("XQT4",'quangthanh (2016)'!$A$3,"MA_HT","RPH","MA_QH","DSH")</f>
        <v>0</v>
      </c>
      <c r="AZ14" s="22">
        <f ca="1">+GETPIVOTDATA("XQT4",'quangthanh (2016)'!$A$3,"MA_HT","RPH","MA_QH","DKV")</f>
        <v>0</v>
      </c>
      <c r="BA14" s="89">
        <f ca="1">+GETPIVOTDATA("XQT4",'quangthanh (2016)'!$A$3,"MA_HT","RPH","MA_QH","TIN")</f>
        <v>0</v>
      </c>
      <c r="BB14" s="50">
        <f ca="1">+GETPIVOTDATA("XQT4",'quangthanh (2016)'!$A$3,"MA_HT","RPH","MA_QH","SON")</f>
        <v>0</v>
      </c>
      <c r="BC14" s="50">
        <f ca="1">+GETPIVOTDATA("XQT4",'quangthanh (2016)'!$A$3,"MA_HT","RPH","MA_QH","MNC")</f>
        <v>0</v>
      </c>
      <c r="BD14" s="22">
        <f ca="1">+GETPIVOTDATA("XQT4",'quangthanh (2016)'!$A$3,"MA_HT","RPH","MA_QH","PNK")</f>
        <v>0</v>
      </c>
      <c r="BE14" s="71">
        <f ca="1">+GETPIVOTDATA("XQT4",'quangthanh (2016)'!$A$3,"MA_HT","RPH","MA_QH","CSD")</f>
        <v>0</v>
      </c>
      <c r="BF14" s="74">
        <f ca="1" t="shared" si="7"/>
        <v>0</v>
      </c>
      <c r="BG14" s="101">
        <f ca="1">M$59-$BF14</f>
        <v>0</v>
      </c>
      <c r="BH14" s="41" t="e">
        <f ca="1" t="shared" si="8"/>
        <v>#REF!</v>
      </c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</row>
    <row r="15" s="2" customFormat="1" ht="15.75" customHeight="1" spans="1:79">
      <c r="A15" s="39" t="s">
        <v>8351</v>
      </c>
      <c r="B15" s="39" t="s">
        <v>8352</v>
      </c>
      <c r="C15" s="40" t="s">
        <v>8305</v>
      </c>
      <c r="D15" s="47" t="e">
        <f>+#REF!</f>
        <v>#REF!</v>
      </c>
      <c r="E15" s="42">
        <f ca="1">SUM(F15,J15:M15,O15:Q15)</f>
        <v>0</v>
      </c>
      <c r="F15" s="52">
        <f ca="1" t="shared" si="9"/>
        <v>0</v>
      </c>
      <c r="G15" s="22">
        <f ca="1">+GETPIVOTDATA("XQT4",'quangthanh (2016)'!$A$3,"MA_HT","RDD","MA_QH","LUC")</f>
        <v>0</v>
      </c>
      <c r="H15" s="22">
        <f ca="1">+GETPIVOTDATA("XQT4",'quangthanh (2016)'!$A$3,"MA_HT","RDD","MA_QH","LUK")</f>
        <v>0</v>
      </c>
      <c r="I15" s="22">
        <f ca="1">+GETPIVOTDATA("XQT4",'quangthanh (2016)'!$A$3,"MA_HT","RDD","MA_QH","LUN")</f>
        <v>0</v>
      </c>
      <c r="J15" s="22">
        <f ca="1">+GETPIVOTDATA("XQT4",'quangthanh (2016)'!$A$3,"MA_HT","RDD","MA_QH","HNK")</f>
        <v>0</v>
      </c>
      <c r="K15" s="22">
        <f ca="1">+GETPIVOTDATA("XQT4",'quangthanh (2016)'!$A$3,"MA_HT","RDD","MA_QH","CLN")</f>
        <v>0</v>
      </c>
      <c r="L15" s="22">
        <f ca="1">+GETPIVOTDATA("XQT4",'quangthanh (2016)'!$A$3,"MA_HT","RDD","MA_QH","RSX")</f>
        <v>0</v>
      </c>
      <c r="M15" s="22">
        <f ca="1">+GETPIVOTDATA("XQT4",'quangthanh (2016)'!$A$3,"MA_HT","RDD","MA_QH","RPH")</f>
        <v>0</v>
      </c>
      <c r="N15" s="43" t="e">
        <f ca="1">$D15-$BF15</f>
        <v>#REF!</v>
      </c>
      <c r="O15" s="22">
        <f ca="1">+GETPIVOTDATA("XQT4",'quangthanh (2016)'!$A$3,"MA_HT","RDD","MA_QH","NTS")</f>
        <v>0</v>
      </c>
      <c r="P15" s="22">
        <f ca="1">+GETPIVOTDATA("XQT4",'quangthanh (2016)'!$A$3,"MA_HT","RDD","MA_QH","LMU")</f>
        <v>0</v>
      </c>
      <c r="Q15" s="22">
        <f ca="1">+GETPIVOTDATA("XQT4",'quangthanh (2016)'!$A$3,"MA_HT","RDD","MA_QH","NKH")</f>
        <v>0</v>
      </c>
      <c r="R15" s="42">
        <f ca="1" t="shared" si="2"/>
        <v>0</v>
      </c>
      <c r="S15" s="22">
        <f ca="1">+GETPIVOTDATA("XQT4",'quangthanh (2016)'!$A$3,"MA_HT","RDD","MA_QH","CQP")</f>
        <v>0</v>
      </c>
      <c r="T15" s="22">
        <f ca="1">+GETPIVOTDATA("XQT4",'quangthanh (2016)'!$A$3,"MA_HT","RDD","MA_QH","CAN")</f>
        <v>0</v>
      </c>
      <c r="U15" s="22">
        <f ca="1">+GETPIVOTDATA("XQT4",'quangthanh (2016)'!$A$3,"MA_HT","RDD","MA_QH","SKK")</f>
        <v>0</v>
      </c>
      <c r="V15" s="22">
        <f ca="1">+GETPIVOTDATA("XQT4",'quangthanh (2016)'!$A$3,"MA_HT","RDD","MA_QH","SKT")</f>
        <v>0</v>
      </c>
      <c r="W15" s="22">
        <f ca="1">+GETPIVOTDATA("XQT4",'quangthanh (2016)'!$A$3,"MA_HT","RDD","MA_QH","SKN")</f>
        <v>0</v>
      </c>
      <c r="X15" s="22">
        <f ca="1">+GETPIVOTDATA("XQT4",'quangthanh (2016)'!$A$3,"MA_HT","RDD","MA_QH","TMD")</f>
        <v>0</v>
      </c>
      <c r="Y15" s="22">
        <f ca="1">+GETPIVOTDATA("XQT4",'quangthanh (2016)'!$A$3,"MA_HT","RDD","MA_QH","SKC")</f>
        <v>0</v>
      </c>
      <c r="Z15" s="22">
        <f ca="1">+GETPIVOTDATA("XQT4",'quangthanh (2016)'!$A$3,"MA_HT","RDD","MA_QH","SKS")</f>
        <v>0</v>
      </c>
      <c r="AA15" s="52">
        <f ca="1" t="shared" si="4"/>
        <v>0</v>
      </c>
      <c r="AB15" s="22">
        <f ca="1">+GETPIVOTDATA("XQT4",'quangthanh (2016)'!$A$3,"MA_HT","RDD","MA_QH","DGT")</f>
        <v>0</v>
      </c>
      <c r="AC15" s="22">
        <f ca="1">+GETPIVOTDATA("XQT4",'quangthanh (2016)'!$A$3,"MA_HT","RDD","MA_QH","DTL")</f>
        <v>0</v>
      </c>
      <c r="AD15" s="22">
        <f ca="1">+GETPIVOTDATA("XQT4",'quangthanh (2016)'!$A$3,"MA_HT","RDD","MA_QH","DNL")</f>
        <v>0</v>
      </c>
      <c r="AE15" s="22">
        <f ca="1">+GETPIVOTDATA("XQT4",'quangthanh (2016)'!$A$3,"MA_HT","RDD","MA_QH","DBV")</f>
        <v>0</v>
      </c>
      <c r="AF15" s="22">
        <f ca="1">+GETPIVOTDATA("XQT4",'quangthanh (2016)'!$A$3,"MA_HT","RDD","MA_QH","DVH")</f>
        <v>0</v>
      </c>
      <c r="AG15" s="22">
        <f ca="1">+GETPIVOTDATA("XQT4",'quangthanh (2016)'!$A$3,"MA_HT","RDD","MA_QH","DYT")</f>
        <v>0</v>
      </c>
      <c r="AH15" s="22">
        <f ca="1">+GETPIVOTDATA("XQT4",'quangthanh (2016)'!$A$3,"MA_HT","RDD","MA_QH","DGD")</f>
        <v>0</v>
      </c>
      <c r="AI15" s="22">
        <f ca="1">+GETPIVOTDATA("XQT4",'quangthanh (2016)'!$A$3,"MA_HT","RDD","MA_QH","DTT")</f>
        <v>0</v>
      </c>
      <c r="AJ15" s="22">
        <f ca="1">+GETPIVOTDATA("XQT4",'quangthanh (2016)'!$A$3,"MA_HT","RDD","MA_QH","NCK")</f>
        <v>0</v>
      </c>
      <c r="AK15" s="22">
        <f ca="1">+GETPIVOTDATA("XQT4",'quangthanh (2016)'!$A$3,"MA_HT","RDD","MA_QH","DXH")</f>
        <v>0</v>
      </c>
      <c r="AL15" s="22">
        <f ca="1">+GETPIVOTDATA("XQT4",'quangthanh (2016)'!$A$3,"MA_HT","RDD","MA_QH","DCH")</f>
        <v>0</v>
      </c>
      <c r="AM15" s="22">
        <f ca="1">+GETPIVOTDATA("XQT4",'quangthanh (2016)'!$A$3,"MA_HT","RDD","MA_QH","DKG")</f>
        <v>0</v>
      </c>
      <c r="AN15" s="22">
        <f ca="1">+GETPIVOTDATA("XQT4",'quangthanh (2016)'!$A$3,"MA_HT","RDD","MA_QH","DDT")</f>
        <v>0</v>
      </c>
      <c r="AO15" s="22">
        <f ca="1">+GETPIVOTDATA("XQT4",'quangthanh (2016)'!$A$3,"MA_HT","RDD","MA_QH","DDL")</f>
        <v>0</v>
      </c>
      <c r="AP15" s="22">
        <f ca="1">+GETPIVOTDATA("XQT4",'quangthanh (2016)'!$A$3,"MA_HT","RDD","MA_QH","DRA")</f>
        <v>0</v>
      </c>
      <c r="AQ15" s="22">
        <f ca="1">+GETPIVOTDATA("XQT4",'quangthanh (2016)'!$A$3,"MA_HT","RDD","MA_QH","ONT")</f>
        <v>0</v>
      </c>
      <c r="AR15" s="22">
        <f ca="1">+GETPIVOTDATA("XQT4",'quangthanh (2016)'!$A$3,"MA_HT","RDD","MA_QH","ODT")</f>
        <v>0</v>
      </c>
      <c r="AS15" s="22">
        <f ca="1">+GETPIVOTDATA("XQT4",'quangthanh (2016)'!$A$3,"MA_HT","RDD","MA_QH","TSC")</f>
        <v>0</v>
      </c>
      <c r="AT15" s="22">
        <f ca="1">+GETPIVOTDATA("XQT4",'quangthanh (2016)'!$A$3,"MA_HT","RDD","MA_QH","DTS")</f>
        <v>0</v>
      </c>
      <c r="AU15" s="22">
        <f ca="1">+GETPIVOTDATA("XQT4",'quangthanh (2016)'!$A$3,"MA_HT","RDD","MA_QH","DNG")</f>
        <v>0</v>
      </c>
      <c r="AV15" s="22">
        <f ca="1">+GETPIVOTDATA("XQT4",'quangthanh (2016)'!$A$3,"MA_HT","RDD","MA_QH","TON")</f>
        <v>0</v>
      </c>
      <c r="AW15" s="22">
        <f ca="1">+GETPIVOTDATA("XQT4",'quangthanh (2016)'!$A$3,"MA_HT","RDD","MA_QH","NTD")</f>
        <v>0</v>
      </c>
      <c r="AX15" s="22">
        <f ca="1">+GETPIVOTDATA("XQT4",'quangthanh (2016)'!$A$3,"MA_HT","RDD","MA_QH","SKX")</f>
        <v>0</v>
      </c>
      <c r="AY15" s="22">
        <f ca="1">+GETPIVOTDATA("XQT4",'quangthanh (2016)'!$A$3,"MA_HT","RDD","MA_QH","DSH")</f>
        <v>0</v>
      </c>
      <c r="AZ15" s="22">
        <f ca="1">+GETPIVOTDATA("XQT4",'quangthanh (2016)'!$A$3,"MA_HT","RDD","MA_QH","DKV")</f>
        <v>0</v>
      </c>
      <c r="BA15" s="89">
        <f ca="1">+GETPIVOTDATA("XQT4",'quangthanh (2016)'!$A$3,"MA_HT","RDD","MA_QH","TIN")</f>
        <v>0</v>
      </c>
      <c r="BB15" s="50">
        <f ca="1">+GETPIVOTDATA("XQT4",'quangthanh (2016)'!$A$3,"MA_HT","RDD","MA_QH","SON")</f>
        <v>0</v>
      </c>
      <c r="BC15" s="50">
        <f ca="1">+GETPIVOTDATA("XQT4",'quangthanh (2016)'!$A$3,"MA_HT","RDD","MA_QH","MNC")</f>
        <v>0</v>
      </c>
      <c r="BD15" s="22">
        <f ca="1">+GETPIVOTDATA("XQT4",'quangthanh (2016)'!$A$3,"MA_HT","RDD","MA_QH","PNK")</f>
        <v>0</v>
      </c>
      <c r="BE15" s="71">
        <f ca="1">+GETPIVOTDATA("XQT4",'quangthanh (2016)'!$A$3,"MA_HT","RDD","MA_QH","CSD")</f>
        <v>0</v>
      </c>
      <c r="BF15" s="74">
        <f ca="1" t="shared" si="7"/>
        <v>0</v>
      </c>
      <c r="BG15" s="101">
        <f ca="1">N$59-$BF15</f>
        <v>0</v>
      </c>
      <c r="BH15" s="41" t="e">
        <f ca="1" t="shared" si="8"/>
        <v>#REF!</v>
      </c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</row>
    <row r="16" s="2" customFormat="1" ht="15.75" customHeight="1" spans="1:79">
      <c r="A16" s="39" t="s">
        <v>8353</v>
      </c>
      <c r="B16" s="39" t="s">
        <v>8354</v>
      </c>
      <c r="C16" s="40" t="s">
        <v>318</v>
      </c>
      <c r="D16" s="47" t="e">
        <f>+#REF!</f>
        <v>#REF!</v>
      </c>
      <c r="E16" s="42">
        <f ca="1">SUM(F16,J16:N16,P16:Q16)</f>
        <v>0</v>
      </c>
      <c r="F16" s="52">
        <f ca="1" t="shared" si="9"/>
        <v>0</v>
      </c>
      <c r="G16" s="22">
        <f ca="1">+GETPIVOTDATA("XQT4",'quangthanh (2016)'!$A$3,"MA_HT","NTS","MA_QH","LUC")</f>
        <v>0</v>
      </c>
      <c r="H16" s="22">
        <f ca="1">+GETPIVOTDATA("XQT4",'quangthanh (2016)'!$A$3,"MA_HT","NTS","MA_QH","LUK")</f>
        <v>0</v>
      </c>
      <c r="I16" s="22">
        <f ca="1">+GETPIVOTDATA("XQT4",'quangthanh (2016)'!$A$3,"MA_HT","NTS","MA_QH","LUN")</f>
        <v>0</v>
      </c>
      <c r="J16" s="22">
        <f ca="1">+GETPIVOTDATA("XQT4",'quangthanh (2016)'!$A$3,"MA_HT","NTS","MA_QH","HNK")</f>
        <v>0</v>
      </c>
      <c r="K16" s="22">
        <f ca="1">+GETPIVOTDATA("XQT4",'quangthanh (2016)'!$A$3,"MA_HT","NTS","MA_QH","CLN")</f>
        <v>0</v>
      </c>
      <c r="L16" s="22">
        <f ca="1">+GETPIVOTDATA("XQT4",'quangthanh (2016)'!$A$3,"MA_HT","NTS","MA_QH","RSX")</f>
        <v>0</v>
      </c>
      <c r="M16" s="22">
        <f ca="1">+GETPIVOTDATA("XQT4",'quangthanh (2016)'!$A$3,"MA_HT","NTS","MA_QH","RPH")</f>
        <v>0</v>
      </c>
      <c r="N16" s="22">
        <f ca="1">+GETPIVOTDATA("XQT4",'quangthanh (2016)'!$A$3,"MA_HT","NTS","MA_QH","RDD")</f>
        <v>0</v>
      </c>
      <c r="O16" s="43" t="e">
        <f ca="1">$D16-$BF16</f>
        <v>#REF!</v>
      </c>
      <c r="P16" s="22">
        <f ca="1">+GETPIVOTDATA("XQT4",'quangthanh (2016)'!$A$3,"MA_HT","NTS","MA_QH","LMU")</f>
        <v>0</v>
      </c>
      <c r="Q16" s="22">
        <f ca="1">+GETPIVOTDATA("XQT4",'quangthanh (2016)'!$A$3,"MA_HT","NTS","MA_QH","NKH")</f>
        <v>0</v>
      </c>
      <c r="R16" s="42">
        <f ca="1" t="shared" si="2"/>
        <v>0</v>
      </c>
      <c r="S16" s="22">
        <f ca="1">+GETPIVOTDATA("XQT4",'quangthanh (2016)'!$A$3,"MA_HT","NTS","MA_QH","CQP")</f>
        <v>0</v>
      </c>
      <c r="T16" s="22">
        <f ca="1">+GETPIVOTDATA("XQT4",'quangthanh (2016)'!$A$3,"MA_HT","NTS","MA_QH","CAN")</f>
        <v>0</v>
      </c>
      <c r="U16" s="22">
        <f ca="1">+GETPIVOTDATA("XQT4",'quangthanh (2016)'!$A$3,"MA_HT","NTS","MA_QH","SKK")</f>
        <v>0</v>
      </c>
      <c r="V16" s="22">
        <f ca="1">+GETPIVOTDATA("XQT4",'quangthanh (2016)'!$A$3,"MA_HT","NTS","MA_QH","SKT")</f>
        <v>0</v>
      </c>
      <c r="W16" s="22">
        <f ca="1">+GETPIVOTDATA("XQT4",'quangthanh (2016)'!$A$3,"MA_HT","NTS","MA_QH","SKN")</f>
        <v>0</v>
      </c>
      <c r="X16" s="22">
        <f ca="1">+GETPIVOTDATA("XQT4",'quangthanh (2016)'!$A$3,"MA_HT","NTS","MA_QH","TMD")</f>
        <v>0</v>
      </c>
      <c r="Y16" s="22">
        <f ca="1">+GETPIVOTDATA("XQT4",'quangthanh (2016)'!$A$3,"MA_HT","NTS","MA_QH","SKC")</f>
        <v>0</v>
      </c>
      <c r="Z16" s="22">
        <f ca="1">+GETPIVOTDATA("XQT4",'quangthanh (2016)'!$A$3,"MA_HT","NTS","MA_QH","SKS")</f>
        <v>0</v>
      </c>
      <c r="AA16" s="52">
        <f ca="1" t="shared" si="4"/>
        <v>0</v>
      </c>
      <c r="AB16" s="22">
        <f ca="1">+GETPIVOTDATA("XQT4",'quangthanh (2016)'!$A$3,"MA_HT","NTS","MA_QH","DGT")</f>
        <v>0</v>
      </c>
      <c r="AC16" s="22">
        <f ca="1">+GETPIVOTDATA("XQT4",'quangthanh (2016)'!$A$3,"MA_HT","NTS","MA_QH","DTL")</f>
        <v>0</v>
      </c>
      <c r="AD16" s="22">
        <f ca="1">+GETPIVOTDATA("XQT4",'quangthanh (2016)'!$A$3,"MA_HT","NTS","MA_QH","DNL")</f>
        <v>0</v>
      </c>
      <c r="AE16" s="22">
        <f ca="1">+GETPIVOTDATA("XQT4",'quangthanh (2016)'!$A$3,"MA_HT","NTS","MA_QH","DBV")</f>
        <v>0</v>
      </c>
      <c r="AF16" s="22">
        <f ca="1">+GETPIVOTDATA("XQT4",'quangthanh (2016)'!$A$3,"MA_HT","NTS","MA_QH","DVH")</f>
        <v>0</v>
      </c>
      <c r="AG16" s="22">
        <f ca="1">+GETPIVOTDATA("XQT4",'quangthanh (2016)'!$A$3,"MA_HT","NTS","MA_QH","DYT")</f>
        <v>0</v>
      </c>
      <c r="AH16" s="22">
        <f ca="1">+GETPIVOTDATA("XQT4",'quangthanh (2016)'!$A$3,"MA_HT","NTS","MA_QH","DGD")</f>
        <v>0</v>
      </c>
      <c r="AI16" s="22">
        <f ca="1">+GETPIVOTDATA("XQT4",'quangthanh (2016)'!$A$3,"MA_HT","NTS","MA_QH","DTT")</f>
        <v>0</v>
      </c>
      <c r="AJ16" s="22">
        <f ca="1">+GETPIVOTDATA("XQT4",'quangthanh (2016)'!$A$3,"MA_HT","NTS","MA_QH","NCK")</f>
        <v>0</v>
      </c>
      <c r="AK16" s="22">
        <f ca="1">+GETPIVOTDATA("XQT4",'quangthanh (2016)'!$A$3,"MA_HT","NTS","MA_QH","DXH")</f>
        <v>0</v>
      </c>
      <c r="AL16" s="22">
        <f ca="1">+GETPIVOTDATA("XQT4",'quangthanh (2016)'!$A$3,"MA_HT","NTS","MA_QH","DCH")</f>
        <v>0</v>
      </c>
      <c r="AM16" s="22">
        <f ca="1">+GETPIVOTDATA("XQT4",'quangthanh (2016)'!$A$3,"MA_HT","NTS","MA_QH","DKG")</f>
        <v>0</v>
      </c>
      <c r="AN16" s="22">
        <f ca="1">+GETPIVOTDATA("XQT4",'quangthanh (2016)'!$A$3,"MA_HT","NTS","MA_QH","DDT")</f>
        <v>0</v>
      </c>
      <c r="AO16" s="22">
        <f ca="1">+GETPIVOTDATA("XQT4",'quangthanh (2016)'!$A$3,"MA_HT","NTS","MA_QH","DDL")</f>
        <v>0</v>
      </c>
      <c r="AP16" s="22">
        <f ca="1">+GETPIVOTDATA("XQT4",'quangthanh (2016)'!$A$3,"MA_HT","NTS","MA_QH","DRA")</f>
        <v>0</v>
      </c>
      <c r="AQ16" s="22">
        <f ca="1">+GETPIVOTDATA("XQT4",'quangthanh (2016)'!$A$3,"MA_HT","NTS","MA_QH","ONT")</f>
        <v>0</v>
      </c>
      <c r="AR16" s="22">
        <f ca="1">+GETPIVOTDATA("XQT4",'quangthanh (2016)'!$A$3,"MA_HT","NTS","MA_QH","ODT")</f>
        <v>0</v>
      </c>
      <c r="AS16" s="22">
        <f ca="1">+GETPIVOTDATA("XQT4",'quangthanh (2016)'!$A$3,"MA_HT","NTS","MA_QH","TSC")</f>
        <v>0</v>
      </c>
      <c r="AT16" s="22">
        <f ca="1">+GETPIVOTDATA("XQT4",'quangthanh (2016)'!$A$3,"MA_HT","NTS","MA_QH","DTS")</f>
        <v>0</v>
      </c>
      <c r="AU16" s="22">
        <f ca="1">+GETPIVOTDATA("XQT4",'quangthanh (2016)'!$A$3,"MA_HT","NTS","MA_QH","DNG")</f>
        <v>0</v>
      </c>
      <c r="AV16" s="22">
        <f ca="1">+GETPIVOTDATA("XQT4",'quangthanh (2016)'!$A$3,"MA_HT","NTS","MA_QH","TON")</f>
        <v>0</v>
      </c>
      <c r="AW16" s="22">
        <f ca="1">+GETPIVOTDATA("XQT4",'quangthanh (2016)'!$A$3,"MA_HT","NTS","MA_QH","NTD")</f>
        <v>0</v>
      </c>
      <c r="AX16" s="22">
        <f ca="1">+GETPIVOTDATA("XQT4",'quangthanh (2016)'!$A$3,"MA_HT","NTS","MA_QH","SKX")</f>
        <v>0</v>
      </c>
      <c r="AY16" s="22">
        <f ca="1">+GETPIVOTDATA("XQT4",'quangthanh (2016)'!$A$3,"MA_HT","NTS","MA_QH","DSH")</f>
        <v>0</v>
      </c>
      <c r="AZ16" s="22">
        <f ca="1">+GETPIVOTDATA("XQT4",'quangthanh (2016)'!$A$3,"MA_HT","NTS","MA_QH","DKV")</f>
        <v>0</v>
      </c>
      <c r="BA16" s="89">
        <f ca="1">+GETPIVOTDATA("XQT4",'quangthanh (2016)'!$A$3,"MA_HT","NTS","MA_QH","TIN")</f>
        <v>0</v>
      </c>
      <c r="BB16" s="50">
        <f ca="1">+GETPIVOTDATA("XQT4",'quangthanh (2016)'!$A$3,"MA_HT","NTS","MA_QH","SON")</f>
        <v>0</v>
      </c>
      <c r="BC16" s="50">
        <f ca="1">+GETPIVOTDATA("XQT4",'quangthanh (2016)'!$A$3,"MA_HT","NTS","MA_QH","MNC")</f>
        <v>0</v>
      </c>
      <c r="BD16" s="22">
        <f ca="1">+GETPIVOTDATA("XQT4",'quangthanh (2016)'!$A$3,"MA_HT","NTS","MA_QH","PNK")</f>
        <v>0</v>
      </c>
      <c r="BE16" s="71">
        <f ca="1">+GETPIVOTDATA("XQT4",'quangthanh (2016)'!$A$3,"MA_HT","NTS","MA_QH","CSD")</f>
        <v>0</v>
      </c>
      <c r="BF16" s="74">
        <f ca="1" t="shared" si="7"/>
        <v>0</v>
      </c>
      <c r="BG16" s="101">
        <f ca="1">O$59-$BF16</f>
        <v>0</v>
      </c>
      <c r="BH16" s="41" t="e">
        <f ca="1" t="shared" si="8"/>
        <v>#REF!</v>
      </c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</row>
    <row r="17" s="2" customFormat="1" ht="15.75" customHeight="1" spans="1:79">
      <c r="A17" s="39" t="s">
        <v>8355</v>
      </c>
      <c r="B17" s="39" t="s">
        <v>8356</v>
      </c>
      <c r="C17" s="40" t="s">
        <v>8297</v>
      </c>
      <c r="D17" s="47" t="e">
        <f>+#REF!</f>
        <v>#REF!</v>
      </c>
      <c r="E17" s="42">
        <f ca="1">SUM(F17,J17:O17,Q17:Q17)</f>
        <v>0</v>
      </c>
      <c r="F17" s="52">
        <f ca="1" t="shared" si="9"/>
        <v>0</v>
      </c>
      <c r="G17" s="22">
        <f ca="1">+GETPIVOTDATA("XQT4",'quangthanh (2016)'!$A$3,"MA_HT","LMU","MA_QH","LUC")</f>
        <v>0</v>
      </c>
      <c r="H17" s="22">
        <f ca="1">+GETPIVOTDATA("XQT4",'quangthanh (2016)'!$A$3,"MA_HT","LMU","MA_QH","LUK")</f>
        <v>0</v>
      </c>
      <c r="I17" s="22">
        <f ca="1">+GETPIVOTDATA("XQT4",'quangthanh (2016)'!$A$3,"MA_HT","LMU","MA_QH","LUN")</f>
        <v>0</v>
      </c>
      <c r="J17" s="22">
        <f ca="1">+GETPIVOTDATA("XQT4",'quangthanh (2016)'!$A$3,"MA_HT","LMU","MA_QH","HNK")</f>
        <v>0</v>
      </c>
      <c r="K17" s="22">
        <f ca="1">+GETPIVOTDATA("XQT4",'quangthanh (2016)'!$A$3,"MA_HT","LMU","MA_QH","CLN")</f>
        <v>0</v>
      </c>
      <c r="L17" s="22">
        <f ca="1">+GETPIVOTDATA("XQT4",'quangthanh (2016)'!$A$3,"MA_HT","LMU","MA_QH","RSX")</f>
        <v>0</v>
      </c>
      <c r="M17" s="22">
        <f ca="1">+GETPIVOTDATA("XQT4",'quangthanh (2016)'!$A$3,"MA_HT","LMU","MA_QH","RPH")</f>
        <v>0</v>
      </c>
      <c r="N17" s="22">
        <f ca="1">+GETPIVOTDATA("XQT4",'quangthanh (2016)'!$A$3,"MA_HT","LMU","MA_QH","RDD")</f>
        <v>0</v>
      </c>
      <c r="O17" s="22">
        <f ca="1">+GETPIVOTDATA("XQT4",'quangthanh (2016)'!$A$3,"MA_HT","LMU","MA_QH","NTS")</f>
        <v>0</v>
      </c>
      <c r="P17" s="43" t="e">
        <f ca="1">$D17-$BF17</f>
        <v>#REF!</v>
      </c>
      <c r="Q17" s="22">
        <f ca="1">+GETPIVOTDATA("XQT4",'quangthanh (2016)'!$A$3,"MA_HT","LMU","MA_QH","NKH")</f>
        <v>0</v>
      </c>
      <c r="R17" s="42">
        <f ca="1" t="shared" si="2"/>
        <v>0</v>
      </c>
      <c r="S17" s="22">
        <f ca="1">+GETPIVOTDATA("XQT4",'quangthanh (2016)'!$A$3,"MA_HT","LMU","MA_QH","CQP")</f>
        <v>0</v>
      </c>
      <c r="T17" s="22">
        <f ca="1">+GETPIVOTDATA("XQT4",'quangthanh (2016)'!$A$3,"MA_HT","LMU","MA_QH","CAN")</f>
        <v>0</v>
      </c>
      <c r="U17" s="22">
        <f ca="1">+GETPIVOTDATA("XQT4",'quangthanh (2016)'!$A$3,"MA_HT","LMU","MA_QH","SKK")</f>
        <v>0</v>
      </c>
      <c r="V17" s="22">
        <f ca="1">+GETPIVOTDATA("XQT4",'quangthanh (2016)'!$A$3,"MA_HT","LMU","MA_QH","SKT")</f>
        <v>0</v>
      </c>
      <c r="W17" s="22">
        <f ca="1">+GETPIVOTDATA("XQT4",'quangthanh (2016)'!$A$3,"MA_HT","LMU","MA_QH","SKN")</f>
        <v>0</v>
      </c>
      <c r="X17" s="22">
        <f ca="1">+GETPIVOTDATA("XQT4",'quangthanh (2016)'!$A$3,"MA_HT","LMU","MA_QH","TMD")</f>
        <v>0</v>
      </c>
      <c r="Y17" s="22">
        <f ca="1">+GETPIVOTDATA("XQT4",'quangthanh (2016)'!$A$3,"MA_HT","LMU","MA_QH","SKC")</f>
        <v>0</v>
      </c>
      <c r="Z17" s="22">
        <f ca="1">+GETPIVOTDATA("XQT4",'quangthanh (2016)'!$A$3,"MA_HT","LMU","MA_QH","SKS")</f>
        <v>0</v>
      </c>
      <c r="AA17" s="52">
        <f ca="1" t="shared" si="4"/>
        <v>0</v>
      </c>
      <c r="AB17" s="22">
        <f ca="1">+GETPIVOTDATA("XQT4",'quangthanh (2016)'!$A$3,"MA_HT","LMU","MA_QH","DGT")</f>
        <v>0</v>
      </c>
      <c r="AC17" s="22">
        <f ca="1">+GETPIVOTDATA("XQT4",'quangthanh (2016)'!$A$3,"MA_HT","LMU","MA_QH","DTL")</f>
        <v>0</v>
      </c>
      <c r="AD17" s="22">
        <f ca="1">+GETPIVOTDATA("XQT4",'quangthanh (2016)'!$A$3,"MA_HT","LMU","MA_QH","DNL")</f>
        <v>0</v>
      </c>
      <c r="AE17" s="22">
        <f ca="1">+GETPIVOTDATA("XQT4",'quangthanh (2016)'!$A$3,"MA_HT","LMU","MA_QH","DBV")</f>
        <v>0</v>
      </c>
      <c r="AF17" s="22">
        <f ca="1">+GETPIVOTDATA("XQT4",'quangthanh (2016)'!$A$3,"MA_HT","LMU","MA_QH","DVH")</f>
        <v>0</v>
      </c>
      <c r="AG17" s="22">
        <f ca="1">+GETPIVOTDATA("XQT4",'quangthanh (2016)'!$A$3,"MA_HT","LMU","MA_QH","DYT")</f>
        <v>0</v>
      </c>
      <c r="AH17" s="22">
        <f ca="1">+GETPIVOTDATA("XQT4",'quangthanh (2016)'!$A$3,"MA_HT","LMU","MA_QH","DGD")</f>
        <v>0</v>
      </c>
      <c r="AI17" s="22">
        <f ca="1">+GETPIVOTDATA("XQT4",'quangthanh (2016)'!$A$3,"MA_HT","LMU","MA_QH","DTT")</f>
        <v>0</v>
      </c>
      <c r="AJ17" s="22">
        <f ca="1">+GETPIVOTDATA("XQT4",'quangthanh (2016)'!$A$3,"MA_HT","LMU","MA_QH","NCK")</f>
        <v>0</v>
      </c>
      <c r="AK17" s="22">
        <f ca="1">+GETPIVOTDATA("XQT4",'quangthanh (2016)'!$A$3,"MA_HT","LMU","MA_QH","DXH")</f>
        <v>0</v>
      </c>
      <c r="AL17" s="22">
        <f ca="1">+GETPIVOTDATA("XQT4",'quangthanh (2016)'!$A$3,"MA_HT","LMU","MA_QH","DCH")</f>
        <v>0</v>
      </c>
      <c r="AM17" s="22">
        <f ca="1">+GETPIVOTDATA("XQT4",'quangthanh (2016)'!$A$3,"MA_HT","LMU","MA_QH","DKG")</f>
        <v>0</v>
      </c>
      <c r="AN17" s="22">
        <f ca="1">+GETPIVOTDATA("XQT4",'quangthanh (2016)'!$A$3,"MA_HT","LMU","MA_QH","DDT")</f>
        <v>0</v>
      </c>
      <c r="AO17" s="22">
        <f ca="1">+GETPIVOTDATA("XQT4",'quangthanh (2016)'!$A$3,"MA_HT","LMU","MA_QH","DDL")</f>
        <v>0</v>
      </c>
      <c r="AP17" s="22">
        <f ca="1">+GETPIVOTDATA("XQT4",'quangthanh (2016)'!$A$3,"MA_HT","LMU","MA_QH","DRA")</f>
        <v>0</v>
      </c>
      <c r="AQ17" s="22">
        <f ca="1">+GETPIVOTDATA("XQT4",'quangthanh (2016)'!$A$3,"MA_HT","LMU","MA_QH","ONT")</f>
        <v>0</v>
      </c>
      <c r="AR17" s="22">
        <f ca="1">+GETPIVOTDATA("XQT4",'quangthanh (2016)'!$A$3,"MA_HT","LMU","MA_QH","ODT")</f>
        <v>0</v>
      </c>
      <c r="AS17" s="22">
        <f ca="1">+GETPIVOTDATA("XQT4",'quangthanh (2016)'!$A$3,"MA_HT","LMU","MA_QH","TSC")</f>
        <v>0</v>
      </c>
      <c r="AT17" s="22">
        <f ca="1">+GETPIVOTDATA("XQT4",'quangthanh (2016)'!$A$3,"MA_HT","LMU","MA_QH","DTS")</f>
        <v>0</v>
      </c>
      <c r="AU17" s="22">
        <f ca="1">+GETPIVOTDATA("XQT4",'quangthanh (2016)'!$A$3,"MA_HT","LMU","MA_QH","DNG")</f>
        <v>0</v>
      </c>
      <c r="AV17" s="22">
        <f ca="1">+GETPIVOTDATA("XQT4",'quangthanh (2016)'!$A$3,"MA_HT","LMU","MA_QH","TON")</f>
        <v>0</v>
      </c>
      <c r="AW17" s="22">
        <f ca="1">+GETPIVOTDATA("XQT4",'quangthanh (2016)'!$A$3,"MA_HT","LMU","MA_QH","NTD")</f>
        <v>0</v>
      </c>
      <c r="AX17" s="22">
        <f ca="1">+GETPIVOTDATA("XQT4",'quangthanh (2016)'!$A$3,"MA_HT","LMU","MA_QH","SKX")</f>
        <v>0</v>
      </c>
      <c r="AY17" s="22">
        <f ca="1">+GETPIVOTDATA("XQT4",'quangthanh (2016)'!$A$3,"MA_HT","LMU","MA_QH","DSH")</f>
        <v>0</v>
      </c>
      <c r="AZ17" s="22">
        <f ca="1">+GETPIVOTDATA("XQT4",'quangthanh (2016)'!$A$3,"MA_HT","LMU","MA_QH","DKV")</f>
        <v>0</v>
      </c>
      <c r="BA17" s="89">
        <f ca="1">+GETPIVOTDATA("XQT4",'quangthanh (2016)'!$A$3,"MA_HT","LMU","MA_QH","TIN")</f>
        <v>0</v>
      </c>
      <c r="BB17" s="50">
        <f ca="1">+GETPIVOTDATA("XQT4",'quangthanh (2016)'!$A$3,"MA_HT","LMU","MA_QH","SON")</f>
        <v>0</v>
      </c>
      <c r="BC17" s="50">
        <f ca="1">+GETPIVOTDATA("XQT4",'quangthanh (2016)'!$A$3,"MA_HT","LMU","MA_QH","MNC")</f>
        <v>0</v>
      </c>
      <c r="BD17" s="22">
        <f ca="1">+GETPIVOTDATA("XQT4",'quangthanh (2016)'!$A$3,"MA_HT","LMU","MA_QH","PNK")</f>
        <v>0</v>
      </c>
      <c r="BE17" s="71">
        <f ca="1">+GETPIVOTDATA("XQT4",'quangthanh (2016)'!$A$3,"MA_HT","LMU","MA_QH","CSD")</f>
        <v>0</v>
      </c>
      <c r="BF17" s="74">
        <f ca="1" t="shared" si="7"/>
        <v>0</v>
      </c>
      <c r="BG17" s="101">
        <f ca="1">P$59-$BF17</f>
        <v>0</v>
      </c>
      <c r="BH17" s="41" t="e">
        <f ca="1" t="shared" si="8"/>
        <v>#REF!</v>
      </c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</row>
    <row r="18" s="2" customFormat="1" ht="15.75" customHeight="1" spans="1:79">
      <c r="A18" s="39" t="s">
        <v>8357</v>
      </c>
      <c r="B18" s="39" t="s">
        <v>8358</v>
      </c>
      <c r="C18" s="40" t="s">
        <v>553</v>
      </c>
      <c r="D18" s="47" t="e">
        <f>+#REF!</f>
        <v>#REF!</v>
      </c>
      <c r="E18" s="42">
        <f ca="1">SUM(F18,J18:P18)</f>
        <v>0</v>
      </c>
      <c r="F18" s="52">
        <f ca="1" t="shared" si="9"/>
        <v>0</v>
      </c>
      <c r="G18" s="22">
        <f ca="1">+GETPIVOTDATA("XQT4",'quangthanh (2016)'!$A$3,"MA_HT","NKH","MA_QH","LUC")</f>
        <v>0</v>
      </c>
      <c r="H18" s="22">
        <f ca="1">+GETPIVOTDATA("XQT4",'quangthanh (2016)'!$A$3,"MA_HT","NKH","MA_QH","LUK")</f>
        <v>0</v>
      </c>
      <c r="I18" s="22">
        <f ca="1">+GETPIVOTDATA("XQT4",'quangthanh (2016)'!$A$3,"MA_HT","NKH","MA_QH","LUN")</f>
        <v>0</v>
      </c>
      <c r="J18" s="22">
        <f ca="1">+GETPIVOTDATA("XQT4",'quangthanh (2016)'!$A$3,"MA_HT","NKH","MA_QH","HNK")</f>
        <v>0</v>
      </c>
      <c r="K18" s="22">
        <f ca="1">+GETPIVOTDATA("XQT4",'quangthanh (2016)'!$A$3,"MA_HT","NKH","MA_QH","CLN")</f>
        <v>0</v>
      </c>
      <c r="L18" s="22">
        <f ca="1">+GETPIVOTDATA("XQT4",'quangthanh (2016)'!$A$3,"MA_HT","NKH","MA_QH","RSX")</f>
        <v>0</v>
      </c>
      <c r="M18" s="22">
        <f ca="1">+GETPIVOTDATA("XQT4",'quangthanh (2016)'!$A$3,"MA_HT","NKH","MA_QH","RPH")</f>
        <v>0</v>
      </c>
      <c r="N18" s="22">
        <f ca="1">+GETPIVOTDATA("XQT4",'quangthanh (2016)'!$A$3,"MA_HT","NKH","MA_QH","RDD")</f>
        <v>0</v>
      </c>
      <c r="O18" s="22">
        <f ca="1">+GETPIVOTDATA("XQT4",'quangthanh (2016)'!$A$3,"MA_HT","NKH","MA_QH","NTS")</f>
        <v>0</v>
      </c>
      <c r="P18" s="22">
        <f ca="1">+GETPIVOTDATA("XQT4",'quangthanh (2016)'!$A$3,"MA_HT","NKH","MA_QH","LMU")</f>
        <v>0</v>
      </c>
      <c r="Q18" s="43" t="e">
        <f ca="1">$D18-$BF18</f>
        <v>#REF!</v>
      </c>
      <c r="R18" s="42">
        <f ca="1" t="shared" si="2"/>
        <v>0</v>
      </c>
      <c r="S18" s="22">
        <f ca="1">+GETPIVOTDATA("XQT4",'quangthanh (2016)'!$A$3,"MA_HT","NKH","MA_QH","CQP")</f>
        <v>0</v>
      </c>
      <c r="T18" s="22">
        <f ca="1">+GETPIVOTDATA("XQT4",'quangthanh (2016)'!$A$3,"MA_HT","NKH","MA_QH","CAN")</f>
        <v>0</v>
      </c>
      <c r="U18" s="22">
        <f ca="1">+GETPIVOTDATA("XQT4",'quangthanh (2016)'!$A$3,"MA_HT","NKH","MA_QH","SKK")</f>
        <v>0</v>
      </c>
      <c r="V18" s="22">
        <f ca="1">+GETPIVOTDATA("XQT4",'quangthanh (2016)'!$A$3,"MA_HT","NKH","MA_QH","SKT")</f>
        <v>0</v>
      </c>
      <c r="W18" s="22">
        <f ca="1">+GETPIVOTDATA("XQT4",'quangthanh (2016)'!$A$3,"MA_HT","NKH","MA_QH","SKN")</f>
        <v>0</v>
      </c>
      <c r="X18" s="22">
        <f ca="1">+GETPIVOTDATA("XQT4",'quangthanh (2016)'!$A$3,"MA_HT","NKH","MA_QH","TMD")</f>
        <v>0</v>
      </c>
      <c r="Y18" s="22">
        <f ca="1">+GETPIVOTDATA("XQT4",'quangthanh (2016)'!$A$3,"MA_HT","NKH","MA_QH","SKC")</f>
        <v>0</v>
      </c>
      <c r="Z18" s="22">
        <f ca="1">+GETPIVOTDATA("XQT4",'quangthanh (2016)'!$A$3,"MA_HT","NKH","MA_QH","SKS")</f>
        <v>0</v>
      </c>
      <c r="AA18" s="52">
        <f ca="1" t="shared" si="4"/>
        <v>0</v>
      </c>
      <c r="AB18" s="22">
        <f ca="1">+GETPIVOTDATA("XQT4",'quangthanh (2016)'!$A$3,"MA_HT","NKH","MA_QH","DGT")</f>
        <v>0</v>
      </c>
      <c r="AC18" s="22">
        <f ca="1">+GETPIVOTDATA("XQT4",'quangthanh (2016)'!$A$3,"MA_HT","NKH","MA_QH","DTL")</f>
        <v>0</v>
      </c>
      <c r="AD18" s="22">
        <f ca="1">+GETPIVOTDATA("XQT4",'quangthanh (2016)'!$A$3,"MA_HT","NKH","MA_QH","DNL")</f>
        <v>0</v>
      </c>
      <c r="AE18" s="22">
        <f ca="1">+GETPIVOTDATA("XQT4",'quangthanh (2016)'!$A$3,"MA_HT","NKH","MA_QH","DBV")</f>
        <v>0</v>
      </c>
      <c r="AF18" s="22">
        <f ca="1">+GETPIVOTDATA("XQT4",'quangthanh (2016)'!$A$3,"MA_HT","NKH","MA_QH","DVH")</f>
        <v>0</v>
      </c>
      <c r="AG18" s="22">
        <f ca="1">+GETPIVOTDATA("XQT4",'quangthanh (2016)'!$A$3,"MA_HT","NKH","MA_QH","DYT")</f>
        <v>0</v>
      </c>
      <c r="AH18" s="22">
        <f ca="1">+GETPIVOTDATA("XQT4",'quangthanh (2016)'!$A$3,"MA_HT","NKH","MA_QH","DGD")</f>
        <v>0</v>
      </c>
      <c r="AI18" s="22">
        <f ca="1">+GETPIVOTDATA("XQT4",'quangthanh (2016)'!$A$3,"MA_HT","NKH","MA_QH","DTT")</f>
        <v>0</v>
      </c>
      <c r="AJ18" s="22">
        <f ca="1">+GETPIVOTDATA("XQT4",'quangthanh (2016)'!$A$3,"MA_HT","NKH","MA_QH","NCK")</f>
        <v>0</v>
      </c>
      <c r="AK18" s="22">
        <f ca="1">+GETPIVOTDATA("XQT4",'quangthanh (2016)'!$A$3,"MA_HT","NKH","MA_QH","DXH")</f>
        <v>0</v>
      </c>
      <c r="AL18" s="22">
        <f ca="1">+GETPIVOTDATA("XQT4",'quangthanh (2016)'!$A$3,"MA_HT","NKH","MA_QH","DCH")</f>
        <v>0</v>
      </c>
      <c r="AM18" s="22">
        <f ca="1">+GETPIVOTDATA("XQT4",'quangthanh (2016)'!$A$3,"MA_HT","NKH","MA_QH","DKG")</f>
        <v>0</v>
      </c>
      <c r="AN18" s="22">
        <f ca="1">+GETPIVOTDATA("XQT4",'quangthanh (2016)'!$A$3,"MA_HT","NKH","MA_QH","DDT")</f>
        <v>0</v>
      </c>
      <c r="AO18" s="22">
        <f ca="1">+GETPIVOTDATA("XQT4",'quangthanh (2016)'!$A$3,"MA_HT","NKH","MA_QH","DDL")</f>
        <v>0</v>
      </c>
      <c r="AP18" s="22">
        <f ca="1">+GETPIVOTDATA("XQT4",'quangthanh (2016)'!$A$3,"MA_HT","NKH","MA_QH","DRA")</f>
        <v>0</v>
      </c>
      <c r="AQ18" s="22">
        <f ca="1">+GETPIVOTDATA("XQT4",'quangthanh (2016)'!$A$3,"MA_HT","NKH","MA_QH","ONT")</f>
        <v>0</v>
      </c>
      <c r="AR18" s="22">
        <f ca="1">+GETPIVOTDATA("XQT4",'quangthanh (2016)'!$A$3,"MA_HT","NKH","MA_QH","ODT")</f>
        <v>0</v>
      </c>
      <c r="AS18" s="22">
        <f ca="1">+GETPIVOTDATA("XQT4",'quangthanh (2016)'!$A$3,"MA_HT","NKH","MA_QH","TSC")</f>
        <v>0</v>
      </c>
      <c r="AT18" s="22">
        <f ca="1">+GETPIVOTDATA("XQT4",'quangthanh (2016)'!$A$3,"MA_HT","NKH","MA_QH","DTS")</f>
        <v>0</v>
      </c>
      <c r="AU18" s="22">
        <f ca="1">+GETPIVOTDATA("XQT4",'quangthanh (2016)'!$A$3,"MA_HT","NKH","MA_QH","DNG")</f>
        <v>0</v>
      </c>
      <c r="AV18" s="22">
        <f ca="1">+GETPIVOTDATA("XQT4",'quangthanh (2016)'!$A$3,"MA_HT","NKH","MA_QH","TON")</f>
        <v>0</v>
      </c>
      <c r="AW18" s="22">
        <f ca="1">+GETPIVOTDATA("XQT4",'quangthanh (2016)'!$A$3,"MA_HT","NKH","MA_QH","NTD")</f>
        <v>0</v>
      </c>
      <c r="AX18" s="22">
        <f ca="1">+GETPIVOTDATA("XQT4",'quangthanh (2016)'!$A$3,"MA_HT","NKH","MA_QH","SKX")</f>
        <v>0</v>
      </c>
      <c r="AY18" s="22">
        <f ca="1">+GETPIVOTDATA("XQT4",'quangthanh (2016)'!$A$3,"MA_HT","NKH","MA_QH","DSH")</f>
        <v>0</v>
      </c>
      <c r="AZ18" s="22">
        <f ca="1">+GETPIVOTDATA("XQT4",'quangthanh (2016)'!$A$3,"MA_HT","NKH","MA_QH","DKV")</f>
        <v>0</v>
      </c>
      <c r="BA18" s="89">
        <f ca="1">+GETPIVOTDATA("XQT4",'quangthanh (2016)'!$A$3,"MA_HT","NKH","MA_QH","TIN")</f>
        <v>0</v>
      </c>
      <c r="BB18" s="50">
        <f ca="1">+GETPIVOTDATA("XQT4",'quangthanh (2016)'!$A$3,"MA_HT","NKH","MA_QH","SON")</f>
        <v>0</v>
      </c>
      <c r="BC18" s="50">
        <f ca="1">+GETPIVOTDATA("XQT4",'quangthanh (2016)'!$A$3,"MA_HT","NKH","MA_QH","MNC")</f>
        <v>0</v>
      </c>
      <c r="BD18" s="22">
        <f ca="1">+GETPIVOTDATA("XQT4",'quangthanh (2016)'!$A$3,"MA_HT","NKH","MA_QH","PNK")</f>
        <v>0</v>
      </c>
      <c r="BE18" s="71">
        <f ca="1">+GETPIVOTDATA("XQT4",'quangthanh (2016)'!$A$3,"MA_HT","NKH","MA_QH","CSD")</f>
        <v>0</v>
      </c>
      <c r="BF18" s="74">
        <f ca="1" t="shared" si="7"/>
        <v>0</v>
      </c>
      <c r="BG18" s="101">
        <f ca="1">Q$59-$BF18</f>
        <v>0</v>
      </c>
      <c r="BH18" s="41" t="e">
        <f ca="1" t="shared" si="8"/>
        <v>#REF!</v>
      </c>
      <c r="BI18" s="98"/>
      <c r="BJ18" s="98"/>
      <c r="BK18" s="98"/>
      <c r="BL18" s="98"/>
      <c r="BM18" s="107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</row>
    <row r="19" s="3" customFormat="1" ht="15.75" customHeight="1" spans="1:75">
      <c r="A19" s="35">
        <v>2</v>
      </c>
      <c r="B19" s="36" t="s">
        <v>8359</v>
      </c>
      <c r="C19" s="37" t="s">
        <v>8304</v>
      </c>
      <c r="D19" s="33" t="e">
        <f>+#REF!</f>
        <v>#REF!</v>
      </c>
      <c r="E19" s="33">
        <f ca="1">SUM(E20:E28,E41:E57)</f>
        <v>0</v>
      </c>
      <c r="F19" s="33">
        <f ca="1">SUM(F20:F28,F41:F57)</f>
        <v>0</v>
      </c>
      <c r="G19" s="33">
        <f ca="1">SUM(G20:G28,G41:G57)</f>
        <v>0</v>
      </c>
      <c r="H19" s="33">
        <f ca="1">SUM(H20:H28,H41:H57)</f>
        <v>0</v>
      </c>
      <c r="I19" s="33">
        <f ca="1">SUM(I20:I28,I41:I57)</f>
        <v>0</v>
      </c>
      <c r="J19" s="33">
        <f ca="1" t="shared" ref="J19:Q19" si="10">SUM(J20:J28,J41:J57)</f>
        <v>0</v>
      </c>
      <c r="K19" s="33">
        <f ca="1" t="shared" si="10"/>
        <v>0</v>
      </c>
      <c r="L19" s="33">
        <f ca="1" t="shared" si="10"/>
        <v>0</v>
      </c>
      <c r="M19" s="33">
        <f ca="1" t="shared" si="10"/>
        <v>0</v>
      </c>
      <c r="N19" s="33">
        <f ca="1" t="shared" si="10"/>
        <v>0</v>
      </c>
      <c r="O19" s="33">
        <f ca="1" t="shared" si="10"/>
        <v>0</v>
      </c>
      <c r="P19" s="33">
        <f ca="1" t="shared" si="10"/>
        <v>0</v>
      </c>
      <c r="Q19" s="33">
        <f ca="1" t="shared" si="10"/>
        <v>0</v>
      </c>
      <c r="R19" s="38" t="e">
        <f ca="1">$D19-$BF19</f>
        <v>#REF!</v>
      </c>
      <c r="S19" s="33">
        <f ca="1">SUM(S21:S28,S41:S57)</f>
        <v>0</v>
      </c>
      <c r="T19" s="33">
        <f ca="1">SUM(T20,T22:T28,T41:T57)</f>
        <v>0</v>
      </c>
      <c r="U19" s="33">
        <f ca="1">SUM(U20:U21,U23:U28,U41:U57)</f>
        <v>0</v>
      </c>
      <c r="V19" s="33">
        <f ca="1">SUM(V20:V22,V24:V28,V41:V57)</f>
        <v>0</v>
      </c>
      <c r="W19" s="33">
        <f ca="1">SUM(W20:W23,W25:W28,W41:W57)</f>
        <v>0</v>
      </c>
      <c r="X19" s="33">
        <f ca="1">SUM(X20:X24,X26:X28,X41:X57)</f>
        <v>0</v>
      </c>
      <c r="Y19" s="33">
        <f ca="1">SUM(Y20:Y25,Y27:Y28,Y41:Y57)</f>
        <v>0</v>
      </c>
      <c r="Z19" s="33">
        <f ca="1">SUM(Z20:Z26,Z28,Z41:Z57)</f>
        <v>0</v>
      </c>
      <c r="AA19" s="33">
        <f ca="1">SUM(AA20:AA27,AA41:AA57)</f>
        <v>0</v>
      </c>
      <c r="AB19" s="33">
        <f ca="1" t="shared" ref="AB19:AM19" si="11">SUM(AB20:AB28,AB41:AB57)</f>
        <v>0</v>
      </c>
      <c r="AC19" s="33">
        <f ca="1" t="shared" si="11"/>
        <v>0</v>
      </c>
      <c r="AD19" s="33">
        <f ca="1" t="shared" si="11"/>
        <v>0</v>
      </c>
      <c r="AE19" s="33">
        <f ca="1" t="shared" si="11"/>
        <v>0</v>
      </c>
      <c r="AF19" s="33">
        <f ca="1" t="shared" si="11"/>
        <v>0</v>
      </c>
      <c r="AG19" s="33">
        <f ca="1" t="shared" si="11"/>
        <v>0</v>
      </c>
      <c r="AH19" s="33">
        <f ca="1" t="shared" si="11"/>
        <v>0</v>
      </c>
      <c r="AI19" s="33">
        <f ca="1" t="shared" si="11"/>
        <v>0</v>
      </c>
      <c r="AJ19" s="33">
        <f ca="1" t="shared" si="11"/>
        <v>0</v>
      </c>
      <c r="AK19" s="33">
        <f ca="1" t="shared" si="11"/>
        <v>0</v>
      </c>
      <c r="AL19" s="33">
        <f ca="1" t="shared" si="11"/>
        <v>0</v>
      </c>
      <c r="AM19" s="33">
        <f ca="1" t="shared" si="11"/>
        <v>0</v>
      </c>
      <c r="AN19" s="33">
        <f ca="1">SUM(AN20:AN28,AN42:AN57)</f>
        <v>0</v>
      </c>
      <c r="AO19" s="33">
        <f ca="1">SUM(AO20:AO28,AO41,AO43:AO57)</f>
        <v>0</v>
      </c>
      <c r="AP19" s="33">
        <f ca="1">SUM(AP20:AP28,AP41:AP42,AP44:AP57)</f>
        <v>0</v>
      </c>
      <c r="AQ19" s="33">
        <f ca="1">SUM(AQ20:AQ28,AQ41:AQ43,AQ45:AQ57)</f>
        <v>0</v>
      </c>
      <c r="AR19" s="33">
        <f ca="1">SUM(AR20:AR28,AR41:AR44,AR46:AR57)</f>
        <v>0</v>
      </c>
      <c r="AS19" s="33">
        <f ca="1">SUM(AS20:AS28,AS41:AS45,AS47:AS57)</f>
        <v>0</v>
      </c>
      <c r="AT19" s="33">
        <f ca="1">SUM(AT20:AT28,AT41:AT46,AT48:AT57)</f>
        <v>0</v>
      </c>
      <c r="AU19" s="33">
        <f ca="1">SUM(AU20:AU28,AU41:AU47,AU49:AU57)</f>
        <v>0</v>
      </c>
      <c r="AV19" s="33">
        <f ca="1">SUM(AV20:AV28,AV41:AV48,AV50:AV57)</f>
        <v>0</v>
      </c>
      <c r="AW19" s="33">
        <f ca="1">SUM(AW20:AW28,AW41:AW49,AW51:AW57)</f>
        <v>0</v>
      </c>
      <c r="AX19" s="33">
        <f ca="1">SUM(AX20:AX28,AX41:AX50,AX52:AX57)</f>
        <v>0</v>
      </c>
      <c r="AY19" s="33">
        <f ca="1">SUM(AY20:AY28,AY41:AY51,AY53:AY57)</f>
        <v>0</v>
      </c>
      <c r="AZ19" s="33">
        <f ca="1">SUM(AZ20:AZ28,AZ41:AZ52,AZ54:AZ57)</f>
        <v>0</v>
      </c>
      <c r="BA19" s="33">
        <f ca="1">SUM(BA20:BA28,BA41:BA53,BA55:BA57)</f>
        <v>0</v>
      </c>
      <c r="BB19" s="33">
        <f ca="1">SUM(BB20:BB28,BB41:BB54,BB56:BB57)</f>
        <v>0</v>
      </c>
      <c r="BC19" s="33">
        <f ca="1">SUM(BC20:BC28,BC41:BC55,BC57)</f>
        <v>0</v>
      </c>
      <c r="BD19" s="33">
        <f ca="1">SUM(BD20:BD28,BD41:BD56,BD58)</f>
        <v>0</v>
      </c>
      <c r="BE19" s="33">
        <f ca="1">SUM(BE20:BE28,BE41:BE57)</f>
        <v>0</v>
      </c>
      <c r="BF19" s="74">
        <f ca="1">SUM(BE19,E19)</f>
        <v>0</v>
      </c>
      <c r="BG19" s="101">
        <f ca="1">R$59-$BF19</f>
        <v>0</v>
      </c>
      <c r="BH19" s="33" t="e">
        <f ca="1">SUM(BH20:BH28,BH41:BH57)</f>
        <v>#REF!</v>
      </c>
      <c r="BI19" s="102"/>
      <c r="BJ19" s="36" t="e">
        <f>SUM(BJ22:BJ54,BJ57:BJ57)</f>
        <v>#REF!</v>
      </c>
      <c r="BK19" s="106" t="e">
        <f ca="1">BH19-BJ19</f>
        <v>#REF!</v>
      </c>
      <c r="BL19" s="106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</row>
    <row r="20" s="2" customFormat="1" ht="15.75" customHeight="1" spans="1:79">
      <c r="A20" s="39" t="s">
        <v>69</v>
      </c>
      <c r="B20" s="39" t="s">
        <v>8360</v>
      </c>
      <c r="C20" s="40" t="s">
        <v>31</v>
      </c>
      <c r="D20" s="41" t="e">
        <f>+#REF!</f>
        <v>#REF!</v>
      </c>
      <c r="E20" s="42">
        <f ca="1">SUM(F20,J20:Q20)</f>
        <v>0</v>
      </c>
      <c r="F20" s="52">
        <f ca="1" t="shared" si="9"/>
        <v>0</v>
      </c>
      <c r="G20" s="22">
        <f ca="1">+GETPIVOTDATA("XQT4",'quangthanh (2016)'!$A$3,"MA_HT","CQP","MA_QH","LUC")</f>
        <v>0</v>
      </c>
      <c r="H20" s="22">
        <f ca="1">+GETPIVOTDATA("XQT4",'quangthanh (2016)'!$A$3,"MA_HT","CQP","MA_QH","LUK")</f>
        <v>0</v>
      </c>
      <c r="I20" s="22">
        <f ca="1">+GETPIVOTDATA("XQT4",'quangthanh (2016)'!$A$3,"MA_HT","CQP","MA_QH","LUN")</f>
        <v>0</v>
      </c>
      <c r="J20" s="22">
        <f ca="1">+GETPIVOTDATA("XQT4",'quangthanh (2016)'!$A$3,"MA_HT","CQP","MA_QH","HNK")</f>
        <v>0</v>
      </c>
      <c r="K20" s="22">
        <f ca="1">+GETPIVOTDATA("XQT4",'quangthanh (2016)'!$A$3,"MA_HT","CQP","MA_QH","CLN")</f>
        <v>0</v>
      </c>
      <c r="L20" s="22">
        <f ca="1">+GETPIVOTDATA("XQT4",'quangthanh (2016)'!$A$3,"MA_HT","CQP","MA_QH","RSX")</f>
        <v>0</v>
      </c>
      <c r="M20" s="22">
        <f ca="1">+GETPIVOTDATA("XQT4",'quangthanh (2016)'!$A$3,"MA_HT","CQP","MA_QH","RPH")</f>
        <v>0</v>
      </c>
      <c r="N20" s="22">
        <f ca="1">+GETPIVOTDATA("XQT4",'quangthanh (2016)'!$A$3,"MA_HT","CQP","MA_QH","RDD")</f>
        <v>0</v>
      </c>
      <c r="O20" s="22">
        <f ca="1">+GETPIVOTDATA("XQT4",'quangthanh (2016)'!$A$3,"MA_HT","CQP","MA_QH","NTS")</f>
        <v>0</v>
      </c>
      <c r="P20" s="22">
        <f ca="1">+GETPIVOTDATA("XQT4",'quangthanh (2016)'!$A$3,"MA_HT","CQP","MA_QH","LMU")</f>
        <v>0</v>
      </c>
      <c r="Q20" s="22">
        <f ca="1">+GETPIVOTDATA("XQT4",'quangthanh (2016)'!$A$3,"MA_HT","CQP","MA_QH","NKH")</f>
        <v>0</v>
      </c>
      <c r="R20" s="42">
        <f ca="1">SUM(T20:AA20,AN20:BD20)</f>
        <v>0</v>
      </c>
      <c r="S20" s="43" t="e">
        <f ca="1">$D20-$BF20</f>
        <v>#REF!</v>
      </c>
      <c r="T20" s="22">
        <f ca="1">+GETPIVOTDATA("XQT4",'quangthanh (2016)'!$A$3,"MA_HT","CQP","MA_QH","CAN")</f>
        <v>0</v>
      </c>
      <c r="U20" s="22">
        <f ca="1">+GETPIVOTDATA("XQT4",'quangthanh (2016)'!$A$3,"MA_HT","CQP","MA_QH","SKK")</f>
        <v>0</v>
      </c>
      <c r="V20" s="22">
        <f ca="1">+GETPIVOTDATA("XQT4",'quangthanh (2016)'!$A$3,"MA_HT","CQP","MA_QH","SKT")</f>
        <v>0</v>
      </c>
      <c r="W20" s="22">
        <f ca="1">+GETPIVOTDATA("XQT4",'quangthanh (2016)'!$A$3,"MA_HT","CQP","MA_QH","SKN")</f>
        <v>0</v>
      </c>
      <c r="X20" s="22">
        <f ca="1">+GETPIVOTDATA("XQT4",'quangthanh (2016)'!$A$3,"MA_HT","CQP","MA_QH","TMD")</f>
        <v>0</v>
      </c>
      <c r="Y20" s="22">
        <f ca="1">+GETPIVOTDATA("XQT4",'quangthanh (2016)'!$A$3,"MA_HT","CQP","MA_QH","SKC")</f>
        <v>0</v>
      </c>
      <c r="Z20" s="22">
        <f ca="1">+GETPIVOTDATA("XQT4",'quangthanh (2016)'!$A$3,"MA_HT","CQP","MA_QH","SKS")</f>
        <v>0</v>
      </c>
      <c r="AA20" s="52">
        <f ca="1" t="shared" ref="AA20:AA27" si="12">+SUM(AB20:AM20)</f>
        <v>0</v>
      </c>
      <c r="AB20" s="22">
        <f ca="1">+GETPIVOTDATA("XQT4",'quangthanh (2016)'!$A$3,"MA_HT","CQP","MA_QH","DGT")</f>
        <v>0</v>
      </c>
      <c r="AC20" s="22">
        <f ca="1">+GETPIVOTDATA("XQT4",'quangthanh (2016)'!$A$3,"MA_HT","CQP","MA_QH","DTL")</f>
        <v>0</v>
      </c>
      <c r="AD20" s="22">
        <f ca="1">+GETPIVOTDATA("XQT4",'quangthanh (2016)'!$A$3,"MA_HT","CQP","MA_QH","DNL")</f>
        <v>0</v>
      </c>
      <c r="AE20" s="22">
        <f ca="1">+GETPIVOTDATA("XQT4",'quangthanh (2016)'!$A$3,"MA_HT","CQP","MA_QH","DBV")</f>
        <v>0</v>
      </c>
      <c r="AF20" s="22">
        <f ca="1">+GETPIVOTDATA("XQT4",'quangthanh (2016)'!$A$3,"MA_HT","CQP","MA_QH","DVH")</f>
        <v>0</v>
      </c>
      <c r="AG20" s="22">
        <f ca="1">+GETPIVOTDATA("XQT4",'quangthanh (2016)'!$A$3,"MA_HT","CQP","MA_QH","DYT")</f>
        <v>0</v>
      </c>
      <c r="AH20" s="22">
        <f ca="1">+GETPIVOTDATA("XQT4",'quangthanh (2016)'!$A$3,"MA_HT","CQP","MA_QH","DGD")</f>
        <v>0</v>
      </c>
      <c r="AI20" s="22">
        <f ca="1">+GETPIVOTDATA("XQT4",'quangthanh (2016)'!$A$3,"MA_HT","CQP","MA_QH","DTT")</f>
        <v>0</v>
      </c>
      <c r="AJ20" s="22">
        <f ca="1">+GETPIVOTDATA("XQT4",'quangthanh (2016)'!$A$3,"MA_HT","CQP","MA_QH","NCK")</f>
        <v>0</v>
      </c>
      <c r="AK20" s="22">
        <f ca="1">+GETPIVOTDATA("XQT4",'quangthanh (2016)'!$A$3,"MA_HT","CQP","MA_QH","DXH")</f>
        <v>0</v>
      </c>
      <c r="AL20" s="22">
        <f ca="1">+GETPIVOTDATA("XQT4",'quangthanh (2016)'!$A$3,"MA_HT","CQP","MA_QH","DCH")</f>
        <v>0</v>
      </c>
      <c r="AM20" s="22">
        <f ca="1">+GETPIVOTDATA("XQT4",'quangthanh (2016)'!$A$3,"MA_HT","CQP","MA_QH","DKG")</f>
        <v>0</v>
      </c>
      <c r="AN20" s="22">
        <f ca="1">+GETPIVOTDATA("XQT4",'quangthanh (2016)'!$A$3,"MA_HT","CQP","MA_QH","DDT")</f>
        <v>0</v>
      </c>
      <c r="AO20" s="22">
        <f ca="1">+GETPIVOTDATA("XQT4",'quangthanh (2016)'!$A$3,"MA_HT","CQP","MA_QH","DDL")</f>
        <v>0</v>
      </c>
      <c r="AP20" s="22">
        <f ca="1">+GETPIVOTDATA("XQT4",'quangthanh (2016)'!$A$3,"MA_HT","CQP","MA_QH","DRA")</f>
        <v>0</v>
      </c>
      <c r="AQ20" s="22">
        <f ca="1">+GETPIVOTDATA("XQT4",'quangthanh (2016)'!$A$3,"MA_HT","CQP","MA_QH","ONT")</f>
        <v>0</v>
      </c>
      <c r="AR20" s="22">
        <f ca="1">+GETPIVOTDATA("XQT4",'quangthanh (2016)'!$A$3,"MA_HT","CQP","MA_QH","ODT")</f>
        <v>0</v>
      </c>
      <c r="AS20" s="22">
        <f ca="1">+GETPIVOTDATA("XQT4",'quangthanh (2016)'!$A$3,"MA_HT","CQP","MA_QH","TSC")</f>
        <v>0</v>
      </c>
      <c r="AT20" s="22">
        <f ca="1">+GETPIVOTDATA("XQT4",'quangthanh (2016)'!$A$3,"MA_HT","CQP","MA_QH","DTS")</f>
        <v>0</v>
      </c>
      <c r="AU20" s="22">
        <f ca="1">+GETPIVOTDATA("XQT4",'quangthanh (2016)'!$A$3,"MA_HT","CQP","MA_QH","DNG")</f>
        <v>0</v>
      </c>
      <c r="AV20" s="22">
        <f ca="1">+GETPIVOTDATA("XQT4",'quangthanh (2016)'!$A$3,"MA_HT","CQP","MA_QH","TON")</f>
        <v>0</v>
      </c>
      <c r="AW20" s="22">
        <f ca="1">+GETPIVOTDATA("XQT4",'quangthanh (2016)'!$A$3,"MA_HT","CQP","MA_QH","NTD")</f>
        <v>0</v>
      </c>
      <c r="AX20" s="22">
        <f ca="1">+GETPIVOTDATA("XQT4",'quangthanh (2016)'!$A$3,"MA_HT","CQP","MA_QH","SKX")</f>
        <v>0</v>
      </c>
      <c r="AY20" s="22">
        <f ca="1">+GETPIVOTDATA("XQT4",'quangthanh (2016)'!$A$3,"MA_HT","CQP","MA_QH","DSH")</f>
        <v>0</v>
      </c>
      <c r="AZ20" s="22">
        <f ca="1">+GETPIVOTDATA("XQT4",'quangthanh (2016)'!$A$3,"MA_HT","CQP","MA_QH","DKV")</f>
        <v>0</v>
      </c>
      <c r="BA20" s="89">
        <f ca="1">+GETPIVOTDATA("XQT4",'quangthanh (2016)'!$A$3,"MA_HT","CQP","MA_QH","TIN")</f>
        <v>0</v>
      </c>
      <c r="BB20" s="50">
        <f ca="1">+GETPIVOTDATA("XQT4",'quangthanh (2016)'!$A$3,"MA_HT","CQP","MA_QH","SON")</f>
        <v>0</v>
      </c>
      <c r="BC20" s="50">
        <f ca="1">+GETPIVOTDATA("XQT4",'quangthanh (2016)'!$A$3,"MA_HT","CQP","MA_QH","MNC")</f>
        <v>0</v>
      </c>
      <c r="BD20" s="22">
        <f ca="1">+GETPIVOTDATA("XQT4",'quangthanh (2016)'!$A$3,"MA_HT","CQP","MA_QH","PNK")</f>
        <v>0</v>
      </c>
      <c r="BE20" s="71">
        <f ca="1">+GETPIVOTDATA("XQT4",'quangthanh (2016)'!$A$3,"MA_HT","CQP","MA_QH","CSD")</f>
        <v>0</v>
      </c>
      <c r="BF20" s="74">
        <f ca="1" t="shared" ref="BF20:BF57" si="13">BE20+R20+E20</f>
        <v>0</v>
      </c>
      <c r="BG20" s="101">
        <f ca="1">S$59-$BF20</f>
        <v>0</v>
      </c>
      <c r="BH20" s="41" t="e">
        <f ca="1" t="shared" ref="BH20:BH58" si="14">BG20+D20</f>
        <v>#REF!</v>
      </c>
      <c r="BI20" s="98"/>
      <c r="BJ20" s="98" t="e">
        <f>#REF!</f>
        <v>#REF!</v>
      </c>
      <c r="BK20" s="107" t="e">
        <f ca="1">BH20-BJ20</f>
        <v>#REF!</v>
      </c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</row>
    <row r="21" s="2" customFormat="1" ht="15.75" customHeight="1" spans="1:79">
      <c r="A21" s="39" t="s">
        <v>232</v>
      </c>
      <c r="B21" s="39" t="s">
        <v>8361</v>
      </c>
      <c r="C21" s="40" t="s">
        <v>8283</v>
      </c>
      <c r="D21" s="41" t="e">
        <f>+#REF!</f>
        <v>#REF!</v>
      </c>
      <c r="E21" s="42">
        <f ca="1" t="shared" ref="E21:E58" si="15">SUM(F21,J21:Q21)</f>
        <v>0</v>
      </c>
      <c r="F21" s="52">
        <f ca="1" t="shared" si="9"/>
        <v>0</v>
      </c>
      <c r="G21" s="22">
        <f ca="1">+GETPIVOTDATA("XQT4",'quangthanh (2016)'!$A$3,"MA_HT","CAN","MA_QH","LUC")</f>
        <v>0</v>
      </c>
      <c r="H21" s="22">
        <f ca="1">+GETPIVOTDATA("XQT4",'quangthanh (2016)'!$A$3,"MA_HT","CAN","MA_QH","LUK")</f>
        <v>0</v>
      </c>
      <c r="I21" s="22">
        <f ca="1">+GETPIVOTDATA("XQT4",'quangthanh (2016)'!$A$3,"MA_HT","CAN","MA_QH","LUN")</f>
        <v>0</v>
      </c>
      <c r="J21" s="22">
        <f ca="1">+GETPIVOTDATA("XQT4",'quangthanh (2016)'!$A$3,"MA_HT","CAN","MA_QH","HNK")</f>
        <v>0</v>
      </c>
      <c r="K21" s="22">
        <f ca="1">+GETPIVOTDATA("XQT4",'quangthanh (2016)'!$A$3,"MA_HT","CAN","MA_QH","CLN")</f>
        <v>0</v>
      </c>
      <c r="L21" s="22">
        <f ca="1">+GETPIVOTDATA("XQT4",'quangthanh (2016)'!$A$3,"MA_HT","CAN","MA_QH","RSX")</f>
        <v>0</v>
      </c>
      <c r="M21" s="22">
        <f ca="1">+GETPIVOTDATA("XQT4",'quangthanh (2016)'!$A$3,"MA_HT","CAN","MA_QH","RPH")</f>
        <v>0</v>
      </c>
      <c r="N21" s="22">
        <f ca="1">+GETPIVOTDATA("XQT4",'quangthanh (2016)'!$A$3,"MA_HT","CAN","MA_QH","RDD")</f>
        <v>0</v>
      </c>
      <c r="O21" s="22">
        <f ca="1">+GETPIVOTDATA("XQT4",'quangthanh (2016)'!$A$3,"MA_HT","CAN","MA_QH","NTS")</f>
        <v>0</v>
      </c>
      <c r="P21" s="22">
        <f ca="1">+GETPIVOTDATA("XQT4",'quangthanh (2016)'!$A$3,"MA_HT","CAN","MA_QH","LMU")</f>
        <v>0</v>
      </c>
      <c r="Q21" s="22">
        <f ca="1">+GETPIVOTDATA("XQT4",'quangthanh (2016)'!$A$3,"MA_HT","CAN","MA_QH","NKH")</f>
        <v>0</v>
      </c>
      <c r="R21" s="42">
        <f ca="1">SUM(S21,U21:AA21,AN21:BD21)</f>
        <v>0</v>
      </c>
      <c r="S21" s="22">
        <f ca="1">+GETPIVOTDATA("XQT4",'quangthanh (2016)'!$A$3,"MA_HT","CAN","MA_QH","CQP")</f>
        <v>0</v>
      </c>
      <c r="T21" s="43" t="e">
        <f ca="1">$D21-$BF21</f>
        <v>#REF!</v>
      </c>
      <c r="U21" s="22">
        <f ca="1">+GETPIVOTDATA("XQT4",'quangthanh (2016)'!$A$3,"MA_HT","CAN","MA_QH","SKK")</f>
        <v>0</v>
      </c>
      <c r="V21" s="22">
        <f ca="1">+GETPIVOTDATA("XQT4",'quangthanh (2016)'!$A$3,"MA_HT","CAN","MA_QH","SKT")</f>
        <v>0</v>
      </c>
      <c r="W21" s="22">
        <f ca="1">+GETPIVOTDATA("XQT4",'quangthanh (2016)'!$A$3,"MA_HT","CAN","MA_QH","SKN")</f>
        <v>0</v>
      </c>
      <c r="X21" s="22">
        <f ca="1">+GETPIVOTDATA("XQT4",'quangthanh (2016)'!$A$3,"MA_HT","CAN","MA_QH","TMD")</f>
        <v>0</v>
      </c>
      <c r="Y21" s="22">
        <f ca="1">+GETPIVOTDATA("XQT4",'quangthanh (2016)'!$A$3,"MA_HT","CAN","MA_QH","SKC")</f>
        <v>0</v>
      </c>
      <c r="Z21" s="22">
        <f ca="1">+GETPIVOTDATA("XQT4",'quangthanh (2016)'!$A$3,"MA_HT","CAN","MA_QH","SKS")</f>
        <v>0</v>
      </c>
      <c r="AA21" s="52">
        <f ca="1" t="shared" si="12"/>
        <v>0</v>
      </c>
      <c r="AB21" s="22">
        <f ca="1">+GETPIVOTDATA("XQT4",'quangthanh (2016)'!$A$3,"MA_HT","CAN","MA_QH","DGT")</f>
        <v>0</v>
      </c>
      <c r="AC21" s="22">
        <f ca="1">+GETPIVOTDATA("XQT4",'quangthanh (2016)'!$A$3,"MA_HT","CAN","MA_QH","DTL")</f>
        <v>0</v>
      </c>
      <c r="AD21" s="22">
        <f ca="1">+GETPIVOTDATA("XQT4",'quangthanh (2016)'!$A$3,"MA_HT","CAN","MA_QH","DNL")</f>
        <v>0</v>
      </c>
      <c r="AE21" s="22">
        <f ca="1">+GETPIVOTDATA("XQT4",'quangthanh (2016)'!$A$3,"MA_HT","CAN","MA_QH","DBV")</f>
        <v>0</v>
      </c>
      <c r="AF21" s="22">
        <f ca="1">+GETPIVOTDATA("XQT4",'quangthanh (2016)'!$A$3,"MA_HT","CAN","MA_QH","DVH")</f>
        <v>0</v>
      </c>
      <c r="AG21" s="22">
        <f ca="1">+GETPIVOTDATA("XQT4",'quangthanh (2016)'!$A$3,"MA_HT","CAN","MA_QH","DYT")</f>
        <v>0</v>
      </c>
      <c r="AH21" s="22">
        <f ca="1">+GETPIVOTDATA("XQT4",'quangthanh (2016)'!$A$3,"MA_HT","CAN","MA_QH","DGD")</f>
        <v>0</v>
      </c>
      <c r="AI21" s="22">
        <f ca="1">+GETPIVOTDATA("XQT4",'quangthanh (2016)'!$A$3,"MA_HT","CAN","MA_QH","DTT")</f>
        <v>0</v>
      </c>
      <c r="AJ21" s="22">
        <f ca="1">+GETPIVOTDATA("XQT4",'quangthanh (2016)'!$A$3,"MA_HT","CAN","MA_QH","NCK")</f>
        <v>0</v>
      </c>
      <c r="AK21" s="22">
        <f ca="1">+GETPIVOTDATA("XQT4",'quangthanh (2016)'!$A$3,"MA_HT","CAN","MA_QH","DXH")</f>
        <v>0</v>
      </c>
      <c r="AL21" s="22">
        <f ca="1">+GETPIVOTDATA("XQT4",'quangthanh (2016)'!$A$3,"MA_HT","CAN","MA_QH","DCH")</f>
        <v>0</v>
      </c>
      <c r="AM21" s="22">
        <f ca="1">+GETPIVOTDATA("XQT4",'quangthanh (2016)'!$A$3,"MA_HT","CAN","MA_QH","DKG")</f>
        <v>0</v>
      </c>
      <c r="AN21" s="22">
        <f ca="1">+GETPIVOTDATA("XQT4",'quangthanh (2016)'!$A$3,"MA_HT","CAN","MA_QH","DDT")</f>
        <v>0</v>
      </c>
      <c r="AO21" s="22">
        <f ca="1">+GETPIVOTDATA("XQT4",'quangthanh (2016)'!$A$3,"MA_HT","CAN","MA_QH","DDL")</f>
        <v>0</v>
      </c>
      <c r="AP21" s="22">
        <f ca="1">+GETPIVOTDATA("XQT4",'quangthanh (2016)'!$A$3,"MA_HT","CAN","MA_QH","DRA")</f>
        <v>0</v>
      </c>
      <c r="AQ21" s="22">
        <f ca="1">+GETPIVOTDATA("XQT4",'quangthanh (2016)'!$A$3,"MA_HT","CAN","MA_QH","ONT")</f>
        <v>0</v>
      </c>
      <c r="AR21" s="22">
        <f ca="1">+GETPIVOTDATA("XQT4",'quangthanh (2016)'!$A$3,"MA_HT","CAN","MA_QH","ODT")</f>
        <v>0</v>
      </c>
      <c r="AS21" s="22">
        <f ca="1">+GETPIVOTDATA("XQT4",'quangthanh (2016)'!$A$3,"MA_HT","CAN","MA_QH","TSC")</f>
        <v>0</v>
      </c>
      <c r="AT21" s="22">
        <f ca="1">+GETPIVOTDATA("XQT4",'quangthanh (2016)'!$A$3,"MA_HT","CAN","MA_QH","DTS")</f>
        <v>0</v>
      </c>
      <c r="AU21" s="22">
        <f ca="1">+GETPIVOTDATA("XQT4",'quangthanh (2016)'!$A$3,"MA_HT","CAN","MA_QH","DNG")</f>
        <v>0</v>
      </c>
      <c r="AV21" s="22">
        <f ca="1">+GETPIVOTDATA("XQT4",'quangthanh (2016)'!$A$3,"MA_HT","CAN","MA_QH","TON")</f>
        <v>0</v>
      </c>
      <c r="AW21" s="22">
        <f ca="1">+GETPIVOTDATA("XQT4",'quangthanh (2016)'!$A$3,"MA_HT","CAN","MA_QH","NTD")</f>
        <v>0</v>
      </c>
      <c r="AX21" s="22">
        <f ca="1">+GETPIVOTDATA("XQT4",'quangthanh (2016)'!$A$3,"MA_HT","CAN","MA_QH","SKX")</f>
        <v>0</v>
      </c>
      <c r="AY21" s="22">
        <f ca="1">+GETPIVOTDATA("XQT4",'quangthanh (2016)'!$A$3,"MA_HT","CAN","MA_QH","DSH")</f>
        <v>0</v>
      </c>
      <c r="AZ21" s="22">
        <f ca="1">+GETPIVOTDATA("XQT4",'quangthanh (2016)'!$A$3,"MA_HT","CAN","MA_QH","DKV")</f>
        <v>0</v>
      </c>
      <c r="BA21" s="89">
        <f ca="1">+GETPIVOTDATA("XQT4",'quangthanh (2016)'!$A$3,"MA_HT","CAN","MA_QH","TIN")</f>
        <v>0</v>
      </c>
      <c r="BB21" s="50">
        <f ca="1">+GETPIVOTDATA("XQT4",'quangthanh (2016)'!$A$3,"MA_HT","CAN","MA_QH","SON")</f>
        <v>0</v>
      </c>
      <c r="BC21" s="50">
        <f ca="1">+GETPIVOTDATA("XQT4",'quangthanh (2016)'!$A$3,"MA_HT","CAN","MA_QH","MNC")</f>
        <v>0</v>
      </c>
      <c r="BD21" s="22">
        <f ca="1">+GETPIVOTDATA("XQT4",'quangthanh (2016)'!$A$3,"MA_HT","CAN","MA_QH","PNK")</f>
        <v>0</v>
      </c>
      <c r="BE21" s="71">
        <f ca="1">+GETPIVOTDATA("XQT4",'quangthanh (2016)'!$A$3,"MA_HT","CAN","MA_QH","CSD")</f>
        <v>0</v>
      </c>
      <c r="BF21" s="74">
        <f ca="1" t="shared" si="13"/>
        <v>0</v>
      </c>
      <c r="BG21" s="101">
        <f ca="1">T$59-$BF21</f>
        <v>0</v>
      </c>
      <c r="BH21" s="41" t="e">
        <f ca="1" t="shared" si="14"/>
        <v>#REF!</v>
      </c>
      <c r="BI21" s="98"/>
      <c r="BJ21" s="98" t="e">
        <f>#REF!</f>
        <v>#REF!</v>
      </c>
      <c r="BK21" s="107" t="e">
        <f ca="1">BH21-BJ21</f>
        <v>#REF!</v>
      </c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</row>
    <row r="22" s="2" customFormat="1" ht="15.75" customHeight="1" spans="1:79">
      <c r="A22" s="39" t="s">
        <v>8362</v>
      </c>
      <c r="B22" s="53" t="s">
        <v>8363</v>
      </c>
      <c r="C22" s="40" t="s">
        <v>47</v>
      </c>
      <c r="D22" s="41" t="e">
        <f>+#REF!</f>
        <v>#REF!</v>
      </c>
      <c r="E22" s="42">
        <f ca="1" t="shared" si="15"/>
        <v>0</v>
      </c>
      <c r="F22" s="52">
        <f ca="1" t="shared" si="9"/>
        <v>0</v>
      </c>
      <c r="G22" s="22">
        <f ca="1">+GETPIVOTDATA("XQT4",'quangthanh (2016)'!$A$3,"MA_HT","SKK","MA_QH","LUC")</f>
        <v>0</v>
      </c>
      <c r="H22" s="22">
        <f ca="1">+GETPIVOTDATA("XQT4",'quangthanh (2016)'!$A$3,"MA_HT","SKK","MA_QH","LUK")</f>
        <v>0</v>
      </c>
      <c r="I22" s="22">
        <f ca="1">+GETPIVOTDATA("XQT4",'quangthanh (2016)'!$A$3,"MA_HT","SKK","MA_QH","LUN")</f>
        <v>0</v>
      </c>
      <c r="J22" s="22">
        <f ca="1">+GETPIVOTDATA("XQT4",'quangthanh (2016)'!$A$3,"MA_HT","SKK","MA_QH","HNK")</f>
        <v>0</v>
      </c>
      <c r="K22" s="22">
        <f ca="1">+GETPIVOTDATA("XQT4",'quangthanh (2016)'!$A$3,"MA_HT","SKK","MA_QH","CLN")</f>
        <v>0</v>
      </c>
      <c r="L22" s="22">
        <f ca="1">+GETPIVOTDATA("XQT4",'quangthanh (2016)'!$A$3,"MA_HT","SKK","MA_QH","RSX")</f>
        <v>0</v>
      </c>
      <c r="M22" s="22">
        <f ca="1">+GETPIVOTDATA("XQT4",'quangthanh (2016)'!$A$3,"MA_HT","SKK","MA_QH","RPH")</f>
        <v>0</v>
      </c>
      <c r="N22" s="22">
        <f ca="1">+GETPIVOTDATA("XQT4",'quangthanh (2016)'!$A$3,"MA_HT","SKK","MA_QH","RDD")</f>
        <v>0</v>
      </c>
      <c r="O22" s="22">
        <f ca="1">+GETPIVOTDATA("XQT4",'quangthanh (2016)'!$A$3,"MA_HT","SKK","MA_QH","NTS")</f>
        <v>0</v>
      </c>
      <c r="P22" s="22">
        <f ca="1">+GETPIVOTDATA("XQT4",'quangthanh (2016)'!$A$3,"MA_HT","SKK","MA_QH","LMU")</f>
        <v>0</v>
      </c>
      <c r="Q22" s="22">
        <f ca="1">+GETPIVOTDATA("XQT4",'quangthanh (2016)'!$A$3,"MA_HT","SKK","MA_QH","NKH")</f>
        <v>0</v>
      </c>
      <c r="R22" s="42">
        <f ca="1">SUM(S22:T22,V22:AA22,AN22:BD22)</f>
        <v>0</v>
      </c>
      <c r="S22" s="22">
        <f ca="1">+GETPIVOTDATA("XQT4",'quangthanh (2016)'!$A$3,"MA_HT","SKK","MA_QH","CQP")</f>
        <v>0</v>
      </c>
      <c r="T22" s="22">
        <f ca="1">+GETPIVOTDATA("XQT4",'quangthanh (2016)'!$A$3,"MA_HT","SKK","MA_QH","CAN")</f>
        <v>0</v>
      </c>
      <c r="U22" s="43" t="e">
        <f ca="1">$D22-$BF22</f>
        <v>#REF!</v>
      </c>
      <c r="V22" s="22">
        <f ca="1">+GETPIVOTDATA("XQT4",'quangthanh (2016)'!$A$3,"MA_HT","SKK","MA_QH","SKT")</f>
        <v>0</v>
      </c>
      <c r="W22" s="22">
        <f ca="1">+GETPIVOTDATA("XQT4",'quangthanh (2016)'!$A$3,"MA_HT","SKK","MA_QH","SKN")</f>
        <v>0</v>
      </c>
      <c r="X22" s="22">
        <f ca="1">+GETPIVOTDATA("XQT4",'quangthanh (2016)'!$A$3,"MA_HT","SKK","MA_QH","TMD")</f>
        <v>0</v>
      </c>
      <c r="Y22" s="22">
        <f ca="1">+GETPIVOTDATA("XQT4",'quangthanh (2016)'!$A$3,"MA_HT","SKK","MA_QH","SKC")</f>
        <v>0</v>
      </c>
      <c r="Z22" s="22">
        <f ca="1">+GETPIVOTDATA("XQT4",'quangthanh (2016)'!$A$3,"MA_HT","SKK","MA_QH","SKS")</f>
        <v>0</v>
      </c>
      <c r="AA22" s="52">
        <f ca="1" t="shared" si="12"/>
        <v>0</v>
      </c>
      <c r="AB22" s="22">
        <f ca="1">+GETPIVOTDATA("XQT4",'quangthanh (2016)'!$A$3,"MA_HT","SKK","MA_QH","DGT")</f>
        <v>0</v>
      </c>
      <c r="AC22" s="22">
        <f ca="1">+GETPIVOTDATA("XQT4",'quangthanh (2016)'!$A$3,"MA_HT","SKK","MA_QH","DTL")</f>
        <v>0</v>
      </c>
      <c r="AD22" s="22">
        <f ca="1">+GETPIVOTDATA("XQT4",'quangthanh (2016)'!$A$3,"MA_HT","SKK","MA_QH","DNL")</f>
        <v>0</v>
      </c>
      <c r="AE22" s="22">
        <f ca="1">+GETPIVOTDATA("XQT4",'quangthanh (2016)'!$A$3,"MA_HT","SKK","MA_QH","DBV")</f>
        <v>0</v>
      </c>
      <c r="AF22" s="22">
        <f ca="1">+GETPIVOTDATA("XQT4",'quangthanh (2016)'!$A$3,"MA_HT","SKK","MA_QH","DVH")</f>
        <v>0</v>
      </c>
      <c r="AG22" s="22">
        <f ca="1">+GETPIVOTDATA("XQT4",'quangthanh (2016)'!$A$3,"MA_HT","SKK","MA_QH","DYT")</f>
        <v>0</v>
      </c>
      <c r="AH22" s="22">
        <f ca="1">+GETPIVOTDATA("XQT4",'quangthanh (2016)'!$A$3,"MA_HT","SKK","MA_QH","DGD")</f>
        <v>0</v>
      </c>
      <c r="AI22" s="22">
        <f ca="1">+GETPIVOTDATA("XQT4",'quangthanh (2016)'!$A$3,"MA_HT","SKK","MA_QH","DTT")</f>
        <v>0</v>
      </c>
      <c r="AJ22" s="22">
        <f ca="1">+GETPIVOTDATA("XQT4",'quangthanh (2016)'!$A$3,"MA_HT","SKK","MA_QH","NCK")</f>
        <v>0</v>
      </c>
      <c r="AK22" s="22">
        <f ca="1">+GETPIVOTDATA("XQT4",'quangthanh (2016)'!$A$3,"MA_HT","SKK","MA_QH","DXH")</f>
        <v>0</v>
      </c>
      <c r="AL22" s="22">
        <f ca="1">+GETPIVOTDATA("XQT4",'quangthanh (2016)'!$A$3,"MA_HT","SKK","MA_QH","DCH")</f>
        <v>0</v>
      </c>
      <c r="AM22" s="22">
        <f ca="1">+GETPIVOTDATA("XQT4",'quangthanh (2016)'!$A$3,"MA_HT","SKK","MA_QH","DKG")</f>
        <v>0</v>
      </c>
      <c r="AN22" s="22">
        <f ca="1">+GETPIVOTDATA("XQT4",'quangthanh (2016)'!$A$3,"MA_HT","SKK","MA_QH","DDT")</f>
        <v>0</v>
      </c>
      <c r="AO22" s="22">
        <f ca="1">+GETPIVOTDATA("XQT4",'quangthanh (2016)'!$A$3,"MA_HT","SKK","MA_QH","DDL")</f>
        <v>0</v>
      </c>
      <c r="AP22" s="22">
        <f ca="1">+GETPIVOTDATA("XQT4",'quangthanh (2016)'!$A$3,"MA_HT","SKK","MA_QH","DRA")</f>
        <v>0</v>
      </c>
      <c r="AQ22" s="22">
        <f ca="1">+GETPIVOTDATA("XQT4",'quangthanh (2016)'!$A$3,"MA_HT","SKK","MA_QH","ONT")</f>
        <v>0</v>
      </c>
      <c r="AR22" s="22">
        <f ca="1">+GETPIVOTDATA("XQT4",'quangthanh (2016)'!$A$3,"MA_HT","SKK","MA_QH","ODT")</f>
        <v>0</v>
      </c>
      <c r="AS22" s="22">
        <f ca="1">+GETPIVOTDATA("XQT4",'quangthanh (2016)'!$A$3,"MA_HT","SKK","MA_QH","TSC")</f>
        <v>0</v>
      </c>
      <c r="AT22" s="22">
        <f ca="1">+GETPIVOTDATA("XQT4",'quangthanh (2016)'!$A$3,"MA_HT","SKK","MA_QH","DTS")</f>
        <v>0</v>
      </c>
      <c r="AU22" s="22">
        <f ca="1">+GETPIVOTDATA("XQT4",'quangthanh (2016)'!$A$3,"MA_HT","SKK","MA_QH","DNG")</f>
        <v>0</v>
      </c>
      <c r="AV22" s="22">
        <f ca="1">+GETPIVOTDATA("XQT4",'quangthanh (2016)'!$A$3,"MA_HT","SKK","MA_QH","TON")</f>
        <v>0</v>
      </c>
      <c r="AW22" s="22">
        <f ca="1">+GETPIVOTDATA("XQT4",'quangthanh (2016)'!$A$3,"MA_HT","SKK","MA_QH","NTD")</f>
        <v>0</v>
      </c>
      <c r="AX22" s="22">
        <f ca="1">+GETPIVOTDATA("XQT4",'quangthanh (2016)'!$A$3,"MA_HT","SKK","MA_QH","SKX")</f>
        <v>0</v>
      </c>
      <c r="AY22" s="22">
        <f ca="1">+GETPIVOTDATA("XQT4",'quangthanh (2016)'!$A$3,"MA_HT","SKK","MA_QH","DSH")</f>
        <v>0</v>
      </c>
      <c r="AZ22" s="22">
        <f ca="1">+GETPIVOTDATA("XQT4",'quangthanh (2016)'!$A$3,"MA_HT","SKK","MA_QH","DKV")</f>
        <v>0</v>
      </c>
      <c r="BA22" s="89">
        <f ca="1">+GETPIVOTDATA("XQT4",'quangthanh (2016)'!$A$3,"MA_HT","SKK","MA_QH","TIN")</f>
        <v>0</v>
      </c>
      <c r="BB22" s="50">
        <f ca="1">+GETPIVOTDATA("XQT4",'quangthanh (2016)'!$A$3,"MA_HT","SKK","MA_QH","SON")</f>
        <v>0</v>
      </c>
      <c r="BC22" s="50">
        <f ca="1">+GETPIVOTDATA("XQT4",'quangthanh (2016)'!$A$3,"MA_HT","SKK","MA_QH","MNC")</f>
        <v>0</v>
      </c>
      <c r="BD22" s="22">
        <f ca="1">+GETPIVOTDATA("XQT4",'quangthanh (2016)'!$A$3,"MA_HT","SKK","MA_QH","PNK")</f>
        <v>0</v>
      </c>
      <c r="BE22" s="71">
        <f ca="1">+GETPIVOTDATA("XQT4",'quangthanh (2016)'!$A$3,"MA_HT","SKK","MA_QH","CSD")</f>
        <v>0</v>
      </c>
      <c r="BF22" s="74">
        <f ca="1" t="shared" si="13"/>
        <v>0</v>
      </c>
      <c r="BG22" s="101">
        <f ca="1">U$59-$BF22</f>
        <v>0</v>
      </c>
      <c r="BH22" s="41" t="e">
        <f ca="1" t="shared" si="14"/>
        <v>#REF!</v>
      </c>
      <c r="BI22" s="98"/>
      <c r="BJ22" s="107" t="e">
        <f>#REF!</f>
        <v>#REF!</v>
      </c>
      <c r="BK22" s="107" t="e">
        <f ca="1">BH22-BJ22</f>
        <v>#REF!</v>
      </c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</row>
    <row r="23" s="2" customFormat="1" ht="15.75" customHeight="1" spans="1:79">
      <c r="A23" s="39" t="s">
        <v>8364</v>
      </c>
      <c r="B23" s="53" t="s">
        <v>8365</v>
      </c>
      <c r="C23" s="40" t="s">
        <v>8308</v>
      </c>
      <c r="D23" s="41" t="e">
        <f>+#REF!</f>
        <v>#REF!</v>
      </c>
      <c r="E23" s="42">
        <f ca="1" t="shared" si="15"/>
        <v>0</v>
      </c>
      <c r="F23" s="52">
        <f ca="1" t="shared" si="9"/>
        <v>0</v>
      </c>
      <c r="G23" s="22">
        <f ca="1">+GETPIVOTDATA("XQT4",'quangthanh (2016)'!$A$3,"MA_HT","SKT","MA_QH","LUC")</f>
        <v>0</v>
      </c>
      <c r="H23" s="22">
        <f ca="1">+GETPIVOTDATA("XQT4",'quangthanh (2016)'!$A$3,"MA_HT","SKT","MA_QH","LUK")</f>
        <v>0</v>
      </c>
      <c r="I23" s="22">
        <f ca="1">+GETPIVOTDATA("XQT4",'quangthanh (2016)'!$A$3,"MA_HT","SKT","MA_QH","LUN")</f>
        <v>0</v>
      </c>
      <c r="J23" s="22">
        <f ca="1">+GETPIVOTDATA("XQT4",'quangthanh (2016)'!$A$3,"MA_HT","SKT","MA_QH","HNK")</f>
        <v>0</v>
      </c>
      <c r="K23" s="22">
        <f ca="1">+GETPIVOTDATA("XQT4",'quangthanh (2016)'!$A$3,"MA_HT","SKT","MA_QH","CLN")</f>
        <v>0</v>
      </c>
      <c r="L23" s="22">
        <f ca="1">+GETPIVOTDATA("XQT4",'quangthanh (2016)'!$A$3,"MA_HT","SKT","MA_QH","RSX")</f>
        <v>0</v>
      </c>
      <c r="M23" s="22">
        <f ca="1">+GETPIVOTDATA("XQT4",'quangthanh (2016)'!$A$3,"MA_HT","SKT","MA_QH","RPH")</f>
        <v>0</v>
      </c>
      <c r="N23" s="22">
        <f ca="1">+GETPIVOTDATA("XQT4",'quangthanh (2016)'!$A$3,"MA_HT","SKT","MA_QH","RDD")</f>
        <v>0</v>
      </c>
      <c r="O23" s="22">
        <f ca="1">+GETPIVOTDATA("XQT4",'quangthanh (2016)'!$A$3,"MA_HT","SKT","MA_QH","NTS")</f>
        <v>0</v>
      </c>
      <c r="P23" s="22">
        <f ca="1">+GETPIVOTDATA("XQT4",'quangthanh (2016)'!$A$3,"MA_HT","SKT","MA_QH","LMU")</f>
        <v>0</v>
      </c>
      <c r="Q23" s="22">
        <f ca="1">+GETPIVOTDATA("XQT4",'quangthanh (2016)'!$A$3,"MA_HT","SKT","MA_QH","NKH")</f>
        <v>0</v>
      </c>
      <c r="R23" s="42">
        <f ca="1">SUM(S23:U23,W23:AA23,AN23:BD23)</f>
        <v>0</v>
      </c>
      <c r="S23" s="22">
        <f ca="1">+GETPIVOTDATA("XQT4",'quangthanh (2016)'!$A$3,"MA_HT","SKT","MA_QH","CQP")</f>
        <v>0</v>
      </c>
      <c r="T23" s="22">
        <f ca="1">+GETPIVOTDATA("XQT4",'quangthanh (2016)'!$A$3,"MA_HT","SKT","MA_QH","CAN")</f>
        <v>0</v>
      </c>
      <c r="U23" s="22">
        <f ca="1">+GETPIVOTDATA("XQT4",'quangthanh (2016)'!$A$3,"MA_HT","SKT","MA_QH","SKK")</f>
        <v>0</v>
      </c>
      <c r="V23" s="43" t="e">
        <f ca="1">$D23-$BF23</f>
        <v>#REF!</v>
      </c>
      <c r="W23" s="22">
        <f ca="1">+GETPIVOTDATA("XQT4",'quangthanh (2016)'!$A$3,"MA_HT","SKT","MA_QH","SKN")</f>
        <v>0</v>
      </c>
      <c r="X23" s="22">
        <f ca="1">+GETPIVOTDATA("XQT4",'quangthanh (2016)'!$A$3,"MA_HT","SKT","MA_QH","TMD")</f>
        <v>0</v>
      </c>
      <c r="Y23" s="22">
        <f ca="1">+GETPIVOTDATA("XQT4",'quangthanh (2016)'!$A$3,"MA_HT","SKT","MA_QH","SKC")</f>
        <v>0</v>
      </c>
      <c r="Z23" s="22">
        <f ca="1">+GETPIVOTDATA("XQT4",'quangthanh (2016)'!$A$3,"MA_HT","SKT","MA_QH","SKS")</f>
        <v>0</v>
      </c>
      <c r="AA23" s="52">
        <f ca="1" t="shared" si="12"/>
        <v>0</v>
      </c>
      <c r="AB23" s="22">
        <f ca="1">+GETPIVOTDATA("XQT4",'quangthanh (2016)'!$A$3,"MA_HT","SKT","MA_QH","DGT")</f>
        <v>0</v>
      </c>
      <c r="AC23" s="22">
        <f ca="1">+GETPIVOTDATA("XQT4",'quangthanh (2016)'!$A$3,"MA_HT","SKT","MA_QH","DTL")</f>
        <v>0</v>
      </c>
      <c r="AD23" s="22">
        <f ca="1">+GETPIVOTDATA("XQT4",'quangthanh (2016)'!$A$3,"MA_HT","SKT","MA_QH","DNL")</f>
        <v>0</v>
      </c>
      <c r="AE23" s="22">
        <f ca="1">+GETPIVOTDATA("XQT4",'quangthanh (2016)'!$A$3,"MA_HT","SKT","MA_QH","DBV")</f>
        <v>0</v>
      </c>
      <c r="AF23" s="22">
        <f ca="1">+GETPIVOTDATA("XQT4",'quangthanh (2016)'!$A$3,"MA_HT","SKT","MA_QH","DVH")</f>
        <v>0</v>
      </c>
      <c r="AG23" s="22">
        <f ca="1">+GETPIVOTDATA("XQT4",'quangthanh (2016)'!$A$3,"MA_HT","SKT","MA_QH","DYT")</f>
        <v>0</v>
      </c>
      <c r="AH23" s="22">
        <f ca="1">+GETPIVOTDATA("XQT4",'quangthanh (2016)'!$A$3,"MA_HT","SKT","MA_QH","DGD")</f>
        <v>0</v>
      </c>
      <c r="AI23" s="22">
        <f ca="1">+GETPIVOTDATA("XQT4",'quangthanh (2016)'!$A$3,"MA_HT","SKT","MA_QH","DTT")</f>
        <v>0</v>
      </c>
      <c r="AJ23" s="22">
        <f ca="1">+GETPIVOTDATA("XQT4",'quangthanh (2016)'!$A$3,"MA_HT","SKT","MA_QH","NCK")</f>
        <v>0</v>
      </c>
      <c r="AK23" s="22">
        <f ca="1">+GETPIVOTDATA("XQT4",'quangthanh (2016)'!$A$3,"MA_HT","SKT","MA_QH","DXH")</f>
        <v>0</v>
      </c>
      <c r="AL23" s="22">
        <f ca="1">+GETPIVOTDATA("XQT4",'quangthanh (2016)'!$A$3,"MA_HT","SKT","MA_QH","DCH")</f>
        <v>0</v>
      </c>
      <c r="AM23" s="22">
        <f ca="1">+GETPIVOTDATA("XQT4",'quangthanh (2016)'!$A$3,"MA_HT","SKT","MA_QH","DKG")</f>
        <v>0</v>
      </c>
      <c r="AN23" s="22">
        <f ca="1">+GETPIVOTDATA("XQT4",'quangthanh (2016)'!$A$3,"MA_HT","SKT","MA_QH","DDT")</f>
        <v>0</v>
      </c>
      <c r="AO23" s="22">
        <f ca="1">+GETPIVOTDATA("XQT4",'quangthanh (2016)'!$A$3,"MA_HT","SKT","MA_QH","DDL")</f>
        <v>0</v>
      </c>
      <c r="AP23" s="22">
        <f ca="1">+GETPIVOTDATA("XQT4",'quangthanh (2016)'!$A$3,"MA_HT","SKT","MA_QH","DRA")</f>
        <v>0</v>
      </c>
      <c r="AQ23" s="22">
        <f ca="1">+GETPIVOTDATA("XQT4",'quangthanh (2016)'!$A$3,"MA_HT","SKT","MA_QH","ONT")</f>
        <v>0</v>
      </c>
      <c r="AR23" s="22">
        <f ca="1">+GETPIVOTDATA("XQT4",'quangthanh (2016)'!$A$3,"MA_HT","SKT","MA_QH","ODT")</f>
        <v>0</v>
      </c>
      <c r="AS23" s="22">
        <f ca="1">+GETPIVOTDATA("XQT4",'quangthanh (2016)'!$A$3,"MA_HT","SKT","MA_QH","TSC")</f>
        <v>0</v>
      </c>
      <c r="AT23" s="22">
        <f ca="1">+GETPIVOTDATA("XQT4",'quangthanh (2016)'!$A$3,"MA_HT","SKT","MA_QH","DTS")</f>
        <v>0</v>
      </c>
      <c r="AU23" s="22">
        <f ca="1">+GETPIVOTDATA("XQT4",'quangthanh (2016)'!$A$3,"MA_HT","SKT","MA_QH","DNG")</f>
        <v>0</v>
      </c>
      <c r="AV23" s="22">
        <f ca="1">+GETPIVOTDATA("XQT4",'quangthanh (2016)'!$A$3,"MA_HT","SKT","MA_QH","TON")</f>
        <v>0</v>
      </c>
      <c r="AW23" s="22">
        <f ca="1">+GETPIVOTDATA("XQT4",'quangthanh (2016)'!$A$3,"MA_HT","SKT","MA_QH","NTD")</f>
        <v>0</v>
      </c>
      <c r="AX23" s="22">
        <f ca="1">+GETPIVOTDATA("XQT4",'quangthanh (2016)'!$A$3,"MA_HT","SKT","MA_QH","SKX")</f>
        <v>0</v>
      </c>
      <c r="AY23" s="22">
        <f ca="1">+GETPIVOTDATA("XQT4",'quangthanh (2016)'!$A$3,"MA_HT","SKT","MA_QH","DSH")</f>
        <v>0</v>
      </c>
      <c r="AZ23" s="22">
        <f ca="1">+GETPIVOTDATA("XQT4",'quangthanh (2016)'!$A$3,"MA_HT","SKT","MA_QH","DKV")</f>
        <v>0</v>
      </c>
      <c r="BA23" s="89">
        <f ca="1">+GETPIVOTDATA("XQT4",'quangthanh (2016)'!$A$3,"MA_HT","SKT","MA_QH","TIN")</f>
        <v>0</v>
      </c>
      <c r="BB23" s="50">
        <f ca="1">+GETPIVOTDATA("XQT4",'quangthanh (2016)'!$A$3,"MA_HT","SKT","MA_QH","SON")</f>
        <v>0</v>
      </c>
      <c r="BC23" s="50">
        <f ca="1">+GETPIVOTDATA("XQT4",'quangthanh (2016)'!$A$3,"MA_HT","SKT","MA_QH","MNC")</f>
        <v>0</v>
      </c>
      <c r="BD23" s="22">
        <f ca="1">+GETPIVOTDATA("XQT4",'quangthanh (2016)'!$A$3,"MA_HT","SKT","MA_QH","PNK")</f>
        <v>0</v>
      </c>
      <c r="BE23" s="71">
        <f ca="1">+GETPIVOTDATA("XQT4",'quangthanh (2016)'!$A$3,"MA_HT","SKT","MA_QH","CSD")</f>
        <v>0</v>
      </c>
      <c r="BF23" s="74">
        <f ca="1" t="shared" si="13"/>
        <v>0</v>
      </c>
      <c r="BG23" s="101">
        <f ca="1">V$59-$BF23</f>
        <v>0</v>
      </c>
      <c r="BH23" s="41" t="e">
        <f ca="1" t="shared" si="14"/>
        <v>#REF!</v>
      </c>
      <c r="BI23" s="98"/>
      <c r="BJ23" s="107"/>
      <c r="BK23" s="107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</row>
    <row r="24" s="2" customFormat="1" ht="15.75" customHeight="1" spans="1:79">
      <c r="A24" s="39" t="s">
        <v>8366</v>
      </c>
      <c r="B24" s="53" t="s">
        <v>8367</v>
      </c>
      <c r="C24" s="40" t="s">
        <v>56</v>
      </c>
      <c r="D24" s="41" t="e">
        <f>+#REF!</f>
        <v>#REF!</v>
      </c>
      <c r="E24" s="42">
        <f ca="1" t="shared" si="15"/>
        <v>0</v>
      </c>
      <c r="F24" s="52">
        <f ca="1" t="shared" si="9"/>
        <v>0</v>
      </c>
      <c r="G24" s="22">
        <f ca="1">+GETPIVOTDATA("XQT4",'quangthanh (2016)'!$A$3,"MA_HT","SKN","MA_QH","LUC")</f>
        <v>0</v>
      </c>
      <c r="H24" s="22">
        <f ca="1">+GETPIVOTDATA("XQT4",'quangthanh (2016)'!$A$3,"MA_HT","SKN","MA_QH","LUK")</f>
        <v>0</v>
      </c>
      <c r="I24" s="22">
        <f ca="1">+GETPIVOTDATA("XQT4",'quangthanh (2016)'!$A$3,"MA_HT","SKN","MA_QH","LUN")</f>
        <v>0</v>
      </c>
      <c r="J24" s="22">
        <f ca="1">+GETPIVOTDATA("XQT4",'quangthanh (2016)'!$A$3,"MA_HT","SKN","MA_QH","HNK")</f>
        <v>0</v>
      </c>
      <c r="K24" s="22">
        <f ca="1">+GETPIVOTDATA("XQT4",'quangthanh (2016)'!$A$3,"MA_HT","SKN","MA_QH","CLN")</f>
        <v>0</v>
      </c>
      <c r="L24" s="22">
        <f ca="1">+GETPIVOTDATA("XQT4",'quangthanh (2016)'!$A$3,"MA_HT","SKN","MA_QH","RSX")</f>
        <v>0</v>
      </c>
      <c r="M24" s="22">
        <f ca="1">+GETPIVOTDATA("XQT4",'quangthanh (2016)'!$A$3,"MA_HT","SKN","MA_QH","RPH")</f>
        <v>0</v>
      </c>
      <c r="N24" s="22">
        <f ca="1">+GETPIVOTDATA("XQT4",'quangthanh (2016)'!$A$3,"MA_HT","SKN","MA_QH","RDD")</f>
        <v>0</v>
      </c>
      <c r="O24" s="22">
        <f ca="1">+GETPIVOTDATA("XQT4",'quangthanh (2016)'!$A$3,"MA_HT","SKN","MA_QH","NTS")</f>
        <v>0</v>
      </c>
      <c r="P24" s="22">
        <f ca="1">+GETPIVOTDATA("XQT4",'quangthanh (2016)'!$A$3,"MA_HT","SKN","MA_QH","LMU")</f>
        <v>0</v>
      </c>
      <c r="Q24" s="22">
        <f ca="1">+GETPIVOTDATA("XQT4",'quangthanh (2016)'!$A$3,"MA_HT","SKN","MA_QH","NKH")</f>
        <v>0</v>
      </c>
      <c r="R24" s="42">
        <f ca="1">SUM(S24:V24,X24:AA24,AN24:BD24)</f>
        <v>0</v>
      </c>
      <c r="S24" s="22">
        <f ca="1">+GETPIVOTDATA("XQT4",'quangthanh (2016)'!$A$3,"MA_HT","SKN","MA_QH","CQP")</f>
        <v>0</v>
      </c>
      <c r="T24" s="22">
        <f ca="1">+GETPIVOTDATA("XQT4",'quangthanh (2016)'!$A$3,"MA_HT","SKN","MA_QH","CAN")</f>
        <v>0</v>
      </c>
      <c r="U24" s="22">
        <f ca="1">+GETPIVOTDATA("XQT4",'quangthanh (2016)'!$A$3,"MA_HT","SKN","MA_QH","SKK")</f>
        <v>0</v>
      </c>
      <c r="V24" s="22">
        <f ca="1">+GETPIVOTDATA("XQT4",'quangthanh (2016)'!$A$3,"MA_HT","SKN","MA_QH","SKT")</f>
        <v>0</v>
      </c>
      <c r="W24" s="43" t="e">
        <f ca="1">$D24-$BF24</f>
        <v>#REF!</v>
      </c>
      <c r="X24" s="22">
        <f ca="1">+GETPIVOTDATA("XQT4",'quangthanh (2016)'!$A$3,"MA_HT","SKN","MA_QH","TMD")</f>
        <v>0</v>
      </c>
      <c r="Y24" s="22">
        <f ca="1">+GETPIVOTDATA("XQT4",'quangthanh (2016)'!$A$3,"MA_HT","SKN","MA_QH","SKC")</f>
        <v>0</v>
      </c>
      <c r="Z24" s="22">
        <f ca="1">+GETPIVOTDATA("XQT4",'quangthanh (2016)'!$A$3,"MA_HT","SKN","MA_QH","SKS")</f>
        <v>0</v>
      </c>
      <c r="AA24" s="52">
        <f ca="1" t="shared" si="12"/>
        <v>0</v>
      </c>
      <c r="AB24" s="22">
        <f ca="1">+GETPIVOTDATA("XQT4",'quangthanh (2016)'!$A$3,"MA_HT","SKN","MA_QH","DGT")</f>
        <v>0</v>
      </c>
      <c r="AC24" s="22">
        <f ca="1">+GETPIVOTDATA("XQT4",'quangthanh (2016)'!$A$3,"MA_HT","SKN","MA_QH","DTL")</f>
        <v>0</v>
      </c>
      <c r="AD24" s="22">
        <f ca="1">+GETPIVOTDATA("XQT4",'quangthanh (2016)'!$A$3,"MA_HT","SKN","MA_QH","DNL")</f>
        <v>0</v>
      </c>
      <c r="AE24" s="22">
        <f ca="1">+GETPIVOTDATA("XQT4",'quangthanh (2016)'!$A$3,"MA_HT","SKN","MA_QH","DBV")</f>
        <v>0</v>
      </c>
      <c r="AF24" s="22">
        <f ca="1">+GETPIVOTDATA("XQT4",'quangthanh (2016)'!$A$3,"MA_HT","SKN","MA_QH","DVH")</f>
        <v>0</v>
      </c>
      <c r="AG24" s="22">
        <f ca="1">+GETPIVOTDATA("XQT4",'quangthanh (2016)'!$A$3,"MA_HT","SKN","MA_QH","DYT")</f>
        <v>0</v>
      </c>
      <c r="AH24" s="22">
        <f ca="1">+GETPIVOTDATA("XQT4",'quangthanh (2016)'!$A$3,"MA_HT","SKN","MA_QH","DGD")</f>
        <v>0</v>
      </c>
      <c r="AI24" s="22">
        <f ca="1">+GETPIVOTDATA("XQT4",'quangthanh (2016)'!$A$3,"MA_HT","SKN","MA_QH","DTT")</f>
        <v>0</v>
      </c>
      <c r="AJ24" s="22">
        <f ca="1">+GETPIVOTDATA("XQT4",'quangthanh (2016)'!$A$3,"MA_HT","SKN","MA_QH","NCK")</f>
        <v>0</v>
      </c>
      <c r="AK24" s="22">
        <f ca="1">+GETPIVOTDATA("XQT4",'quangthanh (2016)'!$A$3,"MA_HT","SKN","MA_QH","DXH")</f>
        <v>0</v>
      </c>
      <c r="AL24" s="22">
        <f ca="1">+GETPIVOTDATA("XQT4",'quangthanh (2016)'!$A$3,"MA_HT","SKN","MA_QH","DCH")</f>
        <v>0</v>
      </c>
      <c r="AM24" s="22">
        <f ca="1">+GETPIVOTDATA("XQT4",'quangthanh (2016)'!$A$3,"MA_HT","SKN","MA_QH","DKG")</f>
        <v>0</v>
      </c>
      <c r="AN24" s="22">
        <f ca="1">+GETPIVOTDATA("XQT4",'quangthanh (2016)'!$A$3,"MA_HT","SKN","MA_QH","DDT")</f>
        <v>0</v>
      </c>
      <c r="AO24" s="22">
        <f ca="1">+GETPIVOTDATA("XQT4",'quangthanh (2016)'!$A$3,"MA_HT","SKN","MA_QH","DDL")</f>
        <v>0</v>
      </c>
      <c r="AP24" s="22">
        <f ca="1">+GETPIVOTDATA("XQT4",'quangthanh (2016)'!$A$3,"MA_HT","SKN","MA_QH","DRA")</f>
        <v>0</v>
      </c>
      <c r="AQ24" s="22">
        <f ca="1">+GETPIVOTDATA("XQT4",'quangthanh (2016)'!$A$3,"MA_HT","SKN","MA_QH","ONT")</f>
        <v>0</v>
      </c>
      <c r="AR24" s="22">
        <f ca="1">+GETPIVOTDATA("XQT4",'quangthanh (2016)'!$A$3,"MA_HT","SKN","MA_QH","ODT")</f>
        <v>0</v>
      </c>
      <c r="AS24" s="22">
        <f ca="1">+GETPIVOTDATA("XQT4",'quangthanh (2016)'!$A$3,"MA_HT","SKN","MA_QH","TSC")</f>
        <v>0</v>
      </c>
      <c r="AT24" s="22">
        <f ca="1">+GETPIVOTDATA("XQT4",'quangthanh (2016)'!$A$3,"MA_HT","SKN","MA_QH","DTS")</f>
        <v>0</v>
      </c>
      <c r="AU24" s="22">
        <f ca="1">+GETPIVOTDATA("XQT4",'quangthanh (2016)'!$A$3,"MA_HT","SKN","MA_QH","DNG")</f>
        <v>0</v>
      </c>
      <c r="AV24" s="22">
        <f ca="1">+GETPIVOTDATA("XQT4",'quangthanh (2016)'!$A$3,"MA_HT","SKN","MA_QH","TON")</f>
        <v>0</v>
      </c>
      <c r="AW24" s="22">
        <f ca="1">+GETPIVOTDATA("XQT4",'quangthanh (2016)'!$A$3,"MA_HT","SKN","MA_QH","NTD")</f>
        <v>0</v>
      </c>
      <c r="AX24" s="22">
        <f ca="1">+GETPIVOTDATA("XQT4",'quangthanh (2016)'!$A$3,"MA_HT","SKN","MA_QH","SKX")</f>
        <v>0</v>
      </c>
      <c r="AY24" s="22">
        <f ca="1">+GETPIVOTDATA("XQT4",'quangthanh (2016)'!$A$3,"MA_HT","SKN","MA_QH","DSH")</f>
        <v>0</v>
      </c>
      <c r="AZ24" s="22">
        <f ca="1">+GETPIVOTDATA("XQT4",'quangthanh (2016)'!$A$3,"MA_HT","SKN","MA_QH","DKV")</f>
        <v>0</v>
      </c>
      <c r="BA24" s="89">
        <f ca="1">+GETPIVOTDATA("XQT4",'quangthanh (2016)'!$A$3,"MA_HT","SKN","MA_QH","TIN")</f>
        <v>0</v>
      </c>
      <c r="BB24" s="50">
        <f ca="1">+GETPIVOTDATA("XQT4",'quangthanh (2016)'!$A$3,"MA_HT","SKN","MA_QH","SON")</f>
        <v>0</v>
      </c>
      <c r="BC24" s="50">
        <f ca="1">+GETPIVOTDATA("XQT4",'quangthanh (2016)'!$A$3,"MA_HT","SKN","MA_QH","MNC")</f>
        <v>0</v>
      </c>
      <c r="BD24" s="22">
        <f ca="1">+GETPIVOTDATA("XQT4",'quangthanh (2016)'!$A$3,"MA_HT","SKN","MA_QH","PNK")</f>
        <v>0</v>
      </c>
      <c r="BE24" s="71">
        <f ca="1">+GETPIVOTDATA("XQT4",'quangthanh (2016)'!$A$3,"MA_HT","SKN","MA_QH","CSD")</f>
        <v>0</v>
      </c>
      <c r="BF24" s="74">
        <f ca="1" t="shared" si="13"/>
        <v>0</v>
      </c>
      <c r="BG24" s="101">
        <f ca="1">W$59-$BF24</f>
        <v>0</v>
      </c>
      <c r="BH24" s="41" t="e">
        <f ca="1" t="shared" si="14"/>
        <v>#REF!</v>
      </c>
      <c r="BI24" s="98"/>
      <c r="BJ24" s="107"/>
      <c r="BK24" s="107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</row>
    <row r="25" s="2" customFormat="1" ht="15.75" customHeight="1" spans="1:79">
      <c r="A25" s="39" t="s">
        <v>8368</v>
      </c>
      <c r="B25" s="39" t="s">
        <v>8369</v>
      </c>
      <c r="C25" s="40" t="s">
        <v>265</v>
      </c>
      <c r="D25" s="41" t="e">
        <f>+#REF!</f>
        <v>#REF!</v>
      </c>
      <c r="E25" s="42">
        <f ca="1" t="shared" si="15"/>
        <v>0</v>
      </c>
      <c r="F25" s="52">
        <f ca="1" t="shared" si="9"/>
        <v>0</v>
      </c>
      <c r="G25" s="22">
        <f ca="1">+GETPIVOTDATA("XQT4",'quangthanh (2016)'!$A$3,"MA_HT","TMD","MA_QH","LUC")</f>
        <v>0</v>
      </c>
      <c r="H25" s="22">
        <f ca="1">+GETPIVOTDATA("XQT4",'quangthanh (2016)'!$A$3,"MA_HT","TMD","MA_QH","LUK")</f>
        <v>0</v>
      </c>
      <c r="I25" s="22">
        <f ca="1">+GETPIVOTDATA("XQT4",'quangthanh (2016)'!$A$3,"MA_HT","TMD","MA_QH","LUN")</f>
        <v>0</v>
      </c>
      <c r="J25" s="22">
        <f ca="1">+GETPIVOTDATA("XQT4",'quangthanh (2016)'!$A$3,"MA_HT","TMD","MA_QH","HNK")</f>
        <v>0</v>
      </c>
      <c r="K25" s="22">
        <f ca="1">+GETPIVOTDATA("XQT4",'quangthanh (2016)'!$A$3,"MA_HT","TMD","MA_QH","CLN")</f>
        <v>0</v>
      </c>
      <c r="L25" s="22">
        <f ca="1">+GETPIVOTDATA("XQT4",'quangthanh (2016)'!$A$3,"MA_HT","TMD","MA_QH","RSX")</f>
        <v>0</v>
      </c>
      <c r="M25" s="22">
        <f ca="1">+GETPIVOTDATA("XQT4",'quangthanh (2016)'!$A$3,"MA_HT","TMD","MA_QH","RPH")</f>
        <v>0</v>
      </c>
      <c r="N25" s="22">
        <f ca="1">+GETPIVOTDATA("XQT4",'quangthanh (2016)'!$A$3,"MA_HT","TMD","MA_QH","RDD")</f>
        <v>0</v>
      </c>
      <c r="O25" s="22">
        <f ca="1">+GETPIVOTDATA("XQT4",'quangthanh (2016)'!$A$3,"MA_HT","TMD","MA_QH","NTS")</f>
        <v>0</v>
      </c>
      <c r="P25" s="22">
        <f ca="1">+GETPIVOTDATA("XQT4",'quangthanh (2016)'!$A$3,"MA_HT","TMD","MA_QH","LMU")</f>
        <v>0</v>
      </c>
      <c r="Q25" s="22">
        <f ca="1">+GETPIVOTDATA("XQT4",'quangthanh (2016)'!$A$3,"MA_HT","TMD","MA_QH","NKH")</f>
        <v>0</v>
      </c>
      <c r="R25" s="42">
        <f ca="1">SUM(S25:W25,Y25:AA25,AN25:BD25)</f>
        <v>0</v>
      </c>
      <c r="S25" s="22">
        <f ca="1">+GETPIVOTDATA("XQT4",'quangthanh (2016)'!$A$3,"MA_HT","TMD","MA_QH","CQP")</f>
        <v>0</v>
      </c>
      <c r="T25" s="22">
        <f ca="1">+GETPIVOTDATA("XQT4",'quangthanh (2016)'!$A$3,"MA_HT","TMD","MA_QH","CAN")</f>
        <v>0</v>
      </c>
      <c r="U25" s="22">
        <f ca="1">+GETPIVOTDATA("XQT4",'quangthanh (2016)'!$A$3,"MA_HT","TMD","MA_QH","SKK")</f>
        <v>0</v>
      </c>
      <c r="V25" s="22">
        <f ca="1">+GETPIVOTDATA("XQT4",'quangthanh (2016)'!$A$3,"MA_HT","TMD","MA_QH","SKT")</f>
        <v>0</v>
      </c>
      <c r="W25" s="22">
        <f ca="1">+GETPIVOTDATA("XQT4",'quangthanh (2016)'!$A$3,"MA_HT","TMD","MA_QH","SKN")</f>
        <v>0</v>
      </c>
      <c r="X25" s="43" t="e">
        <f ca="1">$D25-$BF25</f>
        <v>#REF!</v>
      </c>
      <c r="Y25" s="22">
        <f ca="1">+GETPIVOTDATA("XQT4",'quangthanh (2016)'!$A$3,"MA_HT","TMD","MA_QH","SKC")</f>
        <v>0</v>
      </c>
      <c r="Z25" s="22">
        <f ca="1">+GETPIVOTDATA("XQT4",'quangthanh (2016)'!$A$3,"MA_HT","TMD","MA_QH","SKS")</f>
        <v>0</v>
      </c>
      <c r="AA25" s="52">
        <f ca="1" t="shared" si="12"/>
        <v>0</v>
      </c>
      <c r="AB25" s="22">
        <f ca="1">+GETPIVOTDATA("XQT4",'quangthanh (2016)'!$A$3,"MA_HT","TMD","MA_QH","DGT")</f>
        <v>0</v>
      </c>
      <c r="AC25" s="22">
        <f ca="1">+GETPIVOTDATA("XQT4",'quangthanh (2016)'!$A$3,"MA_HT","TMD","MA_QH","DTL")</f>
        <v>0</v>
      </c>
      <c r="AD25" s="22">
        <f ca="1">+GETPIVOTDATA("XQT4",'quangthanh (2016)'!$A$3,"MA_HT","TMD","MA_QH","DNL")</f>
        <v>0</v>
      </c>
      <c r="AE25" s="22">
        <f ca="1">+GETPIVOTDATA("XQT4",'quangthanh (2016)'!$A$3,"MA_HT","TMD","MA_QH","DBV")</f>
        <v>0</v>
      </c>
      <c r="AF25" s="22">
        <f ca="1">+GETPIVOTDATA("XQT4",'quangthanh (2016)'!$A$3,"MA_HT","TMD","MA_QH","DVH")</f>
        <v>0</v>
      </c>
      <c r="AG25" s="22">
        <f ca="1">+GETPIVOTDATA("XQT4",'quangthanh (2016)'!$A$3,"MA_HT","TMD","MA_QH","DYT")</f>
        <v>0</v>
      </c>
      <c r="AH25" s="22">
        <f ca="1">+GETPIVOTDATA("XQT4",'quangthanh (2016)'!$A$3,"MA_HT","TMD","MA_QH","DGD")</f>
        <v>0</v>
      </c>
      <c r="AI25" s="22">
        <f ca="1">+GETPIVOTDATA("XQT4",'quangthanh (2016)'!$A$3,"MA_HT","TMD","MA_QH","DTT")</f>
        <v>0</v>
      </c>
      <c r="AJ25" s="22">
        <f ca="1">+GETPIVOTDATA("XQT4",'quangthanh (2016)'!$A$3,"MA_HT","TMD","MA_QH","NCK")</f>
        <v>0</v>
      </c>
      <c r="AK25" s="22">
        <f ca="1">+GETPIVOTDATA("XQT4",'quangthanh (2016)'!$A$3,"MA_HT","TMD","MA_QH","DXH")</f>
        <v>0</v>
      </c>
      <c r="AL25" s="22">
        <f ca="1">+GETPIVOTDATA("XQT4",'quangthanh (2016)'!$A$3,"MA_HT","TMD","MA_QH","DCH")</f>
        <v>0</v>
      </c>
      <c r="AM25" s="22">
        <f ca="1">+GETPIVOTDATA("XQT4",'quangthanh (2016)'!$A$3,"MA_HT","TMD","MA_QH","DKG")</f>
        <v>0</v>
      </c>
      <c r="AN25" s="22">
        <f ca="1">+GETPIVOTDATA("XQT4",'quangthanh (2016)'!$A$3,"MA_HT","TMD","MA_QH","DDT")</f>
        <v>0</v>
      </c>
      <c r="AO25" s="22">
        <f ca="1">+GETPIVOTDATA("XQT4",'quangthanh (2016)'!$A$3,"MA_HT","TMD","MA_QH","DDL")</f>
        <v>0</v>
      </c>
      <c r="AP25" s="22">
        <f ca="1">+GETPIVOTDATA("XQT4",'quangthanh (2016)'!$A$3,"MA_HT","TMD","MA_QH","DRA")</f>
        <v>0</v>
      </c>
      <c r="AQ25" s="22">
        <f ca="1">+GETPIVOTDATA("XQT4",'quangthanh (2016)'!$A$3,"MA_HT","TMD","MA_QH","ONT")</f>
        <v>0</v>
      </c>
      <c r="AR25" s="22">
        <f ca="1">+GETPIVOTDATA("XQT4",'quangthanh (2016)'!$A$3,"MA_HT","TMD","MA_QH","ODT")</f>
        <v>0</v>
      </c>
      <c r="AS25" s="22">
        <f ca="1">+GETPIVOTDATA("XQT4",'quangthanh (2016)'!$A$3,"MA_HT","TMD","MA_QH","TSC")</f>
        <v>0</v>
      </c>
      <c r="AT25" s="22">
        <f ca="1">+GETPIVOTDATA("XQT4",'quangthanh (2016)'!$A$3,"MA_HT","TMD","MA_QH","DTS")</f>
        <v>0</v>
      </c>
      <c r="AU25" s="22">
        <f ca="1">+GETPIVOTDATA("XQT4",'quangthanh (2016)'!$A$3,"MA_HT","TMD","MA_QH","DNG")</f>
        <v>0</v>
      </c>
      <c r="AV25" s="22">
        <f ca="1">+GETPIVOTDATA("XQT4",'quangthanh (2016)'!$A$3,"MA_HT","TMD","MA_QH","TON")</f>
        <v>0</v>
      </c>
      <c r="AW25" s="22">
        <f ca="1">+GETPIVOTDATA("XQT4",'quangthanh (2016)'!$A$3,"MA_HT","TMD","MA_QH","NTD")</f>
        <v>0</v>
      </c>
      <c r="AX25" s="22">
        <f ca="1">+GETPIVOTDATA("XQT4",'quangthanh (2016)'!$A$3,"MA_HT","TMD","MA_QH","SKX")</f>
        <v>0</v>
      </c>
      <c r="AY25" s="22">
        <f ca="1">+GETPIVOTDATA("XQT4",'quangthanh (2016)'!$A$3,"MA_HT","TMD","MA_QH","DSH")</f>
        <v>0</v>
      </c>
      <c r="AZ25" s="22">
        <f ca="1">+GETPIVOTDATA("XQT4",'quangthanh (2016)'!$A$3,"MA_HT","TMD","MA_QH","DKV")</f>
        <v>0</v>
      </c>
      <c r="BA25" s="89">
        <f ca="1">+GETPIVOTDATA("XQT4",'quangthanh (2016)'!$A$3,"MA_HT","TMD","MA_QH","TIN")</f>
        <v>0</v>
      </c>
      <c r="BB25" s="50">
        <f ca="1">+GETPIVOTDATA("XQT4",'quangthanh (2016)'!$A$3,"MA_HT","TMD","MA_QH","SON")</f>
        <v>0</v>
      </c>
      <c r="BC25" s="50">
        <f ca="1">+GETPIVOTDATA("XQT4",'quangthanh (2016)'!$A$3,"MA_HT","TMD","MA_QH","MNC")</f>
        <v>0</v>
      </c>
      <c r="BD25" s="22">
        <f ca="1">+GETPIVOTDATA("XQT4",'quangthanh (2016)'!$A$3,"MA_HT","TMD","MA_QH","PNK")</f>
        <v>0</v>
      </c>
      <c r="BE25" s="71">
        <f ca="1">+GETPIVOTDATA("XQT4",'quangthanh (2016)'!$A$3,"MA_HT","TMD","MA_QH","CSD")</f>
        <v>0</v>
      </c>
      <c r="BF25" s="74">
        <f ca="1" t="shared" si="13"/>
        <v>0</v>
      </c>
      <c r="BG25" s="101">
        <f ca="1">X$59-$BF25</f>
        <v>0</v>
      </c>
      <c r="BH25" s="41" t="e">
        <f ca="1" t="shared" si="14"/>
        <v>#REF!</v>
      </c>
      <c r="BI25" s="98"/>
      <c r="BJ25" s="107" t="e">
        <f>#REF!</f>
        <v>#REF!</v>
      </c>
      <c r="BK25" s="107" t="e">
        <f ca="1">BH25-BJ25</f>
        <v>#REF!</v>
      </c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</row>
    <row r="26" s="2" customFormat="1" ht="15.75" customHeight="1" spans="1:79">
      <c r="A26" s="39" t="s">
        <v>8370</v>
      </c>
      <c r="B26" s="39" t="s">
        <v>8371</v>
      </c>
      <c r="C26" s="40" t="s">
        <v>204</v>
      </c>
      <c r="D26" s="41" t="e">
        <f>+#REF!</f>
        <v>#REF!</v>
      </c>
      <c r="E26" s="42">
        <f ca="1" t="shared" si="15"/>
        <v>0</v>
      </c>
      <c r="F26" s="52">
        <f ca="1" t="shared" si="9"/>
        <v>0</v>
      </c>
      <c r="G26" s="22">
        <f ca="1">+GETPIVOTDATA("XQT4",'quangthanh (2016)'!$A$3,"MA_HT","SKC","MA_QH","LUC")</f>
        <v>0</v>
      </c>
      <c r="H26" s="22">
        <f ca="1">+GETPIVOTDATA("XQT4",'quangthanh (2016)'!$A$3,"MA_HT","SKC","MA_QH","LUK")</f>
        <v>0</v>
      </c>
      <c r="I26" s="22">
        <f ca="1">+GETPIVOTDATA("XQT4",'quangthanh (2016)'!$A$3,"MA_HT","SKC","MA_QH","LUN")</f>
        <v>0</v>
      </c>
      <c r="J26" s="22">
        <f ca="1">+GETPIVOTDATA("XQT4",'quangthanh (2016)'!$A$3,"MA_HT","SKC","MA_QH","HNK")</f>
        <v>0</v>
      </c>
      <c r="K26" s="22">
        <f ca="1">+GETPIVOTDATA("XQT4",'quangthanh (2016)'!$A$3,"MA_HT","SKC","MA_QH","CLN")</f>
        <v>0</v>
      </c>
      <c r="L26" s="22">
        <f ca="1">+GETPIVOTDATA("XQT4",'quangthanh (2016)'!$A$3,"MA_HT","SKC","MA_QH","RSX")</f>
        <v>0</v>
      </c>
      <c r="M26" s="22">
        <f ca="1">+GETPIVOTDATA("XQT4",'quangthanh (2016)'!$A$3,"MA_HT","SKC","MA_QH","RPH")</f>
        <v>0</v>
      </c>
      <c r="N26" s="22">
        <f ca="1">+GETPIVOTDATA("XQT4",'quangthanh (2016)'!$A$3,"MA_HT","SKC","MA_QH","RDD")</f>
        <v>0</v>
      </c>
      <c r="O26" s="22">
        <f ca="1">+GETPIVOTDATA("XQT4",'quangthanh (2016)'!$A$3,"MA_HT","SKC","MA_QH","NTS")</f>
        <v>0</v>
      </c>
      <c r="P26" s="22">
        <f ca="1">+GETPIVOTDATA("XQT4",'quangthanh (2016)'!$A$3,"MA_HT","SKC","MA_QH","LMU")</f>
        <v>0</v>
      </c>
      <c r="Q26" s="22">
        <f ca="1">+GETPIVOTDATA("XQT4",'quangthanh (2016)'!$A$3,"MA_HT","SKC","MA_QH","NKH")</f>
        <v>0</v>
      </c>
      <c r="R26" s="42">
        <f ca="1">SUM(S26:X26,Z26,AN26:BD26)</f>
        <v>0</v>
      </c>
      <c r="S26" s="22">
        <f ca="1">+GETPIVOTDATA("XQT4",'quangthanh (2016)'!$A$3,"MA_HT","SKC","MA_QH","CQP")</f>
        <v>0</v>
      </c>
      <c r="T26" s="22">
        <f ca="1">+GETPIVOTDATA("XQT4",'quangthanh (2016)'!$A$3,"MA_HT","SKC","MA_QH","CAN")</f>
        <v>0</v>
      </c>
      <c r="U26" s="22">
        <f ca="1">+GETPIVOTDATA("XQT4",'quangthanh (2016)'!$A$3,"MA_HT","SKC","MA_QH","SKK")</f>
        <v>0</v>
      </c>
      <c r="V26" s="22">
        <f ca="1">+GETPIVOTDATA("XQT4",'quangthanh (2016)'!$A$3,"MA_HT","SKC","MA_QH","SKT")</f>
        <v>0</v>
      </c>
      <c r="W26" s="22">
        <f ca="1">+GETPIVOTDATA("XQT4",'quangthanh (2016)'!$A$3,"MA_HT","SKC","MA_QH","SKN")</f>
        <v>0</v>
      </c>
      <c r="X26" s="22">
        <f ca="1">+GETPIVOTDATA("XQT4",'quangthanh (2016)'!$A$3,"MA_HT","SKC","MA_QH","TMD")</f>
        <v>0</v>
      </c>
      <c r="Y26" s="43" t="e">
        <f ca="1">$D26-$BF26</f>
        <v>#REF!</v>
      </c>
      <c r="Z26" s="22">
        <f ca="1">+GETPIVOTDATA("XQT4",'quangthanh (2016)'!$A$3,"MA_HT","SKC","MA_QH","SKS")</f>
        <v>0</v>
      </c>
      <c r="AA26" s="52">
        <f ca="1" t="shared" si="12"/>
        <v>0</v>
      </c>
      <c r="AB26" s="22">
        <f ca="1">+GETPIVOTDATA("XQT4",'quangthanh (2016)'!$A$3,"MA_HT","SKC","MA_QH","DGT")</f>
        <v>0</v>
      </c>
      <c r="AC26" s="22">
        <f ca="1">+GETPIVOTDATA("XQT4",'quangthanh (2016)'!$A$3,"MA_HT","SKC","MA_QH","DTL")</f>
        <v>0</v>
      </c>
      <c r="AD26" s="22">
        <f ca="1">+GETPIVOTDATA("XQT4",'quangthanh (2016)'!$A$3,"MA_HT","SKC","MA_QH","DNL")</f>
        <v>0</v>
      </c>
      <c r="AE26" s="22">
        <f ca="1">+GETPIVOTDATA("XQT4",'quangthanh (2016)'!$A$3,"MA_HT","SKC","MA_QH","DBV")</f>
        <v>0</v>
      </c>
      <c r="AF26" s="22">
        <f ca="1">+GETPIVOTDATA("XQT4",'quangthanh (2016)'!$A$3,"MA_HT","SKC","MA_QH","DVH")</f>
        <v>0</v>
      </c>
      <c r="AG26" s="22">
        <f ca="1">+GETPIVOTDATA("XQT4",'quangthanh (2016)'!$A$3,"MA_HT","SKC","MA_QH","DYT")</f>
        <v>0</v>
      </c>
      <c r="AH26" s="22">
        <f ca="1">+GETPIVOTDATA("XQT4",'quangthanh (2016)'!$A$3,"MA_HT","SKC","MA_QH","DGD")</f>
        <v>0</v>
      </c>
      <c r="AI26" s="22">
        <f ca="1">+GETPIVOTDATA("XQT4",'quangthanh (2016)'!$A$3,"MA_HT","SKC","MA_QH","DTT")</f>
        <v>0</v>
      </c>
      <c r="AJ26" s="22">
        <f ca="1">+GETPIVOTDATA("XQT4",'quangthanh (2016)'!$A$3,"MA_HT","SKC","MA_QH","NCK")</f>
        <v>0</v>
      </c>
      <c r="AK26" s="22">
        <f ca="1">+GETPIVOTDATA("XQT4",'quangthanh (2016)'!$A$3,"MA_HT","SKC","MA_QH","DXH")</f>
        <v>0</v>
      </c>
      <c r="AL26" s="22">
        <f ca="1">+GETPIVOTDATA("XQT4",'quangthanh (2016)'!$A$3,"MA_HT","SKC","MA_QH","DCH")</f>
        <v>0</v>
      </c>
      <c r="AM26" s="22">
        <f ca="1">+GETPIVOTDATA("XQT4",'quangthanh (2016)'!$A$3,"MA_HT","SKC","MA_QH","DKG")</f>
        <v>0</v>
      </c>
      <c r="AN26" s="22">
        <f ca="1">+GETPIVOTDATA("XQT4",'quangthanh (2016)'!$A$3,"MA_HT","SKC","MA_QH","DDT")</f>
        <v>0</v>
      </c>
      <c r="AO26" s="22">
        <f ca="1">+GETPIVOTDATA("XQT4",'quangthanh (2016)'!$A$3,"MA_HT","SKC","MA_QH","DDL")</f>
        <v>0</v>
      </c>
      <c r="AP26" s="22">
        <f ca="1">+GETPIVOTDATA("XQT4",'quangthanh (2016)'!$A$3,"MA_HT","SKC","MA_QH","DRA")</f>
        <v>0</v>
      </c>
      <c r="AQ26" s="22">
        <f ca="1">+GETPIVOTDATA("XQT4",'quangthanh (2016)'!$A$3,"MA_HT","SKC","MA_QH","ONT")</f>
        <v>0</v>
      </c>
      <c r="AR26" s="22">
        <f ca="1">+GETPIVOTDATA("XQT4",'quangthanh (2016)'!$A$3,"MA_HT","SKC","MA_QH","ODT")</f>
        <v>0</v>
      </c>
      <c r="AS26" s="22">
        <f ca="1">+GETPIVOTDATA("XQT4",'quangthanh (2016)'!$A$3,"MA_HT","SKC","MA_QH","TSC")</f>
        <v>0</v>
      </c>
      <c r="AT26" s="22">
        <f ca="1">+GETPIVOTDATA("XQT4",'quangthanh (2016)'!$A$3,"MA_HT","SKC","MA_QH","DTS")</f>
        <v>0</v>
      </c>
      <c r="AU26" s="22">
        <f ca="1">+GETPIVOTDATA("XQT4",'quangthanh (2016)'!$A$3,"MA_HT","SKC","MA_QH","DNG")</f>
        <v>0</v>
      </c>
      <c r="AV26" s="22">
        <f ca="1">+GETPIVOTDATA("XQT4",'quangthanh (2016)'!$A$3,"MA_HT","SKC","MA_QH","TON")</f>
        <v>0</v>
      </c>
      <c r="AW26" s="22">
        <f ca="1">+GETPIVOTDATA("XQT4",'quangthanh (2016)'!$A$3,"MA_HT","SKC","MA_QH","NTD")</f>
        <v>0</v>
      </c>
      <c r="AX26" s="22">
        <f ca="1">+GETPIVOTDATA("XQT4",'quangthanh (2016)'!$A$3,"MA_HT","SKC","MA_QH","SKX")</f>
        <v>0</v>
      </c>
      <c r="AY26" s="22">
        <f ca="1">+GETPIVOTDATA("XQT4",'quangthanh (2016)'!$A$3,"MA_HT","SKC","MA_QH","DSH")</f>
        <v>0</v>
      </c>
      <c r="AZ26" s="22">
        <f ca="1">+GETPIVOTDATA("XQT4",'quangthanh (2016)'!$A$3,"MA_HT","SKC","MA_QH","DKV")</f>
        <v>0</v>
      </c>
      <c r="BA26" s="89">
        <f ca="1">+GETPIVOTDATA("XQT4",'quangthanh (2016)'!$A$3,"MA_HT","SKC","MA_QH","TIN")</f>
        <v>0</v>
      </c>
      <c r="BB26" s="50">
        <f ca="1">+GETPIVOTDATA("XQT4",'quangthanh (2016)'!$A$3,"MA_HT","SKC","MA_QH","SON")</f>
        <v>0</v>
      </c>
      <c r="BC26" s="50">
        <f ca="1">+GETPIVOTDATA("XQT4",'quangthanh (2016)'!$A$3,"MA_HT","SKC","MA_QH","MNC")</f>
        <v>0</v>
      </c>
      <c r="BD26" s="22">
        <f ca="1">+GETPIVOTDATA("XQT4",'quangthanh (2016)'!$A$3,"MA_HT","SKC","MA_QH","PNK")</f>
        <v>0</v>
      </c>
      <c r="BE26" s="71">
        <f ca="1">+GETPIVOTDATA("XQT4",'quangthanh (2016)'!$A$3,"MA_HT","SKC","MA_QH","CSD")</f>
        <v>0</v>
      </c>
      <c r="BF26" s="74">
        <f ca="1" t="shared" si="13"/>
        <v>0</v>
      </c>
      <c r="BG26" s="101">
        <f ca="1">Y$59-$BF26</f>
        <v>0</v>
      </c>
      <c r="BH26" s="41" t="e">
        <f ca="1" t="shared" si="14"/>
        <v>#REF!</v>
      </c>
      <c r="BI26" s="98"/>
      <c r="BJ26" s="107" t="e">
        <f>#REF!</f>
        <v>#REF!</v>
      </c>
      <c r="BK26" s="107" t="e">
        <f ca="1">BH26-BJ26</f>
        <v>#REF!</v>
      </c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</row>
    <row r="27" s="2" customFormat="1" ht="15.75" customHeight="1" spans="1:79">
      <c r="A27" s="39" t="s">
        <v>8372</v>
      </c>
      <c r="B27" s="53" t="s">
        <v>8373</v>
      </c>
      <c r="C27" s="40" t="s">
        <v>174</v>
      </c>
      <c r="D27" s="41" t="e">
        <f>+#REF!</f>
        <v>#REF!</v>
      </c>
      <c r="E27" s="42">
        <f ca="1" t="shared" si="15"/>
        <v>0</v>
      </c>
      <c r="F27" s="52">
        <f ca="1" t="shared" si="9"/>
        <v>0</v>
      </c>
      <c r="G27" s="22">
        <f ca="1">+GETPIVOTDATA("XQT4",'quangthanh (2016)'!$A$3,"MA_HT","SKS","MA_QH","LUC")</f>
        <v>0</v>
      </c>
      <c r="H27" s="22">
        <f ca="1">+GETPIVOTDATA("XQT4",'quangthanh (2016)'!$A$3,"MA_HT","SKS","MA_QH","LUK")</f>
        <v>0</v>
      </c>
      <c r="I27" s="22">
        <f ca="1">+GETPIVOTDATA("XQT4",'quangthanh (2016)'!$A$3,"MA_HT","SKS","MA_QH","LUN")</f>
        <v>0</v>
      </c>
      <c r="J27" s="22">
        <f ca="1">+GETPIVOTDATA("XQT4",'quangthanh (2016)'!$A$3,"MA_HT","SKS","MA_QH","HNK")</f>
        <v>0</v>
      </c>
      <c r="K27" s="22">
        <f ca="1">+GETPIVOTDATA("XQT4",'quangthanh (2016)'!$A$3,"MA_HT","SKS","MA_QH","CLN")</f>
        <v>0</v>
      </c>
      <c r="L27" s="22">
        <f ca="1">+GETPIVOTDATA("XQT4",'quangthanh (2016)'!$A$3,"MA_HT","SKS","MA_QH","RSX")</f>
        <v>0</v>
      </c>
      <c r="M27" s="22">
        <f ca="1">+GETPIVOTDATA("XQT4",'quangthanh (2016)'!$A$3,"MA_HT","SKS","MA_QH","RPH")</f>
        <v>0</v>
      </c>
      <c r="N27" s="22">
        <f ca="1">+GETPIVOTDATA("XQT4",'quangthanh (2016)'!$A$3,"MA_HT","SKS","MA_QH","RDD")</f>
        <v>0</v>
      </c>
      <c r="O27" s="22">
        <f ca="1">+GETPIVOTDATA("XQT4",'quangthanh (2016)'!$A$3,"MA_HT","SKS","MA_QH","NTS")</f>
        <v>0</v>
      </c>
      <c r="P27" s="22">
        <f ca="1">+GETPIVOTDATA("XQT4",'quangthanh (2016)'!$A$3,"MA_HT","SKS","MA_QH","LMU")</f>
        <v>0</v>
      </c>
      <c r="Q27" s="22">
        <f ca="1">+GETPIVOTDATA("XQT4",'quangthanh (2016)'!$A$3,"MA_HT","SKS","MA_QH","NKH")</f>
        <v>0</v>
      </c>
      <c r="R27" s="42">
        <f ca="1">SUM(S27:Y27,AA27,AN27:BD27)</f>
        <v>0</v>
      </c>
      <c r="S27" s="22">
        <f ca="1">+GETPIVOTDATA("XQT4",'quangthanh (2016)'!$A$3,"MA_HT","SKS","MA_QH","CQP")</f>
        <v>0</v>
      </c>
      <c r="T27" s="22">
        <f ca="1">+GETPIVOTDATA("XQT4",'quangthanh (2016)'!$A$3,"MA_HT","SKS","MA_QH","CAN")</f>
        <v>0</v>
      </c>
      <c r="U27" s="22">
        <f ca="1">+GETPIVOTDATA("XQT4",'quangthanh (2016)'!$A$3,"MA_HT","SKS","MA_QH","SKK")</f>
        <v>0</v>
      </c>
      <c r="V27" s="22">
        <f ca="1">+GETPIVOTDATA("XQT4",'quangthanh (2016)'!$A$3,"MA_HT","SKS","MA_QH","SKT")</f>
        <v>0</v>
      </c>
      <c r="W27" s="22">
        <f ca="1">+GETPIVOTDATA("XQT4",'quangthanh (2016)'!$A$3,"MA_HT","SKS","MA_QH","SKN")</f>
        <v>0</v>
      </c>
      <c r="X27" s="22">
        <f ca="1">+GETPIVOTDATA("XQT4",'quangthanh (2016)'!$A$3,"MA_HT","SKS","MA_QH","TMD")</f>
        <v>0</v>
      </c>
      <c r="Y27" s="22">
        <f ca="1">+GETPIVOTDATA("XQT4",'quangthanh (2016)'!$A$3,"MA_HT","SKS","MA_QH","SKC")</f>
        <v>0</v>
      </c>
      <c r="Z27" s="43" t="e">
        <f ca="1">$D27-$BF27</f>
        <v>#REF!</v>
      </c>
      <c r="AA27" s="52">
        <f ca="1" t="shared" si="12"/>
        <v>0</v>
      </c>
      <c r="AB27" s="22">
        <f ca="1">+GETPIVOTDATA("XQT4",'quangthanh (2016)'!$A$3,"MA_HT","SKS","MA_QH","DGT")</f>
        <v>0</v>
      </c>
      <c r="AC27" s="22">
        <f ca="1">+GETPIVOTDATA("XQT4",'quangthanh (2016)'!$A$3,"MA_HT","SKS","MA_QH","DTL")</f>
        <v>0</v>
      </c>
      <c r="AD27" s="22">
        <f ca="1">+GETPIVOTDATA("XQT4",'quangthanh (2016)'!$A$3,"MA_HT","SKS","MA_QH","DNL")</f>
        <v>0</v>
      </c>
      <c r="AE27" s="22">
        <f ca="1">+GETPIVOTDATA("XQT4",'quangthanh (2016)'!$A$3,"MA_HT","SKS","MA_QH","DBV")</f>
        <v>0</v>
      </c>
      <c r="AF27" s="22">
        <f ca="1">+GETPIVOTDATA("XQT4",'quangthanh (2016)'!$A$3,"MA_HT","SKS","MA_QH","DVH")</f>
        <v>0</v>
      </c>
      <c r="AG27" s="22">
        <f ca="1">+GETPIVOTDATA("XQT4",'quangthanh (2016)'!$A$3,"MA_HT","SKS","MA_QH","DYT")</f>
        <v>0</v>
      </c>
      <c r="AH27" s="22">
        <f ca="1">+GETPIVOTDATA("XQT4",'quangthanh (2016)'!$A$3,"MA_HT","SKS","MA_QH","DGD")</f>
        <v>0</v>
      </c>
      <c r="AI27" s="22">
        <f ca="1">+GETPIVOTDATA("XQT4",'quangthanh (2016)'!$A$3,"MA_HT","SKS","MA_QH","DTT")</f>
        <v>0</v>
      </c>
      <c r="AJ27" s="22">
        <f ca="1">+GETPIVOTDATA("XQT4",'quangthanh (2016)'!$A$3,"MA_HT","SKS","MA_QH","NCK")</f>
        <v>0</v>
      </c>
      <c r="AK27" s="22">
        <f ca="1">+GETPIVOTDATA("XQT4",'quangthanh (2016)'!$A$3,"MA_HT","SKS","MA_QH","DXH")</f>
        <v>0</v>
      </c>
      <c r="AL27" s="22">
        <f ca="1">+GETPIVOTDATA("XQT4",'quangthanh (2016)'!$A$3,"MA_HT","SKS","MA_QH","DCH")</f>
        <v>0</v>
      </c>
      <c r="AM27" s="22">
        <f ca="1">+GETPIVOTDATA("XQT4",'quangthanh (2016)'!$A$3,"MA_HT","SKS","MA_QH","DKG")</f>
        <v>0</v>
      </c>
      <c r="AN27" s="22">
        <f ca="1">+GETPIVOTDATA("XQT4",'quangthanh (2016)'!$A$3,"MA_HT","SKS","MA_QH","DDT")</f>
        <v>0</v>
      </c>
      <c r="AO27" s="22">
        <f ca="1">+GETPIVOTDATA("XQT4",'quangthanh (2016)'!$A$3,"MA_HT","SKS","MA_QH","DDL")</f>
        <v>0</v>
      </c>
      <c r="AP27" s="22">
        <f ca="1">+GETPIVOTDATA("XQT4",'quangthanh (2016)'!$A$3,"MA_HT","SKS","MA_QH","DRA")</f>
        <v>0</v>
      </c>
      <c r="AQ27" s="22">
        <f ca="1">+GETPIVOTDATA("XQT4",'quangthanh (2016)'!$A$3,"MA_HT","SKS","MA_QH","ONT")</f>
        <v>0</v>
      </c>
      <c r="AR27" s="22">
        <f ca="1">+GETPIVOTDATA("XQT4",'quangthanh (2016)'!$A$3,"MA_HT","SKS","MA_QH","ODT")</f>
        <v>0</v>
      </c>
      <c r="AS27" s="22">
        <f ca="1">+GETPIVOTDATA("XQT4",'quangthanh (2016)'!$A$3,"MA_HT","SKS","MA_QH","TSC")</f>
        <v>0</v>
      </c>
      <c r="AT27" s="22">
        <f ca="1">+GETPIVOTDATA("XQT4",'quangthanh (2016)'!$A$3,"MA_HT","SKS","MA_QH","DTS")</f>
        <v>0</v>
      </c>
      <c r="AU27" s="22">
        <f ca="1">+GETPIVOTDATA("XQT4",'quangthanh (2016)'!$A$3,"MA_HT","SKS","MA_QH","DNG")</f>
        <v>0</v>
      </c>
      <c r="AV27" s="22">
        <f ca="1">+GETPIVOTDATA("XQT4",'quangthanh (2016)'!$A$3,"MA_HT","SKS","MA_QH","TON")</f>
        <v>0</v>
      </c>
      <c r="AW27" s="22">
        <f ca="1">+GETPIVOTDATA("XQT4",'quangthanh (2016)'!$A$3,"MA_HT","SKS","MA_QH","NTD")</f>
        <v>0</v>
      </c>
      <c r="AX27" s="22">
        <f ca="1">+GETPIVOTDATA("XQT4",'quangthanh (2016)'!$A$3,"MA_HT","SKS","MA_QH","SKX")</f>
        <v>0</v>
      </c>
      <c r="AY27" s="22">
        <f ca="1">+GETPIVOTDATA("XQT4",'quangthanh (2016)'!$A$3,"MA_HT","SKS","MA_QH","DSH")</f>
        <v>0</v>
      </c>
      <c r="AZ27" s="22">
        <f ca="1">+GETPIVOTDATA("XQT4",'quangthanh (2016)'!$A$3,"MA_HT","SKS","MA_QH","DKV")</f>
        <v>0</v>
      </c>
      <c r="BA27" s="89">
        <f ca="1">+GETPIVOTDATA("XQT4",'quangthanh (2016)'!$A$3,"MA_HT","SKS","MA_QH","TIN")</f>
        <v>0</v>
      </c>
      <c r="BB27" s="50">
        <f ca="1">+GETPIVOTDATA("XQT4",'quangthanh (2016)'!$A$3,"MA_HT","SKS","MA_QH","SON")</f>
        <v>0</v>
      </c>
      <c r="BC27" s="50">
        <f ca="1">+GETPIVOTDATA("XQT4",'quangthanh (2016)'!$A$3,"MA_HT","SKS","MA_QH","MNC")</f>
        <v>0</v>
      </c>
      <c r="BD27" s="22">
        <f ca="1">+GETPIVOTDATA("XQT4",'quangthanh (2016)'!$A$3,"MA_HT","SKS","MA_QH","PNK")</f>
        <v>0</v>
      </c>
      <c r="BE27" s="71">
        <f ca="1">+GETPIVOTDATA("XQT4",'quangthanh (2016)'!$A$3,"MA_HT","SKS","MA_QH","CSD")</f>
        <v>0</v>
      </c>
      <c r="BF27" s="74">
        <f ca="1" t="shared" si="13"/>
        <v>0</v>
      </c>
      <c r="BG27" s="101">
        <f ca="1">Z$59-$BF27</f>
        <v>0</v>
      </c>
      <c r="BH27" s="41" t="e">
        <f ca="1" t="shared" si="14"/>
        <v>#REF!</v>
      </c>
      <c r="BI27" s="98"/>
      <c r="BJ27" s="107" t="e">
        <f>#REF!</f>
        <v>#REF!</v>
      </c>
      <c r="BK27" s="107" t="e">
        <f ca="1">BH27-BJ27</f>
        <v>#REF!</v>
      </c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</row>
    <row r="28" s="2" customFormat="1" ht="15.75" customHeight="1" spans="1:79">
      <c r="A28" s="39" t="s">
        <v>8374</v>
      </c>
      <c r="B28" s="53" t="s">
        <v>8375</v>
      </c>
      <c r="C28" s="40" t="s">
        <v>8288</v>
      </c>
      <c r="D28" s="41" t="e">
        <f>+#REF!</f>
        <v>#REF!</v>
      </c>
      <c r="E28" s="42">
        <f ca="1" t="shared" si="15"/>
        <v>0</v>
      </c>
      <c r="F28" s="52">
        <f ca="1" t="shared" si="9"/>
        <v>0</v>
      </c>
      <c r="G28" s="44">
        <f ca="1">SUM(G29:G39)</f>
        <v>0</v>
      </c>
      <c r="H28" s="44">
        <f ca="1" t="shared" ref="H28:Q28" si="16">SUM(H29:H39)</f>
        <v>0</v>
      </c>
      <c r="I28" s="44">
        <f ca="1" t="shared" si="16"/>
        <v>0</v>
      </c>
      <c r="J28" s="44">
        <f ca="1" t="shared" si="16"/>
        <v>0</v>
      </c>
      <c r="K28" s="44">
        <f ca="1" t="shared" si="16"/>
        <v>0</v>
      </c>
      <c r="L28" s="44">
        <f ca="1" t="shared" si="16"/>
        <v>0</v>
      </c>
      <c r="M28" s="44">
        <f ca="1" t="shared" si="16"/>
        <v>0</v>
      </c>
      <c r="N28" s="44">
        <f ca="1" t="shared" si="16"/>
        <v>0</v>
      </c>
      <c r="O28" s="44">
        <f ca="1" t="shared" si="16"/>
        <v>0</v>
      </c>
      <c r="P28" s="44">
        <f ca="1" t="shared" si="16"/>
        <v>0</v>
      </c>
      <c r="Q28" s="44">
        <f ca="1" t="shared" si="16"/>
        <v>0</v>
      </c>
      <c r="R28" s="44">
        <f ca="1">SUM(S28:Z28,AN28:BD28)</f>
        <v>0</v>
      </c>
      <c r="S28" s="44">
        <f ca="1">SUM(S29:S39)</f>
        <v>0</v>
      </c>
      <c r="T28" s="44">
        <f ca="1" t="shared" ref="T28:Z28" si="17">SUM(T29:T39)</f>
        <v>0</v>
      </c>
      <c r="U28" s="44">
        <f ca="1" t="shared" si="17"/>
        <v>0</v>
      </c>
      <c r="V28" s="44">
        <f ca="1" t="shared" si="17"/>
        <v>0</v>
      </c>
      <c r="W28" s="44">
        <f ca="1" t="shared" si="17"/>
        <v>0</v>
      </c>
      <c r="X28" s="44">
        <f ca="1" t="shared" si="17"/>
        <v>0</v>
      </c>
      <c r="Y28" s="44">
        <f ca="1" t="shared" si="17"/>
        <v>0</v>
      </c>
      <c r="Z28" s="44">
        <f ca="1" t="shared" si="17"/>
        <v>0</v>
      </c>
      <c r="AA28" s="43" t="e">
        <f ca="1">$D28-$BF28</f>
        <v>#REF!</v>
      </c>
      <c r="AB28" s="44">
        <f ca="1">SUM(AB30:AB39)</f>
        <v>0</v>
      </c>
      <c r="AC28" s="44">
        <f ca="1">SUM(AC29,AC31:AC39)</f>
        <v>0</v>
      </c>
      <c r="AD28" s="44">
        <f ca="1">SUM(AD29:AD30,AD32:AD39)</f>
        <v>0</v>
      </c>
      <c r="AE28" s="44">
        <f ca="1">SUM(AE29:AE31,AE33:AE39)</f>
        <v>0</v>
      </c>
      <c r="AF28" s="44">
        <f ca="1">SUM(AF29:AF32,AF34:AF39)</f>
        <v>0</v>
      </c>
      <c r="AG28" s="44">
        <f ca="1">SUM(AG29:AG33,AG35:AG39)</f>
        <v>0</v>
      </c>
      <c r="AH28" s="44">
        <f ca="1">SUM(AH29:AH34,AH36:AH39)</f>
        <v>0</v>
      </c>
      <c r="AI28" s="44">
        <f ca="1">SUM(AI29:AI35,AI37:AI39)</f>
        <v>0</v>
      </c>
      <c r="AJ28" s="44">
        <f ca="1">SUM(AJ29:AJ36,AJ38:AJ39)</f>
        <v>0</v>
      </c>
      <c r="AK28" s="44">
        <f ca="1">SUM(AK29:AK37,AK39)</f>
        <v>0</v>
      </c>
      <c r="AL28" s="44">
        <f ca="1">SUM(AL29:AL38)</f>
        <v>0</v>
      </c>
      <c r="AM28" s="44">
        <f ca="1">SUM(AM29:AM38)</f>
        <v>0</v>
      </c>
      <c r="AN28" s="44">
        <f ca="1" t="shared" ref="AN28:BE28" si="18">SUM(AN29:AN39)</f>
        <v>0</v>
      </c>
      <c r="AO28" s="44">
        <f ca="1" t="shared" si="18"/>
        <v>0</v>
      </c>
      <c r="AP28" s="44">
        <f ca="1" t="shared" si="18"/>
        <v>0</v>
      </c>
      <c r="AQ28" s="44">
        <f ca="1" t="shared" si="18"/>
        <v>0</v>
      </c>
      <c r="AR28" s="44">
        <f ca="1" t="shared" si="18"/>
        <v>0</v>
      </c>
      <c r="AS28" s="44">
        <f ca="1" t="shared" si="18"/>
        <v>0</v>
      </c>
      <c r="AT28" s="44">
        <f ca="1" t="shared" si="18"/>
        <v>0</v>
      </c>
      <c r="AU28" s="44">
        <f ca="1" t="shared" si="18"/>
        <v>0</v>
      </c>
      <c r="AV28" s="44">
        <f ca="1" t="shared" si="18"/>
        <v>0</v>
      </c>
      <c r="AW28" s="44">
        <f ca="1" t="shared" si="18"/>
        <v>0</v>
      </c>
      <c r="AX28" s="44">
        <f ca="1" t="shared" si="18"/>
        <v>0</v>
      </c>
      <c r="AY28" s="44">
        <f ca="1" t="shared" si="18"/>
        <v>0</v>
      </c>
      <c r="AZ28" s="44">
        <f ca="1" t="shared" si="18"/>
        <v>0</v>
      </c>
      <c r="BA28" s="44">
        <f ca="1" t="shared" si="18"/>
        <v>0</v>
      </c>
      <c r="BB28" s="44">
        <f ca="1" t="shared" si="18"/>
        <v>0</v>
      </c>
      <c r="BC28" s="44">
        <f ca="1" t="shared" si="18"/>
        <v>0</v>
      </c>
      <c r="BD28" s="44">
        <f ca="1" t="shared" si="18"/>
        <v>0</v>
      </c>
      <c r="BE28" s="44">
        <f ca="1" t="shared" si="18"/>
        <v>0</v>
      </c>
      <c r="BF28" s="74">
        <f ca="1" t="shared" si="13"/>
        <v>0</v>
      </c>
      <c r="BG28" s="101">
        <f ca="1">AA$59-$BF28</f>
        <v>0</v>
      </c>
      <c r="BH28" s="41" t="e">
        <f ca="1" t="shared" si="14"/>
        <v>#REF!</v>
      </c>
      <c r="BI28" s="98"/>
      <c r="BJ28" s="107"/>
      <c r="BK28" s="107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</row>
    <row r="29" s="4" customFormat="1" ht="16.5" customHeight="1" spans="1:79">
      <c r="A29" s="45" t="s">
        <v>8376</v>
      </c>
      <c r="B29" s="45" t="s">
        <v>8377</v>
      </c>
      <c r="C29" s="46" t="s">
        <v>94</v>
      </c>
      <c r="D29" s="47" t="e">
        <f>+#REF!</f>
        <v>#REF!</v>
      </c>
      <c r="E29" s="42">
        <f ca="1" t="shared" si="15"/>
        <v>0</v>
      </c>
      <c r="F29" s="52">
        <f ca="1" t="shared" si="9"/>
        <v>0</v>
      </c>
      <c r="G29" s="50">
        <f ca="1">+GETPIVOTDATA("XQT4",'quangthanh (2016)'!$A$3,"MA_HT","DGT","MA_QH","LUC")</f>
        <v>0</v>
      </c>
      <c r="H29" s="50">
        <f ca="1">+GETPIVOTDATA("XQT4",'quangthanh (2016)'!$A$3,"MA_HT","DGT","MA_QH","LUK")</f>
        <v>0</v>
      </c>
      <c r="I29" s="50">
        <f ca="1">+GETPIVOTDATA("XQT4",'quangthanh (2016)'!$A$3,"MA_HT","DGT","MA_QH","LUN")</f>
        <v>0</v>
      </c>
      <c r="J29" s="50">
        <f ca="1">+GETPIVOTDATA("XQT4",'quangthanh (2016)'!$A$3,"MA_HT","DGT","MA_QH","HNK")</f>
        <v>0</v>
      </c>
      <c r="K29" s="50">
        <f ca="1">+GETPIVOTDATA("XQT4",'quangthanh (2016)'!$A$3,"MA_HT","DGT","MA_QH","CLN")</f>
        <v>0</v>
      </c>
      <c r="L29" s="50">
        <f ca="1">+GETPIVOTDATA("XQT4",'quangthanh (2016)'!$A$3,"MA_HT","DGT","MA_QH","RSX")</f>
        <v>0</v>
      </c>
      <c r="M29" s="50">
        <f ca="1">+GETPIVOTDATA("XQT4",'quangthanh (2016)'!$A$3,"MA_HT","DGT","MA_QH","RPH")</f>
        <v>0</v>
      </c>
      <c r="N29" s="50">
        <f ca="1">+GETPIVOTDATA("XQT4",'quangthanh (2016)'!$A$3,"MA_HT","DGT","MA_QH","RDD")</f>
        <v>0</v>
      </c>
      <c r="O29" s="50">
        <f ca="1">+GETPIVOTDATA("XQT4",'quangthanh (2016)'!$A$3,"MA_HT","DGT","MA_QH","NTS")</f>
        <v>0</v>
      </c>
      <c r="P29" s="50">
        <f ca="1">+GETPIVOTDATA("XQT4",'quangthanh (2016)'!$A$3,"MA_HT","DGT","MA_QH","LMU")</f>
        <v>0</v>
      </c>
      <c r="Q29" s="50">
        <f ca="1">+GETPIVOTDATA("XQT4",'quangthanh (2016)'!$A$3,"MA_HT","DGT","MA_QH","NKH")</f>
        <v>0</v>
      </c>
      <c r="R29" s="48">
        <f ca="1">SUM(S29:AA29,AN29:BD29)</f>
        <v>0</v>
      </c>
      <c r="S29" s="50">
        <f ca="1">+GETPIVOTDATA("XQT4",'quangthanh (2016)'!$A$3,"MA_HT","DGT","MA_QH","CQP")</f>
        <v>0</v>
      </c>
      <c r="T29" s="50">
        <f ca="1">+GETPIVOTDATA("XQT4",'quangthanh (2016)'!$A$3,"MA_HT","DGT","MA_QH","CAN")</f>
        <v>0</v>
      </c>
      <c r="U29" s="50">
        <f ca="1">+GETPIVOTDATA("XQT4",'quangthanh (2016)'!$A$3,"MA_HT","DGT","MA_QH","SKK")</f>
        <v>0</v>
      </c>
      <c r="V29" s="50">
        <f ca="1">+GETPIVOTDATA("XQT4",'quangthanh (2016)'!$A$3,"MA_HT","DGT","MA_QH","SKT")</f>
        <v>0</v>
      </c>
      <c r="W29" s="50">
        <f ca="1">+GETPIVOTDATA("XQT4",'quangthanh (2016)'!$A$3,"MA_HT","DGT","MA_QH","SKN")</f>
        <v>0</v>
      </c>
      <c r="X29" s="50">
        <f ca="1">+GETPIVOTDATA("XQT4",'quangthanh (2016)'!$A$3,"MA_HT","DGT","MA_QH","TMD")</f>
        <v>0</v>
      </c>
      <c r="Y29" s="50">
        <f ca="1">+GETPIVOTDATA("XQT4",'quangthanh (2016)'!$A$3,"MA_HT","DGT","MA_QH","SKC")</f>
        <v>0</v>
      </c>
      <c r="Z29" s="50">
        <f ca="1">+GETPIVOTDATA("XQT4",'quangthanh (2016)'!$A$3,"MA_HT","DGT","MA_QH","SKS")</f>
        <v>0</v>
      </c>
      <c r="AA29" s="52">
        <f ca="1">+SUM(AC29:AM29)</f>
        <v>0</v>
      </c>
      <c r="AB29" s="49" t="e">
        <f ca="1">$D29-$BF29</f>
        <v>#REF!</v>
      </c>
      <c r="AC29" s="50">
        <f ca="1">+GETPIVOTDATA("XQT4",'quangthanh (2016)'!$A$3,"MA_HT","DGT","MA_QH","DTL")</f>
        <v>0</v>
      </c>
      <c r="AD29" s="50">
        <f ca="1">+GETPIVOTDATA("XQT4",'quangthanh (2016)'!$A$3,"MA_HT","DGT","MA_QH","DNL")</f>
        <v>0</v>
      </c>
      <c r="AE29" s="50">
        <f ca="1">+GETPIVOTDATA("XQT4",'quangthanh (2016)'!$A$3,"MA_HT","DGT","MA_QH","DBV")</f>
        <v>0</v>
      </c>
      <c r="AF29" s="50">
        <f ca="1">+GETPIVOTDATA("XQT4",'quangthanh (2016)'!$A$3,"MA_HT","DGT","MA_QH","DVH")</f>
        <v>0</v>
      </c>
      <c r="AG29" s="50">
        <f ca="1">+GETPIVOTDATA("XQT4",'quangthanh (2016)'!$A$3,"MA_HT","DGT","MA_QH","DYT")</f>
        <v>0</v>
      </c>
      <c r="AH29" s="50">
        <f ca="1">+GETPIVOTDATA("XQT4",'quangthanh (2016)'!$A$3,"MA_HT","DGT","MA_QH","DGD")</f>
        <v>0</v>
      </c>
      <c r="AI29" s="50">
        <f ca="1">+GETPIVOTDATA("XQT4",'quangthanh (2016)'!$A$3,"MA_HT","DGT","MA_QH","DTT")</f>
        <v>0</v>
      </c>
      <c r="AJ29" s="50">
        <f ca="1">+GETPIVOTDATA("XQT4",'quangthanh (2016)'!$A$3,"MA_HT","DGT","MA_QH","NCK")</f>
        <v>0</v>
      </c>
      <c r="AK29" s="50">
        <f ca="1">+GETPIVOTDATA("XQT4",'quangthanh (2016)'!$A$3,"MA_HT","DGT","MA_QH","DXH")</f>
        <v>0</v>
      </c>
      <c r="AL29" s="50">
        <f ca="1">+GETPIVOTDATA("XQT4",'quangthanh (2016)'!$A$3,"MA_HT","DGT","MA_QH","DCH")</f>
        <v>0</v>
      </c>
      <c r="AM29" s="50">
        <f ca="1">+GETPIVOTDATA("XQT4",'quangthanh (2016)'!$A$3,"MA_HT","DGT","MA_QH","DKG")</f>
        <v>0</v>
      </c>
      <c r="AN29" s="50">
        <f ca="1">+GETPIVOTDATA("XQT4",'quangthanh (2016)'!$A$3,"MA_HT","DGT","MA_QH","DDT")</f>
        <v>0</v>
      </c>
      <c r="AO29" s="50">
        <f ca="1">+GETPIVOTDATA("XQT4",'quangthanh (2016)'!$A$3,"MA_HT","DGT","MA_QH","DDL")</f>
        <v>0</v>
      </c>
      <c r="AP29" s="50">
        <f ca="1">+GETPIVOTDATA("XQT4",'quangthanh (2016)'!$A$3,"MA_HT","DGT","MA_QH","DRA")</f>
        <v>0</v>
      </c>
      <c r="AQ29" s="50">
        <f ca="1">+GETPIVOTDATA("XQT4",'quangthanh (2016)'!$A$3,"MA_HT","DGT","MA_QH","ONT")</f>
        <v>0</v>
      </c>
      <c r="AR29" s="50">
        <f ca="1">+GETPIVOTDATA("XQT4",'quangthanh (2016)'!$A$3,"MA_HT","DGT","MA_QH","ODT")</f>
        <v>0</v>
      </c>
      <c r="AS29" s="50">
        <f ca="1">+GETPIVOTDATA("XQT4",'quangthanh (2016)'!$A$3,"MA_HT","DGT","MA_QH","TSC")</f>
        <v>0</v>
      </c>
      <c r="AT29" s="50">
        <f ca="1">+GETPIVOTDATA("XQT4",'quangthanh (2016)'!$A$3,"MA_HT","DGT","MA_QH","DTS")</f>
        <v>0</v>
      </c>
      <c r="AU29" s="50">
        <f ca="1">+GETPIVOTDATA("XQT4",'quangthanh (2016)'!$A$3,"MA_HT","DGT","MA_QH","DNG")</f>
        <v>0</v>
      </c>
      <c r="AV29" s="50">
        <f ca="1">+GETPIVOTDATA("XQT4",'quangthanh (2016)'!$A$3,"MA_HT","DGT","MA_QH","TON")</f>
        <v>0</v>
      </c>
      <c r="AW29" s="50">
        <f ca="1">+GETPIVOTDATA("XQT4",'quangthanh (2016)'!$A$3,"MA_HT","DGT","MA_QH","NTD")</f>
        <v>0</v>
      </c>
      <c r="AX29" s="50">
        <f ca="1">+GETPIVOTDATA("XQT4",'quangthanh (2016)'!$A$3,"MA_HT","DGT","MA_QH","SKX")</f>
        <v>0</v>
      </c>
      <c r="AY29" s="50">
        <f ca="1">+GETPIVOTDATA("XQT4",'quangthanh (2016)'!$A$3,"MA_HT","DGT","MA_QH","DSH")</f>
        <v>0</v>
      </c>
      <c r="AZ29" s="50">
        <f ca="1">+GETPIVOTDATA("XQT4",'quangthanh (2016)'!$A$3,"MA_HT","DGT","MA_QH","DKV")</f>
        <v>0</v>
      </c>
      <c r="BA29" s="88">
        <f ca="1">+GETPIVOTDATA("XQT4",'quangthanh (2016)'!$A$3,"MA_HT","DGT","MA_QH","TIN")</f>
        <v>0</v>
      </c>
      <c r="BB29" s="50">
        <f ca="1">+GETPIVOTDATA("XQT4",'quangthanh (2016)'!$A$3,"MA_HT","DGT","MA_QH","SON")</f>
        <v>0</v>
      </c>
      <c r="BC29" s="50">
        <f ca="1">+GETPIVOTDATA("XQT4",'quangthanh (2016)'!$A$3,"MA_HT","DGT","MA_QH","MNC")</f>
        <v>0</v>
      </c>
      <c r="BD29" s="50">
        <f ca="1">+GETPIVOTDATA("XQT4",'quangthanh (2016)'!$A$3,"MA_HT","DGT","MA_QH","PNK")</f>
        <v>0</v>
      </c>
      <c r="BE29" s="80">
        <f ca="1">+GETPIVOTDATA("XQT4",'quangthanh (2016)'!$A$3,"MA_HT","DGT","MA_QH","CSD")</f>
        <v>0</v>
      </c>
      <c r="BF29" s="103">
        <f ca="1" t="shared" si="13"/>
        <v>0</v>
      </c>
      <c r="BG29" s="104">
        <f ca="1">AB$59-$BF29</f>
        <v>0</v>
      </c>
      <c r="BH29" s="47" t="e">
        <f ca="1" t="shared" si="14"/>
        <v>#REF!</v>
      </c>
      <c r="BI29" s="105"/>
      <c r="BJ29" s="105" t="e">
        <f>#REF!</f>
        <v>#REF!</v>
      </c>
      <c r="BK29" s="108" t="e">
        <f ca="1" t="shared" ref="BK29:BK40" si="19">BH29-BJ29</f>
        <v>#REF!</v>
      </c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</row>
    <row r="30" s="4" customFormat="1" ht="16.5" customHeight="1" spans="1:79">
      <c r="A30" s="45" t="s">
        <v>8378</v>
      </c>
      <c r="B30" s="45" t="s">
        <v>8379</v>
      </c>
      <c r="C30" s="46" t="s">
        <v>216</v>
      </c>
      <c r="D30" s="47" t="e">
        <f>+#REF!</f>
        <v>#REF!</v>
      </c>
      <c r="E30" s="42">
        <f ca="1" t="shared" si="15"/>
        <v>0</v>
      </c>
      <c r="F30" s="52">
        <f ca="1" t="shared" si="9"/>
        <v>0</v>
      </c>
      <c r="G30" s="50">
        <f ca="1">+GETPIVOTDATA("XQT4",'quangthanh (2016)'!$A$3,"MA_HT","DTL","MA_QH","LUC")</f>
        <v>0</v>
      </c>
      <c r="H30" s="50">
        <f ca="1">+GETPIVOTDATA("XQT4",'quangthanh (2016)'!$A$3,"MA_HT","DTL","MA_QH","LUK")</f>
        <v>0</v>
      </c>
      <c r="I30" s="50">
        <f ca="1">+GETPIVOTDATA("XQT4",'quangthanh (2016)'!$A$3,"MA_HT","DTL","MA_QH","LUN")</f>
        <v>0</v>
      </c>
      <c r="J30" s="50">
        <f ca="1">+GETPIVOTDATA("XQT4",'quangthanh (2016)'!$A$3,"MA_HT","DTL","MA_QH","HNK")</f>
        <v>0</v>
      </c>
      <c r="K30" s="50">
        <f ca="1">+GETPIVOTDATA("XQT4",'quangthanh (2016)'!$A$3,"MA_HT","DTL","MA_QH","CLN")</f>
        <v>0</v>
      </c>
      <c r="L30" s="50">
        <f ca="1">+GETPIVOTDATA("XQT4",'quangthanh (2016)'!$A$3,"MA_HT","DTL","MA_QH","RSX")</f>
        <v>0</v>
      </c>
      <c r="M30" s="50">
        <f ca="1">+GETPIVOTDATA("XQT4",'quangthanh (2016)'!$A$3,"MA_HT","DTL","MA_QH","RPH")</f>
        <v>0</v>
      </c>
      <c r="N30" s="50">
        <f ca="1">+GETPIVOTDATA("XQT4",'quangthanh (2016)'!$A$3,"MA_HT","DTL","MA_QH","RDD")</f>
        <v>0</v>
      </c>
      <c r="O30" s="50">
        <f ca="1">+GETPIVOTDATA("XQT4",'quangthanh (2016)'!$A$3,"MA_HT","DTL","MA_QH","NTS")</f>
        <v>0</v>
      </c>
      <c r="P30" s="50">
        <f ca="1">+GETPIVOTDATA("XQT4",'quangthanh (2016)'!$A$3,"MA_HT","DTL","MA_QH","LMU")</f>
        <v>0</v>
      </c>
      <c r="Q30" s="50">
        <f ca="1">+GETPIVOTDATA("XQT4",'quangthanh (2016)'!$A$3,"MA_HT","DTL","MA_QH","NKH")</f>
        <v>0</v>
      </c>
      <c r="R30" s="48">
        <f ca="1" t="shared" ref="R30:R40" si="20">SUM(S30:AA30,AN30:BD30)</f>
        <v>0</v>
      </c>
      <c r="S30" s="50">
        <f ca="1">+GETPIVOTDATA("XQT4",'quangthanh (2016)'!$A$3,"MA_HT","DTL","MA_QH","CQP")</f>
        <v>0</v>
      </c>
      <c r="T30" s="50">
        <f ca="1">+GETPIVOTDATA("XQT4",'quangthanh (2016)'!$A$3,"MA_HT","DTL","MA_QH","CAN")</f>
        <v>0</v>
      </c>
      <c r="U30" s="50">
        <f ca="1">+GETPIVOTDATA("XQT4",'quangthanh (2016)'!$A$3,"MA_HT","DTL","MA_QH","SKK")</f>
        <v>0</v>
      </c>
      <c r="V30" s="50">
        <f ca="1">+GETPIVOTDATA("XQT4",'quangthanh (2016)'!$A$3,"MA_HT","DTL","MA_QH","SKT")</f>
        <v>0</v>
      </c>
      <c r="W30" s="50">
        <f ca="1">+GETPIVOTDATA("XQT4",'quangthanh (2016)'!$A$3,"MA_HT","DTL","MA_QH","SKN")</f>
        <v>0</v>
      </c>
      <c r="X30" s="50">
        <f ca="1">+GETPIVOTDATA("XQT4",'quangthanh (2016)'!$A$3,"MA_HT","DTL","MA_QH","TMD")</f>
        <v>0</v>
      </c>
      <c r="Y30" s="50">
        <f ca="1">+GETPIVOTDATA("XQT4",'quangthanh (2016)'!$A$3,"MA_HT","DTL","MA_QH","SKC")</f>
        <v>0</v>
      </c>
      <c r="Z30" s="50">
        <f ca="1">+GETPIVOTDATA("XQT4",'quangthanh (2016)'!$A$3,"MA_HT","DTL","MA_QH","SKS")</f>
        <v>0</v>
      </c>
      <c r="AA30" s="52">
        <f ca="1">+SUM(AB30,AD30:AM30)</f>
        <v>0</v>
      </c>
      <c r="AB30" s="50">
        <f ca="1">+GETPIVOTDATA("XQT4",'quangthanh (2016)'!$A$3,"MA_HT","DTL","MA_QH","DGT")</f>
        <v>0</v>
      </c>
      <c r="AC30" s="49" t="e">
        <f ca="1">$D30-$BF30</f>
        <v>#REF!</v>
      </c>
      <c r="AD30" s="50">
        <f ca="1">+GETPIVOTDATA("XQT4",'quangthanh (2016)'!$A$3,"MA_HT","DTL","MA_QH","DNL")</f>
        <v>0</v>
      </c>
      <c r="AE30" s="50">
        <f ca="1">+GETPIVOTDATA("XQT4",'quangthanh (2016)'!$A$3,"MA_HT","DTL","MA_QH","DBV")</f>
        <v>0</v>
      </c>
      <c r="AF30" s="50">
        <f ca="1">+GETPIVOTDATA("XQT4",'quangthanh (2016)'!$A$3,"MA_HT","DTL","MA_QH","DVH")</f>
        <v>0</v>
      </c>
      <c r="AG30" s="50">
        <f ca="1">+GETPIVOTDATA("XQT4",'quangthanh (2016)'!$A$3,"MA_HT","DTL","MA_QH","DYT")</f>
        <v>0</v>
      </c>
      <c r="AH30" s="50">
        <f ca="1">+GETPIVOTDATA("XQT4",'quangthanh (2016)'!$A$3,"MA_HT","DTL","MA_QH","DGD")</f>
        <v>0</v>
      </c>
      <c r="AI30" s="50">
        <f ca="1">+GETPIVOTDATA("XQT4",'quangthanh (2016)'!$A$3,"MA_HT","DTL","MA_QH","DTT")</f>
        <v>0</v>
      </c>
      <c r="AJ30" s="50">
        <f ca="1">+GETPIVOTDATA("XQT4",'quangthanh (2016)'!$A$3,"MA_HT","DTL","MA_QH","NCK")</f>
        <v>0</v>
      </c>
      <c r="AK30" s="50">
        <f ca="1">+GETPIVOTDATA("XQT4",'quangthanh (2016)'!$A$3,"MA_HT","DTL","MA_QH","DXH")</f>
        <v>0</v>
      </c>
      <c r="AL30" s="50">
        <f ca="1">+GETPIVOTDATA("XQT4",'quangthanh (2016)'!$A$3,"MA_HT","DTL","MA_QH","DCH")</f>
        <v>0</v>
      </c>
      <c r="AM30" s="50">
        <f ca="1">+GETPIVOTDATA("XQT4",'quangthanh (2016)'!$A$3,"MA_HT","DTL","MA_QH","DKG")</f>
        <v>0</v>
      </c>
      <c r="AN30" s="50">
        <f ca="1">+GETPIVOTDATA("XQT4",'quangthanh (2016)'!$A$3,"MA_HT","DTL","MA_QH","DDT")</f>
        <v>0</v>
      </c>
      <c r="AO30" s="50">
        <f ca="1">+GETPIVOTDATA("XQT4",'quangthanh (2016)'!$A$3,"MA_HT","DTL","MA_QH","DDL")</f>
        <v>0</v>
      </c>
      <c r="AP30" s="50">
        <f ca="1">+GETPIVOTDATA("XQT4",'quangthanh (2016)'!$A$3,"MA_HT","DTL","MA_QH","DRA")</f>
        <v>0</v>
      </c>
      <c r="AQ30" s="50">
        <f ca="1">+GETPIVOTDATA("XQT4",'quangthanh (2016)'!$A$3,"MA_HT","DTL","MA_QH","ONT")</f>
        <v>0</v>
      </c>
      <c r="AR30" s="50">
        <f ca="1">+GETPIVOTDATA("XQT4",'quangthanh (2016)'!$A$3,"MA_HT","DTL","MA_QH","ODT")</f>
        <v>0</v>
      </c>
      <c r="AS30" s="50">
        <f ca="1">+GETPIVOTDATA("XQT4",'quangthanh (2016)'!$A$3,"MA_HT","DTL","MA_QH","TSC")</f>
        <v>0</v>
      </c>
      <c r="AT30" s="50">
        <f ca="1">+GETPIVOTDATA("XQT4",'quangthanh (2016)'!$A$3,"MA_HT","DTL","MA_QH","DTS")</f>
        <v>0</v>
      </c>
      <c r="AU30" s="50">
        <f ca="1">+GETPIVOTDATA("XQT4",'quangthanh (2016)'!$A$3,"MA_HT","DTL","MA_QH","DNG")</f>
        <v>0</v>
      </c>
      <c r="AV30" s="50">
        <f ca="1">+GETPIVOTDATA("XQT4",'quangthanh (2016)'!$A$3,"MA_HT","DTL","MA_QH","TON")</f>
        <v>0</v>
      </c>
      <c r="AW30" s="50">
        <f ca="1">+GETPIVOTDATA("XQT4",'quangthanh (2016)'!$A$3,"MA_HT","DTL","MA_QH","NTD")</f>
        <v>0</v>
      </c>
      <c r="AX30" s="50">
        <f ca="1">+GETPIVOTDATA("XQT4",'quangthanh (2016)'!$A$3,"MA_HT","DTL","MA_QH","SKX")</f>
        <v>0</v>
      </c>
      <c r="AY30" s="50">
        <f ca="1">+GETPIVOTDATA("XQT4",'quangthanh (2016)'!$A$3,"MA_HT","DTL","MA_QH","DSH")</f>
        <v>0</v>
      </c>
      <c r="AZ30" s="50">
        <f ca="1">+GETPIVOTDATA("XQT4",'quangthanh (2016)'!$A$3,"MA_HT","DTL","MA_QH","DKV")</f>
        <v>0</v>
      </c>
      <c r="BA30" s="88">
        <f ca="1">+GETPIVOTDATA("XQT4",'quangthanh (2016)'!$A$3,"MA_HT","DTL","MA_QH","TIN")</f>
        <v>0</v>
      </c>
      <c r="BB30" s="50">
        <f ca="1">+GETPIVOTDATA("XQT4",'quangthanh (2016)'!$A$3,"MA_HT","DTL","MA_QH","SON")</f>
        <v>0</v>
      </c>
      <c r="BC30" s="50">
        <f ca="1">+GETPIVOTDATA("XQT4",'quangthanh (2016)'!$A$3,"MA_HT","DTL","MA_QH","MNC")</f>
        <v>0</v>
      </c>
      <c r="BD30" s="50">
        <f ca="1">+GETPIVOTDATA("XQT4",'quangthanh (2016)'!$A$3,"MA_HT","DTL","MA_QH","PNK")</f>
        <v>0</v>
      </c>
      <c r="BE30" s="80">
        <f ca="1">+GETPIVOTDATA("XQT4",'quangthanh (2016)'!$A$3,"MA_HT","DTL","MA_QH","CSD")</f>
        <v>0</v>
      </c>
      <c r="BF30" s="103">
        <f ca="1" t="shared" si="13"/>
        <v>0</v>
      </c>
      <c r="BG30" s="104">
        <f ca="1">AC$59-$BF30</f>
        <v>0</v>
      </c>
      <c r="BH30" s="47" t="e">
        <f ca="1" t="shared" si="14"/>
        <v>#REF!</v>
      </c>
      <c r="BI30" s="105"/>
      <c r="BJ30" s="105" t="e">
        <f>#REF!</f>
        <v>#REF!</v>
      </c>
      <c r="BK30" s="108" t="e">
        <f ca="1" t="shared" si="19"/>
        <v>#REF!</v>
      </c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</row>
    <row r="31" s="4" customFormat="1" ht="16.5" customHeight="1" spans="1:79">
      <c r="A31" s="45" t="s">
        <v>8380</v>
      </c>
      <c r="B31" s="45" t="s">
        <v>8381</v>
      </c>
      <c r="C31" s="46" t="s">
        <v>71</v>
      </c>
      <c r="D31" s="47" t="e">
        <f>+#REF!</f>
        <v>#REF!</v>
      </c>
      <c r="E31" s="42">
        <f ca="1" t="shared" si="15"/>
        <v>0</v>
      </c>
      <c r="F31" s="52">
        <f ca="1" t="shared" si="9"/>
        <v>0</v>
      </c>
      <c r="G31" s="50">
        <f ca="1">+GETPIVOTDATA("XQT4",'quangthanh (2016)'!$A$3,"MA_HT","DNL","MA_QH","LUC")</f>
        <v>0</v>
      </c>
      <c r="H31" s="50">
        <f ca="1">+GETPIVOTDATA("XQT4",'quangthanh (2016)'!$A$3,"MA_HT","DNL","MA_QH","LUK")</f>
        <v>0</v>
      </c>
      <c r="I31" s="50">
        <f ca="1">+GETPIVOTDATA("XQT4",'quangthanh (2016)'!$A$3,"MA_HT","DNL","MA_QH","LUN")</f>
        <v>0</v>
      </c>
      <c r="J31" s="50">
        <f ca="1">+GETPIVOTDATA("XQT4",'quangthanh (2016)'!$A$3,"MA_HT","DNL","MA_QH","HNK")</f>
        <v>0</v>
      </c>
      <c r="K31" s="50">
        <f ca="1">+GETPIVOTDATA("XQT4",'quangthanh (2016)'!$A$3,"MA_HT","DNL","MA_QH","CLN")</f>
        <v>0</v>
      </c>
      <c r="L31" s="50">
        <f ca="1">+GETPIVOTDATA("XQT4",'quangthanh (2016)'!$A$3,"MA_HT","DNL","MA_QH","RSX")</f>
        <v>0</v>
      </c>
      <c r="M31" s="50">
        <f ca="1">+GETPIVOTDATA("XQT4",'quangthanh (2016)'!$A$3,"MA_HT","DNL","MA_QH","RPH")</f>
        <v>0</v>
      </c>
      <c r="N31" s="50">
        <f ca="1">+GETPIVOTDATA("XQT4",'quangthanh (2016)'!$A$3,"MA_HT","DNL","MA_QH","RDD")</f>
        <v>0</v>
      </c>
      <c r="O31" s="50">
        <f ca="1">+GETPIVOTDATA("XQT4",'quangthanh (2016)'!$A$3,"MA_HT","DNL","MA_QH","NTS")</f>
        <v>0</v>
      </c>
      <c r="P31" s="50">
        <f ca="1">+GETPIVOTDATA("XQT4",'quangthanh (2016)'!$A$3,"MA_HT","DNL","MA_QH","LMU")</f>
        <v>0</v>
      </c>
      <c r="Q31" s="50">
        <f ca="1">+GETPIVOTDATA("XQT4",'quangthanh (2016)'!$A$3,"MA_HT","DNL","MA_QH","NKH")</f>
        <v>0</v>
      </c>
      <c r="R31" s="48">
        <f ca="1" t="shared" si="20"/>
        <v>0</v>
      </c>
      <c r="S31" s="50">
        <f ca="1">+GETPIVOTDATA("XQT4",'quangthanh (2016)'!$A$3,"MA_HT","DNL","MA_QH","CQP")</f>
        <v>0</v>
      </c>
      <c r="T31" s="50">
        <f ca="1">+GETPIVOTDATA("XQT4",'quangthanh (2016)'!$A$3,"MA_HT","DNL","MA_QH","CAN")</f>
        <v>0</v>
      </c>
      <c r="U31" s="50">
        <f ca="1">+GETPIVOTDATA("XQT4",'quangthanh (2016)'!$A$3,"MA_HT","DNL","MA_QH","SKK")</f>
        <v>0</v>
      </c>
      <c r="V31" s="50">
        <f ca="1">+GETPIVOTDATA("XQT4",'quangthanh (2016)'!$A$3,"MA_HT","DNL","MA_QH","SKT")</f>
        <v>0</v>
      </c>
      <c r="W31" s="50">
        <f ca="1">+GETPIVOTDATA("XQT4",'quangthanh (2016)'!$A$3,"MA_HT","DNL","MA_QH","SKN")</f>
        <v>0</v>
      </c>
      <c r="X31" s="50">
        <f ca="1">+GETPIVOTDATA("XQT4",'quangthanh (2016)'!$A$3,"MA_HT","DNL","MA_QH","TMD")</f>
        <v>0</v>
      </c>
      <c r="Y31" s="50">
        <f ca="1">+GETPIVOTDATA("XQT4",'quangthanh (2016)'!$A$3,"MA_HT","DNL","MA_QH","SKC")</f>
        <v>0</v>
      </c>
      <c r="Z31" s="50">
        <f ca="1">+GETPIVOTDATA("XQT4",'quangthanh (2016)'!$A$3,"MA_HT","DNL","MA_QH","SKS")</f>
        <v>0</v>
      </c>
      <c r="AA31" s="52">
        <f ca="1">+SUM(AB31:AC31,AE31:AM31)</f>
        <v>0</v>
      </c>
      <c r="AB31" s="50">
        <f ca="1">+GETPIVOTDATA("XQT4",'quangthanh (2016)'!$A$3,"MA_HT","DNL","MA_QH","DGT")</f>
        <v>0</v>
      </c>
      <c r="AC31" s="50">
        <f ca="1">+GETPIVOTDATA("XQT4",'quangthanh (2016)'!$A$3,"MA_HT","DNL","MA_QH","DTL")</f>
        <v>0</v>
      </c>
      <c r="AD31" s="49" t="e">
        <f ca="1">$D31-$BF31</f>
        <v>#REF!</v>
      </c>
      <c r="AE31" s="50">
        <f ca="1">+GETPIVOTDATA("XQT4",'quangthanh (2016)'!$A$3,"MA_HT","DNL","MA_QH","DBV")</f>
        <v>0</v>
      </c>
      <c r="AF31" s="50">
        <f ca="1">+GETPIVOTDATA("XQT4",'quangthanh (2016)'!$A$3,"MA_HT","DNL","MA_QH","DVH")</f>
        <v>0</v>
      </c>
      <c r="AG31" s="50">
        <f ca="1">+GETPIVOTDATA("XQT4",'quangthanh (2016)'!$A$3,"MA_HT","DNL","MA_QH","DYT")</f>
        <v>0</v>
      </c>
      <c r="AH31" s="50">
        <f ca="1">+GETPIVOTDATA("XQT4",'quangthanh (2016)'!$A$3,"MA_HT","DNL","MA_QH","DGD")</f>
        <v>0</v>
      </c>
      <c r="AI31" s="50">
        <f ca="1">+GETPIVOTDATA("XQT4",'quangthanh (2016)'!$A$3,"MA_HT","DNL","MA_QH","DTT")</f>
        <v>0</v>
      </c>
      <c r="AJ31" s="50">
        <f ca="1">+GETPIVOTDATA("XQT4",'quangthanh (2016)'!$A$3,"MA_HT","DNL","MA_QH","NCK")</f>
        <v>0</v>
      </c>
      <c r="AK31" s="50">
        <f ca="1">+GETPIVOTDATA("XQT4",'quangthanh (2016)'!$A$3,"MA_HT","DNL","MA_QH","DXH")</f>
        <v>0</v>
      </c>
      <c r="AL31" s="50">
        <f ca="1">+GETPIVOTDATA("XQT4",'quangthanh (2016)'!$A$3,"MA_HT","DNL","MA_QH","DCH")</f>
        <v>0</v>
      </c>
      <c r="AM31" s="50">
        <f ca="1">+GETPIVOTDATA("XQT4",'quangthanh (2016)'!$A$3,"MA_HT","DNL","MA_QH","DKG")</f>
        <v>0</v>
      </c>
      <c r="AN31" s="50">
        <f ca="1">+GETPIVOTDATA("XQT4",'quangthanh (2016)'!$A$3,"MA_HT","DNL","MA_QH","DDT")</f>
        <v>0</v>
      </c>
      <c r="AO31" s="50">
        <f ca="1">+GETPIVOTDATA("XQT4",'quangthanh (2016)'!$A$3,"MA_HT","DNL","MA_QH","DDL")</f>
        <v>0</v>
      </c>
      <c r="AP31" s="50">
        <f ca="1">+GETPIVOTDATA("XQT4",'quangthanh (2016)'!$A$3,"MA_HT","DNL","MA_QH","DRA")</f>
        <v>0</v>
      </c>
      <c r="AQ31" s="50">
        <f ca="1">+GETPIVOTDATA("XQT4",'quangthanh (2016)'!$A$3,"MA_HT","DNL","MA_QH","ONT")</f>
        <v>0</v>
      </c>
      <c r="AR31" s="50">
        <f ca="1">+GETPIVOTDATA("XQT4",'quangthanh (2016)'!$A$3,"MA_HT","DNL","MA_QH","ODT")</f>
        <v>0</v>
      </c>
      <c r="AS31" s="50">
        <f ca="1">+GETPIVOTDATA("XQT4",'quangthanh (2016)'!$A$3,"MA_HT","DNL","MA_QH","TSC")</f>
        <v>0</v>
      </c>
      <c r="AT31" s="50">
        <f ca="1">+GETPIVOTDATA("XQT4",'quangthanh (2016)'!$A$3,"MA_HT","DNL","MA_QH","DTS")</f>
        <v>0</v>
      </c>
      <c r="AU31" s="50">
        <f ca="1">+GETPIVOTDATA("XQT4",'quangthanh (2016)'!$A$3,"MA_HT","DNL","MA_QH","DNG")</f>
        <v>0</v>
      </c>
      <c r="AV31" s="50">
        <f ca="1">+GETPIVOTDATA("XQT4",'quangthanh (2016)'!$A$3,"MA_HT","DNL","MA_QH","TON")</f>
        <v>0</v>
      </c>
      <c r="AW31" s="50">
        <f ca="1">+GETPIVOTDATA("XQT4",'quangthanh (2016)'!$A$3,"MA_HT","DNL","MA_QH","NTD")</f>
        <v>0</v>
      </c>
      <c r="AX31" s="50">
        <f ca="1">+GETPIVOTDATA("XQT4",'quangthanh (2016)'!$A$3,"MA_HT","DNL","MA_QH","SKX")</f>
        <v>0</v>
      </c>
      <c r="AY31" s="50">
        <f ca="1">+GETPIVOTDATA("XQT4",'quangthanh (2016)'!$A$3,"MA_HT","DNL","MA_QH","DSH")</f>
        <v>0</v>
      </c>
      <c r="AZ31" s="50">
        <f ca="1">+GETPIVOTDATA("XQT4",'quangthanh (2016)'!$A$3,"MA_HT","DNL","MA_QH","DKV")</f>
        <v>0</v>
      </c>
      <c r="BA31" s="88">
        <f ca="1">+GETPIVOTDATA("XQT4",'quangthanh (2016)'!$A$3,"MA_HT","DNL","MA_QH","TIN")</f>
        <v>0</v>
      </c>
      <c r="BB31" s="50">
        <f ca="1">+GETPIVOTDATA("XQT4",'quangthanh (2016)'!$A$3,"MA_HT","DNL","MA_QH","SON")</f>
        <v>0</v>
      </c>
      <c r="BC31" s="50">
        <f ca="1">+GETPIVOTDATA("XQT4",'quangthanh (2016)'!$A$3,"MA_HT","DNL","MA_QH","MNC")</f>
        <v>0</v>
      </c>
      <c r="BD31" s="50">
        <f ca="1">+GETPIVOTDATA("XQT4",'quangthanh (2016)'!$A$3,"MA_HT","DNL","MA_QH","PNK")</f>
        <v>0</v>
      </c>
      <c r="BE31" s="80">
        <f ca="1">+GETPIVOTDATA("XQT4",'quangthanh (2016)'!$A$3,"MA_HT","DNL","MA_QH","CSD")</f>
        <v>0</v>
      </c>
      <c r="BF31" s="103">
        <f ca="1" t="shared" si="13"/>
        <v>0</v>
      </c>
      <c r="BG31" s="104">
        <f ca="1">AD$59-$BF31</f>
        <v>0</v>
      </c>
      <c r="BH31" s="47" t="e">
        <f ca="1" t="shared" si="14"/>
        <v>#REF!</v>
      </c>
      <c r="BI31" s="105"/>
      <c r="BJ31" s="105" t="e">
        <f>#REF!</f>
        <v>#REF!</v>
      </c>
      <c r="BK31" s="108" t="e">
        <f ca="1" t="shared" si="19"/>
        <v>#REF!</v>
      </c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</row>
    <row r="32" s="4" customFormat="1" ht="16.5" customHeight="1" spans="1:79">
      <c r="A32" s="45" t="s">
        <v>8382</v>
      </c>
      <c r="B32" s="45" t="s">
        <v>8383</v>
      </c>
      <c r="C32" s="46" t="s">
        <v>8285</v>
      </c>
      <c r="D32" s="47" t="e">
        <f>+#REF!</f>
        <v>#REF!</v>
      </c>
      <c r="E32" s="42">
        <f ca="1" t="shared" si="15"/>
        <v>0</v>
      </c>
      <c r="F32" s="52">
        <f ca="1" t="shared" si="9"/>
        <v>0</v>
      </c>
      <c r="G32" s="50">
        <f ca="1">+GETPIVOTDATA("XQT4",'quangthanh (2016)'!$A$3,"MA_HT","DBV","MA_QH","LUC")</f>
        <v>0</v>
      </c>
      <c r="H32" s="50">
        <f ca="1">+GETPIVOTDATA("XQT4",'quangthanh (2016)'!$A$3,"MA_HT","DBV","MA_QH","LUK")</f>
        <v>0</v>
      </c>
      <c r="I32" s="50">
        <f ca="1">+GETPIVOTDATA("XQT4",'quangthanh (2016)'!$A$3,"MA_HT","DBV","MA_QH","LUN")</f>
        <v>0</v>
      </c>
      <c r="J32" s="50">
        <f ca="1">+GETPIVOTDATA("XQT4",'quangthanh (2016)'!$A$3,"MA_HT","DBV","MA_QH","HNK")</f>
        <v>0</v>
      </c>
      <c r="K32" s="50">
        <f ca="1">+GETPIVOTDATA("XQT4",'quangthanh (2016)'!$A$3,"MA_HT","DBV","MA_QH","CLN")</f>
        <v>0</v>
      </c>
      <c r="L32" s="50">
        <f ca="1">+GETPIVOTDATA("XQT4",'quangthanh (2016)'!$A$3,"MA_HT","DBV","MA_QH","RSX")</f>
        <v>0</v>
      </c>
      <c r="M32" s="50">
        <f ca="1">+GETPIVOTDATA("XQT4",'quangthanh (2016)'!$A$3,"MA_HT","DBV","MA_QH","RPH")</f>
        <v>0</v>
      </c>
      <c r="N32" s="50">
        <f ca="1">+GETPIVOTDATA("XQT4",'quangthanh (2016)'!$A$3,"MA_HT","DBV","MA_QH","RDD")</f>
        <v>0</v>
      </c>
      <c r="O32" s="50">
        <f ca="1">+GETPIVOTDATA("XQT4",'quangthanh (2016)'!$A$3,"MA_HT","DBV","MA_QH","NTS")</f>
        <v>0</v>
      </c>
      <c r="P32" s="50">
        <f ca="1">+GETPIVOTDATA("XQT4",'quangthanh (2016)'!$A$3,"MA_HT","DBV","MA_QH","LMU")</f>
        <v>0</v>
      </c>
      <c r="Q32" s="50">
        <f ca="1">+GETPIVOTDATA("XQT4",'quangthanh (2016)'!$A$3,"MA_HT","DBV","MA_QH","NKH")</f>
        <v>0</v>
      </c>
      <c r="R32" s="48">
        <f ca="1" t="shared" si="20"/>
        <v>0</v>
      </c>
      <c r="S32" s="50">
        <f ca="1">+GETPIVOTDATA("XQT4",'quangthanh (2016)'!$A$3,"MA_HT","DBV","MA_QH","CQP")</f>
        <v>0</v>
      </c>
      <c r="T32" s="50">
        <f ca="1">+GETPIVOTDATA("XQT4",'quangthanh (2016)'!$A$3,"MA_HT","DBV","MA_QH","CAN")</f>
        <v>0</v>
      </c>
      <c r="U32" s="50">
        <f ca="1">+GETPIVOTDATA("XQT4",'quangthanh (2016)'!$A$3,"MA_HT","DBV","MA_QH","SKK")</f>
        <v>0</v>
      </c>
      <c r="V32" s="50">
        <f ca="1">+GETPIVOTDATA("XQT4",'quangthanh (2016)'!$A$3,"MA_HT","DBV","MA_QH","SKT")</f>
        <v>0</v>
      </c>
      <c r="W32" s="50">
        <f ca="1">+GETPIVOTDATA("XQT4",'quangthanh (2016)'!$A$3,"MA_HT","DBV","MA_QH","SKN")</f>
        <v>0</v>
      </c>
      <c r="X32" s="50">
        <f ca="1">+GETPIVOTDATA("XQT4",'quangthanh (2016)'!$A$3,"MA_HT","DBV","MA_QH","TMD")</f>
        <v>0</v>
      </c>
      <c r="Y32" s="50">
        <f ca="1">+GETPIVOTDATA("XQT4",'quangthanh (2016)'!$A$3,"MA_HT","DBV","MA_QH","SKC")</f>
        <v>0</v>
      </c>
      <c r="Z32" s="50">
        <f ca="1">+GETPIVOTDATA("XQT4",'quangthanh (2016)'!$A$3,"MA_HT","DBV","MA_QH","SKS")</f>
        <v>0</v>
      </c>
      <c r="AA32" s="52">
        <f ca="1">+SUM(AB32:AD32,AF32:AM32)</f>
        <v>0</v>
      </c>
      <c r="AB32" s="50">
        <f ca="1">+GETPIVOTDATA("XQT4",'quangthanh (2016)'!$A$3,"MA_HT","DBV","MA_QH","DGT")</f>
        <v>0</v>
      </c>
      <c r="AC32" s="50">
        <f ca="1">+GETPIVOTDATA("XQT4",'quangthanh (2016)'!$A$3,"MA_HT","DBV","MA_QH","DTL")</f>
        <v>0</v>
      </c>
      <c r="AD32" s="50">
        <f ca="1">+GETPIVOTDATA("XQT4",'quangthanh (2016)'!$A$3,"MA_HT","DBV","MA_QH","DNL")</f>
        <v>0</v>
      </c>
      <c r="AE32" s="49" t="e">
        <f ca="1">$D32-$BF32</f>
        <v>#REF!</v>
      </c>
      <c r="AF32" s="50">
        <f ca="1">+GETPIVOTDATA("XQT4",'quangthanh (2016)'!$A$3,"MA_HT","DBV","MA_QH","DVH")</f>
        <v>0</v>
      </c>
      <c r="AG32" s="50">
        <f ca="1">+GETPIVOTDATA("XQT4",'quangthanh (2016)'!$A$3,"MA_HT","DBV","MA_QH","DYT")</f>
        <v>0</v>
      </c>
      <c r="AH32" s="50">
        <f ca="1">+GETPIVOTDATA("XQT4",'quangthanh (2016)'!$A$3,"MA_HT","DBV","MA_QH","DGD")</f>
        <v>0</v>
      </c>
      <c r="AI32" s="50">
        <f ca="1">+GETPIVOTDATA("XQT4",'quangthanh (2016)'!$A$3,"MA_HT","DBV","MA_QH","DTT")</f>
        <v>0</v>
      </c>
      <c r="AJ32" s="50">
        <f ca="1">+GETPIVOTDATA("XQT4",'quangthanh (2016)'!$A$3,"MA_HT","DBV","MA_QH","NCK")</f>
        <v>0</v>
      </c>
      <c r="AK32" s="50">
        <f ca="1">+GETPIVOTDATA("XQT4",'quangthanh (2016)'!$A$3,"MA_HT","DBV","MA_QH","DXH")</f>
        <v>0</v>
      </c>
      <c r="AL32" s="50">
        <f ca="1">+GETPIVOTDATA("XQT4",'quangthanh (2016)'!$A$3,"MA_HT","DBV","MA_QH","DCH")</f>
        <v>0</v>
      </c>
      <c r="AM32" s="50">
        <f ca="1">+GETPIVOTDATA("XQT4",'quangthanh (2016)'!$A$3,"MA_HT","DBV","MA_QH","DKG")</f>
        <v>0</v>
      </c>
      <c r="AN32" s="50">
        <f ca="1">+GETPIVOTDATA("XQT4",'quangthanh (2016)'!$A$3,"MA_HT","DBV","MA_QH","DDT")</f>
        <v>0</v>
      </c>
      <c r="AO32" s="50">
        <f ca="1">+GETPIVOTDATA("XQT4",'quangthanh (2016)'!$A$3,"MA_HT","DBV","MA_QH","DDL")</f>
        <v>0</v>
      </c>
      <c r="AP32" s="50">
        <f ca="1">+GETPIVOTDATA("XQT4",'quangthanh (2016)'!$A$3,"MA_HT","DBV","MA_QH","DRA")</f>
        <v>0</v>
      </c>
      <c r="AQ32" s="50">
        <f ca="1">+GETPIVOTDATA("XQT4",'quangthanh (2016)'!$A$3,"MA_HT","DBV","MA_QH","ONT")</f>
        <v>0</v>
      </c>
      <c r="AR32" s="50">
        <f ca="1">+GETPIVOTDATA("XQT4",'quangthanh (2016)'!$A$3,"MA_HT","DBV","MA_QH","ODT")</f>
        <v>0</v>
      </c>
      <c r="AS32" s="50">
        <f ca="1">+GETPIVOTDATA("XQT4",'quangthanh (2016)'!$A$3,"MA_HT","DBV","MA_QH","TSC")</f>
        <v>0</v>
      </c>
      <c r="AT32" s="50">
        <f ca="1">+GETPIVOTDATA("XQT4",'quangthanh (2016)'!$A$3,"MA_HT","DBV","MA_QH","DTS")</f>
        <v>0</v>
      </c>
      <c r="AU32" s="50">
        <f ca="1">+GETPIVOTDATA("XQT4",'quangthanh (2016)'!$A$3,"MA_HT","DBV","MA_QH","DNG")</f>
        <v>0</v>
      </c>
      <c r="AV32" s="50">
        <f ca="1">+GETPIVOTDATA("XQT4",'quangthanh (2016)'!$A$3,"MA_HT","DBV","MA_QH","TON")</f>
        <v>0</v>
      </c>
      <c r="AW32" s="50">
        <f ca="1">+GETPIVOTDATA("XQT4",'quangthanh (2016)'!$A$3,"MA_HT","DBV","MA_QH","NTD")</f>
        <v>0</v>
      </c>
      <c r="AX32" s="50">
        <f ca="1">+GETPIVOTDATA("XQT4",'quangthanh (2016)'!$A$3,"MA_HT","DBV","MA_QH","SKX")</f>
        <v>0</v>
      </c>
      <c r="AY32" s="50">
        <f ca="1">+GETPIVOTDATA("XQT4",'quangthanh (2016)'!$A$3,"MA_HT","DBV","MA_QH","DSH")</f>
        <v>0</v>
      </c>
      <c r="AZ32" s="50">
        <f ca="1">+GETPIVOTDATA("XQT4",'quangthanh (2016)'!$A$3,"MA_HT","DBV","MA_QH","DKV")</f>
        <v>0</v>
      </c>
      <c r="BA32" s="88">
        <f ca="1">+GETPIVOTDATA("XQT4",'quangthanh (2016)'!$A$3,"MA_HT","DBV","MA_QH","TIN")</f>
        <v>0</v>
      </c>
      <c r="BB32" s="50">
        <f ca="1">+GETPIVOTDATA("XQT4",'quangthanh (2016)'!$A$3,"MA_HT","DBV","MA_QH","SON")</f>
        <v>0</v>
      </c>
      <c r="BC32" s="50">
        <f ca="1">+GETPIVOTDATA("XQT4",'quangthanh (2016)'!$A$3,"MA_HT","DBV","MA_QH","MNC")</f>
        <v>0</v>
      </c>
      <c r="BD32" s="50">
        <f ca="1">+GETPIVOTDATA("XQT4",'quangthanh (2016)'!$A$3,"MA_HT","DBV","MA_QH","PNK")</f>
        <v>0</v>
      </c>
      <c r="BE32" s="80">
        <f ca="1">+GETPIVOTDATA("XQT4",'quangthanh (2016)'!$A$3,"MA_HT","DBV","MA_QH","CSD")</f>
        <v>0</v>
      </c>
      <c r="BF32" s="103">
        <f ca="1" t="shared" si="13"/>
        <v>0</v>
      </c>
      <c r="BG32" s="104">
        <f ca="1">AE$59-$BF32</f>
        <v>0</v>
      </c>
      <c r="BH32" s="47" t="e">
        <f ca="1" t="shared" si="14"/>
        <v>#REF!</v>
      </c>
      <c r="BI32" s="105"/>
      <c r="BJ32" s="105" t="e">
        <f>#REF!</f>
        <v>#REF!</v>
      </c>
      <c r="BK32" s="108" t="e">
        <f ca="1" t="shared" si="19"/>
        <v>#REF!</v>
      </c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</row>
    <row r="33" s="4" customFormat="1" ht="16.5" customHeight="1" spans="1:79">
      <c r="A33" s="45" t="s">
        <v>8384</v>
      </c>
      <c r="B33" s="45" t="s">
        <v>8385</v>
      </c>
      <c r="C33" s="46" t="s">
        <v>212</v>
      </c>
      <c r="D33" s="47" t="e">
        <f>+#REF!</f>
        <v>#REF!</v>
      </c>
      <c r="E33" s="42">
        <f ca="1" t="shared" si="15"/>
        <v>0</v>
      </c>
      <c r="F33" s="52">
        <f ca="1" t="shared" si="9"/>
        <v>0</v>
      </c>
      <c r="G33" s="50">
        <f ca="1">+GETPIVOTDATA("XQT4",'quangthanh (2016)'!$A$3,"MA_HT","DVH","MA_QH","LUC")</f>
        <v>0</v>
      </c>
      <c r="H33" s="50">
        <f ca="1">+GETPIVOTDATA("XQT4",'quangthanh (2016)'!$A$3,"MA_HT","DVH","MA_QH","LUK")</f>
        <v>0</v>
      </c>
      <c r="I33" s="50">
        <f ca="1">+GETPIVOTDATA("XQT4",'quangthanh (2016)'!$A$3,"MA_HT","DVH","MA_QH","LUN")</f>
        <v>0</v>
      </c>
      <c r="J33" s="50">
        <f ca="1">+GETPIVOTDATA("XQT4",'quangthanh (2016)'!$A$3,"MA_HT","DVH","MA_QH","HNK")</f>
        <v>0</v>
      </c>
      <c r="K33" s="50">
        <f ca="1">+GETPIVOTDATA("XQT4",'quangthanh (2016)'!$A$3,"MA_HT","DVH","MA_QH","CLN")</f>
        <v>0</v>
      </c>
      <c r="L33" s="50">
        <f ca="1">+GETPIVOTDATA("XQT4",'quangthanh (2016)'!$A$3,"MA_HT","DVH","MA_QH","RSX")</f>
        <v>0</v>
      </c>
      <c r="M33" s="50">
        <f ca="1">+GETPIVOTDATA("XQT4",'quangthanh (2016)'!$A$3,"MA_HT","DVH","MA_QH","RPH")</f>
        <v>0</v>
      </c>
      <c r="N33" s="50">
        <f ca="1">+GETPIVOTDATA("XQT4",'quangthanh (2016)'!$A$3,"MA_HT","DVH","MA_QH","RDD")</f>
        <v>0</v>
      </c>
      <c r="O33" s="50">
        <f ca="1">+GETPIVOTDATA("XQT4",'quangthanh (2016)'!$A$3,"MA_HT","DVH","MA_QH","NTS")</f>
        <v>0</v>
      </c>
      <c r="P33" s="50">
        <f ca="1">+GETPIVOTDATA("XQT4",'quangthanh (2016)'!$A$3,"MA_HT","DVH","MA_QH","LMU")</f>
        <v>0</v>
      </c>
      <c r="Q33" s="50">
        <f ca="1">+GETPIVOTDATA("XQT4",'quangthanh (2016)'!$A$3,"MA_HT","DVH","MA_QH","NKH")</f>
        <v>0</v>
      </c>
      <c r="R33" s="48">
        <f ca="1" t="shared" si="20"/>
        <v>0</v>
      </c>
      <c r="S33" s="50">
        <f ca="1">+GETPIVOTDATA("XQT4",'quangthanh (2016)'!$A$3,"MA_HT","DVH","MA_QH","CQP")</f>
        <v>0</v>
      </c>
      <c r="T33" s="50">
        <f ca="1">+GETPIVOTDATA("XQT4",'quangthanh (2016)'!$A$3,"MA_HT","DVH","MA_QH","CAN")</f>
        <v>0</v>
      </c>
      <c r="U33" s="50">
        <f ca="1">+GETPIVOTDATA("XQT4",'quangthanh (2016)'!$A$3,"MA_HT","DVH","MA_QH","SKK")</f>
        <v>0</v>
      </c>
      <c r="V33" s="50">
        <f ca="1">+GETPIVOTDATA("XQT4",'quangthanh (2016)'!$A$3,"MA_HT","DVH","MA_QH","SKT")</f>
        <v>0</v>
      </c>
      <c r="W33" s="50">
        <f ca="1">+GETPIVOTDATA("XQT4",'quangthanh (2016)'!$A$3,"MA_HT","DVH","MA_QH","SKN")</f>
        <v>0</v>
      </c>
      <c r="X33" s="50">
        <f ca="1">+GETPIVOTDATA("XQT4",'quangthanh (2016)'!$A$3,"MA_HT","DVH","MA_QH","TMD")</f>
        <v>0</v>
      </c>
      <c r="Y33" s="50">
        <f ca="1">+GETPIVOTDATA("XQT4",'quangthanh (2016)'!$A$3,"MA_HT","DVH","MA_QH","SKC")</f>
        <v>0</v>
      </c>
      <c r="Z33" s="50">
        <f ca="1">+GETPIVOTDATA("XQT4",'quangthanh (2016)'!$A$3,"MA_HT","DVH","MA_QH","SKS")</f>
        <v>0</v>
      </c>
      <c r="AA33" s="52">
        <f ca="1">+SUM(AB33:AE33,AG33:AM33)</f>
        <v>0</v>
      </c>
      <c r="AB33" s="50">
        <f ca="1">+GETPIVOTDATA("XQT4",'quangthanh (2016)'!$A$3,"MA_HT","DVH","MA_QH","DGT")</f>
        <v>0</v>
      </c>
      <c r="AC33" s="50">
        <f ca="1">+GETPIVOTDATA("XQT4",'quangthanh (2016)'!$A$3,"MA_HT","DVH","MA_QH","DTL")</f>
        <v>0</v>
      </c>
      <c r="AD33" s="50">
        <f ca="1">+GETPIVOTDATA("XQT4",'quangthanh (2016)'!$A$3,"MA_HT","DVH","MA_QH","DNL")</f>
        <v>0</v>
      </c>
      <c r="AE33" s="50">
        <f ca="1">+GETPIVOTDATA("XQT4",'quangthanh (2016)'!$A$3,"MA_HT","DVH","MA_QH","DBV")</f>
        <v>0</v>
      </c>
      <c r="AF33" s="49" t="e">
        <f ca="1">$D33-$BF33</f>
        <v>#REF!</v>
      </c>
      <c r="AG33" s="50">
        <f ca="1">+GETPIVOTDATA("XQT4",'quangthanh (2016)'!$A$3,"MA_HT","DVH","MA_QH","DYT")</f>
        <v>0</v>
      </c>
      <c r="AH33" s="50">
        <f ca="1">+GETPIVOTDATA("XQT4",'quangthanh (2016)'!$A$3,"MA_HT","DVH","MA_QH","DGD")</f>
        <v>0</v>
      </c>
      <c r="AI33" s="50">
        <f ca="1">+GETPIVOTDATA("XQT4",'quangthanh (2016)'!$A$3,"MA_HT","DVH","MA_QH","DTT")</f>
        <v>0</v>
      </c>
      <c r="AJ33" s="50">
        <f ca="1">+GETPIVOTDATA("XQT4",'quangthanh (2016)'!$A$3,"MA_HT","DVH","MA_QH","NCK")</f>
        <v>0</v>
      </c>
      <c r="AK33" s="50">
        <f ca="1">+GETPIVOTDATA("XQT4",'quangthanh (2016)'!$A$3,"MA_HT","DVH","MA_QH","DXH")</f>
        <v>0</v>
      </c>
      <c r="AL33" s="50">
        <f ca="1">+GETPIVOTDATA("XQT4",'quangthanh (2016)'!$A$3,"MA_HT","DVH","MA_QH","DCH")</f>
        <v>0</v>
      </c>
      <c r="AM33" s="50">
        <f ca="1">+GETPIVOTDATA("XQT4",'quangthanh (2016)'!$A$3,"MA_HT","DVH","MA_QH","DKG")</f>
        <v>0</v>
      </c>
      <c r="AN33" s="50">
        <f ca="1">+GETPIVOTDATA("XQT4",'quangthanh (2016)'!$A$3,"MA_HT","DVH","MA_QH","DDT")</f>
        <v>0</v>
      </c>
      <c r="AO33" s="50">
        <f ca="1">+GETPIVOTDATA("XQT4",'quangthanh (2016)'!$A$3,"MA_HT","DVH","MA_QH","DDL")</f>
        <v>0</v>
      </c>
      <c r="AP33" s="50">
        <f ca="1">+GETPIVOTDATA("XQT4",'quangthanh (2016)'!$A$3,"MA_HT","DVH","MA_QH","DRA")</f>
        <v>0</v>
      </c>
      <c r="AQ33" s="50">
        <f ca="1">+GETPIVOTDATA("XQT4",'quangthanh (2016)'!$A$3,"MA_HT","DVH","MA_QH","ONT")</f>
        <v>0</v>
      </c>
      <c r="AR33" s="50">
        <f ca="1">+GETPIVOTDATA("XQT4",'quangthanh (2016)'!$A$3,"MA_HT","DVH","MA_QH","ODT")</f>
        <v>0</v>
      </c>
      <c r="AS33" s="50">
        <f ca="1">+GETPIVOTDATA("XQT4",'quangthanh (2016)'!$A$3,"MA_HT","DVH","MA_QH","TSC")</f>
        <v>0</v>
      </c>
      <c r="AT33" s="50">
        <f ca="1">+GETPIVOTDATA("XQT4",'quangthanh (2016)'!$A$3,"MA_HT","DVH","MA_QH","DTS")</f>
        <v>0</v>
      </c>
      <c r="AU33" s="50">
        <f ca="1">+GETPIVOTDATA("XQT4",'quangthanh (2016)'!$A$3,"MA_HT","DVH","MA_QH","DNG")</f>
        <v>0</v>
      </c>
      <c r="AV33" s="50">
        <f ca="1">+GETPIVOTDATA("XQT4",'quangthanh (2016)'!$A$3,"MA_HT","DVH","MA_QH","TON")</f>
        <v>0</v>
      </c>
      <c r="AW33" s="50">
        <f ca="1">+GETPIVOTDATA("XQT4",'quangthanh (2016)'!$A$3,"MA_HT","DVH","MA_QH","NTD")</f>
        <v>0</v>
      </c>
      <c r="AX33" s="50">
        <f ca="1">+GETPIVOTDATA("XQT4",'quangthanh (2016)'!$A$3,"MA_HT","DVH","MA_QH","SKX")</f>
        <v>0</v>
      </c>
      <c r="AY33" s="50">
        <f ca="1">+GETPIVOTDATA("XQT4",'quangthanh (2016)'!$A$3,"MA_HT","DVH","MA_QH","DSH")</f>
        <v>0</v>
      </c>
      <c r="AZ33" s="50">
        <f ca="1">+GETPIVOTDATA("XQT4",'quangthanh (2016)'!$A$3,"MA_HT","DVH","MA_QH","DKV")</f>
        <v>0</v>
      </c>
      <c r="BA33" s="88">
        <f ca="1">+GETPIVOTDATA("XQT4",'quangthanh (2016)'!$A$3,"MA_HT","DVH","MA_QH","TIN")</f>
        <v>0</v>
      </c>
      <c r="BB33" s="50">
        <f ca="1">+GETPIVOTDATA("XQT4",'quangthanh (2016)'!$A$3,"MA_HT","DVH","MA_QH","SON")</f>
        <v>0</v>
      </c>
      <c r="BC33" s="50">
        <f ca="1">+GETPIVOTDATA("XQT4",'quangthanh (2016)'!$A$3,"MA_HT","DVH","MA_QH","MNC")</f>
        <v>0</v>
      </c>
      <c r="BD33" s="50">
        <f ca="1">+GETPIVOTDATA("XQT4",'quangthanh (2016)'!$A$3,"MA_HT","DVH","MA_QH","PNK")</f>
        <v>0</v>
      </c>
      <c r="BE33" s="80">
        <f ca="1">+GETPIVOTDATA("XQT4",'quangthanh (2016)'!$A$3,"MA_HT","DVH","MA_QH","CSD")</f>
        <v>0</v>
      </c>
      <c r="BF33" s="103">
        <f ca="1" t="shared" si="13"/>
        <v>0</v>
      </c>
      <c r="BG33" s="104">
        <f ca="1">AF$59-$BF33</f>
        <v>0</v>
      </c>
      <c r="BH33" s="47" t="e">
        <f ca="1" t="shared" si="14"/>
        <v>#REF!</v>
      </c>
      <c r="BI33" s="105"/>
      <c r="BJ33" s="105" t="e">
        <f>#REF!</f>
        <v>#REF!</v>
      </c>
      <c r="BK33" s="108" t="e">
        <f ca="1" t="shared" si="19"/>
        <v>#REF!</v>
      </c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</row>
    <row r="34" s="4" customFormat="1" ht="16.5" customHeight="1" spans="1:79">
      <c r="A34" s="45" t="s">
        <v>8386</v>
      </c>
      <c r="B34" s="45" t="s">
        <v>8387</v>
      </c>
      <c r="C34" s="46" t="s">
        <v>8296</v>
      </c>
      <c r="D34" s="47" t="e">
        <f>+#REF!</f>
        <v>#REF!</v>
      </c>
      <c r="E34" s="42">
        <f ca="1" t="shared" si="15"/>
        <v>0</v>
      </c>
      <c r="F34" s="52">
        <f ca="1" t="shared" si="9"/>
        <v>0</v>
      </c>
      <c r="G34" s="50">
        <f ca="1">+GETPIVOTDATA("XQT4",'quangthanh (2016)'!$A$3,"MA_HT","DYT","MA_QH","LUC")</f>
        <v>0</v>
      </c>
      <c r="H34" s="50">
        <f ca="1">+GETPIVOTDATA("XQT4",'quangthanh (2016)'!$A$3,"MA_HT","DYT","MA_QH","LUK")</f>
        <v>0</v>
      </c>
      <c r="I34" s="50">
        <f ca="1">+GETPIVOTDATA("XQT4",'quangthanh (2016)'!$A$3,"MA_HT","DYT","MA_QH","LUN")</f>
        <v>0</v>
      </c>
      <c r="J34" s="50">
        <f ca="1">+GETPIVOTDATA("XQT4",'quangthanh (2016)'!$A$3,"MA_HT","DYT","MA_QH","HNK")</f>
        <v>0</v>
      </c>
      <c r="K34" s="50">
        <f ca="1">+GETPIVOTDATA("XQT4",'quangthanh (2016)'!$A$3,"MA_HT","DYT","MA_QH","CLN")</f>
        <v>0</v>
      </c>
      <c r="L34" s="50">
        <f ca="1">+GETPIVOTDATA("XQT4",'quangthanh (2016)'!$A$3,"MA_HT","DYT","MA_QH","RSX")</f>
        <v>0</v>
      </c>
      <c r="M34" s="50">
        <f ca="1">+GETPIVOTDATA("XQT4",'quangthanh (2016)'!$A$3,"MA_HT","DYT","MA_QH","RPH")</f>
        <v>0</v>
      </c>
      <c r="N34" s="50">
        <f ca="1">+GETPIVOTDATA("XQT4",'quangthanh (2016)'!$A$3,"MA_HT","DYT","MA_QH","RDD")</f>
        <v>0</v>
      </c>
      <c r="O34" s="50">
        <f ca="1">+GETPIVOTDATA("XQT4",'quangthanh (2016)'!$A$3,"MA_HT","DYT","MA_QH","NTS")</f>
        <v>0</v>
      </c>
      <c r="P34" s="50">
        <f ca="1">+GETPIVOTDATA("XQT4",'quangthanh (2016)'!$A$3,"MA_HT","DYT","MA_QH","LMU")</f>
        <v>0</v>
      </c>
      <c r="Q34" s="50">
        <f ca="1">+GETPIVOTDATA("XQT4",'quangthanh (2016)'!$A$3,"MA_HT","DYT","MA_QH","NKH")</f>
        <v>0</v>
      </c>
      <c r="R34" s="48">
        <f ca="1" t="shared" si="20"/>
        <v>0</v>
      </c>
      <c r="S34" s="50">
        <f ca="1">+GETPIVOTDATA("XQT4",'quangthanh (2016)'!$A$3,"MA_HT","DYT","MA_QH","CQP")</f>
        <v>0</v>
      </c>
      <c r="T34" s="50">
        <f ca="1">+GETPIVOTDATA("XQT4",'quangthanh (2016)'!$A$3,"MA_HT","DYT","MA_QH","CAN")</f>
        <v>0</v>
      </c>
      <c r="U34" s="50">
        <f ca="1">+GETPIVOTDATA("XQT4",'quangthanh (2016)'!$A$3,"MA_HT","DYT","MA_QH","SKK")</f>
        <v>0</v>
      </c>
      <c r="V34" s="50">
        <f ca="1">+GETPIVOTDATA("XQT4",'quangthanh (2016)'!$A$3,"MA_HT","DYT","MA_QH","SKT")</f>
        <v>0</v>
      </c>
      <c r="W34" s="50">
        <f ca="1">+GETPIVOTDATA("XQT4",'quangthanh (2016)'!$A$3,"MA_HT","DYT","MA_QH","SKN")</f>
        <v>0</v>
      </c>
      <c r="X34" s="50">
        <f ca="1">+GETPIVOTDATA("XQT4",'quangthanh (2016)'!$A$3,"MA_HT","DYT","MA_QH","TMD")</f>
        <v>0</v>
      </c>
      <c r="Y34" s="50">
        <f ca="1">+GETPIVOTDATA("XQT4",'quangthanh (2016)'!$A$3,"MA_HT","DYT","MA_QH","SKC")</f>
        <v>0</v>
      </c>
      <c r="Z34" s="50">
        <f ca="1">+GETPIVOTDATA("XQT4",'quangthanh (2016)'!$A$3,"MA_HT","DYT","MA_QH","SKS")</f>
        <v>0</v>
      </c>
      <c r="AA34" s="52">
        <f ca="1">+SUM(AB34:AF34,AH34:AM34)</f>
        <v>0</v>
      </c>
      <c r="AB34" s="50">
        <f ca="1">+GETPIVOTDATA("XQT4",'quangthanh (2016)'!$A$3,"MA_HT","DYT","MA_QH","DGT")</f>
        <v>0</v>
      </c>
      <c r="AC34" s="50">
        <f ca="1">+GETPIVOTDATA("XQT4",'quangthanh (2016)'!$A$3,"MA_HT","DYT","MA_QH","DTL")</f>
        <v>0</v>
      </c>
      <c r="AD34" s="50">
        <f ca="1">+GETPIVOTDATA("XQT4",'quangthanh (2016)'!$A$3,"MA_HT","DYT","MA_QH","DNL")</f>
        <v>0</v>
      </c>
      <c r="AE34" s="50">
        <f ca="1">+GETPIVOTDATA("XQT4",'quangthanh (2016)'!$A$3,"MA_HT","DYT","MA_QH","DBV")</f>
        <v>0</v>
      </c>
      <c r="AF34" s="50">
        <f ca="1">+GETPIVOTDATA("XQT4",'quangthanh (2016)'!$A$3,"MA_HT","DYT","MA_QH","DVH")</f>
        <v>0</v>
      </c>
      <c r="AG34" s="49" t="e">
        <f ca="1">$D34-$BF34</f>
        <v>#REF!</v>
      </c>
      <c r="AH34" s="50">
        <f ca="1">+GETPIVOTDATA("XQT4",'quangthanh (2016)'!$A$3,"MA_HT","DYT","MA_QH","DGD")</f>
        <v>0</v>
      </c>
      <c r="AI34" s="50">
        <f ca="1">+GETPIVOTDATA("XQT4",'quangthanh (2016)'!$A$3,"MA_HT","DYT","MA_QH","DTT")</f>
        <v>0</v>
      </c>
      <c r="AJ34" s="50">
        <f ca="1">+GETPIVOTDATA("XQT4",'quangthanh (2016)'!$A$3,"MA_HT","DYT","MA_QH","NCK")</f>
        <v>0</v>
      </c>
      <c r="AK34" s="50">
        <f ca="1">+GETPIVOTDATA("XQT4",'quangthanh (2016)'!$A$3,"MA_HT","DYT","MA_QH","DXH")</f>
        <v>0</v>
      </c>
      <c r="AL34" s="50">
        <f ca="1">+GETPIVOTDATA("XQT4",'quangthanh (2016)'!$A$3,"MA_HT","DYT","MA_QH","DCH")</f>
        <v>0</v>
      </c>
      <c r="AM34" s="50">
        <f ca="1">+GETPIVOTDATA("XQT4",'quangthanh (2016)'!$A$3,"MA_HT","DYT","MA_QH","DKG")</f>
        <v>0</v>
      </c>
      <c r="AN34" s="50">
        <f ca="1">+GETPIVOTDATA("XQT4",'quangthanh (2016)'!$A$3,"MA_HT","DYT","MA_QH","DDT")</f>
        <v>0</v>
      </c>
      <c r="AO34" s="50">
        <f ca="1">+GETPIVOTDATA("XQT4",'quangthanh (2016)'!$A$3,"MA_HT","DYT","MA_QH","DDL")</f>
        <v>0</v>
      </c>
      <c r="AP34" s="50">
        <f ca="1">+GETPIVOTDATA("XQT4",'quangthanh (2016)'!$A$3,"MA_HT","DYT","MA_QH","DRA")</f>
        <v>0</v>
      </c>
      <c r="AQ34" s="50">
        <f ca="1">+GETPIVOTDATA("XQT4",'quangthanh (2016)'!$A$3,"MA_HT","DYT","MA_QH","ONT")</f>
        <v>0</v>
      </c>
      <c r="AR34" s="50">
        <f ca="1">+GETPIVOTDATA("XQT4",'quangthanh (2016)'!$A$3,"MA_HT","DYT","MA_QH","ODT")</f>
        <v>0</v>
      </c>
      <c r="AS34" s="50">
        <f ca="1">+GETPIVOTDATA("XQT4",'quangthanh (2016)'!$A$3,"MA_HT","DYT","MA_QH","TSC")</f>
        <v>0</v>
      </c>
      <c r="AT34" s="50">
        <f ca="1">+GETPIVOTDATA("XQT4",'quangthanh (2016)'!$A$3,"MA_HT","DYT","MA_QH","DTS")</f>
        <v>0</v>
      </c>
      <c r="AU34" s="50">
        <f ca="1">+GETPIVOTDATA("XQT4",'quangthanh (2016)'!$A$3,"MA_HT","DYT","MA_QH","DNG")</f>
        <v>0</v>
      </c>
      <c r="AV34" s="50">
        <f ca="1">+GETPIVOTDATA("XQT4",'quangthanh (2016)'!$A$3,"MA_HT","DYT","MA_QH","TON")</f>
        <v>0</v>
      </c>
      <c r="AW34" s="50">
        <f ca="1">+GETPIVOTDATA("XQT4",'quangthanh (2016)'!$A$3,"MA_HT","DYT","MA_QH","NTD")</f>
        <v>0</v>
      </c>
      <c r="AX34" s="50">
        <f ca="1">+GETPIVOTDATA("XQT4",'quangthanh (2016)'!$A$3,"MA_HT","DYT","MA_QH","SKX")</f>
        <v>0</v>
      </c>
      <c r="AY34" s="50">
        <f ca="1">+GETPIVOTDATA("XQT4",'quangthanh (2016)'!$A$3,"MA_HT","DYT","MA_QH","DSH")</f>
        <v>0</v>
      </c>
      <c r="AZ34" s="50">
        <f ca="1">+GETPIVOTDATA("XQT4",'quangthanh (2016)'!$A$3,"MA_HT","DYT","MA_QH","DKV")</f>
        <v>0</v>
      </c>
      <c r="BA34" s="88">
        <f ca="1">+GETPIVOTDATA("XQT4",'quangthanh (2016)'!$A$3,"MA_HT","DYT","MA_QH","TIN")</f>
        <v>0</v>
      </c>
      <c r="BB34" s="50">
        <f ca="1">+GETPIVOTDATA("XQT4",'quangthanh (2016)'!$A$3,"MA_HT","DYT","MA_QH","SON")</f>
        <v>0</v>
      </c>
      <c r="BC34" s="50">
        <f ca="1">+GETPIVOTDATA("XQT4",'quangthanh (2016)'!$A$3,"MA_HT","DYT","MA_QH","MNC")</f>
        <v>0</v>
      </c>
      <c r="BD34" s="50">
        <f ca="1">+GETPIVOTDATA("XQT4",'quangthanh (2016)'!$A$3,"MA_HT","DYT","MA_QH","PNK")</f>
        <v>0</v>
      </c>
      <c r="BE34" s="80">
        <f ca="1">+GETPIVOTDATA("XQT4",'quangthanh (2016)'!$A$3,"MA_HT","DYT","MA_QH","CSD")</f>
        <v>0</v>
      </c>
      <c r="BF34" s="103">
        <f ca="1" t="shared" si="13"/>
        <v>0</v>
      </c>
      <c r="BG34" s="104">
        <f ca="1">AG$59-$BF34</f>
        <v>0</v>
      </c>
      <c r="BH34" s="47" t="e">
        <f ca="1" t="shared" si="14"/>
        <v>#REF!</v>
      </c>
      <c r="BI34" s="105"/>
      <c r="BJ34" s="105" t="e">
        <f>#REF!</f>
        <v>#REF!</v>
      </c>
      <c r="BK34" s="108" t="e">
        <f ca="1" t="shared" si="19"/>
        <v>#REF!</v>
      </c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</row>
    <row r="35" s="4" customFormat="1" ht="16.5" customHeight="1" spans="1:79">
      <c r="A35" s="45" t="s">
        <v>8388</v>
      </c>
      <c r="B35" s="45" t="s">
        <v>8389</v>
      </c>
      <c r="C35" s="46" t="s">
        <v>165</v>
      </c>
      <c r="D35" s="47" t="e">
        <f>+#REF!</f>
        <v>#REF!</v>
      </c>
      <c r="E35" s="42">
        <f ca="1" t="shared" si="15"/>
        <v>0</v>
      </c>
      <c r="F35" s="52">
        <f ca="1" t="shared" si="9"/>
        <v>0</v>
      </c>
      <c r="G35" s="50">
        <f ca="1">+GETPIVOTDATA("XQT4",'quangthanh (2016)'!$A$3,"MA_HT","DGD","MA_QH","LUC")</f>
        <v>0</v>
      </c>
      <c r="H35" s="50">
        <f ca="1">+GETPIVOTDATA("XQT4",'quangthanh (2016)'!$A$3,"MA_HT","DGD","MA_QH","LUK")</f>
        <v>0</v>
      </c>
      <c r="I35" s="50">
        <f ca="1">+GETPIVOTDATA("XQT4",'quangthanh (2016)'!$A$3,"MA_HT","DGD","MA_QH","LUN")</f>
        <v>0</v>
      </c>
      <c r="J35" s="50">
        <f ca="1">+GETPIVOTDATA("XQT4",'quangthanh (2016)'!$A$3,"MA_HT","DGD","MA_QH","HNK")</f>
        <v>0</v>
      </c>
      <c r="K35" s="50">
        <f ca="1">+GETPIVOTDATA("XQT4",'quangthanh (2016)'!$A$3,"MA_HT","DGD","MA_QH","CLN")</f>
        <v>0</v>
      </c>
      <c r="L35" s="50">
        <f ca="1">+GETPIVOTDATA("XQT4",'quangthanh (2016)'!$A$3,"MA_HT","DGD","MA_QH","RSX")</f>
        <v>0</v>
      </c>
      <c r="M35" s="50">
        <f ca="1">+GETPIVOTDATA("XQT4",'quangthanh (2016)'!$A$3,"MA_HT","DGD","MA_QH","RPH")</f>
        <v>0</v>
      </c>
      <c r="N35" s="50">
        <f ca="1">+GETPIVOTDATA("XQT4",'quangthanh (2016)'!$A$3,"MA_HT","DGD","MA_QH","RDD")</f>
        <v>0</v>
      </c>
      <c r="O35" s="50">
        <f ca="1">+GETPIVOTDATA("XQT4",'quangthanh (2016)'!$A$3,"MA_HT","DGD","MA_QH","NTS")</f>
        <v>0</v>
      </c>
      <c r="P35" s="50">
        <f ca="1">+GETPIVOTDATA("XQT4",'quangthanh (2016)'!$A$3,"MA_HT","DGD","MA_QH","LMU")</f>
        <v>0</v>
      </c>
      <c r="Q35" s="50">
        <f ca="1">+GETPIVOTDATA("XQT4",'quangthanh (2016)'!$A$3,"MA_HT","DGD","MA_QH","NKH")</f>
        <v>0</v>
      </c>
      <c r="R35" s="48">
        <f ca="1" t="shared" si="20"/>
        <v>0</v>
      </c>
      <c r="S35" s="50">
        <f ca="1">+GETPIVOTDATA("XQT4",'quangthanh (2016)'!$A$3,"MA_HT","DGD","MA_QH","CQP")</f>
        <v>0</v>
      </c>
      <c r="T35" s="50">
        <f ca="1">+GETPIVOTDATA("XQT4",'quangthanh (2016)'!$A$3,"MA_HT","DGD","MA_QH","CAN")</f>
        <v>0</v>
      </c>
      <c r="U35" s="50">
        <f ca="1">+GETPIVOTDATA("XQT4",'quangthanh (2016)'!$A$3,"MA_HT","DGD","MA_QH","SKK")</f>
        <v>0</v>
      </c>
      <c r="V35" s="50">
        <f ca="1">+GETPIVOTDATA("XQT4",'quangthanh (2016)'!$A$3,"MA_HT","DGD","MA_QH","SKT")</f>
        <v>0</v>
      </c>
      <c r="W35" s="50">
        <f ca="1">+GETPIVOTDATA("XQT4",'quangthanh (2016)'!$A$3,"MA_HT","DGD","MA_QH","SKN")</f>
        <v>0</v>
      </c>
      <c r="X35" s="50">
        <f ca="1">+GETPIVOTDATA("XQT4",'quangthanh (2016)'!$A$3,"MA_HT","DGD","MA_QH","TMD")</f>
        <v>0</v>
      </c>
      <c r="Y35" s="50">
        <f ca="1">+GETPIVOTDATA("XQT4",'quangthanh (2016)'!$A$3,"MA_HT","DGD","MA_QH","SKC")</f>
        <v>0</v>
      </c>
      <c r="Z35" s="50">
        <f ca="1">+GETPIVOTDATA("XQT4",'quangthanh (2016)'!$A$3,"MA_HT","DGD","MA_QH","SKS")</f>
        <v>0</v>
      </c>
      <c r="AA35" s="52">
        <f ca="1">+SUM(AB35:AG35,AI35:AM35)</f>
        <v>0</v>
      </c>
      <c r="AB35" s="50">
        <f ca="1">+GETPIVOTDATA("XQT4",'quangthanh (2016)'!$A$3,"MA_HT","DGD","MA_QH","DGT")</f>
        <v>0</v>
      </c>
      <c r="AC35" s="50">
        <f ca="1">+GETPIVOTDATA("XQT4",'quangthanh (2016)'!$A$3,"MA_HT","DGD","MA_QH","DTL")</f>
        <v>0</v>
      </c>
      <c r="AD35" s="50">
        <f ca="1">+GETPIVOTDATA("XQT4",'quangthanh (2016)'!$A$3,"MA_HT","DGD","MA_QH","DNL")</f>
        <v>0</v>
      </c>
      <c r="AE35" s="50">
        <f ca="1">+GETPIVOTDATA("XQT4",'quangthanh (2016)'!$A$3,"MA_HT","DGD","MA_QH","DBV")</f>
        <v>0</v>
      </c>
      <c r="AF35" s="50">
        <f ca="1">+GETPIVOTDATA("XQT4",'quangthanh (2016)'!$A$3,"MA_HT","DGD","MA_QH","DVH")</f>
        <v>0</v>
      </c>
      <c r="AG35" s="50">
        <f ca="1">+GETPIVOTDATA("XQT4",'quangthanh (2016)'!$A$3,"MA_HT","DGD","MA_QH","DYT")</f>
        <v>0</v>
      </c>
      <c r="AH35" s="49" t="e">
        <f ca="1">$D35-$BF35</f>
        <v>#REF!</v>
      </c>
      <c r="AI35" s="50">
        <f ca="1">+GETPIVOTDATA("XQT4",'quangthanh (2016)'!$A$3,"MA_HT","DGD","MA_QH","DTT")</f>
        <v>0</v>
      </c>
      <c r="AJ35" s="50">
        <f ca="1">+GETPIVOTDATA("XQT4",'quangthanh (2016)'!$A$3,"MA_HT","DGD","MA_QH","NCK")</f>
        <v>0</v>
      </c>
      <c r="AK35" s="50">
        <f ca="1">+GETPIVOTDATA("XQT4",'quangthanh (2016)'!$A$3,"MA_HT","DGD","MA_QH","DXH")</f>
        <v>0</v>
      </c>
      <c r="AL35" s="50">
        <f ca="1">+GETPIVOTDATA("XQT4",'quangthanh (2016)'!$A$3,"MA_HT","DGD","MA_QH","DCH")</f>
        <v>0</v>
      </c>
      <c r="AM35" s="50">
        <f ca="1">+GETPIVOTDATA("XQT4",'quangthanh (2016)'!$A$3,"MA_HT","DGD","MA_QH","DKG")</f>
        <v>0</v>
      </c>
      <c r="AN35" s="50">
        <f ca="1">+GETPIVOTDATA("XQT4",'quangthanh (2016)'!$A$3,"MA_HT","DGD","MA_QH","DDT")</f>
        <v>0</v>
      </c>
      <c r="AO35" s="50">
        <f ca="1">+GETPIVOTDATA("XQT4",'quangthanh (2016)'!$A$3,"MA_HT","DGD","MA_QH","DDL")</f>
        <v>0</v>
      </c>
      <c r="AP35" s="50">
        <f ca="1">+GETPIVOTDATA("XQT4",'quangthanh (2016)'!$A$3,"MA_HT","DGD","MA_QH","DRA")</f>
        <v>0</v>
      </c>
      <c r="AQ35" s="50">
        <f ca="1">+GETPIVOTDATA("XQT4",'quangthanh (2016)'!$A$3,"MA_HT","DGD","MA_QH","ONT")</f>
        <v>0</v>
      </c>
      <c r="AR35" s="50">
        <f ca="1">+GETPIVOTDATA("XQT4",'quangthanh (2016)'!$A$3,"MA_HT","DGD","MA_QH","ODT")</f>
        <v>0</v>
      </c>
      <c r="AS35" s="50">
        <f ca="1">+GETPIVOTDATA("XQT4",'quangthanh (2016)'!$A$3,"MA_HT","DGD","MA_QH","TSC")</f>
        <v>0</v>
      </c>
      <c r="AT35" s="50">
        <f ca="1">+GETPIVOTDATA("XQT4",'quangthanh (2016)'!$A$3,"MA_HT","DGD","MA_QH","DTS")</f>
        <v>0</v>
      </c>
      <c r="AU35" s="50">
        <f ca="1">+GETPIVOTDATA("XQT4",'quangthanh (2016)'!$A$3,"MA_HT","DGD","MA_QH","DNG")</f>
        <v>0</v>
      </c>
      <c r="AV35" s="50">
        <f ca="1">+GETPIVOTDATA("XQT4",'quangthanh (2016)'!$A$3,"MA_HT","DGD","MA_QH","TON")</f>
        <v>0</v>
      </c>
      <c r="AW35" s="50">
        <f ca="1">+GETPIVOTDATA("XQT4",'quangthanh (2016)'!$A$3,"MA_HT","DGD","MA_QH","NTD")</f>
        <v>0</v>
      </c>
      <c r="AX35" s="50">
        <f ca="1">+GETPIVOTDATA("XQT4",'quangthanh (2016)'!$A$3,"MA_HT","DGD","MA_QH","SKX")</f>
        <v>0</v>
      </c>
      <c r="AY35" s="50">
        <f ca="1">+GETPIVOTDATA("XQT4",'quangthanh (2016)'!$A$3,"MA_HT","DGD","MA_QH","DSH")</f>
        <v>0</v>
      </c>
      <c r="AZ35" s="50">
        <f ca="1">+GETPIVOTDATA("XQT4",'quangthanh (2016)'!$A$3,"MA_HT","DGD","MA_QH","DKV")</f>
        <v>0</v>
      </c>
      <c r="BA35" s="88">
        <f ca="1">+GETPIVOTDATA("XQT4",'quangthanh (2016)'!$A$3,"MA_HT","DGD","MA_QH","TIN")</f>
        <v>0</v>
      </c>
      <c r="BB35" s="50">
        <f ca="1">+GETPIVOTDATA("XQT4",'quangthanh (2016)'!$A$3,"MA_HT","DGD","MA_QH","SON")</f>
        <v>0</v>
      </c>
      <c r="BC35" s="50">
        <f ca="1">+GETPIVOTDATA("XQT4",'quangthanh (2016)'!$A$3,"MA_HT","DGD","MA_QH","MNC")</f>
        <v>0</v>
      </c>
      <c r="BD35" s="50">
        <f ca="1">+GETPIVOTDATA("XQT4",'quangthanh (2016)'!$A$3,"MA_HT","DGD","MA_QH","PNK")</f>
        <v>0</v>
      </c>
      <c r="BE35" s="80">
        <f ca="1">+GETPIVOTDATA("XQT4",'quangthanh (2016)'!$A$3,"MA_HT","DGD","MA_QH","CSD")</f>
        <v>0</v>
      </c>
      <c r="BF35" s="103">
        <f ca="1" t="shared" si="13"/>
        <v>0</v>
      </c>
      <c r="BG35" s="104">
        <f ca="1">AH$59-$BF35</f>
        <v>0</v>
      </c>
      <c r="BH35" s="47" t="e">
        <f ca="1" t="shared" si="14"/>
        <v>#REF!</v>
      </c>
      <c r="BI35" s="105"/>
      <c r="BJ35" s="105" t="e">
        <f>#REF!</f>
        <v>#REF!</v>
      </c>
      <c r="BK35" s="108" t="e">
        <f ca="1" t="shared" si="19"/>
        <v>#REF!</v>
      </c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</row>
    <row r="36" s="4" customFormat="1" ht="16.5" customHeight="1" spans="1:79">
      <c r="A36" s="45" t="s">
        <v>8390</v>
      </c>
      <c r="B36" s="45" t="s">
        <v>8391</v>
      </c>
      <c r="C36" s="46" t="s">
        <v>8294</v>
      </c>
      <c r="D36" s="47" t="e">
        <f>+#REF!</f>
        <v>#REF!</v>
      </c>
      <c r="E36" s="42">
        <f ca="1" t="shared" si="15"/>
        <v>0</v>
      </c>
      <c r="F36" s="52">
        <f ca="1" t="shared" si="9"/>
        <v>0</v>
      </c>
      <c r="G36" s="50">
        <f ca="1">+GETPIVOTDATA("XQT4",'quangthanh (2016)'!$A$3,"MA_HT","DTT","MA_QH","LUC")</f>
        <v>0</v>
      </c>
      <c r="H36" s="50">
        <f ca="1">+GETPIVOTDATA("XQT4",'quangthanh (2016)'!$A$3,"MA_HT","DTT","MA_QH","LUK")</f>
        <v>0</v>
      </c>
      <c r="I36" s="50">
        <f ca="1">+GETPIVOTDATA("XQT4",'quangthanh (2016)'!$A$3,"MA_HT","DTT","MA_QH","LUN")</f>
        <v>0</v>
      </c>
      <c r="J36" s="50">
        <f ca="1">+GETPIVOTDATA("XQT4",'quangthanh (2016)'!$A$3,"MA_HT","DTT","MA_QH","HNK")</f>
        <v>0</v>
      </c>
      <c r="K36" s="50">
        <f ca="1">+GETPIVOTDATA("XQT4",'quangthanh (2016)'!$A$3,"MA_HT","DTT","MA_QH","CLN")</f>
        <v>0</v>
      </c>
      <c r="L36" s="50">
        <f ca="1">+GETPIVOTDATA("XQT4",'quangthanh (2016)'!$A$3,"MA_HT","DTT","MA_QH","RSX")</f>
        <v>0</v>
      </c>
      <c r="M36" s="50">
        <f ca="1">+GETPIVOTDATA("XQT4",'quangthanh (2016)'!$A$3,"MA_HT","DTT","MA_QH","RPH")</f>
        <v>0</v>
      </c>
      <c r="N36" s="50">
        <f ca="1">+GETPIVOTDATA("XQT4",'quangthanh (2016)'!$A$3,"MA_HT","DTT","MA_QH","RDD")</f>
        <v>0</v>
      </c>
      <c r="O36" s="50">
        <f ca="1">+GETPIVOTDATA("XQT4",'quangthanh (2016)'!$A$3,"MA_HT","DTT","MA_QH","NTS")</f>
        <v>0</v>
      </c>
      <c r="P36" s="50">
        <f ca="1">+GETPIVOTDATA("XQT4",'quangthanh (2016)'!$A$3,"MA_HT","DTT","MA_QH","LMU")</f>
        <v>0</v>
      </c>
      <c r="Q36" s="50">
        <f ca="1">+GETPIVOTDATA("XQT4",'quangthanh (2016)'!$A$3,"MA_HT","DTT","MA_QH","NKH")</f>
        <v>0</v>
      </c>
      <c r="R36" s="48">
        <f ca="1" t="shared" si="20"/>
        <v>0</v>
      </c>
      <c r="S36" s="50">
        <f ca="1">+GETPIVOTDATA("XQT4",'quangthanh (2016)'!$A$3,"MA_HT","DTT","MA_QH","CQP")</f>
        <v>0</v>
      </c>
      <c r="T36" s="50">
        <f ca="1">+GETPIVOTDATA("XQT4",'quangthanh (2016)'!$A$3,"MA_HT","DTT","MA_QH","CAN")</f>
        <v>0</v>
      </c>
      <c r="U36" s="50">
        <f ca="1">+GETPIVOTDATA("XQT4",'quangthanh (2016)'!$A$3,"MA_HT","DTT","MA_QH","SKK")</f>
        <v>0</v>
      </c>
      <c r="V36" s="50">
        <f ca="1">+GETPIVOTDATA("XQT4",'quangthanh (2016)'!$A$3,"MA_HT","DTT","MA_QH","SKT")</f>
        <v>0</v>
      </c>
      <c r="W36" s="50">
        <f ca="1">+GETPIVOTDATA("XQT4",'quangthanh (2016)'!$A$3,"MA_HT","DTT","MA_QH","SKN")</f>
        <v>0</v>
      </c>
      <c r="X36" s="50">
        <f ca="1">+GETPIVOTDATA("XQT4",'quangthanh (2016)'!$A$3,"MA_HT","DTT","MA_QH","TMD")</f>
        <v>0</v>
      </c>
      <c r="Y36" s="50">
        <f ca="1">+GETPIVOTDATA("XQT4",'quangthanh (2016)'!$A$3,"MA_HT","DTT","MA_QH","SKC")</f>
        <v>0</v>
      </c>
      <c r="Z36" s="50">
        <f ca="1">+GETPIVOTDATA("XQT4",'quangthanh (2016)'!$A$3,"MA_HT","DTT","MA_QH","SKS")</f>
        <v>0</v>
      </c>
      <c r="AA36" s="52">
        <f ca="1">+SUM(AB36:AH36,AJ36:AM36)</f>
        <v>0</v>
      </c>
      <c r="AB36" s="50">
        <f ca="1">+GETPIVOTDATA("XQT4",'quangthanh (2016)'!$A$3,"MA_HT","DTT","MA_QH","DGT")</f>
        <v>0</v>
      </c>
      <c r="AC36" s="50">
        <f ca="1">+GETPIVOTDATA("XQT4",'quangthanh (2016)'!$A$3,"MA_HT","DTT","MA_QH","DTL")</f>
        <v>0</v>
      </c>
      <c r="AD36" s="50">
        <f ca="1">+GETPIVOTDATA("XQT4",'quangthanh (2016)'!$A$3,"MA_HT","DTT","MA_QH","DNL")</f>
        <v>0</v>
      </c>
      <c r="AE36" s="50">
        <f ca="1">+GETPIVOTDATA("XQT4",'quangthanh (2016)'!$A$3,"MA_HT","DTT","MA_QH","DBV")</f>
        <v>0</v>
      </c>
      <c r="AF36" s="50">
        <f ca="1">+GETPIVOTDATA("XQT4",'quangthanh (2016)'!$A$3,"MA_HT","DTT","MA_QH","DVH")</f>
        <v>0</v>
      </c>
      <c r="AG36" s="50">
        <f ca="1">+GETPIVOTDATA("XQT4",'quangthanh (2016)'!$A$3,"MA_HT","DTT","MA_QH","DYT")</f>
        <v>0</v>
      </c>
      <c r="AH36" s="50">
        <f ca="1">+GETPIVOTDATA("XQT4",'quangthanh (2016)'!$A$3,"MA_HT","DTT","MA_QH","DGD")</f>
        <v>0</v>
      </c>
      <c r="AI36" s="49" t="e">
        <f ca="1">$D36-$BF36</f>
        <v>#REF!</v>
      </c>
      <c r="AJ36" s="50">
        <f ca="1">+GETPIVOTDATA("XQT4",'quangthanh (2016)'!$A$3,"MA_HT","DTT","MA_QH","NCK")</f>
        <v>0</v>
      </c>
      <c r="AK36" s="50">
        <f ca="1">+GETPIVOTDATA("XQT4",'quangthanh (2016)'!$A$3,"MA_HT","DTT","MA_QH","DXH")</f>
        <v>0</v>
      </c>
      <c r="AL36" s="50">
        <f ca="1">+GETPIVOTDATA("XQT4",'quangthanh (2016)'!$A$3,"MA_HT","DTT","MA_QH","DCH")</f>
        <v>0</v>
      </c>
      <c r="AM36" s="50">
        <f ca="1">+GETPIVOTDATA("XQT4",'quangthanh (2016)'!$A$3,"MA_HT","DTT","MA_QH","DKG")</f>
        <v>0</v>
      </c>
      <c r="AN36" s="50">
        <f ca="1">+GETPIVOTDATA("XQT4",'quangthanh (2016)'!$A$3,"MA_HT","DTT","MA_QH","DDT")</f>
        <v>0</v>
      </c>
      <c r="AO36" s="50">
        <f ca="1">+GETPIVOTDATA("XQT4",'quangthanh (2016)'!$A$3,"MA_HT","DTT","MA_QH","DDL")</f>
        <v>0</v>
      </c>
      <c r="AP36" s="50">
        <f ca="1">+GETPIVOTDATA("XQT4",'quangthanh (2016)'!$A$3,"MA_HT","DTT","MA_QH","DRA")</f>
        <v>0</v>
      </c>
      <c r="AQ36" s="50">
        <f ca="1">+GETPIVOTDATA("XQT4",'quangthanh (2016)'!$A$3,"MA_HT","DTT","MA_QH","ONT")</f>
        <v>0</v>
      </c>
      <c r="AR36" s="50">
        <f ca="1">+GETPIVOTDATA("XQT4",'quangthanh (2016)'!$A$3,"MA_HT","DTT","MA_QH","ODT")</f>
        <v>0</v>
      </c>
      <c r="AS36" s="50">
        <f ca="1">+GETPIVOTDATA("XQT4",'quangthanh (2016)'!$A$3,"MA_HT","DTT","MA_QH","TSC")</f>
        <v>0</v>
      </c>
      <c r="AT36" s="50">
        <f ca="1">+GETPIVOTDATA("XQT4",'quangthanh (2016)'!$A$3,"MA_HT","DTT","MA_QH","DTS")</f>
        <v>0</v>
      </c>
      <c r="AU36" s="50">
        <f ca="1">+GETPIVOTDATA("XQT4",'quangthanh (2016)'!$A$3,"MA_HT","DTT","MA_QH","DNG")</f>
        <v>0</v>
      </c>
      <c r="AV36" s="50">
        <f ca="1">+GETPIVOTDATA("XQT4",'quangthanh (2016)'!$A$3,"MA_HT","DTT","MA_QH","TON")</f>
        <v>0</v>
      </c>
      <c r="AW36" s="50">
        <f ca="1">+GETPIVOTDATA("XQT4",'quangthanh (2016)'!$A$3,"MA_HT","DTT","MA_QH","NTD")</f>
        <v>0</v>
      </c>
      <c r="AX36" s="50">
        <f ca="1">+GETPIVOTDATA("XQT4",'quangthanh (2016)'!$A$3,"MA_HT","DTT","MA_QH","SKX")</f>
        <v>0</v>
      </c>
      <c r="AY36" s="50">
        <f ca="1">+GETPIVOTDATA("XQT4",'quangthanh (2016)'!$A$3,"MA_HT","DTT","MA_QH","DSH")</f>
        <v>0</v>
      </c>
      <c r="AZ36" s="50">
        <f ca="1">+GETPIVOTDATA("XQT4",'quangthanh (2016)'!$A$3,"MA_HT","DTT","MA_QH","DKV")</f>
        <v>0</v>
      </c>
      <c r="BA36" s="88">
        <f ca="1">+GETPIVOTDATA("XQT4",'quangthanh (2016)'!$A$3,"MA_HT","DTT","MA_QH","TIN")</f>
        <v>0</v>
      </c>
      <c r="BB36" s="50">
        <f ca="1">+GETPIVOTDATA("XQT4",'quangthanh (2016)'!$A$3,"MA_HT","DTT","MA_QH","SON")</f>
        <v>0</v>
      </c>
      <c r="BC36" s="50">
        <f ca="1">+GETPIVOTDATA("XQT4",'quangthanh (2016)'!$A$3,"MA_HT","DTT","MA_QH","MNC")</f>
        <v>0</v>
      </c>
      <c r="BD36" s="50">
        <f ca="1">+GETPIVOTDATA("XQT4",'quangthanh (2016)'!$A$3,"MA_HT","DTT","MA_QH","PNK")</f>
        <v>0</v>
      </c>
      <c r="BE36" s="80">
        <f ca="1">+GETPIVOTDATA("XQT4",'quangthanh (2016)'!$A$3,"MA_HT","DTT","MA_QH","CSD")</f>
        <v>0</v>
      </c>
      <c r="BF36" s="103">
        <f ca="1" t="shared" si="13"/>
        <v>0</v>
      </c>
      <c r="BG36" s="104">
        <f ca="1">AI$59-$BF36</f>
        <v>0</v>
      </c>
      <c r="BH36" s="47" t="e">
        <f ca="1" t="shared" si="14"/>
        <v>#REF!</v>
      </c>
      <c r="BI36" s="105"/>
      <c r="BJ36" s="105" t="e">
        <f>#REF!</f>
        <v>#REF!</v>
      </c>
      <c r="BK36" s="108" t="e">
        <f ca="1" t="shared" si="19"/>
        <v>#REF!</v>
      </c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</row>
    <row r="37" s="4" customFormat="1" ht="16.5" customHeight="1" spans="1:79">
      <c r="A37" s="45" t="s">
        <v>8392</v>
      </c>
      <c r="B37" s="45" t="s">
        <v>8393</v>
      </c>
      <c r="C37" s="46" t="s">
        <v>8302</v>
      </c>
      <c r="D37" s="47" t="e">
        <f>+#REF!</f>
        <v>#REF!</v>
      </c>
      <c r="E37" s="42">
        <f ca="1" t="shared" si="15"/>
        <v>0</v>
      </c>
      <c r="F37" s="52">
        <f ca="1" t="shared" si="9"/>
        <v>0</v>
      </c>
      <c r="G37" s="50">
        <f ca="1">+GETPIVOTDATA("XQT4",'quangthanh (2016)'!$A$3,"MA_HT","NCK","MA_QH","LUC")</f>
        <v>0</v>
      </c>
      <c r="H37" s="50">
        <f ca="1">+GETPIVOTDATA("XQT4",'quangthanh (2016)'!$A$3,"MA_HT","NCK","MA_QH","LUK")</f>
        <v>0</v>
      </c>
      <c r="I37" s="50">
        <f ca="1">+GETPIVOTDATA("XQT4",'quangthanh (2016)'!$A$3,"MA_HT","NCK","MA_QH","LUN")</f>
        <v>0</v>
      </c>
      <c r="J37" s="50">
        <f ca="1">+GETPIVOTDATA("XQT4",'quangthanh (2016)'!$A$3,"MA_HT","NCK","MA_QH","HNK")</f>
        <v>0</v>
      </c>
      <c r="K37" s="50">
        <f ca="1">+GETPIVOTDATA("XQT4",'quangthanh (2016)'!$A$3,"MA_HT","NCK","MA_QH","CLN")</f>
        <v>0</v>
      </c>
      <c r="L37" s="50">
        <f ca="1">+GETPIVOTDATA("XQT4",'quangthanh (2016)'!$A$3,"MA_HT","NCK","MA_QH","RSX")</f>
        <v>0</v>
      </c>
      <c r="M37" s="50">
        <f ca="1">+GETPIVOTDATA("XQT4",'quangthanh (2016)'!$A$3,"MA_HT","NCK","MA_QH","RPH")</f>
        <v>0</v>
      </c>
      <c r="N37" s="50">
        <f ca="1">+GETPIVOTDATA("XQT4",'quangthanh (2016)'!$A$3,"MA_HT","NCK","MA_QH","RDD")</f>
        <v>0</v>
      </c>
      <c r="O37" s="50">
        <f ca="1">+GETPIVOTDATA("XQT4",'quangthanh (2016)'!$A$3,"MA_HT","NCK","MA_QH","NTS")</f>
        <v>0</v>
      </c>
      <c r="P37" s="50">
        <f ca="1">+GETPIVOTDATA("XQT4",'quangthanh (2016)'!$A$3,"MA_HT","NCK","MA_QH","LMU")</f>
        <v>0</v>
      </c>
      <c r="Q37" s="50">
        <f ca="1">+GETPIVOTDATA("XQT4",'quangthanh (2016)'!$A$3,"MA_HT","NCK","MA_QH","NKH")</f>
        <v>0</v>
      </c>
      <c r="R37" s="48">
        <f ca="1" t="shared" si="20"/>
        <v>0</v>
      </c>
      <c r="S37" s="50">
        <f ca="1">+GETPIVOTDATA("XQT4",'quangthanh (2016)'!$A$3,"MA_HT","NCK","MA_QH","CQP")</f>
        <v>0</v>
      </c>
      <c r="T37" s="50">
        <f ca="1">+GETPIVOTDATA("XQT4",'quangthanh (2016)'!$A$3,"MA_HT","NCK","MA_QH","CAN")</f>
        <v>0</v>
      </c>
      <c r="U37" s="50">
        <f ca="1">+GETPIVOTDATA("XQT4",'quangthanh (2016)'!$A$3,"MA_HT","NCK","MA_QH","SKK")</f>
        <v>0</v>
      </c>
      <c r="V37" s="50">
        <f ca="1">+GETPIVOTDATA("XQT4",'quangthanh (2016)'!$A$3,"MA_HT","NCK","MA_QH","SKT")</f>
        <v>0</v>
      </c>
      <c r="W37" s="50">
        <f ca="1">+GETPIVOTDATA("XQT4",'quangthanh (2016)'!$A$3,"MA_HT","NCK","MA_QH","SKN")</f>
        <v>0</v>
      </c>
      <c r="X37" s="50">
        <f ca="1">+GETPIVOTDATA("XQT4",'quangthanh (2016)'!$A$3,"MA_HT","NCK","MA_QH","TMD")</f>
        <v>0</v>
      </c>
      <c r="Y37" s="50">
        <f ca="1">+GETPIVOTDATA("XQT4",'quangthanh (2016)'!$A$3,"MA_HT","NCK","MA_QH","SKC")</f>
        <v>0</v>
      </c>
      <c r="Z37" s="50">
        <f ca="1">+GETPIVOTDATA("XQT4",'quangthanh (2016)'!$A$3,"MA_HT","NCK","MA_QH","SKS")</f>
        <v>0</v>
      </c>
      <c r="AA37" s="52">
        <f ca="1">+SUM(AB37:AI37,AK37:AM37)</f>
        <v>0</v>
      </c>
      <c r="AB37" s="50">
        <f ca="1">+GETPIVOTDATA("XQT4",'quangthanh (2016)'!$A$3,"MA_HT","NCK","MA_QH","DGT")</f>
        <v>0</v>
      </c>
      <c r="AC37" s="50">
        <f ca="1">+GETPIVOTDATA("XQT4",'quangthanh (2016)'!$A$3,"MA_HT","NCK","MA_QH","DTL")</f>
        <v>0</v>
      </c>
      <c r="AD37" s="50">
        <f ca="1">+GETPIVOTDATA("XQT4",'quangthanh (2016)'!$A$3,"MA_HT","NCK","MA_QH","DNL")</f>
        <v>0</v>
      </c>
      <c r="AE37" s="50">
        <f ca="1">+GETPIVOTDATA("XQT4",'quangthanh (2016)'!$A$3,"MA_HT","NCK","MA_QH","DBV")</f>
        <v>0</v>
      </c>
      <c r="AF37" s="50">
        <f ca="1">+GETPIVOTDATA("XQT4",'quangthanh (2016)'!$A$3,"MA_HT","NCK","MA_QH","DVH")</f>
        <v>0</v>
      </c>
      <c r="AG37" s="50">
        <f ca="1">+GETPIVOTDATA("XQT4",'quangthanh (2016)'!$A$3,"MA_HT","NCK","MA_QH","DYT")</f>
        <v>0</v>
      </c>
      <c r="AH37" s="50">
        <f ca="1">+GETPIVOTDATA("XQT4",'quangthanh (2016)'!$A$3,"MA_HT","NCK","MA_QH","DGD")</f>
        <v>0</v>
      </c>
      <c r="AI37" s="50">
        <f ca="1">+GETPIVOTDATA("XQT4",'quangthanh (2016)'!$A$3,"MA_HT","NCK","MA_QH","DTT")</f>
        <v>0</v>
      </c>
      <c r="AJ37" s="49" t="e">
        <f ca="1">$D37-$BF37</f>
        <v>#REF!</v>
      </c>
      <c r="AK37" s="50">
        <f ca="1">+GETPIVOTDATA("XQT4",'quangthanh (2016)'!$A$3,"MA_HT","NCK","MA_QH","DXH")</f>
        <v>0</v>
      </c>
      <c r="AL37" s="50">
        <f ca="1">+GETPIVOTDATA("XQT4",'quangthanh (2016)'!$A$3,"MA_HT","NCK","MA_QH","DCH")</f>
        <v>0</v>
      </c>
      <c r="AM37" s="50">
        <f ca="1">+GETPIVOTDATA("XQT4",'quangthanh (2016)'!$A$3,"MA_HT","NCK","MA_QH","DKG")</f>
        <v>0</v>
      </c>
      <c r="AN37" s="50">
        <f ca="1">+GETPIVOTDATA("XQT4",'quangthanh (2016)'!$A$3,"MA_HT","NCK","MA_QH","DDT")</f>
        <v>0</v>
      </c>
      <c r="AO37" s="50">
        <f ca="1">+GETPIVOTDATA("XQT4",'quangthanh (2016)'!$A$3,"MA_HT","NCK","MA_QH","DDL")</f>
        <v>0</v>
      </c>
      <c r="AP37" s="50">
        <f ca="1">+GETPIVOTDATA("XQT4",'quangthanh (2016)'!$A$3,"MA_HT","NCK","MA_QH","DRA")</f>
        <v>0</v>
      </c>
      <c r="AQ37" s="50">
        <f ca="1">+GETPIVOTDATA("XQT4",'quangthanh (2016)'!$A$3,"MA_HT","NCK","MA_QH","ONT")</f>
        <v>0</v>
      </c>
      <c r="AR37" s="50">
        <f ca="1">+GETPIVOTDATA("XQT4",'quangthanh (2016)'!$A$3,"MA_HT","NCK","MA_QH","ODT")</f>
        <v>0</v>
      </c>
      <c r="AS37" s="50">
        <f ca="1">+GETPIVOTDATA("XQT4",'quangthanh (2016)'!$A$3,"MA_HT","NCK","MA_QH","TSC")</f>
        <v>0</v>
      </c>
      <c r="AT37" s="50">
        <f ca="1">+GETPIVOTDATA("XQT4",'quangthanh (2016)'!$A$3,"MA_HT","NCK","MA_QH","DTS")</f>
        <v>0</v>
      </c>
      <c r="AU37" s="50">
        <f ca="1">+GETPIVOTDATA("XQT4",'quangthanh (2016)'!$A$3,"MA_HT","NCK","MA_QH","DNG")</f>
        <v>0</v>
      </c>
      <c r="AV37" s="50">
        <f ca="1">+GETPIVOTDATA("XQT4",'quangthanh (2016)'!$A$3,"MA_HT","NCK","MA_QH","TON")</f>
        <v>0</v>
      </c>
      <c r="AW37" s="50">
        <f ca="1">+GETPIVOTDATA("XQT4",'quangthanh (2016)'!$A$3,"MA_HT","NCK","MA_QH","NTD")</f>
        <v>0</v>
      </c>
      <c r="AX37" s="50">
        <f ca="1">+GETPIVOTDATA("XQT4",'quangthanh (2016)'!$A$3,"MA_HT","NCK","MA_QH","SKX")</f>
        <v>0</v>
      </c>
      <c r="AY37" s="50">
        <f ca="1">+GETPIVOTDATA("XQT4",'quangthanh (2016)'!$A$3,"MA_HT","NCK","MA_QH","DSH")</f>
        <v>0</v>
      </c>
      <c r="AZ37" s="50">
        <f ca="1">+GETPIVOTDATA("XQT4",'quangthanh (2016)'!$A$3,"MA_HT","NCK","MA_QH","DKV")</f>
        <v>0</v>
      </c>
      <c r="BA37" s="88">
        <f ca="1">+GETPIVOTDATA("XQT4",'quangthanh (2016)'!$A$3,"MA_HT","NCK","MA_QH","TIN")</f>
        <v>0</v>
      </c>
      <c r="BB37" s="50">
        <f ca="1">+GETPIVOTDATA("XQT4",'quangthanh (2016)'!$A$3,"MA_HT","NCK","MA_QH","SON")</f>
        <v>0</v>
      </c>
      <c r="BC37" s="50">
        <f ca="1">+GETPIVOTDATA("XQT4",'quangthanh (2016)'!$A$3,"MA_HT","NCK","MA_QH","MNC")</f>
        <v>0</v>
      </c>
      <c r="BD37" s="50">
        <f ca="1">+GETPIVOTDATA("XQT4",'quangthanh (2016)'!$A$3,"MA_HT","NCK","MA_QH","PNK")</f>
        <v>0</v>
      </c>
      <c r="BE37" s="80">
        <f ca="1">+GETPIVOTDATA("XQT4",'quangthanh (2016)'!$A$3,"MA_HT","NCK","MA_QH","CSD")</f>
        <v>0</v>
      </c>
      <c r="BF37" s="103">
        <f ca="1" t="shared" si="13"/>
        <v>0</v>
      </c>
      <c r="BG37" s="104">
        <f ca="1">AJ$59-$BF37</f>
        <v>0</v>
      </c>
      <c r="BH37" s="47" t="e">
        <f ca="1" t="shared" si="14"/>
        <v>#REF!</v>
      </c>
      <c r="BI37" s="105"/>
      <c r="BJ37" s="105" t="e">
        <f>#REF!</f>
        <v>#REF!</v>
      </c>
      <c r="BK37" s="108" t="e">
        <f ca="1" t="shared" si="19"/>
        <v>#REF!</v>
      </c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</row>
    <row r="38" s="4" customFormat="1" ht="16.5" customHeight="1" spans="1:79">
      <c r="A38" s="45" t="s">
        <v>8394</v>
      </c>
      <c r="B38" s="45" t="s">
        <v>8395</v>
      </c>
      <c r="C38" s="46" t="s">
        <v>8295</v>
      </c>
      <c r="D38" s="47" t="e">
        <f>+#REF!</f>
        <v>#REF!</v>
      </c>
      <c r="E38" s="42">
        <f ca="1" t="shared" si="15"/>
        <v>0</v>
      </c>
      <c r="F38" s="52">
        <f ca="1" t="shared" si="9"/>
        <v>0</v>
      </c>
      <c r="G38" s="50">
        <f ca="1">+GETPIVOTDATA("XQT4",'quangthanh (2016)'!$A$3,"MA_HT","DXH","MA_QH","LUC")</f>
        <v>0</v>
      </c>
      <c r="H38" s="50">
        <f ca="1">+GETPIVOTDATA("XQT4",'quangthanh (2016)'!$A$3,"MA_HT","DXH","MA_QH","LUK")</f>
        <v>0</v>
      </c>
      <c r="I38" s="50">
        <f ca="1">+GETPIVOTDATA("XQT4",'quangthanh (2016)'!$A$3,"MA_HT","DXH","MA_QH","LUN")</f>
        <v>0</v>
      </c>
      <c r="J38" s="50">
        <f ca="1">+GETPIVOTDATA("XQT4",'quangthanh (2016)'!$A$3,"MA_HT","DXH","MA_QH","HNK")</f>
        <v>0</v>
      </c>
      <c r="K38" s="50">
        <f ca="1">+GETPIVOTDATA("XQT4",'quangthanh (2016)'!$A$3,"MA_HT","DXH","MA_QH","CLN")</f>
        <v>0</v>
      </c>
      <c r="L38" s="50">
        <f ca="1">+GETPIVOTDATA("XQT4",'quangthanh (2016)'!$A$3,"MA_HT","DXH","MA_QH","RSX")</f>
        <v>0</v>
      </c>
      <c r="M38" s="50">
        <f ca="1">+GETPIVOTDATA("XQT4",'quangthanh (2016)'!$A$3,"MA_HT","DXH","MA_QH","RPH")</f>
        <v>0</v>
      </c>
      <c r="N38" s="50">
        <f ca="1">+GETPIVOTDATA("XQT4",'quangthanh (2016)'!$A$3,"MA_HT","DXH","MA_QH","RDD")</f>
        <v>0</v>
      </c>
      <c r="O38" s="50">
        <f ca="1">+GETPIVOTDATA("XQT4",'quangthanh (2016)'!$A$3,"MA_HT","DXH","MA_QH","NTS")</f>
        <v>0</v>
      </c>
      <c r="P38" s="50">
        <f ca="1">+GETPIVOTDATA("XQT4",'quangthanh (2016)'!$A$3,"MA_HT","DXH","MA_QH","LMU")</f>
        <v>0</v>
      </c>
      <c r="Q38" s="50">
        <f ca="1">+GETPIVOTDATA("XQT4",'quangthanh (2016)'!$A$3,"MA_HT","DXH","MA_QH","NKH")</f>
        <v>0</v>
      </c>
      <c r="R38" s="48">
        <f ca="1" t="shared" si="20"/>
        <v>0</v>
      </c>
      <c r="S38" s="50">
        <f ca="1">+GETPIVOTDATA("XQT4",'quangthanh (2016)'!$A$3,"MA_HT","DXH","MA_QH","CQP")</f>
        <v>0</v>
      </c>
      <c r="T38" s="50">
        <f ca="1">+GETPIVOTDATA("XQT4",'quangthanh (2016)'!$A$3,"MA_HT","DXH","MA_QH","CAN")</f>
        <v>0</v>
      </c>
      <c r="U38" s="50">
        <f ca="1">+GETPIVOTDATA("XQT4",'quangthanh (2016)'!$A$3,"MA_HT","DXH","MA_QH","SKK")</f>
        <v>0</v>
      </c>
      <c r="V38" s="50">
        <f ca="1">+GETPIVOTDATA("XQT4",'quangthanh (2016)'!$A$3,"MA_HT","DXH","MA_QH","SKT")</f>
        <v>0</v>
      </c>
      <c r="W38" s="50">
        <f ca="1">+GETPIVOTDATA("XQT4",'quangthanh (2016)'!$A$3,"MA_HT","DXH","MA_QH","SKN")</f>
        <v>0</v>
      </c>
      <c r="X38" s="50">
        <f ca="1">+GETPIVOTDATA("XQT4",'quangthanh (2016)'!$A$3,"MA_HT","DXH","MA_QH","TMD")</f>
        <v>0</v>
      </c>
      <c r="Y38" s="50">
        <f ca="1">+GETPIVOTDATA("XQT4",'quangthanh (2016)'!$A$3,"MA_HT","DXH","MA_QH","SKC")</f>
        <v>0</v>
      </c>
      <c r="Z38" s="50">
        <f ca="1">+GETPIVOTDATA("XQT4",'quangthanh (2016)'!$A$3,"MA_HT","DXH","MA_QH","SKS")</f>
        <v>0</v>
      </c>
      <c r="AA38" s="52">
        <f ca="1">+SUM(AB38:AJ38,AL38:AM38)</f>
        <v>0</v>
      </c>
      <c r="AB38" s="50">
        <f ca="1">+GETPIVOTDATA("XQT4",'quangthanh (2016)'!$A$3,"MA_HT","DXH","MA_QH","DGT")</f>
        <v>0</v>
      </c>
      <c r="AC38" s="50">
        <f ca="1">+GETPIVOTDATA("XQT4",'quangthanh (2016)'!$A$3,"MA_HT","DXH","MA_QH","DTL")</f>
        <v>0</v>
      </c>
      <c r="AD38" s="50">
        <f ca="1">+GETPIVOTDATA("XQT4",'quangthanh (2016)'!$A$3,"MA_HT","DXH","MA_QH","DNL")</f>
        <v>0</v>
      </c>
      <c r="AE38" s="50">
        <f ca="1">+GETPIVOTDATA("XQT4",'quangthanh (2016)'!$A$3,"MA_HT","DXH","MA_QH","DBV")</f>
        <v>0</v>
      </c>
      <c r="AF38" s="50">
        <f ca="1">+GETPIVOTDATA("XQT4",'quangthanh (2016)'!$A$3,"MA_HT","DXH","MA_QH","DVH")</f>
        <v>0</v>
      </c>
      <c r="AG38" s="50">
        <f ca="1">+GETPIVOTDATA("XQT4",'quangthanh (2016)'!$A$3,"MA_HT","DXH","MA_QH","DYT")</f>
        <v>0</v>
      </c>
      <c r="AH38" s="50">
        <f ca="1">+GETPIVOTDATA("XQT4",'quangthanh (2016)'!$A$3,"MA_HT","DXH","MA_QH","DGD")</f>
        <v>0</v>
      </c>
      <c r="AI38" s="50">
        <f ca="1">+GETPIVOTDATA("XQT4",'quangthanh (2016)'!$A$3,"MA_HT","DXH","MA_QH","DTT")</f>
        <v>0</v>
      </c>
      <c r="AJ38" s="50">
        <f ca="1">+GETPIVOTDATA("XQT4",'quangthanh (2016)'!$A$3,"MA_HT","DXH","MA_QH","NCK")</f>
        <v>0</v>
      </c>
      <c r="AK38" s="49" t="e">
        <f ca="1">$D38-$BF38</f>
        <v>#REF!</v>
      </c>
      <c r="AL38" s="50">
        <f ca="1">+GETPIVOTDATA("XQT4",'quangthanh (2016)'!$A$3,"MA_HT","DXH","MA_QH","DCH")</f>
        <v>0</v>
      </c>
      <c r="AM38" s="50">
        <f ca="1">+GETPIVOTDATA("XQT4",'quangthanh (2016)'!$A$3,"MA_HT","DXH","MA_QH","DKG")</f>
        <v>0</v>
      </c>
      <c r="AN38" s="50">
        <f ca="1">+GETPIVOTDATA("XQT4",'quangthanh (2016)'!$A$3,"MA_HT","DXH","MA_QH","DDT")</f>
        <v>0</v>
      </c>
      <c r="AO38" s="50">
        <f ca="1">+GETPIVOTDATA("XQT4",'quangthanh (2016)'!$A$3,"MA_HT","DXH","MA_QH","DDL")</f>
        <v>0</v>
      </c>
      <c r="AP38" s="50">
        <f ca="1">+GETPIVOTDATA("XQT4",'quangthanh (2016)'!$A$3,"MA_HT","DXH","MA_QH","DRA")</f>
        <v>0</v>
      </c>
      <c r="AQ38" s="50">
        <f ca="1">+GETPIVOTDATA("XQT4",'quangthanh (2016)'!$A$3,"MA_HT","DXH","MA_QH","ONT")</f>
        <v>0</v>
      </c>
      <c r="AR38" s="50">
        <f ca="1">+GETPIVOTDATA("XQT4",'quangthanh (2016)'!$A$3,"MA_HT","DXH","MA_QH","ODT")</f>
        <v>0</v>
      </c>
      <c r="AS38" s="50">
        <f ca="1">+GETPIVOTDATA("XQT4",'quangthanh (2016)'!$A$3,"MA_HT","DXH","MA_QH","TSC")</f>
        <v>0</v>
      </c>
      <c r="AT38" s="50">
        <f ca="1">+GETPIVOTDATA("XQT4",'quangthanh (2016)'!$A$3,"MA_HT","DXH","MA_QH","DTS")</f>
        <v>0</v>
      </c>
      <c r="AU38" s="50">
        <f ca="1">+GETPIVOTDATA("XQT4",'quangthanh (2016)'!$A$3,"MA_HT","DXH","MA_QH","DNG")</f>
        <v>0</v>
      </c>
      <c r="AV38" s="50">
        <f ca="1">+GETPIVOTDATA("XQT4",'quangthanh (2016)'!$A$3,"MA_HT","DXH","MA_QH","TON")</f>
        <v>0</v>
      </c>
      <c r="AW38" s="50">
        <f ca="1">+GETPIVOTDATA("XQT4",'quangthanh (2016)'!$A$3,"MA_HT","DXH","MA_QH","NTD")</f>
        <v>0</v>
      </c>
      <c r="AX38" s="50">
        <f ca="1">+GETPIVOTDATA("XQT4",'quangthanh (2016)'!$A$3,"MA_HT","DXH","MA_QH","SKX")</f>
        <v>0</v>
      </c>
      <c r="AY38" s="50">
        <f ca="1">+GETPIVOTDATA("XQT4",'quangthanh (2016)'!$A$3,"MA_HT","DXH","MA_QH","DSH")</f>
        <v>0</v>
      </c>
      <c r="AZ38" s="50">
        <f ca="1">+GETPIVOTDATA("XQT4",'quangthanh (2016)'!$A$3,"MA_HT","DXH","MA_QH","DKV")</f>
        <v>0</v>
      </c>
      <c r="BA38" s="88">
        <f ca="1">+GETPIVOTDATA("XQT4",'quangthanh (2016)'!$A$3,"MA_HT","DXH","MA_QH","TIN")</f>
        <v>0</v>
      </c>
      <c r="BB38" s="50">
        <f ca="1">+GETPIVOTDATA("XQT4",'quangthanh (2016)'!$A$3,"MA_HT","DXH","MA_QH","SON")</f>
        <v>0</v>
      </c>
      <c r="BC38" s="50">
        <f ca="1">+GETPIVOTDATA("XQT4",'quangthanh (2016)'!$A$3,"MA_HT","DXH","MA_QH","MNC")</f>
        <v>0</v>
      </c>
      <c r="BD38" s="50">
        <f ca="1">+GETPIVOTDATA("XQT4",'quangthanh (2016)'!$A$3,"MA_HT","DXH","MA_QH","PNK")</f>
        <v>0</v>
      </c>
      <c r="BE38" s="80">
        <f ca="1">+GETPIVOTDATA("XQT4",'quangthanh (2016)'!$A$3,"MA_HT","DXH","MA_QH","CSD")</f>
        <v>0</v>
      </c>
      <c r="BF38" s="103">
        <f ca="1" t="shared" si="13"/>
        <v>0</v>
      </c>
      <c r="BG38" s="104">
        <f ca="1">AK$59-$BF38</f>
        <v>0</v>
      </c>
      <c r="BH38" s="47" t="e">
        <f ca="1" t="shared" si="14"/>
        <v>#REF!</v>
      </c>
      <c r="BI38" s="105"/>
      <c r="BJ38" s="105" t="e">
        <f>#REF!</f>
        <v>#REF!</v>
      </c>
      <c r="BK38" s="108" t="e">
        <f ca="1" t="shared" si="19"/>
        <v>#REF!</v>
      </c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</row>
    <row r="39" s="5" customFormat="1" ht="16.5" customHeight="1" spans="1:79">
      <c r="A39" s="45" t="s">
        <v>8396</v>
      </c>
      <c r="B39" s="45" t="s">
        <v>8397</v>
      </c>
      <c r="C39" s="46" t="s">
        <v>178</v>
      </c>
      <c r="D39" s="47" t="e">
        <f>+#REF!</f>
        <v>#REF!</v>
      </c>
      <c r="E39" s="42">
        <f ca="1" t="shared" si="15"/>
        <v>0</v>
      </c>
      <c r="F39" s="52">
        <f ca="1" t="shared" si="9"/>
        <v>0</v>
      </c>
      <c r="G39" s="50">
        <f ca="1">+GETPIVOTDATA("XQT4",'quangthanh (2016)'!$A$3,"MA_HT","DCH","MA_QH","LUC")</f>
        <v>0</v>
      </c>
      <c r="H39" s="50">
        <f ca="1">+GETPIVOTDATA("XQT4",'quangthanh (2016)'!$A$3,"MA_HT","DCH","MA_QH","LUK")</f>
        <v>0</v>
      </c>
      <c r="I39" s="50">
        <f ca="1">+GETPIVOTDATA("XQT4",'quangthanh (2016)'!$A$3,"MA_HT","DCH","MA_QH","LUN")</f>
        <v>0</v>
      </c>
      <c r="J39" s="50">
        <f ca="1">+GETPIVOTDATA("XQT4",'quangthanh (2016)'!$A$3,"MA_HT","DCH","MA_QH","HNK")</f>
        <v>0</v>
      </c>
      <c r="K39" s="50">
        <f ca="1">+GETPIVOTDATA("XQT4",'quangthanh (2016)'!$A$3,"MA_HT","DCH","MA_QH","CLN")</f>
        <v>0</v>
      </c>
      <c r="L39" s="50">
        <f ca="1">+GETPIVOTDATA("XQT4",'quangthanh (2016)'!$A$3,"MA_HT","DCH","MA_QH","RSX")</f>
        <v>0</v>
      </c>
      <c r="M39" s="50">
        <f ca="1">+GETPIVOTDATA("XQT4",'quangthanh (2016)'!$A$3,"MA_HT","DCH","MA_QH","RPH")</f>
        <v>0</v>
      </c>
      <c r="N39" s="50">
        <f ca="1">+GETPIVOTDATA("XQT4",'quangthanh (2016)'!$A$3,"MA_HT","DCH","MA_QH","RDD")</f>
        <v>0</v>
      </c>
      <c r="O39" s="50">
        <f ca="1">+GETPIVOTDATA("XQT4",'quangthanh (2016)'!$A$3,"MA_HT","DCH","MA_QH","NTS")</f>
        <v>0</v>
      </c>
      <c r="P39" s="50">
        <f ca="1">+GETPIVOTDATA("XQT4",'quangthanh (2016)'!$A$3,"MA_HT","DCH","MA_QH","LMU")</f>
        <v>0</v>
      </c>
      <c r="Q39" s="50">
        <f ca="1">+GETPIVOTDATA("XQT4",'quangthanh (2016)'!$A$3,"MA_HT","DCH","MA_QH","NKH")</f>
        <v>0</v>
      </c>
      <c r="R39" s="48">
        <f ca="1" t="shared" si="20"/>
        <v>0</v>
      </c>
      <c r="S39" s="50">
        <f ca="1">+GETPIVOTDATA("XQT4",'quangthanh (2016)'!$A$3,"MA_HT","DCH","MA_QH","CQP")</f>
        <v>0</v>
      </c>
      <c r="T39" s="50">
        <f ca="1">+GETPIVOTDATA("XQT4",'quangthanh (2016)'!$A$3,"MA_HT","DCH","MA_QH","CAN")</f>
        <v>0</v>
      </c>
      <c r="U39" s="50">
        <f ca="1">+GETPIVOTDATA("XQT4",'quangthanh (2016)'!$A$3,"MA_HT","DCH","MA_QH","SKK")</f>
        <v>0</v>
      </c>
      <c r="V39" s="50">
        <f ca="1">+GETPIVOTDATA("XQT4",'quangthanh (2016)'!$A$3,"MA_HT","DCH","MA_QH","SKT")</f>
        <v>0</v>
      </c>
      <c r="W39" s="50">
        <f ca="1">+GETPIVOTDATA("XQT4",'quangthanh (2016)'!$A$3,"MA_HT","DCH","MA_QH","SKN")</f>
        <v>0</v>
      </c>
      <c r="X39" s="50">
        <f ca="1">+GETPIVOTDATA("XQT4",'quangthanh (2016)'!$A$3,"MA_HT","DCH","MA_QH","TMD")</f>
        <v>0</v>
      </c>
      <c r="Y39" s="50">
        <f ca="1">+GETPIVOTDATA("XQT4",'quangthanh (2016)'!$A$3,"MA_HT","DCH","MA_QH","SKC")</f>
        <v>0</v>
      </c>
      <c r="Z39" s="50">
        <f ca="1">+GETPIVOTDATA("XQT4",'quangthanh (2016)'!$A$3,"MA_HT","DCH","MA_QH","SKS")</f>
        <v>0</v>
      </c>
      <c r="AA39" s="52">
        <f ca="1">+SUM(AB39:AK39,AM39)</f>
        <v>0</v>
      </c>
      <c r="AB39" s="50">
        <f ca="1">+GETPIVOTDATA("XQT4",'quangthanh (2016)'!$A$3,"MA_HT","DCH","MA_QH","DGT")</f>
        <v>0</v>
      </c>
      <c r="AC39" s="50">
        <f ca="1">+GETPIVOTDATA("XQT4",'quangthanh (2016)'!$A$3,"MA_HT","DCH","MA_QH","DTL")</f>
        <v>0</v>
      </c>
      <c r="AD39" s="50">
        <f ca="1">+GETPIVOTDATA("XQT4",'quangthanh (2016)'!$A$3,"MA_HT","DCH","MA_QH","DNL")</f>
        <v>0</v>
      </c>
      <c r="AE39" s="50">
        <f ca="1">+GETPIVOTDATA("XQT4",'quangthanh (2016)'!$A$3,"MA_HT","DCH","MA_QH","DBV")</f>
        <v>0</v>
      </c>
      <c r="AF39" s="50">
        <f ca="1">+GETPIVOTDATA("XQT4",'quangthanh (2016)'!$A$3,"MA_HT","DCH","MA_QH","DVH")</f>
        <v>0</v>
      </c>
      <c r="AG39" s="50">
        <f ca="1">+GETPIVOTDATA("XQT4",'quangthanh (2016)'!$A$3,"MA_HT","DCH","MA_QH","DYT")</f>
        <v>0</v>
      </c>
      <c r="AH39" s="50">
        <f ca="1">+GETPIVOTDATA("XQT4",'quangthanh (2016)'!$A$3,"MA_HT","DCH","MA_QH","DGD")</f>
        <v>0</v>
      </c>
      <c r="AI39" s="50">
        <f ca="1">+GETPIVOTDATA("XQT4",'quangthanh (2016)'!$A$3,"MA_HT","DCH","MA_QH","DTT")</f>
        <v>0</v>
      </c>
      <c r="AJ39" s="50">
        <f ca="1">+GETPIVOTDATA("XQT4",'quangthanh (2016)'!$A$3,"MA_HT","DCH","MA_QH","NCK")</f>
        <v>0</v>
      </c>
      <c r="AK39" s="50">
        <f ca="1">+GETPIVOTDATA("XQT4",'quangthanh (2016)'!$A$3,"MA_HT","DCH","MA_QH","DXH")</f>
        <v>0</v>
      </c>
      <c r="AL39" s="49" t="e">
        <f ca="1">$D39-$BF39</f>
        <v>#REF!</v>
      </c>
      <c r="AM39" s="50">
        <f ca="1">+GETPIVOTDATA("XQT4",'quangthanh (2016)'!$A$3,"MA_HT","DXH","MA_QH","DKG")</f>
        <v>0</v>
      </c>
      <c r="AN39" s="50">
        <f ca="1">+GETPIVOTDATA("XQT4",'quangthanh (2016)'!$A$3,"MA_HT","DCH","MA_QH","DDT")</f>
        <v>0</v>
      </c>
      <c r="AO39" s="50">
        <f ca="1">+GETPIVOTDATA("XQT4",'quangthanh (2016)'!$A$3,"MA_HT","DCH","MA_QH","DDL")</f>
        <v>0</v>
      </c>
      <c r="AP39" s="50">
        <f ca="1">+GETPIVOTDATA("XQT4",'quangthanh (2016)'!$A$3,"MA_HT","DCH","MA_QH","DRA")</f>
        <v>0</v>
      </c>
      <c r="AQ39" s="50">
        <f ca="1">+GETPIVOTDATA("XQT4",'quangthanh (2016)'!$A$3,"MA_HT","DCH","MA_QH","ONT")</f>
        <v>0</v>
      </c>
      <c r="AR39" s="50">
        <f ca="1">+GETPIVOTDATA("XQT4",'quangthanh (2016)'!$A$3,"MA_HT","DCH","MA_QH","ODT")</f>
        <v>0</v>
      </c>
      <c r="AS39" s="50">
        <f ca="1">+GETPIVOTDATA("XQT4",'quangthanh (2016)'!$A$3,"MA_HT","DCH","MA_QH","TSC")</f>
        <v>0</v>
      </c>
      <c r="AT39" s="50">
        <f ca="1">+GETPIVOTDATA("XQT4",'quangthanh (2016)'!$A$3,"MA_HT","DCH","MA_QH","DTS")</f>
        <v>0</v>
      </c>
      <c r="AU39" s="50">
        <f ca="1">+GETPIVOTDATA("XQT4",'quangthanh (2016)'!$A$3,"MA_HT","DCH","MA_QH","DNG")</f>
        <v>0</v>
      </c>
      <c r="AV39" s="50">
        <f ca="1">+GETPIVOTDATA("XQT4",'quangthanh (2016)'!$A$3,"MA_HT","DCH","MA_QH","TON")</f>
        <v>0</v>
      </c>
      <c r="AW39" s="50">
        <f ca="1">+GETPIVOTDATA("XQT4",'quangthanh (2016)'!$A$3,"MA_HT","DCH","MA_QH","NTD")</f>
        <v>0</v>
      </c>
      <c r="AX39" s="50">
        <f ca="1">+GETPIVOTDATA("XQT4",'quangthanh (2016)'!$A$3,"MA_HT","DCH","MA_QH","SKX")</f>
        <v>0</v>
      </c>
      <c r="AY39" s="50">
        <f ca="1">+GETPIVOTDATA("XQT4",'quangthanh (2016)'!$A$3,"MA_HT","DCH","MA_QH","DSH")</f>
        <v>0</v>
      </c>
      <c r="AZ39" s="50">
        <f ca="1">+GETPIVOTDATA("XQT4",'quangthanh (2016)'!$A$3,"MA_HT","DCH","MA_QH","DKV")</f>
        <v>0</v>
      </c>
      <c r="BA39" s="88">
        <f ca="1">+GETPIVOTDATA("XQT4",'quangthanh (2016)'!$A$3,"MA_HT","DCH","MA_QH","TIN")</f>
        <v>0</v>
      </c>
      <c r="BB39" s="50">
        <f ca="1">+GETPIVOTDATA("XQT4",'quangthanh (2016)'!$A$3,"MA_HT","DCH","MA_QH","SON")</f>
        <v>0</v>
      </c>
      <c r="BC39" s="50">
        <f ca="1">+GETPIVOTDATA("XQT4",'quangthanh (2016)'!$A$3,"MA_HT","DCH","MA_QH","MNC")</f>
        <v>0</v>
      </c>
      <c r="BD39" s="50">
        <f ca="1">+GETPIVOTDATA("XQT4",'quangthanh (2016)'!$A$3,"MA_HT","DCH","MA_QH","PNK")</f>
        <v>0</v>
      </c>
      <c r="BE39" s="80">
        <f ca="1">+GETPIVOTDATA("XQT4",'quangthanh (2016)'!$A$3,"MA_HT","DCH","MA_QH","CSD")</f>
        <v>0</v>
      </c>
      <c r="BF39" s="103">
        <f ca="1" t="shared" si="13"/>
        <v>0</v>
      </c>
      <c r="BG39" s="104">
        <f ca="1">AL$59-$BF39</f>
        <v>0</v>
      </c>
      <c r="BH39" s="47" t="e">
        <f ca="1" t="shared" si="14"/>
        <v>#REF!</v>
      </c>
      <c r="BI39" s="109"/>
      <c r="BJ39" s="109" t="e">
        <f>#REF!</f>
        <v>#REF!</v>
      </c>
      <c r="BK39" s="110" t="e">
        <f ca="1" t="shared" si="19"/>
        <v>#REF!</v>
      </c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</row>
    <row r="40" s="5" customFormat="1" ht="16.5" customHeight="1" spans="1:79">
      <c r="A40" s="45" t="s">
        <v>8398</v>
      </c>
      <c r="B40" s="45" t="s">
        <v>8399</v>
      </c>
      <c r="C40" s="46" t="s">
        <v>8312</v>
      </c>
      <c r="D40" s="47" t="e">
        <f>+#REF!</f>
        <v>#REF!</v>
      </c>
      <c r="E40" s="42">
        <f ca="1" t="shared" si="15"/>
        <v>0</v>
      </c>
      <c r="F40" s="52">
        <f ca="1" t="shared" si="9"/>
        <v>0</v>
      </c>
      <c r="G40" s="50">
        <f ca="1">+GETPIVOTDATA("XQT4",'quangthanh (2016)'!$A$3,"MA_HT","DKG","MA_QH","LUC")</f>
        <v>0</v>
      </c>
      <c r="H40" s="50">
        <f ca="1">+GETPIVOTDATA("XQT4",'quangthanh (2016)'!$A$3,"MA_HT","DKG","MA_QH","LUK")</f>
        <v>0</v>
      </c>
      <c r="I40" s="50">
        <f ca="1">+GETPIVOTDATA("XQT4",'quangthanh (2016)'!$A$3,"MA_HT","DKG","MA_QH","LUN")</f>
        <v>0</v>
      </c>
      <c r="J40" s="50">
        <f ca="1">+GETPIVOTDATA("XQT4",'quangthanh (2016)'!$A$3,"MA_HT","DKG","MA_QH","HNK")</f>
        <v>0</v>
      </c>
      <c r="K40" s="50">
        <f ca="1">+GETPIVOTDATA("XQT4",'quangthanh (2016)'!$A$3,"MA_HT","DKG","MA_QH","CLN")</f>
        <v>0</v>
      </c>
      <c r="L40" s="50">
        <f ca="1">+GETPIVOTDATA("XQT4",'quangthanh (2016)'!$A$3,"MA_HT","DKG","MA_QH","RSX")</f>
        <v>0</v>
      </c>
      <c r="M40" s="50">
        <f ca="1">+GETPIVOTDATA("XQT4",'quangthanh (2016)'!$A$3,"MA_HT","DKG","MA_QH","RPH")</f>
        <v>0</v>
      </c>
      <c r="N40" s="50">
        <f ca="1">+GETPIVOTDATA("XQT4",'quangthanh (2016)'!$A$3,"MA_HT","DKG","MA_QH","RDD")</f>
        <v>0</v>
      </c>
      <c r="O40" s="50">
        <f ca="1">+GETPIVOTDATA("XQT4",'quangthanh (2016)'!$A$3,"MA_HT","DKG","MA_QH","NTS")</f>
        <v>0</v>
      </c>
      <c r="P40" s="50">
        <f ca="1">+GETPIVOTDATA("XQT4",'quangthanh (2016)'!$A$3,"MA_HT","DKG","MA_QH","LMU")</f>
        <v>0</v>
      </c>
      <c r="Q40" s="50">
        <f ca="1">+GETPIVOTDATA("XQT4",'quangthanh (2016)'!$A$3,"MA_HT","DKG","MA_QH","NKH")</f>
        <v>0</v>
      </c>
      <c r="R40" s="48">
        <f ca="1" t="shared" si="20"/>
        <v>0</v>
      </c>
      <c r="S40" s="50">
        <f ca="1">+GETPIVOTDATA("XQT4",'quangthanh (2016)'!$A$3,"MA_HT","DKG","MA_QH","CQP")</f>
        <v>0</v>
      </c>
      <c r="T40" s="50">
        <f ca="1">+GETPIVOTDATA("XQT4",'quangthanh (2016)'!$A$3,"MA_HT","DKG","MA_QH","CAN")</f>
        <v>0</v>
      </c>
      <c r="U40" s="50">
        <f ca="1">+GETPIVOTDATA("XQT4",'quangthanh (2016)'!$A$3,"MA_HT","DKG","MA_QH","SKK")</f>
        <v>0</v>
      </c>
      <c r="V40" s="50">
        <f ca="1">+GETPIVOTDATA("XQT4",'quangthanh (2016)'!$A$3,"MA_HT","DKG","MA_QH","SKT")</f>
        <v>0</v>
      </c>
      <c r="W40" s="50">
        <f ca="1">+GETPIVOTDATA("XQT4",'quangthanh (2016)'!$A$3,"MA_HT","DKG","MA_QH","SKN")</f>
        <v>0</v>
      </c>
      <c r="X40" s="50">
        <f ca="1">+GETPIVOTDATA("XQT4",'quangthanh (2016)'!$A$3,"MA_HT","DKG","MA_QH","TMD")</f>
        <v>0</v>
      </c>
      <c r="Y40" s="50">
        <f ca="1">+GETPIVOTDATA("XQT4",'quangthanh (2016)'!$A$3,"MA_HT","DKG","MA_QH","SKC")</f>
        <v>0</v>
      </c>
      <c r="Z40" s="50">
        <f ca="1">+GETPIVOTDATA("XQT4",'quangthanh (2016)'!$A$3,"MA_HT","DKG","MA_QH","SKS")</f>
        <v>0</v>
      </c>
      <c r="AA40" s="52">
        <f ca="1">+SUM(AB40:AL40)</f>
        <v>0</v>
      </c>
      <c r="AB40" s="50">
        <f ca="1">+GETPIVOTDATA("XQT4",'quangthanh (2016)'!$A$3,"MA_HT","DKG","MA_QH","DGT")</f>
        <v>0</v>
      </c>
      <c r="AC40" s="50">
        <f ca="1">+GETPIVOTDATA("XQT4",'quangthanh (2016)'!$A$3,"MA_HT","DKG","MA_QH","DTL")</f>
        <v>0</v>
      </c>
      <c r="AD40" s="50">
        <f ca="1">+GETPIVOTDATA("XQT4",'quangthanh (2016)'!$A$3,"MA_HT","DKG","MA_QH","DNL")</f>
        <v>0</v>
      </c>
      <c r="AE40" s="50">
        <f ca="1">+GETPIVOTDATA("XQT4",'quangthanh (2016)'!$A$3,"MA_HT","DKG","MA_QH","DBV")</f>
        <v>0</v>
      </c>
      <c r="AF40" s="50">
        <f ca="1">+GETPIVOTDATA("XQT4",'quangthanh (2016)'!$A$3,"MA_HT","DKG","MA_QH","DVH")</f>
        <v>0</v>
      </c>
      <c r="AG40" s="50">
        <f ca="1">+GETPIVOTDATA("XQT4",'quangthanh (2016)'!$A$3,"MA_HT","DKG","MA_QH","DYT")</f>
        <v>0</v>
      </c>
      <c r="AH40" s="50">
        <f ca="1">+GETPIVOTDATA("XQT4",'quangthanh (2016)'!$A$3,"MA_HT","DKG","MA_QH","DGD")</f>
        <v>0</v>
      </c>
      <c r="AI40" s="50">
        <f ca="1">+GETPIVOTDATA("XQT4",'quangthanh (2016)'!$A$3,"MA_HT","DKG","MA_QH","DTT")</f>
        <v>0</v>
      </c>
      <c r="AJ40" s="50">
        <f ca="1">+GETPIVOTDATA("XQT4",'quangthanh (2016)'!$A$3,"MA_HT","DKG","MA_QH","NCK")</f>
        <v>0</v>
      </c>
      <c r="AK40" s="50">
        <f ca="1">+GETPIVOTDATA("XQT4",'quangthanh (2016)'!$A$3,"MA_HT","DKG","MA_QH","DXH")</f>
        <v>0</v>
      </c>
      <c r="AL40" s="60">
        <f ca="1">+GETPIVOTDATA("XQT4",'quangthanh (2016)'!$A$3,"MA_HT","DDT","MA_QH","DKG")</f>
        <v>0</v>
      </c>
      <c r="AM40" s="49" t="e">
        <f ca="1">$D40-$BF40</f>
        <v>#REF!</v>
      </c>
      <c r="AN40" s="50">
        <f ca="1">+GETPIVOTDATA("XQT4",'quangthanh (2016)'!$A$3,"MA_HT","DKG","MA_QH","DDT")</f>
        <v>0</v>
      </c>
      <c r="AO40" s="50">
        <f ca="1">+GETPIVOTDATA("XQT4",'quangthanh (2016)'!$A$3,"MA_HT","DKG","MA_QH","DDL")</f>
        <v>0</v>
      </c>
      <c r="AP40" s="50">
        <f ca="1">+GETPIVOTDATA("XQT4",'quangthanh (2016)'!$A$3,"MA_HT","DKG","MA_QH","DRA")</f>
        <v>0</v>
      </c>
      <c r="AQ40" s="50">
        <f ca="1">+GETPIVOTDATA("XQT4",'quangthanh (2016)'!$A$3,"MA_HT","DKG","MA_QH","ONT")</f>
        <v>0</v>
      </c>
      <c r="AR40" s="50">
        <f ca="1">+GETPIVOTDATA("XQT4",'quangthanh (2016)'!$A$3,"MA_HT","DKG","MA_QH","ODT")</f>
        <v>0</v>
      </c>
      <c r="AS40" s="50">
        <f ca="1">+GETPIVOTDATA("XQT4",'quangthanh (2016)'!$A$3,"MA_HT","DKG","MA_QH","TSC")</f>
        <v>0</v>
      </c>
      <c r="AT40" s="50">
        <f ca="1">+GETPIVOTDATA("XQT4",'quangthanh (2016)'!$A$3,"MA_HT","DKG","MA_QH","DTS")</f>
        <v>0</v>
      </c>
      <c r="AU40" s="50">
        <f ca="1">+GETPIVOTDATA("XQT4",'quangthanh (2016)'!$A$3,"MA_HT","DKG","MA_QH","DNG")</f>
        <v>0</v>
      </c>
      <c r="AV40" s="50">
        <f ca="1">+GETPIVOTDATA("XQT4",'quangthanh (2016)'!$A$3,"MA_HT","DKG","MA_QH","TON")</f>
        <v>0</v>
      </c>
      <c r="AW40" s="50">
        <f ca="1">+GETPIVOTDATA("XQT4",'quangthanh (2016)'!$A$3,"MA_HT","DKG","MA_QH","NTD")</f>
        <v>0</v>
      </c>
      <c r="AX40" s="50">
        <f ca="1">+GETPIVOTDATA("XQT4",'quangthanh (2016)'!$A$3,"MA_HT","DKG","MA_QH","SKX")</f>
        <v>0</v>
      </c>
      <c r="AY40" s="50">
        <f ca="1">+GETPIVOTDATA("XQT4",'quangthanh (2016)'!$A$3,"MA_HT","DKG","MA_QH","DSH")</f>
        <v>0</v>
      </c>
      <c r="AZ40" s="50">
        <f ca="1">+GETPIVOTDATA("XQT4",'quangthanh (2016)'!$A$3,"MA_HT","DKG","MA_QH","DKV")</f>
        <v>0</v>
      </c>
      <c r="BA40" s="88">
        <f ca="1">+GETPIVOTDATA("XQT4",'quangthanh (2016)'!$A$3,"MA_HT","DKG","MA_QH","TIN")</f>
        <v>0</v>
      </c>
      <c r="BB40" s="50">
        <f ca="1">+GETPIVOTDATA("XQT4",'quangthanh (2016)'!$A$3,"MA_HT","DKG","MA_QH","SON")</f>
        <v>0</v>
      </c>
      <c r="BC40" s="50">
        <f ca="1">+GETPIVOTDATA("XQT4",'quangthanh (2016)'!$A$3,"MA_HT","DKG","MA_QH","MNC")</f>
        <v>0</v>
      </c>
      <c r="BD40" s="50">
        <f ca="1">+GETPIVOTDATA("XQT4",'quangthanh (2016)'!$A$3,"MA_HT","DKG","MA_QH","PNK")</f>
        <v>0</v>
      </c>
      <c r="BE40" s="80">
        <f ca="1">+GETPIVOTDATA("XQT4",'quangthanh (2016)'!$A$3,"MA_HT","DKG","MA_QH","CSD")</f>
        <v>0</v>
      </c>
      <c r="BF40" s="103">
        <f ca="1" t="shared" si="13"/>
        <v>0</v>
      </c>
      <c r="BG40" s="104">
        <f ca="1">AM$59-$BF40</f>
        <v>0</v>
      </c>
      <c r="BH40" s="47" t="e">
        <f ca="1" t="shared" si="14"/>
        <v>#REF!</v>
      </c>
      <c r="BI40" s="109"/>
      <c r="BJ40" s="109" t="e">
        <f>#REF!</f>
        <v>#REF!</v>
      </c>
      <c r="BK40" s="110" t="e">
        <f ca="1" t="shared" si="19"/>
        <v>#REF!</v>
      </c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</row>
    <row r="41" s="6" customFormat="1" ht="15.75" customHeight="1" spans="1:79">
      <c r="A41" s="54" t="s">
        <v>8400</v>
      </c>
      <c r="B41" s="55" t="s">
        <v>8401</v>
      </c>
      <c r="C41" s="56" t="s">
        <v>8287</v>
      </c>
      <c r="D41" s="57" t="e">
        <f>+#REF!</f>
        <v>#REF!</v>
      </c>
      <c r="E41" s="58">
        <f ca="1" t="shared" si="15"/>
        <v>0</v>
      </c>
      <c r="F41" s="59">
        <f ca="1" t="shared" si="9"/>
        <v>0</v>
      </c>
      <c r="G41" s="60">
        <f ca="1">+GETPIVOTDATA("XQT4",'quangthanh (2016)'!$A$3,"MA_HT","DDT","MA_QH","LUC")</f>
        <v>0</v>
      </c>
      <c r="H41" s="60">
        <f ca="1">+GETPIVOTDATA("XQT4",'quangthanh (2016)'!$A$3,"MA_HT","DDT","MA_QH","LUK")</f>
        <v>0</v>
      </c>
      <c r="I41" s="60">
        <f ca="1">+GETPIVOTDATA("XQT4",'quangthanh (2016)'!$A$3,"MA_HT","DDT","MA_QH","LUN")</f>
        <v>0</v>
      </c>
      <c r="J41" s="60">
        <f ca="1">+GETPIVOTDATA("XQT4",'quangthanh (2016)'!$A$3,"MA_HT","DDT","MA_QH","HNK")</f>
        <v>0</v>
      </c>
      <c r="K41" s="60">
        <f ca="1">+GETPIVOTDATA("XQT4",'quangthanh (2016)'!$A$3,"MA_HT","DDT","MA_QH","CLN")</f>
        <v>0</v>
      </c>
      <c r="L41" s="60">
        <f ca="1">+GETPIVOTDATA("XQT4",'quangthanh (2016)'!$A$3,"MA_HT","DDT","MA_QH","RSX")</f>
        <v>0</v>
      </c>
      <c r="M41" s="60">
        <f ca="1">+GETPIVOTDATA("XQT4",'quangthanh (2016)'!$A$3,"MA_HT","DDT","MA_QH","RPH")</f>
        <v>0</v>
      </c>
      <c r="N41" s="60">
        <f ca="1">+GETPIVOTDATA("XQT4",'quangthanh (2016)'!$A$3,"MA_HT","DDT","MA_QH","RDD")</f>
        <v>0</v>
      </c>
      <c r="O41" s="60">
        <f ca="1">+GETPIVOTDATA("XQT4",'quangthanh (2016)'!$A$3,"MA_HT","DDT","MA_QH","NTS")</f>
        <v>0</v>
      </c>
      <c r="P41" s="60">
        <f ca="1">+GETPIVOTDATA("XQT4",'quangthanh (2016)'!$A$3,"MA_HT","DDT","MA_QH","LMU")</f>
        <v>0</v>
      </c>
      <c r="Q41" s="60">
        <f ca="1">+GETPIVOTDATA("XQT4",'quangthanh (2016)'!$A$3,"MA_HT","DDT","MA_QH","NKH")</f>
        <v>0</v>
      </c>
      <c r="R41" s="78">
        <f ca="1">SUM(S41:AA41,AO41:BD41)</f>
        <v>0</v>
      </c>
      <c r="S41" s="60">
        <f ca="1">+GETPIVOTDATA("XQT4",'quangthanh (2016)'!$A$3,"MA_HT","DDT","MA_QH","CQP")</f>
        <v>0</v>
      </c>
      <c r="T41" s="60">
        <f ca="1">+GETPIVOTDATA("XQT4",'quangthanh (2016)'!$A$3,"MA_HT","DDT","MA_QH","CAN")</f>
        <v>0</v>
      </c>
      <c r="U41" s="60">
        <f ca="1">+GETPIVOTDATA("XQT4",'quangthanh (2016)'!$A$3,"MA_HT","DDT","MA_QH","SKK")</f>
        <v>0</v>
      </c>
      <c r="V41" s="60">
        <f ca="1">+GETPIVOTDATA("XQT4",'quangthanh (2016)'!$A$3,"MA_HT","DDT","MA_QH","SKT")</f>
        <v>0</v>
      </c>
      <c r="W41" s="60">
        <f ca="1">+GETPIVOTDATA("XQT4",'quangthanh (2016)'!$A$3,"MA_HT","DDT","MA_QH","SKN")</f>
        <v>0</v>
      </c>
      <c r="X41" s="60">
        <f ca="1">+GETPIVOTDATA("XQT4",'quangthanh (2016)'!$A$3,"MA_HT","DDT","MA_QH","TMD")</f>
        <v>0</v>
      </c>
      <c r="Y41" s="60">
        <f ca="1">+GETPIVOTDATA("XQT4",'quangthanh (2016)'!$A$3,"MA_HT","DDT","MA_QH","SKC")</f>
        <v>0</v>
      </c>
      <c r="Z41" s="60">
        <f ca="1">+GETPIVOTDATA("XQT4",'quangthanh (2016)'!$A$3,"MA_HT","DDT","MA_QH","SKS")</f>
        <v>0</v>
      </c>
      <c r="AA41" s="59">
        <f ca="1" t="shared" ref="AA41:AA58" si="21">+SUM(AB41:AM41)</f>
        <v>0</v>
      </c>
      <c r="AB41" s="60">
        <f ca="1">+GETPIVOTDATA("XQT4",'quangthanh (2016)'!$A$3,"MA_HT","DDT","MA_QH","DGT")</f>
        <v>0</v>
      </c>
      <c r="AC41" s="60">
        <f ca="1">+GETPIVOTDATA("XQT4",'quangthanh (2016)'!$A$3,"MA_HT","DDT","MA_QH","DTL")</f>
        <v>0</v>
      </c>
      <c r="AD41" s="60">
        <f ca="1">+GETPIVOTDATA("XQT4",'quangthanh (2016)'!$A$3,"MA_HT","DDT","MA_QH","DNL")</f>
        <v>0</v>
      </c>
      <c r="AE41" s="60">
        <f ca="1">+GETPIVOTDATA("XQT4",'quangthanh (2016)'!$A$3,"MA_HT","DDT","MA_QH","DBV")</f>
        <v>0</v>
      </c>
      <c r="AF41" s="60">
        <f ca="1">+GETPIVOTDATA("XQT4",'quangthanh (2016)'!$A$3,"MA_HT","DDT","MA_QH","DVH")</f>
        <v>0</v>
      </c>
      <c r="AG41" s="60">
        <f ca="1">+GETPIVOTDATA("XQT4",'quangthanh (2016)'!$A$3,"MA_HT","DDT","MA_QH","DYT")</f>
        <v>0</v>
      </c>
      <c r="AH41" s="60">
        <f ca="1">+GETPIVOTDATA("XQT4",'quangthanh (2016)'!$A$3,"MA_HT","DDT","MA_QH","DGD")</f>
        <v>0</v>
      </c>
      <c r="AI41" s="60">
        <f ca="1">+GETPIVOTDATA("XQT4",'quangthanh (2016)'!$A$3,"MA_HT","DDT","MA_QH","DTT")</f>
        <v>0</v>
      </c>
      <c r="AJ41" s="60">
        <f ca="1">+GETPIVOTDATA("XQT4",'quangthanh (2016)'!$A$3,"MA_HT","DDT","MA_QH","NCK")</f>
        <v>0</v>
      </c>
      <c r="AK41" s="60">
        <f ca="1">+GETPIVOTDATA("XQT4",'quangthanh (2016)'!$A$3,"MA_HT","DDT","MA_QH","DXH")</f>
        <v>0</v>
      </c>
      <c r="AL41" s="60">
        <f ca="1">+GETPIVOTDATA("XQT4",'quangthanh (2016)'!$A$3,"MA_HT","DDT","MA_QH","DCH")</f>
        <v>0</v>
      </c>
      <c r="AM41" s="60">
        <f ca="1">+GETPIVOTDATA("XQT4",'quangthanh (2016)'!$A$3,"MA_HT","DDT","MA_QH","DKG")</f>
        <v>0</v>
      </c>
      <c r="AN41" s="81" t="e">
        <f ca="1">$D41-$BF41</f>
        <v>#REF!</v>
      </c>
      <c r="AO41" s="60">
        <f ca="1">+GETPIVOTDATA("XQT4",'quangthanh (2016)'!$A$3,"MA_HT","DDT","MA_QH","DDL")</f>
        <v>0</v>
      </c>
      <c r="AP41" s="60">
        <f ca="1">+GETPIVOTDATA("XQT4",'quangthanh (2016)'!$A$3,"MA_HT","DDT","MA_QH","DRA")</f>
        <v>0</v>
      </c>
      <c r="AQ41" s="60">
        <f ca="1">+GETPIVOTDATA("XQT4",'quangthanh (2016)'!$A$3,"MA_HT","DDT","MA_QH","ONT")</f>
        <v>0</v>
      </c>
      <c r="AR41" s="60">
        <f ca="1">+GETPIVOTDATA("XQT4",'quangthanh (2016)'!$A$3,"MA_HT","DDT","MA_QH","ODT")</f>
        <v>0</v>
      </c>
      <c r="AS41" s="60">
        <f ca="1">+GETPIVOTDATA("XQT4",'quangthanh (2016)'!$A$3,"MA_HT","DDT","MA_QH","TSC")</f>
        <v>0</v>
      </c>
      <c r="AT41" s="60">
        <f ca="1">+GETPIVOTDATA("XQT4",'quangthanh (2016)'!$A$3,"MA_HT","DDT","MA_QH","DTS")</f>
        <v>0</v>
      </c>
      <c r="AU41" s="60">
        <f ca="1">+GETPIVOTDATA("XQT4",'quangthanh (2016)'!$A$3,"MA_HT","DDT","MA_QH","DNG")</f>
        <v>0</v>
      </c>
      <c r="AV41" s="60">
        <f ca="1">+GETPIVOTDATA("XQT4",'quangthanh (2016)'!$A$3,"MA_HT","DDT","MA_QH","TON")</f>
        <v>0</v>
      </c>
      <c r="AW41" s="60">
        <f ca="1">+GETPIVOTDATA("XQT4",'quangthanh (2016)'!$A$3,"MA_HT","DDT","MA_QH","NTD")</f>
        <v>0</v>
      </c>
      <c r="AX41" s="60">
        <f ca="1">+GETPIVOTDATA("XQT4",'quangthanh (2016)'!$A$3,"MA_HT","DDT","MA_QH","SKX")</f>
        <v>0</v>
      </c>
      <c r="AY41" s="60">
        <f ca="1">+GETPIVOTDATA("XQT4",'quangthanh (2016)'!$A$3,"MA_HT","DDT","MA_QH","DSH")</f>
        <v>0</v>
      </c>
      <c r="AZ41" s="60">
        <f ca="1">+GETPIVOTDATA("XQT4",'quangthanh (2016)'!$A$3,"MA_HT","DDT","MA_QH","DKV")</f>
        <v>0</v>
      </c>
      <c r="BA41" s="90">
        <f ca="1">+GETPIVOTDATA("XQT4",'quangthanh (2016)'!$A$3,"MA_HT","DDT","MA_QH","TIN")</f>
        <v>0</v>
      </c>
      <c r="BB41" s="91">
        <f ca="1">+GETPIVOTDATA("XQT4",'quangthanh (2016)'!$A$3,"MA_HT","DDT","MA_QH","SON")</f>
        <v>0</v>
      </c>
      <c r="BC41" s="91">
        <f ca="1">+GETPIVOTDATA("XQT4",'quangthanh (2016)'!$A$3,"MA_HT","DDT","MA_QH","MNC")</f>
        <v>0</v>
      </c>
      <c r="BD41" s="60">
        <f ca="1">+GETPIVOTDATA("XQT4",'quangthanh (2016)'!$A$3,"MA_HT","DDT","MA_QH","PNK")</f>
        <v>0</v>
      </c>
      <c r="BE41" s="111">
        <f ca="1">+GETPIVOTDATA("XQT4",'quangthanh (2016)'!$A$3,"MA_HT","DDT","MA_QH","CSD")</f>
        <v>0</v>
      </c>
      <c r="BF41" s="112">
        <f ca="1" t="shared" si="13"/>
        <v>0</v>
      </c>
      <c r="BG41" s="113">
        <f ca="1">AN$59-$BF41</f>
        <v>0</v>
      </c>
      <c r="BH41" s="57" t="e">
        <f ca="1" t="shared" si="14"/>
        <v>#REF!</v>
      </c>
      <c r="BI41" s="114"/>
      <c r="BJ41" s="115"/>
      <c r="BK41" s="115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</row>
    <row r="42" s="2" customFormat="1" ht="15.75" customHeight="1" spans="1:79">
      <c r="A42" s="39" t="s">
        <v>8402</v>
      </c>
      <c r="B42" s="53" t="s">
        <v>8403</v>
      </c>
      <c r="C42" s="40" t="s">
        <v>8286</v>
      </c>
      <c r="D42" s="41" t="e">
        <f>+#REF!</f>
        <v>#REF!</v>
      </c>
      <c r="E42" s="42">
        <f ca="1" t="shared" si="15"/>
        <v>0</v>
      </c>
      <c r="F42" s="52">
        <f ca="1" t="shared" si="9"/>
        <v>0</v>
      </c>
      <c r="G42" s="22">
        <f ca="1">+GETPIVOTDATA("XQT4",'quangthanh (2016)'!$A$3,"MA_HT","DDL","MA_QH","LUC")</f>
        <v>0</v>
      </c>
      <c r="H42" s="22">
        <f ca="1">+GETPIVOTDATA("XQT4",'quangthanh (2016)'!$A$3,"MA_HT","DDL","MA_QH","LUK")</f>
        <v>0</v>
      </c>
      <c r="I42" s="22">
        <f ca="1">+GETPIVOTDATA("XQT4",'quangthanh (2016)'!$A$3,"MA_HT","DDL","MA_QH","LUN")</f>
        <v>0</v>
      </c>
      <c r="J42" s="22">
        <f ca="1">+GETPIVOTDATA("XQT4",'quangthanh (2016)'!$A$3,"MA_HT","DDL","MA_QH","HNK")</f>
        <v>0</v>
      </c>
      <c r="K42" s="22">
        <f ca="1">+GETPIVOTDATA("XQT4",'quangthanh (2016)'!$A$3,"MA_HT","DDL","MA_QH","CLN")</f>
        <v>0</v>
      </c>
      <c r="L42" s="22">
        <f ca="1">+GETPIVOTDATA("XQT4",'quangthanh (2016)'!$A$3,"MA_HT","DDL","MA_QH","RSX")</f>
        <v>0</v>
      </c>
      <c r="M42" s="22">
        <f ca="1">+GETPIVOTDATA("XQT4",'quangthanh (2016)'!$A$3,"MA_HT","DDL","MA_QH","RPH")</f>
        <v>0</v>
      </c>
      <c r="N42" s="22">
        <f ca="1">+GETPIVOTDATA("XQT4",'quangthanh (2016)'!$A$3,"MA_HT","DDL","MA_QH","RDD")</f>
        <v>0</v>
      </c>
      <c r="O42" s="22">
        <f ca="1">+GETPIVOTDATA("XQT4",'quangthanh (2016)'!$A$3,"MA_HT","DDL","MA_QH","NTS")</f>
        <v>0</v>
      </c>
      <c r="P42" s="22">
        <f ca="1">+GETPIVOTDATA("XQT4",'quangthanh (2016)'!$A$3,"MA_HT","DDL","MA_QH","LMU")</f>
        <v>0</v>
      </c>
      <c r="Q42" s="22">
        <f ca="1">+GETPIVOTDATA("XQT4",'quangthanh (2016)'!$A$3,"MA_HT","DDL","MA_QH","NKH")</f>
        <v>0</v>
      </c>
      <c r="R42" s="79">
        <f ca="1">SUM(S42:AA42,AN42,AP42:BD42)</f>
        <v>0</v>
      </c>
      <c r="S42" s="22">
        <f ca="1">+GETPIVOTDATA("XQT4",'quangthanh (2016)'!$A$3,"MA_HT","DDL","MA_QH","CQP")</f>
        <v>0</v>
      </c>
      <c r="T42" s="22">
        <f ca="1">+GETPIVOTDATA("XQT4",'quangthanh (2016)'!$A$3,"MA_HT","DDL","MA_QH","CAN")</f>
        <v>0</v>
      </c>
      <c r="U42" s="22">
        <f ca="1">+GETPIVOTDATA("XQT4",'quangthanh (2016)'!$A$3,"MA_HT","DDL","MA_QH","SKK")</f>
        <v>0</v>
      </c>
      <c r="V42" s="22">
        <f ca="1">+GETPIVOTDATA("XQT4",'quangthanh (2016)'!$A$3,"MA_HT","DDL","MA_QH","SKT")</f>
        <v>0</v>
      </c>
      <c r="W42" s="22">
        <f ca="1">+GETPIVOTDATA("XQT4",'quangthanh (2016)'!$A$3,"MA_HT","DDL","MA_QH","SKN")</f>
        <v>0</v>
      </c>
      <c r="X42" s="22">
        <f ca="1">+GETPIVOTDATA("XQT4",'quangthanh (2016)'!$A$3,"MA_HT","DDL","MA_QH","TMD")</f>
        <v>0</v>
      </c>
      <c r="Y42" s="22">
        <f ca="1">+GETPIVOTDATA("XQT4",'quangthanh (2016)'!$A$3,"MA_HT","DDL","MA_QH","SKC")</f>
        <v>0</v>
      </c>
      <c r="Z42" s="22">
        <f ca="1">+GETPIVOTDATA("XQT4",'quangthanh (2016)'!$A$3,"MA_HT","DDL","MA_QH","SKS")</f>
        <v>0</v>
      </c>
      <c r="AA42" s="52">
        <f ca="1" t="shared" si="21"/>
        <v>0</v>
      </c>
      <c r="AB42" s="22">
        <f ca="1">+GETPIVOTDATA("XQT4",'quangthanh (2016)'!$A$3,"MA_HT","DDL","MA_QH","DGT")</f>
        <v>0</v>
      </c>
      <c r="AC42" s="22">
        <f ca="1">+GETPIVOTDATA("XQT4",'quangthanh (2016)'!$A$3,"MA_HT","DDL","MA_QH","DTL")</f>
        <v>0</v>
      </c>
      <c r="AD42" s="22">
        <f ca="1">+GETPIVOTDATA("XQT4",'quangthanh (2016)'!$A$3,"MA_HT","DDL","MA_QH","DNL")</f>
        <v>0</v>
      </c>
      <c r="AE42" s="22">
        <f ca="1">+GETPIVOTDATA("XQT4",'quangthanh (2016)'!$A$3,"MA_HT","DDL","MA_QH","DBV")</f>
        <v>0</v>
      </c>
      <c r="AF42" s="22">
        <f ca="1">+GETPIVOTDATA("XQT4",'quangthanh (2016)'!$A$3,"MA_HT","DDL","MA_QH","DVH")</f>
        <v>0</v>
      </c>
      <c r="AG42" s="22">
        <f ca="1">+GETPIVOTDATA("XQT4",'quangthanh (2016)'!$A$3,"MA_HT","DDL","MA_QH","DYT")</f>
        <v>0</v>
      </c>
      <c r="AH42" s="22">
        <f ca="1">+GETPIVOTDATA("XQT4",'quangthanh (2016)'!$A$3,"MA_HT","DDL","MA_QH","DGD")</f>
        <v>0</v>
      </c>
      <c r="AI42" s="22">
        <f ca="1">+GETPIVOTDATA("XQT4",'quangthanh (2016)'!$A$3,"MA_HT","DDL","MA_QH","DTT")</f>
        <v>0</v>
      </c>
      <c r="AJ42" s="22">
        <f ca="1">+GETPIVOTDATA("XQT4",'quangthanh (2016)'!$A$3,"MA_HT","DDL","MA_QH","NCK")</f>
        <v>0</v>
      </c>
      <c r="AK42" s="22">
        <f ca="1">+GETPIVOTDATA("XQT4",'quangthanh (2016)'!$A$3,"MA_HT","DDL","MA_QH","DXH")</f>
        <v>0</v>
      </c>
      <c r="AL42" s="22">
        <f ca="1">+GETPIVOTDATA("XQT4",'quangthanh (2016)'!$A$3,"MA_HT","DDL","MA_QH","DCH")</f>
        <v>0</v>
      </c>
      <c r="AM42" s="22">
        <f ca="1">+GETPIVOTDATA("XQT4",'quangthanh (2016)'!$A$3,"MA_HT","DDL","MA_QH","DKG")</f>
        <v>0</v>
      </c>
      <c r="AN42" s="22">
        <f ca="1">+GETPIVOTDATA("XQT4",'quangthanh (2016)'!$A$3,"MA_HT","DDL","MA_QH","DDT")</f>
        <v>0</v>
      </c>
      <c r="AO42" s="43" t="e">
        <f ca="1">$D42-$BF42</f>
        <v>#REF!</v>
      </c>
      <c r="AP42" s="22">
        <f ca="1">+GETPIVOTDATA("XQT4",'quangthanh (2016)'!$A$3,"MA_HT","DDL","MA_QH","DRA")</f>
        <v>0</v>
      </c>
      <c r="AQ42" s="22">
        <f ca="1">+GETPIVOTDATA("XQT4",'quangthanh (2016)'!$A$3,"MA_HT","DDL","MA_QH","ONT")</f>
        <v>0</v>
      </c>
      <c r="AR42" s="22">
        <f ca="1">+GETPIVOTDATA("XQT4",'quangthanh (2016)'!$A$3,"MA_HT","DDL","MA_QH","ODT")</f>
        <v>0</v>
      </c>
      <c r="AS42" s="22">
        <f ca="1">+GETPIVOTDATA("XQT4",'quangthanh (2016)'!$A$3,"MA_HT","DDL","MA_QH","TSC")</f>
        <v>0</v>
      </c>
      <c r="AT42" s="22">
        <f ca="1">+GETPIVOTDATA("XQT4",'quangthanh (2016)'!$A$3,"MA_HT","DDL","MA_QH","DTS")</f>
        <v>0</v>
      </c>
      <c r="AU42" s="22">
        <f ca="1">+GETPIVOTDATA("XQT4",'quangthanh (2016)'!$A$3,"MA_HT","DDL","MA_QH","DNG")</f>
        <v>0</v>
      </c>
      <c r="AV42" s="22">
        <f ca="1">+GETPIVOTDATA("XQT4",'quangthanh (2016)'!$A$3,"MA_HT","DDL","MA_QH","TON")</f>
        <v>0</v>
      </c>
      <c r="AW42" s="22">
        <f ca="1">+GETPIVOTDATA("XQT4",'quangthanh (2016)'!$A$3,"MA_HT","DDL","MA_QH","NTD")</f>
        <v>0</v>
      </c>
      <c r="AX42" s="22">
        <f ca="1">+GETPIVOTDATA("XQT4",'quangthanh (2016)'!$A$3,"MA_HT","DDL","MA_QH","SKX")</f>
        <v>0</v>
      </c>
      <c r="AY42" s="22">
        <f ca="1">+GETPIVOTDATA("XQT4",'quangthanh (2016)'!$A$3,"MA_HT","DDL","MA_QH","DSH")</f>
        <v>0</v>
      </c>
      <c r="AZ42" s="22">
        <f ca="1">+GETPIVOTDATA("XQT4",'quangthanh (2016)'!$A$3,"MA_HT","DDL","MA_QH","DKV")</f>
        <v>0</v>
      </c>
      <c r="BA42" s="89">
        <f ca="1">+GETPIVOTDATA("XQT4",'quangthanh (2016)'!$A$3,"MA_HT","DDL","MA_QH","TIN")</f>
        <v>0</v>
      </c>
      <c r="BB42" s="50">
        <f ca="1">+GETPIVOTDATA("XQT4",'quangthanh (2016)'!$A$3,"MA_HT","DDL","MA_QH","SON")</f>
        <v>0</v>
      </c>
      <c r="BC42" s="50">
        <f ca="1">+GETPIVOTDATA("XQT4",'quangthanh (2016)'!$A$3,"MA_HT","DDL","MA_QH","MNC")</f>
        <v>0</v>
      </c>
      <c r="BD42" s="22">
        <f ca="1">+GETPIVOTDATA("XQT4",'quangthanh (2016)'!$A$3,"MA_HT","DDL","MA_QH","PNK")</f>
        <v>0</v>
      </c>
      <c r="BE42" s="71">
        <f ca="1">+GETPIVOTDATA("XQT4",'quangthanh (2016)'!$A$3,"MA_HT","DDL","MA_QH","CSD")</f>
        <v>0</v>
      </c>
      <c r="BF42" s="74">
        <f ca="1" t="shared" si="13"/>
        <v>0</v>
      </c>
      <c r="BG42" s="101">
        <f ca="1">AO$59-$BF42</f>
        <v>0</v>
      </c>
      <c r="BH42" s="41" t="e">
        <f ca="1" t="shared" si="14"/>
        <v>#REF!</v>
      </c>
      <c r="BI42" s="98"/>
      <c r="BJ42" s="107"/>
      <c r="BK42" s="10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</row>
    <row r="43" s="2" customFormat="1" ht="15.75" customHeight="1" spans="1:79">
      <c r="A43" s="39" t="s">
        <v>8404</v>
      </c>
      <c r="B43" s="53" t="s">
        <v>8405</v>
      </c>
      <c r="C43" s="40" t="s">
        <v>8291</v>
      </c>
      <c r="D43" s="41" t="e">
        <f>+#REF!</f>
        <v>#REF!</v>
      </c>
      <c r="E43" s="42">
        <f ca="1" t="shared" si="15"/>
        <v>0</v>
      </c>
      <c r="F43" s="52">
        <f ca="1" t="shared" si="9"/>
        <v>0</v>
      </c>
      <c r="G43" s="22">
        <f ca="1">+GETPIVOTDATA("XQT4",'quangthanh (2016)'!$A$3,"MA_HT","DRA","MA_QH","LUC")</f>
        <v>0</v>
      </c>
      <c r="H43" s="22">
        <f ca="1">+GETPIVOTDATA("XQT4",'quangthanh (2016)'!$A$3,"MA_HT","DRA","MA_QH","LUK")</f>
        <v>0</v>
      </c>
      <c r="I43" s="22">
        <f ca="1">+GETPIVOTDATA("XQT4",'quangthanh (2016)'!$A$3,"MA_HT","DRA","MA_QH","LUN")</f>
        <v>0</v>
      </c>
      <c r="J43" s="22">
        <f ca="1">+GETPIVOTDATA("XQT4",'quangthanh (2016)'!$A$3,"MA_HT","DRA","MA_QH","HNK")</f>
        <v>0</v>
      </c>
      <c r="K43" s="22">
        <f ca="1">+GETPIVOTDATA("XQT4",'quangthanh (2016)'!$A$3,"MA_HT","DRA","MA_QH","CLN")</f>
        <v>0</v>
      </c>
      <c r="L43" s="22">
        <f ca="1">+GETPIVOTDATA("XQT4",'quangthanh (2016)'!$A$3,"MA_HT","DRA","MA_QH","RSX")</f>
        <v>0</v>
      </c>
      <c r="M43" s="22">
        <f ca="1">+GETPIVOTDATA("XQT4",'quangthanh (2016)'!$A$3,"MA_HT","DRA","MA_QH","RPH")</f>
        <v>0</v>
      </c>
      <c r="N43" s="22">
        <f ca="1">+GETPIVOTDATA("XQT4",'quangthanh (2016)'!$A$3,"MA_HT","DRA","MA_QH","RDD")</f>
        <v>0</v>
      </c>
      <c r="O43" s="22">
        <f ca="1">+GETPIVOTDATA("XQT4",'quangthanh (2016)'!$A$3,"MA_HT","DRA","MA_QH","NTS")</f>
        <v>0</v>
      </c>
      <c r="P43" s="22">
        <f ca="1">+GETPIVOTDATA("XQT4",'quangthanh (2016)'!$A$3,"MA_HT","DRA","MA_QH","LMU")</f>
        <v>0</v>
      </c>
      <c r="Q43" s="22">
        <f ca="1">+GETPIVOTDATA("XQT4",'quangthanh (2016)'!$A$3,"MA_HT","DRA","MA_QH","NKH")</f>
        <v>0</v>
      </c>
      <c r="R43" s="79">
        <f ca="1">SUM(S43:AA43,AN43:AO43,AQ43:BD43)</f>
        <v>0</v>
      </c>
      <c r="S43" s="22">
        <f ca="1">+GETPIVOTDATA("XQT4",'quangthanh (2016)'!$A$3,"MA_HT","DRA","MA_QH","CQP")</f>
        <v>0</v>
      </c>
      <c r="T43" s="22">
        <f ca="1">+GETPIVOTDATA("XQT4",'quangthanh (2016)'!$A$3,"MA_HT","DRA","MA_QH","CAN")</f>
        <v>0</v>
      </c>
      <c r="U43" s="22">
        <f ca="1">+GETPIVOTDATA("XQT4",'quangthanh (2016)'!$A$3,"MA_HT","DRA","MA_QH","SKK")</f>
        <v>0</v>
      </c>
      <c r="V43" s="22">
        <f ca="1">+GETPIVOTDATA("XQT4",'quangthanh (2016)'!$A$3,"MA_HT","DRA","MA_QH","SKT")</f>
        <v>0</v>
      </c>
      <c r="W43" s="22">
        <f ca="1">+GETPIVOTDATA("XQT4",'quangthanh (2016)'!$A$3,"MA_HT","DRA","MA_QH","SKN")</f>
        <v>0</v>
      </c>
      <c r="X43" s="22">
        <f ca="1">+GETPIVOTDATA("XQT4",'quangthanh (2016)'!$A$3,"MA_HT","DRA","MA_QH","TMD")</f>
        <v>0</v>
      </c>
      <c r="Y43" s="22">
        <f ca="1">+GETPIVOTDATA("XQT4",'quangthanh (2016)'!$A$3,"MA_HT","DRA","MA_QH","SKC")</f>
        <v>0</v>
      </c>
      <c r="Z43" s="22">
        <f ca="1">+GETPIVOTDATA("XQT4",'quangthanh (2016)'!$A$3,"MA_HT","DRA","MA_QH","SKS")</f>
        <v>0</v>
      </c>
      <c r="AA43" s="52">
        <f ca="1" t="shared" si="21"/>
        <v>0</v>
      </c>
      <c r="AB43" s="22">
        <f ca="1">+GETPIVOTDATA("XQT4",'quangthanh (2016)'!$A$3,"MA_HT","DRA","MA_QH","DGT")</f>
        <v>0</v>
      </c>
      <c r="AC43" s="22">
        <f ca="1">+GETPIVOTDATA("XQT4",'quangthanh (2016)'!$A$3,"MA_HT","DRA","MA_QH","DTL")</f>
        <v>0</v>
      </c>
      <c r="AD43" s="22">
        <f ca="1">+GETPIVOTDATA("XQT4",'quangthanh (2016)'!$A$3,"MA_HT","DRA","MA_QH","DNL")</f>
        <v>0</v>
      </c>
      <c r="AE43" s="22">
        <f ca="1">+GETPIVOTDATA("XQT4",'quangthanh (2016)'!$A$3,"MA_HT","DRA","MA_QH","DBV")</f>
        <v>0</v>
      </c>
      <c r="AF43" s="22">
        <f ca="1">+GETPIVOTDATA("XQT4",'quangthanh (2016)'!$A$3,"MA_HT","DRA","MA_QH","DVH")</f>
        <v>0</v>
      </c>
      <c r="AG43" s="22">
        <f ca="1">+GETPIVOTDATA("XQT4",'quangthanh (2016)'!$A$3,"MA_HT","DRA","MA_QH","DYT")</f>
        <v>0</v>
      </c>
      <c r="AH43" s="22">
        <f ca="1">+GETPIVOTDATA("XQT4",'quangthanh (2016)'!$A$3,"MA_HT","DRA","MA_QH","DGD")</f>
        <v>0</v>
      </c>
      <c r="AI43" s="22">
        <f ca="1">+GETPIVOTDATA("XQT4",'quangthanh (2016)'!$A$3,"MA_HT","DRA","MA_QH","DTT")</f>
        <v>0</v>
      </c>
      <c r="AJ43" s="22">
        <f ca="1">+GETPIVOTDATA("XQT4",'quangthanh (2016)'!$A$3,"MA_HT","DRA","MA_QH","NCK")</f>
        <v>0</v>
      </c>
      <c r="AK43" s="22">
        <f ca="1">+GETPIVOTDATA("XQT4",'quangthanh (2016)'!$A$3,"MA_HT","DRA","MA_QH","DXH")</f>
        <v>0</v>
      </c>
      <c r="AL43" s="22">
        <f ca="1">+GETPIVOTDATA("XQT4",'quangthanh (2016)'!$A$3,"MA_HT","DRA","MA_QH","DCH")</f>
        <v>0</v>
      </c>
      <c r="AM43" s="22">
        <f ca="1">+GETPIVOTDATA("XQT4",'quangthanh (2016)'!$A$3,"MA_HT","DRA","MA_QH","DKG")</f>
        <v>0</v>
      </c>
      <c r="AN43" s="22">
        <f ca="1">+GETPIVOTDATA("XQT4",'quangthanh (2016)'!$A$3,"MA_HT","DRA","MA_QH","DDT")</f>
        <v>0</v>
      </c>
      <c r="AO43" s="22">
        <f ca="1">+GETPIVOTDATA("XQT4",'quangthanh (2016)'!$A$3,"MA_HT","DRA","MA_QH","DDL")</f>
        <v>0</v>
      </c>
      <c r="AP43" s="43" t="e">
        <f ca="1">$D43-$BF43</f>
        <v>#REF!</v>
      </c>
      <c r="AQ43" s="22">
        <f ca="1">+GETPIVOTDATA("XQT4",'quangthanh (2016)'!$A$3,"MA_HT","DRA","MA_QH","ONT")</f>
        <v>0</v>
      </c>
      <c r="AR43" s="22">
        <f ca="1">+GETPIVOTDATA("XQT4",'quangthanh (2016)'!$A$3,"MA_HT","DRA","MA_QH","ODT")</f>
        <v>0</v>
      </c>
      <c r="AS43" s="22">
        <f ca="1">+GETPIVOTDATA("XQT4",'quangthanh (2016)'!$A$3,"MA_HT","DRA","MA_QH","TSC")</f>
        <v>0</v>
      </c>
      <c r="AT43" s="22">
        <f ca="1">+GETPIVOTDATA("XQT4",'quangthanh (2016)'!$A$3,"MA_HT","DRA","MA_QH","DTS")</f>
        <v>0</v>
      </c>
      <c r="AU43" s="22">
        <f ca="1">+GETPIVOTDATA("XQT4",'quangthanh (2016)'!$A$3,"MA_HT","DRA","MA_QH","DNG")</f>
        <v>0</v>
      </c>
      <c r="AV43" s="22">
        <f ca="1">+GETPIVOTDATA("XQT4",'quangthanh (2016)'!$A$3,"MA_HT","DRA","MA_QH","TON")</f>
        <v>0</v>
      </c>
      <c r="AW43" s="22">
        <f ca="1">+GETPIVOTDATA("XQT4",'quangthanh (2016)'!$A$3,"MA_HT","DRA","MA_QH","NTD")</f>
        <v>0</v>
      </c>
      <c r="AX43" s="22">
        <f ca="1">+GETPIVOTDATA("XQT4",'quangthanh (2016)'!$A$3,"MA_HT","DRA","MA_QH","SKX")</f>
        <v>0</v>
      </c>
      <c r="AY43" s="22">
        <f ca="1">+GETPIVOTDATA("XQT4",'quangthanh (2016)'!$A$3,"MA_HT","DRA","MA_QH","DSH")</f>
        <v>0</v>
      </c>
      <c r="AZ43" s="22">
        <f ca="1">+GETPIVOTDATA("XQT4",'quangthanh (2016)'!$A$3,"MA_HT","DRA","MA_QH","DKV")</f>
        <v>0</v>
      </c>
      <c r="BA43" s="89">
        <f ca="1">+GETPIVOTDATA("XQT4",'quangthanh (2016)'!$A$3,"MA_HT","DRA","MA_QH","TIN")</f>
        <v>0</v>
      </c>
      <c r="BB43" s="50">
        <f ca="1">+GETPIVOTDATA("XQT4",'quangthanh (2016)'!$A$3,"MA_HT","DRA","MA_QH","SON")</f>
        <v>0</v>
      </c>
      <c r="BC43" s="50">
        <f ca="1">+GETPIVOTDATA("XQT4",'quangthanh (2016)'!$A$3,"MA_HT","DRA","MA_QH","MNC")</f>
        <v>0</v>
      </c>
      <c r="BD43" s="22">
        <f ca="1">+GETPIVOTDATA("XQT4",'quangthanh (2016)'!$A$3,"MA_HT","DRA","MA_QH","PNK")</f>
        <v>0</v>
      </c>
      <c r="BE43" s="71">
        <f ca="1">+GETPIVOTDATA("XQT4",'quangthanh (2016)'!$A$3,"MA_HT","DRA","MA_QH","CSD")</f>
        <v>0</v>
      </c>
      <c r="BF43" s="74">
        <f ca="1" t="shared" si="13"/>
        <v>0</v>
      </c>
      <c r="BG43" s="101">
        <f ca="1">AP$59-$BF43</f>
        <v>0</v>
      </c>
      <c r="BH43" s="41" t="e">
        <f ca="1" t="shared" si="14"/>
        <v>#REF!</v>
      </c>
      <c r="BI43" s="98"/>
      <c r="BJ43" s="107" t="e">
        <f>#REF!</f>
        <v>#REF!</v>
      </c>
      <c r="BK43" s="107" t="e">
        <f ca="1">BH43-BJ43</f>
        <v>#REF!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</row>
    <row r="44" s="2" customFormat="1" ht="15.75" customHeight="1" spans="1:79">
      <c r="A44" s="39" t="s">
        <v>8406</v>
      </c>
      <c r="B44" s="53" t="s">
        <v>8407</v>
      </c>
      <c r="C44" s="40" t="s">
        <v>188</v>
      </c>
      <c r="D44" s="41" t="e">
        <f>+#REF!</f>
        <v>#REF!</v>
      </c>
      <c r="E44" s="42">
        <f ca="1" t="shared" si="15"/>
        <v>0</v>
      </c>
      <c r="F44" s="52">
        <f ca="1" t="shared" si="9"/>
        <v>0</v>
      </c>
      <c r="G44" s="22">
        <f ca="1">+GETPIVOTDATA("XQT4",'quangthanh (2016)'!$A$3,"MA_HT","ONT","MA_QH","LUC")</f>
        <v>0</v>
      </c>
      <c r="H44" s="22">
        <f ca="1">+GETPIVOTDATA("XQT4",'quangthanh (2016)'!$A$3,"MA_HT","ONT","MA_QH","LUK")</f>
        <v>0</v>
      </c>
      <c r="I44" s="22">
        <f ca="1">+GETPIVOTDATA("XQT4",'quangthanh (2016)'!$A$3,"MA_HT","ONT","MA_QH","LUN")</f>
        <v>0</v>
      </c>
      <c r="J44" s="22">
        <f ca="1">+GETPIVOTDATA("XQT4",'quangthanh (2016)'!$A$3,"MA_HT","ONT","MA_QH","HNK")</f>
        <v>0</v>
      </c>
      <c r="K44" s="22">
        <f ca="1">+GETPIVOTDATA("XQT4",'quangthanh (2016)'!$A$3,"MA_HT","ONT","MA_QH","CLN")</f>
        <v>0</v>
      </c>
      <c r="L44" s="22">
        <f ca="1">+GETPIVOTDATA("XQT4",'quangthanh (2016)'!$A$3,"MA_HT","ONT","MA_QH","RSX")</f>
        <v>0</v>
      </c>
      <c r="M44" s="22">
        <f ca="1">+GETPIVOTDATA("XQT4",'quangthanh (2016)'!$A$3,"MA_HT","ONT","MA_QH","RPH")</f>
        <v>0</v>
      </c>
      <c r="N44" s="22">
        <f ca="1">+GETPIVOTDATA("XQT4",'quangthanh (2016)'!$A$3,"MA_HT","ONT","MA_QH","RDD")</f>
        <v>0</v>
      </c>
      <c r="O44" s="22">
        <f ca="1">+GETPIVOTDATA("XQT4",'quangthanh (2016)'!$A$3,"MA_HT","ONT","MA_QH","NTS")</f>
        <v>0</v>
      </c>
      <c r="P44" s="22">
        <f ca="1">+GETPIVOTDATA("XQT4",'quangthanh (2016)'!$A$3,"MA_HT","ONT","MA_QH","LMU")</f>
        <v>0</v>
      </c>
      <c r="Q44" s="22">
        <f ca="1">+GETPIVOTDATA("XQT4",'quangthanh (2016)'!$A$3,"MA_HT","ONT","MA_QH","NKH")</f>
        <v>0</v>
      </c>
      <c r="R44" s="79">
        <f ca="1">SUM(S44:AA44,AN44:AP44,AR44:BD44)</f>
        <v>0</v>
      </c>
      <c r="S44" s="22">
        <f ca="1">+GETPIVOTDATA("XQT4",'quangthanh (2016)'!$A$3,"MA_HT","ONT","MA_QH","CQP")</f>
        <v>0</v>
      </c>
      <c r="T44" s="22">
        <f ca="1">+GETPIVOTDATA("XQT4",'quangthanh (2016)'!$A$3,"MA_HT","ONT","MA_QH","CAN")</f>
        <v>0</v>
      </c>
      <c r="U44" s="22">
        <f ca="1">+GETPIVOTDATA("XQT4",'quangthanh (2016)'!$A$3,"MA_HT","ONT","MA_QH","SKK")</f>
        <v>0</v>
      </c>
      <c r="V44" s="22">
        <f ca="1">+GETPIVOTDATA("XQT4",'quangthanh (2016)'!$A$3,"MA_HT","ONT","MA_QH","SKT")</f>
        <v>0</v>
      </c>
      <c r="W44" s="22">
        <f ca="1">+GETPIVOTDATA("XQT4",'quangthanh (2016)'!$A$3,"MA_HT","ONT","MA_QH","SKN")</f>
        <v>0</v>
      </c>
      <c r="X44" s="22">
        <f ca="1">+GETPIVOTDATA("XQT4",'quangthanh (2016)'!$A$3,"MA_HT","ONT","MA_QH","TMD")</f>
        <v>0</v>
      </c>
      <c r="Y44" s="22">
        <f ca="1">+GETPIVOTDATA("XQT4",'quangthanh (2016)'!$A$3,"MA_HT","ONT","MA_QH","SKC")</f>
        <v>0</v>
      </c>
      <c r="Z44" s="22">
        <f ca="1">+GETPIVOTDATA("XQT4",'quangthanh (2016)'!$A$3,"MA_HT","ONT","MA_QH","SKS")</f>
        <v>0</v>
      </c>
      <c r="AA44" s="52">
        <f ca="1" t="shared" si="21"/>
        <v>0</v>
      </c>
      <c r="AB44" s="22">
        <f ca="1">+GETPIVOTDATA("XQT4",'quangthanh (2016)'!$A$3,"MA_HT","ONT","MA_QH","DGT")</f>
        <v>0</v>
      </c>
      <c r="AC44" s="22">
        <f ca="1">+GETPIVOTDATA("XQT4",'quangthanh (2016)'!$A$3,"MA_HT","ONT","MA_QH","DTL")</f>
        <v>0</v>
      </c>
      <c r="AD44" s="22">
        <f ca="1">+GETPIVOTDATA("XQT4",'quangthanh (2016)'!$A$3,"MA_HT","ONT","MA_QH","DNL")</f>
        <v>0</v>
      </c>
      <c r="AE44" s="22">
        <f ca="1">+GETPIVOTDATA("XQT4",'quangthanh (2016)'!$A$3,"MA_HT","ONT","MA_QH","DBV")</f>
        <v>0</v>
      </c>
      <c r="AF44" s="22">
        <f ca="1">+GETPIVOTDATA("XQT4",'quangthanh (2016)'!$A$3,"MA_HT","ONT","MA_QH","DVH")</f>
        <v>0</v>
      </c>
      <c r="AG44" s="22">
        <f ca="1">+GETPIVOTDATA("XQT4",'quangthanh (2016)'!$A$3,"MA_HT","ONT","MA_QH","DYT")</f>
        <v>0</v>
      </c>
      <c r="AH44" s="22">
        <f ca="1">+GETPIVOTDATA("XQT4",'quangthanh (2016)'!$A$3,"MA_HT","ONT","MA_QH","DGD")</f>
        <v>0</v>
      </c>
      <c r="AI44" s="22">
        <f ca="1">+GETPIVOTDATA("XQT4",'quangthanh (2016)'!$A$3,"MA_HT","ONT","MA_QH","DTT")</f>
        <v>0</v>
      </c>
      <c r="AJ44" s="22">
        <f ca="1">+GETPIVOTDATA("XQT4",'quangthanh (2016)'!$A$3,"MA_HT","ONT","MA_QH","NCK")</f>
        <v>0</v>
      </c>
      <c r="AK44" s="22">
        <f ca="1">+GETPIVOTDATA("XQT4",'quangthanh (2016)'!$A$3,"MA_HT","ONT","MA_QH","DXH")</f>
        <v>0</v>
      </c>
      <c r="AL44" s="22">
        <f ca="1">+GETPIVOTDATA("XQT4",'quangthanh (2016)'!$A$3,"MA_HT","ONT","MA_QH","DCH")</f>
        <v>0</v>
      </c>
      <c r="AM44" s="22">
        <f ca="1">+GETPIVOTDATA("XQT4",'quangthanh (2016)'!$A$3,"MA_HT","ONT","MA_QH","DKG")</f>
        <v>0</v>
      </c>
      <c r="AN44" s="22">
        <f ca="1">+GETPIVOTDATA("XQT4",'quangthanh (2016)'!$A$3,"MA_HT","ONT","MA_QH","DDT")</f>
        <v>0</v>
      </c>
      <c r="AO44" s="22">
        <f ca="1">+GETPIVOTDATA("XQT4",'quangthanh (2016)'!$A$3,"MA_HT","ONT","MA_QH","DDL")</f>
        <v>0</v>
      </c>
      <c r="AP44" s="22">
        <f ca="1">+GETPIVOTDATA("XQT4",'quangthanh (2016)'!$A$3,"MA_HT","ONT","MA_QH","DRA")</f>
        <v>0</v>
      </c>
      <c r="AQ44" s="43" t="e">
        <f ca="1">$D44-$BF44</f>
        <v>#REF!</v>
      </c>
      <c r="AR44" s="22">
        <f ca="1">+GETPIVOTDATA("XQT4",'quangthanh (2016)'!$A$3,"MA_HT","ONT","MA_QH","ODT")</f>
        <v>0</v>
      </c>
      <c r="AS44" s="22">
        <f ca="1">+GETPIVOTDATA("XQT4",'quangthanh (2016)'!$A$3,"MA_HT","ONT","MA_QH","TSC")</f>
        <v>0</v>
      </c>
      <c r="AT44" s="22">
        <f ca="1">+GETPIVOTDATA("XQT4",'quangthanh (2016)'!$A$3,"MA_HT","ONT","MA_QH","DTS")</f>
        <v>0</v>
      </c>
      <c r="AU44" s="22">
        <f ca="1">+GETPIVOTDATA("XQT4",'quangthanh (2016)'!$A$3,"MA_HT","ONT","MA_QH","DNG")</f>
        <v>0</v>
      </c>
      <c r="AV44" s="22">
        <f ca="1">+GETPIVOTDATA("XQT4",'quangthanh (2016)'!$A$3,"MA_HT","ONT","MA_QH","TON")</f>
        <v>0</v>
      </c>
      <c r="AW44" s="22">
        <f ca="1">+GETPIVOTDATA("XQT4",'quangthanh (2016)'!$A$3,"MA_HT","ONT","MA_QH","NTD")</f>
        <v>0</v>
      </c>
      <c r="AX44" s="22">
        <f ca="1">+GETPIVOTDATA("XQT4",'quangthanh (2016)'!$A$3,"MA_HT","ONT","MA_QH","SKX")</f>
        <v>0</v>
      </c>
      <c r="AY44" s="22">
        <f ca="1">+GETPIVOTDATA("XQT4",'quangthanh (2016)'!$A$3,"MA_HT","ONT","MA_QH","DSH")</f>
        <v>0</v>
      </c>
      <c r="AZ44" s="22">
        <f ca="1">+GETPIVOTDATA("XQT4",'quangthanh (2016)'!$A$3,"MA_HT","ONT","MA_QH","DKV")</f>
        <v>0</v>
      </c>
      <c r="BA44" s="89">
        <f ca="1">+GETPIVOTDATA("XQT4",'quangthanh (2016)'!$A$3,"MA_HT","ONT","MA_QH","TIN")</f>
        <v>0</v>
      </c>
      <c r="BB44" s="50">
        <f ca="1">+GETPIVOTDATA("XQT4",'quangthanh (2016)'!$A$3,"MA_HT","ONT","MA_QH","SON")</f>
        <v>0</v>
      </c>
      <c r="BC44" s="50">
        <f ca="1">+GETPIVOTDATA("XQT4",'quangthanh (2016)'!$A$3,"MA_HT","ONT","MA_QH","MNC")</f>
        <v>0</v>
      </c>
      <c r="BD44" s="22">
        <f ca="1">+GETPIVOTDATA("XQT4",'quangthanh (2016)'!$A$3,"MA_HT","ONT","MA_QH","PNK")</f>
        <v>0</v>
      </c>
      <c r="BE44" s="71">
        <f ca="1">+GETPIVOTDATA("XQT4",'quangthanh (2016)'!$A$3,"MA_HT","ONT","MA_QH","CSD")</f>
        <v>0</v>
      </c>
      <c r="BF44" s="74">
        <f ca="1" t="shared" si="13"/>
        <v>0</v>
      </c>
      <c r="BG44" s="101">
        <f ca="1">AQ$59-$BF44</f>
        <v>0</v>
      </c>
      <c r="BH44" s="41" t="e">
        <f ca="1" t="shared" si="14"/>
        <v>#REF!</v>
      </c>
      <c r="BI44" s="98"/>
      <c r="BJ44" s="107" t="e">
        <f>#REF!</f>
        <v>#REF!</v>
      </c>
      <c r="BK44" s="107" t="e">
        <f ca="1">BH44-BJ44</f>
        <v>#REF!</v>
      </c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</row>
    <row r="45" s="2" customFormat="1" ht="15.75" customHeight="1" spans="1:79">
      <c r="A45" s="61" t="s">
        <v>8408</v>
      </c>
      <c r="B45" s="62" t="s">
        <v>8409</v>
      </c>
      <c r="C45" s="63" t="s">
        <v>201</v>
      </c>
      <c r="D45" s="64" t="e">
        <f>+#REF!</f>
        <v>#REF!</v>
      </c>
      <c r="E45" s="65">
        <f ca="1" t="shared" si="15"/>
        <v>0</v>
      </c>
      <c r="F45" s="66">
        <f ca="1" t="shared" si="9"/>
        <v>0</v>
      </c>
      <c r="G45" s="67">
        <f ca="1">+GETPIVOTDATA("XQT4",'quangthanh (2016)'!$A$3,"MA_HT","ODT","MA_QH","LUC")</f>
        <v>0</v>
      </c>
      <c r="H45" s="67">
        <f ca="1">+GETPIVOTDATA("XQT4",'quangthanh (2016)'!$A$3,"MA_HT","ODT","MA_QH","LUK")</f>
        <v>0</v>
      </c>
      <c r="I45" s="67">
        <f ca="1">+GETPIVOTDATA("XQT4",'quangthanh (2016)'!$A$3,"MA_HT","ODT","MA_QH","LUN")</f>
        <v>0</v>
      </c>
      <c r="J45" s="67">
        <f ca="1">+GETPIVOTDATA("XQT4",'quangthanh (2016)'!$A$3,"MA_HT","ODT","MA_QH","HNK")</f>
        <v>0</v>
      </c>
      <c r="K45" s="67">
        <f ca="1">+GETPIVOTDATA("XQT4",'quangthanh (2016)'!$A$3,"MA_HT","ODT","MA_QH","CLN")</f>
        <v>0</v>
      </c>
      <c r="L45" s="67">
        <f ca="1">+GETPIVOTDATA("XQT4",'quangthanh (2016)'!$A$3,"MA_HT","ODT","MA_QH","RSX")</f>
        <v>0</v>
      </c>
      <c r="M45" s="67">
        <f ca="1">+GETPIVOTDATA("XQT4",'quangthanh (2016)'!$A$3,"MA_HT","ODT","MA_QH","RPH")</f>
        <v>0</v>
      </c>
      <c r="N45" s="67">
        <f ca="1">+GETPIVOTDATA("XQT4",'quangthanh (2016)'!$A$3,"MA_HT","ODT","MA_QH","RDD")</f>
        <v>0</v>
      </c>
      <c r="O45" s="67">
        <f ca="1">+GETPIVOTDATA("XQT4",'quangthanh (2016)'!$A$3,"MA_HT","ODT","MA_QH","NTS")</f>
        <v>0</v>
      </c>
      <c r="P45" s="67">
        <f ca="1">+GETPIVOTDATA("XQT4",'quangthanh (2016)'!$A$3,"MA_HT","ODT","MA_QH","LMU")</f>
        <v>0</v>
      </c>
      <c r="Q45" s="67">
        <f ca="1">+GETPIVOTDATA("XQT4",'quangthanh (2016)'!$A$3,"MA_HT","ODT","MA_QH","NKH")</f>
        <v>0</v>
      </c>
      <c r="R45" s="79">
        <f ca="1">SUM(S45:AA45,AN45:AQ45,AS45:BD45)</f>
        <v>0</v>
      </c>
      <c r="S45" s="67">
        <f ca="1">+GETPIVOTDATA("XQT4",'quangthanh (2016)'!$A$3,"MA_HT","ODT","MA_QH","CQP")</f>
        <v>0</v>
      </c>
      <c r="T45" s="67">
        <f ca="1">+GETPIVOTDATA("XQT4",'quangthanh (2016)'!$A$3,"MA_HT","ODT","MA_QH","CAN")</f>
        <v>0</v>
      </c>
      <c r="U45" s="67">
        <f ca="1">+GETPIVOTDATA("XQT4",'quangthanh (2016)'!$A$3,"MA_HT","ODT","MA_QH","SKK")</f>
        <v>0</v>
      </c>
      <c r="V45" s="67">
        <f ca="1">+GETPIVOTDATA("XQT4",'quangthanh (2016)'!$A$3,"MA_HT","ODT","MA_QH","SKT")</f>
        <v>0</v>
      </c>
      <c r="W45" s="67">
        <f ca="1">+GETPIVOTDATA("XQT4",'quangthanh (2016)'!$A$3,"MA_HT","ODT","MA_QH","SKN")</f>
        <v>0</v>
      </c>
      <c r="X45" s="67">
        <f ca="1">+GETPIVOTDATA("XQT4",'quangthanh (2016)'!$A$3,"MA_HT","ODT","MA_QH","TMD")</f>
        <v>0</v>
      </c>
      <c r="Y45" s="67">
        <f ca="1">+GETPIVOTDATA("XQT4",'quangthanh (2016)'!$A$3,"MA_HT","ODT","MA_QH","SKC")</f>
        <v>0</v>
      </c>
      <c r="Z45" s="67">
        <f ca="1">+GETPIVOTDATA("XQT4",'quangthanh (2016)'!$A$3,"MA_HT","ODT","MA_QH","SKS")</f>
        <v>0</v>
      </c>
      <c r="AA45" s="66">
        <f ca="1" t="shared" si="21"/>
        <v>0</v>
      </c>
      <c r="AB45" s="67">
        <f ca="1">+GETPIVOTDATA("XQT4",'quangthanh (2016)'!$A$3,"MA_HT","ODT","MA_QH","DGT")</f>
        <v>0</v>
      </c>
      <c r="AC45" s="67">
        <f ca="1">+GETPIVOTDATA("XQT4",'quangthanh (2016)'!$A$3,"MA_HT","ODT","MA_QH","DTL")</f>
        <v>0</v>
      </c>
      <c r="AD45" s="67">
        <f ca="1">+GETPIVOTDATA("XQT4",'quangthanh (2016)'!$A$3,"MA_HT","ODT","MA_QH","DNL")</f>
        <v>0</v>
      </c>
      <c r="AE45" s="67">
        <f ca="1">+GETPIVOTDATA("XQT4",'quangthanh (2016)'!$A$3,"MA_HT","ODT","MA_QH","DBV")</f>
        <v>0</v>
      </c>
      <c r="AF45" s="67">
        <f ca="1">+GETPIVOTDATA("XQT4",'quangthanh (2016)'!$A$3,"MA_HT","ODT","MA_QH","DVH")</f>
        <v>0</v>
      </c>
      <c r="AG45" s="67">
        <f ca="1">+GETPIVOTDATA("XQT4",'quangthanh (2016)'!$A$3,"MA_HT","ODT","MA_QH","DYT")</f>
        <v>0</v>
      </c>
      <c r="AH45" s="67">
        <f ca="1">+GETPIVOTDATA("XQT4",'quangthanh (2016)'!$A$3,"MA_HT","ODT","MA_QH","DGD")</f>
        <v>0</v>
      </c>
      <c r="AI45" s="67">
        <f ca="1">+GETPIVOTDATA("XQT4",'quangthanh (2016)'!$A$3,"MA_HT","ODT","MA_QH","DTT")</f>
        <v>0</v>
      </c>
      <c r="AJ45" s="67">
        <f ca="1">+GETPIVOTDATA("XQT4",'quangthanh (2016)'!$A$3,"MA_HT","ODT","MA_QH","NCK")</f>
        <v>0</v>
      </c>
      <c r="AK45" s="67">
        <f ca="1">+GETPIVOTDATA("XQT4",'quangthanh (2016)'!$A$3,"MA_HT","ODT","MA_QH","DXH")</f>
        <v>0</v>
      </c>
      <c r="AL45" s="67">
        <f ca="1">+GETPIVOTDATA("XQT4",'quangthanh (2016)'!$A$3,"MA_HT","ODT","MA_QH","DCH")</f>
        <v>0</v>
      </c>
      <c r="AM45" s="67">
        <f ca="1">+GETPIVOTDATA("XQT4",'quangthanh (2016)'!$A$3,"MA_HT","ODT","MA_QH","DKG")</f>
        <v>0</v>
      </c>
      <c r="AN45" s="67">
        <f ca="1">+GETPIVOTDATA("XQT4",'quangthanh (2016)'!$A$3,"MA_HT","ODT","MA_QH","DDT")</f>
        <v>0</v>
      </c>
      <c r="AO45" s="67">
        <f ca="1">+GETPIVOTDATA("XQT4",'quangthanh (2016)'!$A$3,"MA_HT","ODT","MA_QH","DDL")</f>
        <v>0</v>
      </c>
      <c r="AP45" s="67">
        <f ca="1">+GETPIVOTDATA("XQT4",'quangthanh (2016)'!$A$3,"MA_HT","ODT","MA_QH","DRA")</f>
        <v>0</v>
      </c>
      <c r="AQ45" s="67">
        <f ca="1">+GETPIVOTDATA("XQT4",'quangthanh (2016)'!$A$3,"MA_HT","ODT","MA_QH","ONT")</f>
        <v>0</v>
      </c>
      <c r="AR45" s="82" t="e">
        <f ca="1">$D45-$BF45</f>
        <v>#REF!</v>
      </c>
      <c r="AS45" s="67">
        <f ca="1">+GETPIVOTDATA("XQT4",'quangthanh (2016)'!$A$3,"MA_HT","ODT","MA_QH","TSC")</f>
        <v>0</v>
      </c>
      <c r="AT45" s="67">
        <f ca="1">+GETPIVOTDATA("XQT4",'quangthanh (2016)'!$A$3,"MA_HT","ODT","MA_QH","DTS")</f>
        <v>0</v>
      </c>
      <c r="AU45" s="67">
        <f ca="1">+GETPIVOTDATA("XQT4",'quangthanh (2016)'!$A$3,"MA_HT","ODT","MA_QH","DNG")</f>
        <v>0</v>
      </c>
      <c r="AV45" s="67">
        <f ca="1">+GETPIVOTDATA("XQT4",'quangthanh (2016)'!$A$3,"MA_HT","ODT","MA_QH","TON")</f>
        <v>0</v>
      </c>
      <c r="AW45" s="67">
        <f ca="1">+GETPIVOTDATA("XQT4",'quangthanh (2016)'!$A$3,"MA_HT","ODT","MA_QH","NTD")</f>
        <v>0</v>
      </c>
      <c r="AX45" s="67">
        <f ca="1">+GETPIVOTDATA("XQT4",'quangthanh (2016)'!$A$3,"MA_HT","ODT","MA_QH","SKX")</f>
        <v>0</v>
      </c>
      <c r="AY45" s="67">
        <f ca="1">+GETPIVOTDATA("XQT4",'quangthanh (2016)'!$A$3,"MA_HT","ODT","MA_QH","DSH")</f>
        <v>0</v>
      </c>
      <c r="AZ45" s="67">
        <f ca="1">+GETPIVOTDATA("XQT4",'quangthanh (2016)'!$A$3,"MA_HT","ODT","MA_QH","DKV")</f>
        <v>0</v>
      </c>
      <c r="BA45" s="92">
        <f ca="1">+GETPIVOTDATA("XQT4",'quangthanh (2016)'!$A$3,"MA_HT","ODT","MA_QH","TIN")</f>
        <v>0</v>
      </c>
      <c r="BB45" s="93">
        <f ca="1">+GETPIVOTDATA("XQT4",'quangthanh (2016)'!$A$3,"MA_HT","ODT","MA_QH","SON")</f>
        <v>0</v>
      </c>
      <c r="BC45" s="93">
        <f ca="1">+GETPIVOTDATA("XQT4",'quangthanh (2016)'!$A$3,"MA_HT","ODT","MA_QH","MNC")</f>
        <v>0</v>
      </c>
      <c r="BD45" s="67">
        <f ca="1">+GETPIVOTDATA("XQT4",'quangthanh (2016)'!$A$3,"MA_HT","ODT","MA_QH","PNK")</f>
        <v>0</v>
      </c>
      <c r="BE45" s="116">
        <f ca="1">+GETPIVOTDATA("XQT4",'quangthanh (2016)'!$A$3,"MA_HT","ODT","MA_QH","CSD")</f>
        <v>0</v>
      </c>
      <c r="BF45" s="117">
        <f ca="1" t="shared" si="13"/>
        <v>0</v>
      </c>
      <c r="BG45" s="118">
        <f ca="1">AR$59-$BF45</f>
        <v>0</v>
      </c>
      <c r="BH45" s="64" t="e">
        <f ca="1" t="shared" si="14"/>
        <v>#REF!</v>
      </c>
      <c r="BI45" s="98"/>
      <c r="BJ45" s="107" t="e">
        <f>#REF!</f>
        <v>#REF!</v>
      </c>
      <c r="BK45" s="107" t="e">
        <f ca="1">BH45-BJ45</f>
        <v>#REF!</v>
      </c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</row>
    <row r="46" s="6" customFormat="1" ht="15.75" customHeight="1" spans="1:79">
      <c r="A46" s="39" t="s">
        <v>8410</v>
      </c>
      <c r="B46" s="53" t="s">
        <v>8411</v>
      </c>
      <c r="C46" s="40" t="s">
        <v>336</v>
      </c>
      <c r="D46" s="41" t="e">
        <f>+#REF!</f>
        <v>#REF!</v>
      </c>
      <c r="E46" s="42">
        <f ca="1" t="shared" si="15"/>
        <v>0</v>
      </c>
      <c r="F46" s="52">
        <f ca="1" t="shared" si="9"/>
        <v>0</v>
      </c>
      <c r="G46" s="22">
        <f ca="1">+GETPIVOTDATA("XQT4",'quangthanh (2016)'!$A$3,"MA_HT","TSC","MA_QH","LUC")</f>
        <v>0</v>
      </c>
      <c r="H46" s="22">
        <f ca="1">+GETPIVOTDATA("XQT4",'quangthanh (2016)'!$A$3,"MA_HT","TSC","MA_QH","LUK")</f>
        <v>0</v>
      </c>
      <c r="I46" s="22">
        <f ca="1">+GETPIVOTDATA("XQT4",'quangthanh (2016)'!$A$3,"MA_HT","TSC","MA_QH","LUN")</f>
        <v>0</v>
      </c>
      <c r="J46" s="22">
        <f ca="1">+GETPIVOTDATA("XQT4",'quangthanh (2016)'!$A$3,"MA_HT","TSC","MA_QH","HNK")</f>
        <v>0</v>
      </c>
      <c r="K46" s="22">
        <f ca="1">+GETPIVOTDATA("XQT4",'quangthanh (2016)'!$A$3,"MA_HT","TSC","MA_QH","CLN")</f>
        <v>0</v>
      </c>
      <c r="L46" s="22">
        <f ca="1">+GETPIVOTDATA("XQT4",'quangthanh (2016)'!$A$3,"MA_HT","TSC","MA_QH","RSX")</f>
        <v>0</v>
      </c>
      <c r="M46" s="22">
        <f ca="1">+GETPIVOTDATA("XQT4",'quangthanh (2016)'!$A$3,"MA_HT","TSC","MA_QH","RPH")</f>
        <v>0</v>
      </c>
      <c r="N46" s="22">
        <f ca="1">+GETPIVOTDATA("XQT4",'quangthanh (2016)'!$A$3,"MA_HT","TSC","MA_QH","RDD")</f>
        <v>0</v>
      </c>
      <c r="O46" s="22">
        <f ca="1">+GETPIVOTDATA("XQT4",'quangthanh (2016)'!$A$3,"MA_HT","TSC","MA_QH","NTS")</f>
        <v>0</v>
      </c>
      <c r="P46" s="22">
        <f ca="1">+GETPIVOTDATA("XQT4",'quangthanh (2016)'!$A$3,"MA_HT","TSC","MA_QH","LMU")</f>
        <v>0</v>
      </c>
      <c r="Q46" s="22">
        <f ca="1">+GETPIVOTDATA("XQT4",'quangthanh (2016)'!$A$3,"MA_HT","TSC","MA_QH","NKH")</f>
        <v>0</v>
      </c>
      <c r="R46" s="48">
        <f ca="1">SUM(S46:AA46,AN46:AR46,AT46:BD46)</f>
        <v>0</v>
      </c>
      <c r="S46" s="22">
        <f ca="1">+GETPIVOTDATA("XQT4",'quangthanh (2016)'!$A$3,"MA_HT","TSC","MA_QH","CQP")</f>
        <v>0</v>
      </c>
      <c r="T46" s="22">
        <f ca="1">+GETPIVOTDATA("XQT4",'quangthanh (2016)'!$A$3,"MA_HT","TSC","MA_QH","CAN")</f>
        <v>0</v>
      </c>
      <c r="U46" s="22">
        <f ca="1">+GETPIVOTDATA("XQT4",'quangthanh (2016)'!$A$3,"MA_HT","TSC","MA_QH","SKK")</f>
        <v>0</v>
      </c>
      <c r="V46" s="22">
        <f ca="1">+GETPIVOTDATA("XQT4",'quangthanh (2016)'!$A$3,"MA_HT","TSC","MA_QH","SKT")</f>
        <v>0</v>
      </c>
      <c r="W46" s="22">
        <f ca="1">+GETPIVOTDATA("XQT4",'quangthanh (2016)'!$A$3,"MA_HT","TSC","MA_QH","SKN")</f>
        <v>0</v>
      </c>
      <c r="X46" s="22">
        <f ca="1">+GETPIVOTDATA("XQT4",'quangthanh (2016)'!$A$3,"MA_HT","TSC","MA_QH","TMD")</f>
        <v>0</v>
      </c>
      <c r="Y46" s="22">
        <f ca="1">+GETPIVOTDATA("XQT4",'quangthanh (2016)'!$A$3,"MA_HT","TSC","MA_QH","SKC")</f>
        <v>0</v>
      </c>
      <c r="Z46" s="22">
        <f ca="1">+GETPIVOTDATA("XQT4",'quangthanh (2016)'!$A$3,"MA_HT","TSC","MA_QH","SKS")</f>
        <v>0</v>
      </c>
      <c r="AA46" s="52">
        <f ca="1" t="shared" si="21"/>
        <v>0</v>
      </c>
      <c r="AB46" s="22">
        <f ca="1">+GETPIVOTDATA("XQT4",'quangthanh (2016)'!$A$3,"MA_HT","TSC","MA_QH","DGT")</f>
        <v>0</v>
      </c>
      <c r="AC46" s="22">
        <f ca="1">+GETPIVOTDATA("XQT4",'quangthanh (2016)'!$A$3,"MA_HT","TSC","MA_QH","DTL")</f>
        <v>0</v>
      </c>
      <c r="AD46" s="22">
        <f ca="1">+GETPIVOTDATA("XQT4",'quangthanh (2016)'!$A$3,"MA_HT","TSC","MA_QH","DNL")</f>
        <v>0</v>
      </c>
      <c r="AE46" s="22">
        <f ca="1">+GETPIVOTDATA("XQT4",'quangthanh (2016)'!$A$3,"MA_HT","TSC","MA_QH","DBV")</f>
        <v>0</v>
      </c>
      <c r="AF46" s="22">
        <f ca="1">+GETPIVOTDATA("XQT4",'quangthanh (2016)'!$A$3,"MA_HT","TSC","MA_QH","DVH")</f>
        <v>0</v>
      </c>
      <c r="AG46" s="22">
        <f ca="1">+GETPIVOTDATA("XQT4",'quangthanh (2016)'!$A$3,"MA_HT","TSC","MA_QH","DYT")</f>
        <v>0</v>
      </c>
      <c r="AH46" s="22">
        <f ca="1">+GETPIVOTDATA("XQT4",'quangthanh (2016)'!$A$3,"MA_HT","TSC","MA_QH","DGD")</f>
        <v>0</v>
      </c>
      <c r="AI46" s="22">
        <f ca="1">+GETPIVOTDATA("XQT4",'quangthanh (2016)'!$A$3,"MA_HT","TSC","MA_QH","DTT")</f>
        <v>0</v>
      </c>
      <c r="AJ46" s="22">
        <f ca="1">+GETPIVOTDATA("XQT4",'quangthanh (2016)'!$A$3,"MA_HT","TSC","MA_QH","NCK")</f>
        <v>0</v>
      </c>
      <c r="AK46" s="22">
        <f ca="1">+GETPIVOTDATA("XQT4",'quangthanh (2016)'!$A$3,"MA_HT","TSC","MA_QH","DXH")</f>
        <v>0</v>
      </c>
      <c r="AL46" s="22">
        <f ca="1">+GETPIVOTDATA("XQT4",'quangthanh (2016)'!$A$3,"MA_HT","TSC","MA_QH","DCH")</f>
        <v>0</v>
      </c>
      <c r="AM46" s="22">
        <f ca="1">+GETPIVOTDATA("XQT4",'quangthanh (2016)'!$A$3,"MA_HT","TSC","MA_QH","DKG")</f>
        <v>0</v>
      </c>
      <c r="AN46" s="22">
        <f ca="1">+GETPIVOTDATA("XQT4",'quangthanh (2016)'!$A$3,"MA_HT","TSC","MA_QH","DDT")</f>
        <v>0</v>
      </c>
      <c r="AO46" s="22">
        <f ca="1">+GETPIVOTDATA("XQT4",'quangthanh (2016)'!$A$3,"MA_HT","TSC","MA_QH","DDL")</f>
        <v>0</v>
      </c>
      <c r="AP46" s="22">
        <f ca="1">+GETPIVOTDATA("XQT4",'quangthanh (2016)'!$A$3,"MA_HT","TSC","MA_QH","DRA")</f>
        <v>0</v>
      </c>
      <c r="AQ46" s="22">
        <f ca="1">+GETPIVOTDATA("XQT4",'quangthanh (2016)'!$A$3,"MA_HT","TSC","MA_QH","ONT")</f>
        <v>0</v>
      </c>
      <c r="AR46" s="22">
        <f ca="1">+GETPIVOTDATA("XQT4",'quangthanh (2016)'!$A$3,"MA_HT","TSC","MA_QH","ODT")</f>
        <v>0</v>
      </c>
      <c r="AS46" s="43" t="e">
        <f ca="1">$D46-$BF46</f>
        <v>#REF!</v>
      </c>
      <c r="AT46" s="22">
        <f ca="1">+GETPIVOTDATA("XQT4",'quangthanh (2016)'!$A$3,"MA_HT","TSC","MA_QH","DTS")</f>
        <v>0</v>
      </c>
      <c r="AU46" s="22">
        <f ca="1">+GETPIVOTDATA("XQT4",'quangthanh (2016)'!$A$3,"MA_HT","TSC","MA_QH","DNG")</f>
        <v>0</v>
      </c>
      <c r="AV46" s="22">
        <f ca="1">+GETPIVOTDATA("XQT4",'quangthanh (2016)'!$A$3,"MA_HT","TSC","MA_QH","TON")</f>
        <v>0</v>
      </c>
      <c r="AW46" s="22">
        <f ca="1">+GETPIVOTDATA("XQT4",'quangthanh (2016)'!$A$3,"MA_HT","TSC","MA_QH","NTD")</f>
        <v>0</v>
      </c>
      <c r="AX46" s="22">
        <f ca="1">+GETPIVOTDATA("XQT4",'quangthanh (2016)'!$A$3,"MA_HT","TSC","MA_QH","SKX")</f>
        <v>0</v>
      </c>
      <c r="AY46" s="22">
        <f ca="1">+GETPIVOTDATA("XQT4",'quangthanh (2016)'!$A$3,"MA_HT","TSC","MA_QH","DSH")</f>
        <v>0</v>
      </c>
      <c r="AZ46" s="22">
        <f ca="1">+GETPIVOTDATA("XQT4",'quangthanh (2016)'!$A$3,"MA_HT","TSC","MA_QH","DKV")</f>
        <v>0</v>
      </c>
      <c r="BA46" s="89">
        <f ca="1">+GETPIVOTDATA("XQT4",'quangthanh (2016)'!$A$3,"MA_HT","TSC","MA_QH","TIN")</f>
        <v>0</v>
      </c>
      <c r="BB46" s="50">
        <f ca="1">+GETPIVOTDATA("XQT4",'quangthanh (2016)'!$A$3,"MA_HT","TSC","MA_QH","SON")</f>
        <v>0</v>
      </c>
      <c r="BC46" s="50">
        <f ca="1">+GETPIVOTDATA("XQT4",'quangthanh (2016)'!$A$3,"MA_HT","TSC","MA_QH","MNC")</f>
        <v>0</v>
      </c>
      <c r="BD46" s="22">
        <f ca="1">+GETPIVOTDATA("XQT4",'quangthanh (2016)'!$A$3,"MA_HT","TSC","MA_QH","PNK")</f>
        <v>0</v>
      </c>
      <c r="BE46" s="71">
        <f ca="1">+GETPIVOTDATA("XQT4",'quangthanh (2016)'!$A$3,"MA_HT","TSC","MA_QH","CSD")</f>
        <v>0</v>
      </c>
      <c r="BF46" s="74">
        <f ca="1" t="shared" si="13"/>
        <v>0</v>
      </c>
      <c r="BG46" s="101">
        <f ca="1">AS$59-$BF46</f>
        <v>0</v>
      </c>
      <c r="BH46" s="41" t="e">
        <f ca="1" t="shared" si="14"/>
        <v>#REF!</v>
      </c>
      <c r="BI46" s="114"/>
      <c r="BJ46" s="114" t="e">
        <f>#REF!</f>
        <v>#REF!</v>
      </c>
      <c r="BK46" s="115" t="e">
        <f ca="1">BH46-BJ46</f>
        <v>#REF!</v>
      </c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</row>
    <row r="47" s="2" customFormat="1" ht="15.75" customHeight="1" spans="1:79">
      <c r="A47" s="54" t="s">
        <v>8412</v>
      </c>
      <c r="B47" s="55" t="s">
        <v>8413</v>
      </c>
      <c r="C47" s="56" t="s">
        <v>8293</v>
      </c>
      <c r="D47" s="57" t="e">
        <f>+#REF!</f>
        <v>#REF!</v>
      </c>
      <c r="E47" s="58">
        <f ca="1" t="shared" si="15"/>
        <v>0</v>
      </c>
      <c r="F47" s="59">
        <f ca="1" t="shared" si="9"/>
        <v>0</v>
      </c>
      <c r="G47" s="60">
        <f ca="1">+GETPIVOTDATA("XQT4",'quangthanh (2016)'!$A$3,"MA_HT","DTS","MA_QH","LUC")</f>
        <v>0</v>
      </c>
      <c r="H47" s="60">
        <f ca="1">+GETPIVOTDATA("XQT4",'quangthanh (2016)'!$A$3,"MA_HT","DTS","MA_QH","LUK")</f>
        <v>0</v>
      </c>
      <c r="I47" s="60">
        <f ca="1">+GETPIVOTDATA("XQT4",'quangthanh (2016)'!$A$3,"MA_HT","DTS","MA_QH","LUN")</f>
        <v>0</v>
      </c>
      <c r="J47" s="60">
        <f ca="1">+GETPIVOTDATA("XQT4",'quangthanh (2016)'!$A$3,"MA_HT","DTS","MA_QH","HNK")</f>
        <v>0</v>
      </c>
      <c r="K47" s="60">
        <f ca="1">+GETPIVOTDATA("XQT4",'quangthanh (2016)'!$A$3,"MA_HT","DTS","MA_QH","CLN")</f>
        <v>0</v>
      </c>
      <c r="L47" s="60">
        <f ca="1">+GETPIVOTDATA("XQT4",'quangthanh (2016)'!$A$3,"MA_HT","DTS","MA_QH","RSX")</f>
        <v>0</v>
      </c>
      <c r="M47" s="60">
        <f ca="1">+GETPIVOTDATA("XQT4",'quangthanh (2016)'!$A$3,"MA_HT","DTS","MA_QH","RPH")</f>
        <v>0</v>
      </c>
      <c r="N47" s="60">
        <f ca="1">+GETPIVOTDATA("XQT4",'quangthanh (2016)'!$A$3,"MA_HT","DTS","MA_QH","RDD")</f>
        <v>0</v>
      </c>
      <c r="O47" s="60">
        <f ca="1">+GETPIVOTDATA("XQT4",'quangthanh (2016)'!$A$3,"MA_HT","DTS","MA_QH","NTS")</f>
        <v>0</v>
      </c>
      <c r="P47" s="60">
        <f ca="1">+GETPIVOTDATA("XQT4",'quangthanh (2016)'!$A$3,"MA_HT","DTS","MA_QH","LMU")</f>
        <v>0</v>
      </c>
      <c r="Q47" s="60">
        <f ca="1">+GETPIVOTDATA("XQT4",'quangthanh (2016)'!$A$3,"MA_HT","DTS","MA_QH","NKH")</f>
        <v>0</v>
      </c>
      <c r="R47" s="78">
        <f ca="1">SUM(S47:AA47,AN47:AS47,AU47:BD47)</f>
        <v>0</v>
      </c>
      <c r="S47" s="60">
        <f ca="1">+GETPIVOTDATA("XQT4",'quangthanh (2016)'!$A$3,"MA_HT","DTS","MA_QH","CQP")</f>
        <v>0</v>
      </c>
      <c r="T47" s="60">
        <f ca="1">+GETPIVOTDATA("XQT4",'quangthanh (2016)'!$A$3,"MA_HT","DTS","MA_QH","CAN")</f>
        <v>0</v>
      </c>
      <c r="U47" s="60">
        <f ca="1">+GETPIVOTDATA("XQT4",'quangthanh (2016)'!$A$3,"MA_HT","DTS","MA_QH","SKK")</f>
        <v>0</v>
      </c>
      <c r="V47" s="60">
        <f ca="1">+GETPIVOTDATA("XQT4",'quangthanh (2016)'!$A$3,"MA_HT","DTS","MA_QH","SKT")</f>
        <v>0</v>
      </c>
      <c r="W47" s="60">
        <f ca="1">+GETPIVOTDATA("XQT4",'quangthanh (2016)'!$A$3,"MA_HT","DTS","MA_QH","SKN")</f>
        <v>0</v>
      </c>
      <c r="X47" s="60">
        <f ca="1">+GETPIVOTDATA("XQT4",'quangthanh (2016)'!$A$3,"MA_HT","DTS","MA_QH","TMD")</f>
        <v>0</v>
      </c>
      <c r="Y47" s="60">
        <f ca="1">+GETPIVOTDATA("XQT4",'quangthanh (2016)'!$A$3,"MA_HT","DTS","MA_QH","SKC")</f>
        <v>0</v>
      </c>
      <c r="Z47" s="60">
        <f ca="1">+GETPIVOTDATA("XQT4",'quangthanh (2016)'!$A$3,"MA_HT","DTS","MA_QH","SKS")</f>
        <v>0</v>
      </c>
      <c r="AA47" s="59">
        <f ca="1" t="shared" si="21"/>
        <v>0</v>
      </c>
      <c r="AB47" s="60">
        <f ca="1">+GETPIVOTDATA("XQT4",'quangthanh (2016)'!$A$3,"MA_HT","DTS","MA_QH","DGT")</f>
        <v>0</v>
      </c>
      <c r="AC47" s="60">
        <f ca="1">+GETPIVOTDATA("XQT4",'quangthanh (2016)'!$A$3,"MA_HT","DTS","MA_QH","DTL")</f>
        <v>0</v>
      </c>
      <c r="AD47" s="60">
        <f ca="1">+GETPIVOTDATA("XQT4",'quangthanh (2016)'!$A$3,"MA_HT","DTS","MA_QH","DNL")</f>
        <v>0</v>
      </c>
      <c r="AE47" s="60">
        <f ca="1">+GETPIVOTDATA("XQT4",'quangthanh (2016)'!$A$3,"MA_HT","DTS","MA_QH","DBV")</f>
        <v>0</v>
      </c>
      <c r="AF47" s="60">
        <f ca="1">+GETPIVOTDATA("XQT4",'quangthanh (2016)'!$A$3,"MA_HT","DTS","MA_QH","DVH")</f>
        <v>0</v>
      </c>
      <c r="AG47" s="60">
        <f ca="1">+GETPIVOTDATA("XQT4",'quangthanh (2016)'!$A$3,"MA_HT","DTS","MA_QH","DYT")</f>
        <v>0</v>
      </c>
      <c r="AH47" s="60">
        <f ca="1">+GETPIVOTDATA("XQT4",'quangthanh (2016)'!$A$3,"MA_HT","DTS","MA_QH","DGD")</f>
        <v>0</v>
      </c>
      <c r="AI47" s="60">
        <f ca="1">+GETPIVOTDATA("XQT4",'quangthanh (2016)'!$A$3,"MA_HT","DTS","MA_QH","DTT")</f>
        <v>0</v>
      </c>
      <c r="AJ47" s="60">
        <f ca="1">+GETPIVOTDATA("XQT4",'quangthanh (2016)'!$A$3,"MA_HT","DTS","MA_QH","NCK")</f>
        <v>0</v>
      </c>
      <c r="AK47" s="60">
        <f ca="1">+GETPIVOTDATA("XQT4",'quangthanh (2016)'!$A$3,"MA_HT","DTS","MA_QH","DXH")</f>
        <v>0</v>
      </c>
      <c r="AL47" s="60">
        <f ca="1">+GETPIVOTDATA("XQT4",'quangthanh (2016)'!$A$3,"MA_HT","DTS","MA_QH","DCH")</f>
        <v>0</v>
      </c>
      <c r="AM47" s="60">
        <f ca="1">+GETPIVOTDATA("XQT4",'quangthanh (2016)'!$A$3,"MA_HT","DTS","MA_QH","DKG")</f>
        <v>0</v>
      </c>
      <c r="AN47" s="60">
        <f ca="1">+GETPIVOTDATA("XQT4",'quangthanh (2016)'!$A$3,"MA_HT","DTS","MA_QH","DDT")</f>
        <v>0</v>
      </c>
      <c r="AO47" s="60">
        <f ca="1">+GETPIVOTDATA("XQT4",'quangthanh (2016)'!$A$3,"MA_HT","DTS","MA_QH","DDL")</f>
        <v>0</v>
      </c>
      <c r="AP47" s="60">
        <f ca="1">+GETPIVOTDATA("XQT4",'quangthanh (2016)'!$A$3,"MA_HT","DTS","MA_QH","DRA")</f>
        <v>0</v>
      </c>
      <c r="AQ47" s="60">
        <f ca="1">+GETPIVOTDATA("XQT4",'quangthanh (2016)'!$A$3,"MA_HT","DTS","MA_QH","ONT")</f>
        <v>0</v>
      </c>
      <c r="AR47" s="60">
        <f ca="1">+GETPIVOTDATA("XQT4",'quangthanh (2016)'!$A$3,"MA_HT","DTS","MA_QH","ODT")</f>
        <v>0</v>
      </c>
      <c r="AS47" s="60">
        <f ca="1">+GETPIVOTDATA("XQT4",'quangthanh (2016)'!$A$3,"MA_HT","DTS","MA_QH","TSC")</f>
        <v>0</v>
      </c>
      <c r="AT47" s="81" t="e">
        <f ca="1">$D47-$BF47</f>
        <v>#REF!</v>
      </c>
      <c r="AU47" s="60">
        <f ca="1">+GETPIVOTDATA("XQT4",'quangthanh (2016)'!$A$3,"MA_HT","DTS","MA_QH","DNG")</f>
        <v>0</v>
      </c>
      <c r="AV47" s="60">
        <f ca="1">+GETPIVOTDATA("XQT4",'quangthanh (2016)'!$A$3,"MA_HT","DTS","MA_QH","TON")</f>
        <v>0</v>
      </c>
      <c r="AW47" s="60">
        <f ca="1">+GETPIVOTDATA("XQT4",'quangthanh (2016)'!$A$3,"MA_HT","DTS","MA_QH","NTD")</f>
        <v>0</v>
      </c>
      <c r="AX47" s="60">
        <f ca="1">+GETPIVOTDATA("XQT4",'quangthanh (2016)'!$A$3,"MA_HT","DTS","MA_QH","SKX")</f>
        <v>0</v>
      </c>
      <c r="AY47" s="60">
        <f ca="1">+GETPIVOTDATA("XQT4",'quangthanh (2016)'!$A$3,"MA_HT","DTS","MA_QH","DSH")</f>
        <v>0</v>
      </c>
      <c r="AZ47" s="60">
        <f ca="1">+GETPIVOTDATA("XQT4",'quangthanh (2016)'!$A$3,"MA_HT","DTS","MA_QH","DKV")</f>
        <v>0</v>
      </c>
      <c r="BA47" s="90">
        <f ca="1">+GETPIVOTDATA("XQT4",'quangthanh (2016)'!$A$3,"MA_HT","DTS","MA_QH","TIN")</f>
        <v>0</v>
      </c>
      <c r="BB47" s="91">
        <f ca="1">+GETPIVOTDATA("XQT4",'quangthanh (2016)'!$A$3,"MA_HT","DTS","MA_QH","SON")</f>
        <v>0</v>
      </c>
      <c r="BC47" s="91">
        <f ca="1">+GETPIVOTDATA("XQT4",'quangthanh (2016)'!$A$3,"MA_HT","DTS","MA_QH","MNC")</f>
        <v>0</v>
      </c>
      <c r="BD47" s="60">
        <f ca="1">+GETPIVOTDATA("XQT4",'quangthanh (2016)'!$A$3,"MA_HT","DTS","MA_QH","PNK")</f>
        <v>0</v>
      </c>
      <c r="BE47" s="111">
        <f ca="1">+GETPIVOTDATA("XQT4",'quangthanh (2016)'!$A$3,"MA_HT","DTS","MA_QH","CSD")</f>
        <v>0</v>
      </c>
      <c r="BF47" s="112">
        <f ca="1" t="shared" si="13"/>
        <v>0</v>
      </c>
      <c r="BG47" s="113">
        <f ca="1">AT$59-$BF47</f>
        <v>0</v>
      </c>
      <c r="BH47" s="57" t="e">
        <f ca="1" t="shared" si="14"/>
        <v>#REF!</v>
      </c>
      <c r="BI47" s="98"/>
      <c r="BJ47" s="98"/>
      <c r="BK47" s="107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</row>
    <row r="48" s="2" customFormat="1" ht="15.75" customHeight="1" spans="1:79">
      <c r="A48" s="39" t="s">
        <v>8414</v>
      </c>
      <c r="B48" s="53" t="s">
        <v>8415</v>
      </c>
      <c r="C48" s="40" t="s">
        <v>8290</v>
      </c>
      <c r="D48" s="41" t="e">
        <f>+#REF!</f>
        <v>#REF!</v>
      </c>
      <c r="E48" s="42">
        <f ca="1" t="shared" si="15"/>
        <v>0</v>
      </c>
      <c r="F48" s="52">
        <f ca="1" t="shared" si="9"/>
        <v>0</v>
      </c>
      <c r="G48" s="22">
        <f ca="1">+GETPIVOTDATA("XQT4",'quangthanh (2016)'!$A$3,"MA_HT","DNG","MA_QH","LUC")</f>
        <v>0</v>
      </c>
      <c r="H48" s="22">
        <f ca="1">+GETPIVOTDATA("XQT4",'quangthanh (2016)'!$A$3,"MA_HT","DNG","MA_QH","LUK")</f>
        <v>0</v>
      </c>
      <c r="I48" s="22">
        <f ca="1">+GETPIVOTDATA("XQT4",'quangthanh (2016)'!$A$3,"MA_HT","DNG","MA_QH","LUN")</f>
        <v>0</v>
      </c>
      <c r="J48" s="22">
        <f ca="1">+GETPIVOTDATA("XQT4",'quangthanh (2016)'!$A$3,"MA_HT","DNG","MA_QH","HNK")</f>
        <v>0</v>
      </c>
      <c r="K48" s="22">
        <f ca="1">+GETPIVOTDATA("XQT4",'quangthanh (2016)'!$A$3,"MA_HT","DNG","MA_QH","CLN")</f>
        <v>0</v>
      </c>
      <c r="L48" s="22">
        <f ca="1">+GETPIVOTDATA("XQT4",'quangthanh (2016)'!$A$3,"MA_HT","DNG","MA_QH","RSX")</f>
        <v>0</v>
      </c>
      <c r="M48" s="22">
        <f ca="1">+GETPIVOTDATA("XQT4",'quangthanh (2016)'!$A$3,"MA_HT","DNG","MA_QH","RPH")</f>
        <v>0</v>
      </c>
      <c r="N48" s="22">
        <f ca="1">+GETPIVOTDATA("XQT4",'quangthanh (2016)'!$A$3,"MA_HT","DNG","MA_QH","RDD")</f>
        <v>0</v>
      </c>
      <c r="O48" s="22">
        <f ca="1">+GETPIVOTDATA("XQT4",'quangthanh (2016)'!$A$3,"MA_HT","DNG","MA_QH","NTS")</f>
        <v>0</v>
      </c>
      <c r="P48" s="22">
        <f ca="1">+GETPIVOTDATA("XQT4",'quangthanh (2016)'!$A$3,"MA_HT","DNG","MA_QH","LMU")</f>
        <v>0</v>
      </c>
      <c r="Q48" s="22">
        <f ca="1">+GETPIVOTDATA("XQT4",'quangthanh (2016)'!$A$3,"MA_HT","DNG","MA_QH","NKH")</f>
        <v>0</v>
      </c>
      <c r="R48" s="79">
        <f ca="1">SUM(S48:AA48,AN48:AT48,AV48:BD48)</f>
        <v>0</v>
      </c>
      <c r="S48" s="22">
        <f ca="1">+GETPIVOTDATA("XQT4",'quangthanh (2016)'!$A$3,"MA_HT","DNG","MA_QH","CQP")</f>
        <v>0</v>
      </c>
      <c r="T48" s="22">
        <f ca="1">+GETPIVOTDATA("XQT4",'quangthanh (2016)'!$A$3,"MA_HT","DNG","MA_QH","CAN")</f>
        <v>0</v>
      </c>
      <c r="U48" s="22">
        <f ca="1">+GETPIVOTDATA("XQT4",'quangthanh (2016)'!$A$3,"MA_HT","DNG","MA_QH","SKK")</f>
        <v>0</v>
      </c>
      <c r="V48" s="22">
        <f ca="1">+GETPIVOTDATA("XQT4",'quangthanh (2016)'!$A$3,"MA_HT","DNG","MA_QH","SKT")</f>
        <v>0</v>
      </c>
      <c r="W48" s="22">
        <f ca="1">+GETPIVOTDATA("XQT4",'quangthanh (2016)'!$A$3,"MA_HT","DNG","MA_QH","SKN")</f>
        <v>0</v>
      </c>
      <c r="X48" s="22">
        <f ca="1">+GETPIVOTDATA("XQT4",'quangthanh (2016)'!$A$3,"MA_HT","DNG","MA_QH","TMD")</f>
        <v>0</v>
      </c>
      <c r="Y48" s="22">
        <f ca="1">+GETPIVOTDATA("XQT4",'quangthanh (2016)'!$A$3,"MA_HT","DNG","MA_QH","SKC")</f>
        <v>0</v>
      </c>
      <c r="Z48" s="22">
        <f ca="1">+GETPIVOTDATA("XQT4",'quangthanh (2016)'!$A$3,"MA_HT","DNG","MA_QH","SKS")</f>
        <v>0</v>
      </c>
      <c r="AA48" s="52">
        <f ca="1" t="shared" si="21"/>
        <v>0</v>
      </c>
      <c r="AB48" s="22">
        <f ca="1">+GETPIVOTDATA("XQT4",'quangthanh (2016)'!$A$3,"MA_HT","DNG","MA_QH","DGT")</f>
        <v>0</v>
      </c>
      <c r="AC48" s="22">
        <f ca="1">+GETPIVOTDATA("XQT4",'quangthanh (2016)'!$A$3,"MA_HT","DNG","MA_QH","DTL")</f>
        <v>0</v>
      </c>
      <c r="AD48" s="22">
        <f ca="1">+GETPIVOTDATA("XQT4",'quangthanh (2016)'!$A$3,"MA_HT","DNG","MA_QH","DNL")</f>
        <v>0</v>
      </c>
      <c r="AE48" s="22">
        <f ca="1">+GETPIVOTDATA("XQT4",'quangthanh (2016)'!$A$3,"MA_HT","DNG","MA_QH","DBV")</f>
        <v>0</v>
      </c>
      <c r="AF48" s="22">
        <f ca="1">+GETPIVOTDATA("XQT4",'quangthanh (2016)'!$A$3,"MA_HT","DNG","MA_QH","DVH")</f>
        <v>0</v>
      </c>
      <c r="AG48" s="22">
        <f ca="1">+GETPIVOTDATA("XQT4",'quangthanh (2016)'!$A$3,"MA_HT","DNG","MA_QH","DYT")</f>
        <v>0</v>
      </c>
      <c r="AH48" s="22">
        <f ca="1">+GETPIVOTDATA("XQT4",'quangthanh (2016)'!$A$3,"MA_HT","DNG","MA_QH","DGD")</f>
        <v>0</v>
      </c>
      <c r="AI48" s="22">
        <f ca="1">+GETPIVOTDATA("XQT4",'quangthanh (2016)'!$A$3,"MA_HT","DNG","MA_QH","DTT")</f>
        <v>0</v>
      </c>
      <c r="AJ48" s="22">
        <f ca="1">+GETPIVOTDATA("XQT4",'quangthanh (2016)'!$A$3,"MA_HT","DNG","MA_QH","NCK")</f>
        <v>0</v>
      </c>
      <c r="AK48" s="22">
        <f ca="1">+GETPIVOTDATA("XQT4",'quangthanh (2016)'!$A$3,"MA_HT","DNG","MA_QH","DXH")</f>
        <v>0</v>
      </c>
      <c r="AL48" s="22">
        <f ca="1">+GETPIVOTDATA("XQT4",'quangthanh (2016)'!$A$3,"MA_HT","DNG","MA_QH","DCH")</f>
        <v>0</v>
      </c>
      <c r="AM48" s="22">
        <f ca="1">+GETPIVOTDATA("XQT4",'quangthanh (2016)'!$A$3,"MA_HT","DNG","MA_QH","DKG")</f>
        <v>0</v>
      </c>
      <c r="AN48" s="22">
        <f ca="1">+GETPIVOTDATA("XQT4",'quangthanh (2016)'!$A$3,"MA_HT","DNG","MA_QH","DDT")</f>
        <v>0</v>
      </c>
      <c r="AO48" s="22">
        <f ca="1">+GETPIVOTDATA("XQT4",'quangthanh (2016)'!$A$3,"MA_HT","DNG","MA_QH","DDL")</f>
        <v>0</v>
      </c>
      <c r="AP48" s="22">
        <f ca="1">+GETPIVOTDATA("XQT4",'quangthanh (2016)'!$A$3,"MA_HT","DNG","MA_QH","DRA")</f>
        <v>0</v>
      </c>
      <c r="AQ48" s="22">
        <f ca="1">+GETPIVOTDATA("XQT4",'quangthanh (2016)'!$A$3,"MA_HT","DNG","MA_QH","ONT")</f>
        <v>0</v>
      </c>
      <c r="AR48" s="22">
        <f ca="1">+GETPIVOTDATA("XQT4",'quangthanh (2016)'!$A$3,"MA_HT","DNG","MA_QH","ODT")</f>
        <v>0</v>
      </c>
      <c r="AS48" s="22">
        <f ca="1">+GETPIVOTDATA("XQT4",'quangthanh (2016)'!$A$3,"MA_HT","DNG","MA_QH","TSC")</f>
        <v>0</v>
      </c>
      <c r="AT48" s="22">
        <f ca="1">+GETPIVOTDATA("XQT4",'quangthanh (2016)'!$A$3,"MA_HT","DNG","MA_QH","DTS")</f>
        <v>0</v>
      </c>
      <c r="AU48" s="43" t="e">
        <f ca="1">$D48-$BF48</f>
        <v>#REF!</v>
      </c>
      <c r="AV48" s="22">
        <f ca="1">+GETPIVOTDATA("XQT4",'quangthanh (2016)'!$A$3,"MA_HT","DNG","MA_QH","TON")</f>
        <v>0</v>
      </c>
      <c r="AW48" s="22">
        <f ca="1">+GETPIVOTDATA("XQT4",'quangthanh (2016)'!$A$3,"MA_HT","DNG","MA_QH","NTD")</f>
        <v>0</v>
      </c>
      <c r="AX48" s="22">
        <f ca="1">+GETPIVOTDATA("XQT4",'quangthanh (2016)'!$A$3,"MA_HT","DNG","MA_QH","SKX")</f>
        <v>0</v>
      </c>
      <c r="AY48" s="22">
        <f ca="1">+GETPIVOTDATA("XQT4",'quangthanh (2016)'!$A$3,"MA_HT","DNG","MA_QH","DSH")</f>
        <v>0</v>
      </c>
      <c r="AZ48" s="22">
        <f ca="1">+GETPIVOTDATA("XQT4",'quangthanh (2016)'!$A$3,"MA_HT","DNG","MA_QH","DKV")</f>
        <v>0</v>
      </c>
      <c r="BA48" s="89">
        <f ca="1">+GETPIVOTDATA("XQT4",'quangthanh (2016)'!$A$3,"MA_HT","DNG","MA_QH","TIN")</f>
        <v>0</v>
      </c>
      <c r="BB48" s="50">
        <f ca="1">+GETPIVOTDATA("XQT4",'quangthanh (2016)'!$A$3,"MA_HT","DNG","MA_QH","SON")</f>
        <v>0</v>
      </c>
      <c r="BC48" s="50">
        <f ca="1">+GETPIVOTDATA("XQT4",'quangthanh (2016)'!$A$3,"MA_HT","DNG","MA_QH","MNC")</f>
        <v>0</v>
      </c>
      <c r="BD48" s="22">
        <f ca="1">+GETPIVOTDATA("XQT4",'quangthanh (2016)'!$A$3,"MA_HT","DNG","MA_QH","PNK")</f>
        <v>0</v>
      </c>
      <c r="BE48" s="71">
        <f ca="1">+GETPIVOTDATA("XQT4",'quangthanh (2016)'!$A$3,"MA_HT","DNG","MA_QH","CSD")</f>
        <v>0</v>
      </c>
      <c r="BF48" s="74">
        <f ca="1" t="shared" si="13"/>
        <v>0</v>
      </c>
      <c r="BG48" s="101">
        <f ca="1">AU$59-$BF48</f>
        <v>0</v>
      </c>
      <c r="BH48" s="41" t="e">
        <f ca="1" t="shared" si="14"/>
        <v>#REF!</v>
      </c>
      <c r="BI48" s="98"/>
      <c r="BJ48" s="98" t="e">
        <f>#REF!</f>
        <v>#REF!</v>
      </c>
      <c r="BK48" s="107" t="e">
        <f ca="1">BH48-BJ48</f>
        <v>#REF!</v>
      </c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</row>
    <row r="49" s="2" customFormat="1" ht="15.75" customHeight="1" spans="1:79">
      <c r="A49" s="39" t="s">
        <v>8416</v>
      </c>
      <c r="B49" s="53" t="s">
        <v>8417</v>
      </c>
      <c r="C49" s="40" t="s">
        <v>324</v>
      </c>
      <c r="D49" s="41" t="e">
        <f>+#REF!</f>
        <v>#REF!</v>
      </c>
      <c r="E49" s="42">
        <f ca="1" t="shared" si="15"/>
        <v>0</v>
      </c>
      <c r="F49" s="52">
        <f ca="1" t="shared" si="9"/>
        <v>0</v>
      </c>
      <c r="G49" s="22">
        <f ca="1">+GETPIVOTDATA("XQT4",'quangthanh (2016)'!$A$3,"MA_HT","TON","MA_QH","LUC")</f>
        <v>0</v>
      </c>
      <c r="H49" s="22">
        <f ca="1">+GETPIVOTDATA("XQT4",'quangthanh (2016)'!$A$3,"MA_HT","TON","MA_QH","LUK")</f>
        <v>0</v>
      </c>
      <c r="I49" s="22">
        <f ca="1">+GETPIVOTDATA("XQT4",'quangthanh (2016)'!$A$3,"MA_HT","TON","MA_QH","LUN")</f>
        <v>0</v>
      </c>
      <c r="J49" s="22">
        <f ca="1">+GETPIVOTDATA("XQT4",'quangthanh (2016)'!$A$3,"MA_HT","TON","MA_QH","HNK")</f>
        <v>0</v>
      </c>
      <c r="K49" s="22">
        <f ca="1">+GETPIVOTDATA("XQT4",'quangthanh (2016)'!$A$3,"MA_HT","TON","MA_QH","CLN")</f>
        <v>0</v>
      </c>
      <c r="L49" s="22">
        <f ca="1">+GETPIVOTDATA("XQT4",'quangthanh (2016)'!$A$3,"MA_HT","TON","MA_QH","RSX")</f>
        <v>0</v>
      </c>
      <c r="M49" s="22">
        <f ca="1">+GETPIVOTDATA("XQT4",'quangthanh (2016)'!$A$3,"MA_HT","TON","MA_QH","RPH")</f>
        <v>0</v>
      </c>
      <c r="N49" s="22">
        <f ca="1">+GETPIVOTDATA("XQT4",'quangthanh (2016)'!$A$3,"MA_HT","TON","MA_QH","RDD")</f>
        <v>0</v>
      </c>
      <c r="O49" s="22">
        <f ca="1">+GETPIVOTDATA("XQT4",'quangthanh (2016)'!$A$3,"MA_HT","TON","MA_QH","NTS")</f>
        <v>0</v>
      </c>
      <c r="P49" s="22">
        <f ca="1">+GETPIVOTDATA("XQT4",'quangthanh (2016)'!$A$3,"MA_HT","TON","MA_QH","LMU")</f>
        <v>0</v>
      </c>
      <c r="Q49" s="22">
        <f ca="1">+GETPIVOTDATA("XQT4",'quangthanh (2016)'!$A$3,"MA_HT","TON","MA_QH","NKH")</f>
        <v>0</v>
      </c>
      <c r="R49" s="79">
        <f ca="1">SUM(S49:AA49,AN49:AU49,AW49:BD49)</f>
        <v>0</v>
      </c>
      <c r="S49" s="22">
        <f ca="1">+GETPIVOTDATA("XQT4",'quangthanh (2016)'!$A$3,"MA_HT","TON","MA_QH","CQP")</f>
        <v>0</v>
      </c>
      <c r="T49" s="22">
        <f ca="1">+GETPIVOTDATA("XQT4",'quangthanh (2016)'!$A$3,"MA_HT","TON","MA_QH","CAN")</f>
        <v>0</v>
      </c>
      <c r="U49" s="22">
        <f ca="1">+GETPIVOTDATA("XQT4",'quangthanh (2016)'!$A$3,"MA_HT","TON","MA_QH","SKK")</f>
        <v>0</v>
      </c>
      <c r="V49" s="22">
        <f ca="1">+GETPIVOTDATA("XQT4",'quangthanh (2016)'!$A$3,"MA_HT","TON","MA_QH","SKT")</f>
        <v>0</v>
      </c>
      <c r="W49" s="22">
        <f ca="1">+GETPIVOTDATA("XQT4",'quangthanh (2016)'!$A$3,"MA_HT","TON","MA_QH","SKN")</f>
        <v>0</v>
      </c>
      <c r="X49" s="22">
        <f ca="1">+GETPIVOTDATA("XQT4",'quangthanh (2016)'!$A$3,"MA_HT","TON","MA_QH","TMD")</f>
        <v>0</v>
      </c>
      <c r="Y49" s="22">
        <f ca="1">+GETPIVOTDATA("XQT4",'quangthanh (2016)'!$A$3,"MA_HT","TON","MA_QH","SKC")</f>
        <v>0</v>
      </c>
      <c r="Z49" s="22">
        <f ca="1">+GETPIVOTDATA("XQT4",'quangthanh (2016)'!$A$3,"MA_HT","TON","MA_QH","SKS")</f>
        <v>0</v>
      </c>
      <c r="AA49" s="52">
        <f ca="1" t="shared" si="21"/>
        <v>0</v>
      </c>
      <c r="AB49" s="22">
        <f ca="1">+GETPIVOTDATA("XQT4",'quangthanh (2016)'!$A$3,"MA_HT","TON","MA_QH","DGT")</f>
        <v>0</v>
      </c>
      <c r="AC49" s="22">
        <f ca="1">+GETPIVOTDATA("XQT4",'quangthanh (2016)'!$A$3,"MA_HT","TON","MA_QH","DTL")</f>
        <v>0</v>
      </c>
      <c r="AD49" s="22">
        <f ca="1">+GETPIVOTDATA("XQT4",'quangthanh (2016)'!$A$3,"MA_HT","TON","MA_QH","DNL")</f>
        <v>0</v>
      </c>
      <c r="AE49" s="22">
        <f ca="1">+GETPIVOTDATA("XQT4",'quangthanh (2016)'!$A$3,"MA_HT","TON","MA_QH","DBV")</f>
        <v>0</v>
      </c>
      <c r="AF49" s="22">
        <f ca="1">+GETPIVOTDATA("XQT4",'quangthanh (2016)'!$A$3,"MA_HT","TON","MA_QH","DVH")</f>
        <v>0</v>
      </c>
      <c r="AG49" s="22">
        <f ca="1">+GETPIVOTDATA("XQT4",'quangthanh (2016)'!$A$3,"MA_HT","TON","MA_QH","DYT")</f>
        <v>0</v>
      </c>
      <c r="AH49" s="22">
        <f ca="1">+GETPIVOTDATA("XQT4",'quangthanh (2016)'!$A$3,"MA_HT","TON","MA_QH","DGD")</f>
        <v>0</v>
      </c>
      <c r="AI49" s="22">
        <f ca="1">+GETPIVOTDATA("XQT4",'quangthanh (2016)'!$A$3,"MA_HT","TON","MA_QH","DTT")</f>
        <v>0</v>
      </c>
      <c r="AJ49" s="22">
        <f ca="1">+GETPIVOTDATA("XQT4",'quangthanh (2016)'!$A$3,"MA_HT","TON","MA_QH","NCK")</f>
        <v>0</v>
      </c>
      <c r="AK49" s="22">
        <f ca="1">+GETPIVOTDATA("XQT4",'quangthanh (2016)'!$A$3,"MA_HT","TON","MA_QH","DXH")</f>
        <v>0</v>
      </c>
      <c r="AL49" s="22">
        <f ca="1">+GETPIVOTDATA("XQT4",'quangthanh (2016)'!$A$3,"MA_HT","TON","MA_QH","DCH")</f>
        <v>0</v>
      </c>
      <c r="AM49" s="22">
        <f ca="1">+GETPIVOTDATA("XQT4",'quangthanh (2016)'!$A$3,"MA_HT","TON","MA_QH","DKG")</f>
        <v>0</v>
      </c>
      <c r="AN49" s="22">
        <f ca="1">+GETPIVOTDATA("XQT4",'quangthanh (2016)'!$A$3,"MA_HT","TON","MA_QH","DDT")</f>
        <v>0</v>
      </c>
      <c r="AO49" s="22">
        <f ca="1">+GETPIVOTDATA("XQT4",'quangthanh (2016)'!$A$3,"MA_HT","TON","MA_QH","DDL")</f>
        <v>0</v>
      </c>
      <c r="AP49" s="22">
        <f ca="1">+GETPIVOTDATA("XQT4",'quangthanh (2016)'!$A$3,"MA_HT","TON","MA_QH","DRA")</f>
        <v>0</v>
      </c>
      <c r="AQ49" s="22">
        <f ca="1">+GETPIVOTDATA("XQT4",'quangthanh (2016)'!$A$3,"MA_HT","TON","MA_QH","ONT")</f>
        <v>0</v>
      </c>
      <c r="AR49" s="22">
        <f ca="1">+GETPIVOTDATA("XQT4",'quangthanh (2016)'!$A$3,"MA_HT","TON","MA_QH","ODT")</f>
        <v>0</v>
      </c>
      <c r="AS49" s="22">
        <f ca="1">+GETPIVOTDATA("XQT4",'quangthanh (2016)'!$A$3,"MA_HT","TON","MA_QH","TSC")</f>
        <v>0</v>
      </c>
      <c r="AT49" s="22">
        <f ca="1">+GETPIVOTDATA("XQT4",'quangthanh (2016)'!$A$3,"MA_HT","TON","MA_QH","DTS")</f>
        <v>0</v>
      </c>
      <c r="AU49" s="22">
        <f ca="1">+GETPIVOTDATA("XQT4",'quangthanh (2016)'!$A$3,"MA_HT","TON","MA_QH","DNG")</f>
        <v>0</v>
      </c>
      <c r="AV49" s="43" t="e">
        <f ca="1">$D49-$BF49</f>
        <v>#REF!</v>
      </c>
      <c r="AW49" s="22">
        <f ca="1">+GETPIVOTDATA("XQT4",'quangthanh (2016)'!$A$3,"MA_HT","TON","MA_QH","NTD")</f>
        <v>0</v>
      </c>
      <c r="AX49" s="22">
        <f ca="1">+GETPIVOTDATA("XQT4",'quangthanh (2016)'!$A$3,"MA_HT","TON","MA_QH","SKX")</f>
        <v>0</v>
      </c>
      <c r="AY49" s="22">
        <f ca="1">+GETPIVOTDATA("XQT4",'quangthanh (2016)'!$A$3,"MA_HT","TON","MA_QH","DSH")</f>
        <v>0</v>
      </c>
      <c r="AZ49" s="22">
        <f ca="1">+GETPIVOTDATA("XQT4",'quangthanh (2016)'!$A$3,"MA_HT","TON","MA_QH","DKV")</f>
        <v>0</v>
      </c>
      <c r="BA49" s="89">
        <f ca="1">+GETPIVOTDATA("XQT4",'quangthanh (2016)'!$A$3,"MA_HT","TON","MA_QH","TIN")</f>
        <v>0</v>
      </c>
      <c r="BB49" s="50">
        <f ca="1">+GETPIVOTDATA("XQT4",'quangthanh (2016)'!$A$3,"MA_HT","TON","MA_QH","SON")</f>
        <v>0</v>
      </c>
      <c r="BC49" s="50">
        <f ca="1">+GETPIVOTDATA("XQT4",'quangthanh (2016)'!$A$3,"MA_HT","TON","MA_QH","MNC")</f>
        <v>0</v>
      </c>
      <c r="BD49" s="22">
        <f ca="1">+GETPIVOTDATA("XQT4",'quangthanh (2016)'!$A$3,"MA_HT","TON","MA_QH","PNK")</f>
        <v>0</v>
      </c>
      <c r="BE49" s="71">
        <f ca="1">+GETPIVOTDATA("XQT4",'quangthanh (2016)'!$A$3,"MA_HT","TON","MA_QH","CSD")</f>
        <v>0</v>
      </c>
      <c r="BF49" s="74">
        <f ca="1" t="shared" si="13"/>
        <v>0</v>
      </c>
      <c r="BG49" s="101">
        <f ca="1">AV$59-$BF49</f>
        <v>0</v>
      </c>
      <c r="BH49" s="41" t="e">
        <f ca="1" t="shared" si="14"/>
        <v>#REF!</v>
      </c>
      <c r="BI49" s="98"/>
      <c r="BJ49" s="98" t="e">
        <f>#REF!</f>
        <v>#REF!</v>
      </c>
      <c r="BK49" s="107" t="e">
        <f ca="1">BH49-BJ49</f>
        <v>#REF!</v>
      </c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</row>
    <row r="50" s="2" customFormat="1" ht="15.75" customHeight="1" spans="1:79">
      <c r="A50" s="39" t="s">
        <v>8418</v>
      </c>
      <c r="B50" s="53" t="s">
        <v>8419</v>
      </c>
      <c r="C50" s="40" t="s">
        <v>182</v>
      </c>
      <c r="D50" s="41" t="e">
        <f>+#REF!</f>
        <v>#REF!</v>
      </c>
      <c r="E50" s="42">
        <f ca="1" t="shared" si="15"/>
        <v>0</v>
      </c>
      <c r="F50" s="52">
        <f ca="1" t="shared" si="9"/>
        <v>0</v>
      </c>
      <c r="G50" s="22">
        <f ca="1">+GETPIVOTDATA("XQT4",'quangthanh (2016)'!$A$3,"MA_HT","NTD","MA_QH","LUC")</f>
        <v>0</v>
      </c>
      <c r="H50" s="22">
        <f ca="1">+GETPIVOTDATA("XQT4",'quangthanh (2016)'!$A$3,"MA_HT","NTD","MA_QH","LUK")</f>
        <v>0</v>
      </c>
      <c r="I50" s="22">
        <f ca="1">+GETPIVOTDATA("XQT4",'quangthanh (2016)'!$A$3,"MA_HT","NTD","MA_QH","LUN")</f>
        <v>0</v>
      </c>
      <c r="J50" s="22">
        <f ca="1">+GETPIVOTDATA("XQT4",'quangthanh (2016)'!$A$3,"MA_HT","NTD","MA_QH","HNK")</f>
        <v>0</v>
      </c>
      <c r="K50" s="22">
        <f ca="1">+GETPIVOTDATA("XQT4",'quangthanh (2016)'!$A$3,"MA_HT","NTD","MA_QH","CLN")</f>
        <v>0</v>
      </c>
      <c r="L50" s="22">
        <f ca="1">+GETPIVOTDATA("XQT4",'quangthanh (2016)'!$A$3,"MA_HT","NTD","MA_QH","RSX")</f>
        <v>0</v>
      </c>
      <c r="M50" s="22">
        <f ca="1">+GETPIVOTDATA("XQT4",'quangthanh (2016)'!$A$3,"MA_HT","NTD","MA_QH","RPH")</f>
        <v>0</v>
      </c>
      <c r="N50" s="22">
        <f ca="1">+GETPIVOTDATA("XQT4",'quangthanh (2016)'!$A$3,"MA_HT","NTD","MA_QH","RDD")</f>
        <v>0</v>
      </c>
      <c r="O50" s="22">
        <f ca="1">+GETPIVOTDATA("XQT4",'quangthanh (2016)'!$A$3,"MA_HT","NTD","MA_QH","NTS")</f>
        <v>0</v>
      </c>
      <c r="P50" s="22">
        <f ca="1">+GETPIVOTDATA("XQT4",'quangthanh (2016)'!$A$3,"MA_HT","NTD","MA_QH","LMU")</f>
        <v>0</v>
      </c>
      <c r="Q50" s="22">
        <f ca="1">+GETPIVOTDATA("XQT4",'quangthanh (2016)'!$A$3,"MA_HT","NTD","MA_QH","NKH")</f>
        <v>0</v>
      </c>
      <c r="R50" s="79">
        <f ca="1">SUM(S50:AA50,AN50:AV50,AX50:BD50)</f>
        <v>0</v>
      </c>
      <c r="S50" s="22">
        <f ca="1">+GETPIVOTDATA("XQT4",'quangthanh (2016)'!$A$3,"MA_HT","NTD","MA_QH","CQP")</f>
        <v>0</v>
      </c>
      <c r="T50" s="22">
        <f ca="1">+GETPIVOTDATA("XQT4",'quangthanh (2016)'!$A$3,"MA_HT","NTD","MA_QH","CAN")</f>
        <v>0</v>
      </c>
      <c r="U50" s="22">
        <f ca="1">+GETPIVOTDATA("XQT4",'quangthanh (2016)'!$A$3,"MA_HT","NTD","MA_QH","SKK")</f>
        <v>0</v>
      </c>
      <c r="V50" s="22">
        <f ca="1">+GETPIVOTDATA("XQT4",'quangthanh (2016)'!$A$3,"MA_HT","NTD","MA_QH","SKT")</f>
        <v>0</v>
      </c>
      <c r="W50" s="22">
        <f ca="1">+GETPIVOTDATA("XQT4",'quangthanh (2016)'!$A$3,"MA_HT","NTD","MA_QH","SKN")</f>
        <v>0</v>
      </c>
      <c r="X50" s="22">
        <f ca="1">+GETPIVOTDATA("XQT4",'quangthanh (2016)'!$A$3,"MA_HT","NTD","MA_QH","TMD")</f>
        <v>0</v>
      </c>
      <c r="Y50" s="22">
        <f ca="1">+GETPIVOTDATA("XQT4",'quangthanh (2016)'!$A$3,"MA_HT","NTD","MA_QH","SKC")</f>
        <v>0</v>
      </c>
      <c r="Z50" s="22">
        <f ca="1">+GETPIVOTDATA("XQT4",'quangthanh (2016)'!$A$3,"MA_HT","NTD","MA_QH","SKS")</f>
        <v>0</v>
      </c>
      <c r="AA50" s="52">
        <f ca="1" t="shared" si="21"/>
        <v>0</v>
      </c>
      <c r="AB50" s="22">
        <f ca="1">+GETPIVOTDATA("XQT4",'quangthanh (2016)'!$A$3,"MA_HT","NTD","MA_QH","DGT")</f>
        <v>0</v>
      </c>
      <c r="AC50" s="22">
        <f ca="1">+GETPIVOTDATA("XQT4",'quangthanh (2016)'!$A$3,"MA_HT","NTD","MA_QH","DTL")</f>
        <v>0</v>
      </c>
      <c r="AD50" s="22">
        <f ca="1">+GETPIVOTDATA("XQT4",'quangthanh (2016)'!$A$3,"MA_HT","NTD","MA_QH","DNL")</f>
        <v>0</v>
      </c>
      <c r="AE50" s="22">
        <f ca="1">+GETPIVOTDATA("XQT4",'quangthanh (2016)'!$A$3,"MA_HT","NTD","MA_QH","DBV")</f>
        <v>0</v>
      </c>
      <c r="AF50" s="22">
        <f ca="1">+GETPIVOTDATA("XQT4",'quangthanh (2016)'!$A$3,"MA_HT","NTD","MA_QH","DVH")</f>
        <v>0</v>
      </c>
      <c r="AG50" s="22">
        <f ca="1">+GETPIVOTDATA("XQT4",'quangthanh (2016)'!$A$3,"MA_HT","NTD","MA_QH","DYT")</f>
        <v>0</v>
      </c>
      <c r="AH50" s="22">
        <f ca="1">+GETPIVOTDATA("XQT4",'quangthanh (2016)'!$A$3,"MA_HT","NTD","MA_QH","DGD")</f>
        <v>0</v>
      </c>
      <c r="AI50" s="22">
        <f ca="1">+GETPIVOTDATA("XQT4",'quangthanh (2016)'!$A$3,"MA_HT","NTD","MA_QH","DTT")</f>
        <v>0</v>
      </c>
      <c r="AJ50" s="22">
        <f ca="1">+GETPIVOTDATA("XQT4",'quangthanh (2016)'!$A$3,"MA_HT","NTD","MA_QH","NCK")</f>
        <v>0</v>
      </c>
      <c r="AK50" s="22">
        <f ca="1">+GETPIVOTDATA("XQT4",'quangthanh (2016)'!$A$3,"MA_HT","NTD","MA_QH","DXH")</f>
        <v>0</v>
      </c>
      <c r="AL50" s="22">
        <f ca="1">+GETPIVOTDATA("XQT4",'quangthanh (2016)'!$A$3,"MA_HT","NTD","MA_QH","DCH")</f>
        <v>0</v>
      </c>
      <c r="AM50" s="22">
        <f ca="1">+GETPIVOTDATA("XQT4",'quangthanh (2016)'!$A$3,"MA_HT","NTD","MA_QH","DKG")</f>
        <v>0</v>
      </c>
      <c r="AN50" s="22">
        <f ca="1">+GETPIVOTDATA("XQT4",'quangthanh (2016)'!$A$3,"MA_HT","NTD","MA_QH","DDT")</f>
        <v>0</v>
      </c>
      <c r="AO50" s="22">
        <f ca="1">+GETPIVOTDATA("XQT4",'quangthanh (2016)'!$A$3,"MA_HT","NTD","MA_QH","DDL")</f>
        <v>0</v>
      </c>
      <c r="AP50" s="22">
        <f ca="1">+GETPIVOTDATA("XQT4",'quangthanh (2016)'!$A$3,"MA_HT","NTD","MA_QH","DRA")</f>
        <v>0</v>
      </c>
      <c r="AQ50" s="22">
        <f ca="1">+GETPIVOTDATA("XQT4",'quangthanh (2016)'!$A$3,"MA_HT","NTD","MA_QH","ONT")</f>
        <v>0</v>
      </c>
      <c r="AR50" s="22">
        <f ca="1">+GETPIVOTDATA("XQT4",'quangthanh (2016)'!$A$3,"MA_HT","NTD","MA_QH","ODT")</f>
        <v>0</v>
      </c>
      <c r="AS50" s="22">
        <f ca="1">+GETPIVOTDATA("XQT4",'quangthanh (2016)'!$A$3,"MA_HT","NTD","MA_QH","TSC")</f>
        <v>0</v>
      </c>
      <c r="AT50" s="22">
        <f ca="1">+GETPIVOTDATA("XQT4",'quangthanh (2016)'!$A$3,"MA_HT","NTD","MA_QH","DTS")</f>
        <v>0</v>
      </c>
      <c r="AU50" s="22">
        <f ca="1">+GETPIVOTDATA("XQT4",'quangthanh (2016)'!$A$3,"MA_HT","NTD","MA_QH","DNG")</f>
        <v>0</v>
      </c>
      <c r="AV50" s="22">
        <f ca="1">+GETPIVOTDATA("XQT4",'quangthanh (2016)'!$A$3,"MA_HT","NTD","MA_QH","TON")</f>
        <v>0</v>
      </c>
      <c r="AW50" s="43" t="e">
        <f ca="1">$D50-$BF50</f>
        <v>#REF!</v>
      </c>
      <c r="AX50" s="22">
        <f ca="1">+GETPIVOTDATA("XQT4",'quangthanh (2016)'!$A$3,"MA_HT","NTD","MA_QH","SKX")</f>
        <v>0</v>
      </c>
      <c r="AY50" s="22">
        <f ca="1">+GETPIVOTDATA("XQT4",'quangthanh (2016)'!$A$3,"MA_HT","NTD","MA_QH","DSH")</f>
        <v>0</v>
      </c>
      <c r="AZ50" s="22">
        <f ca="1">+GETPIVOTDATA("XQT4",'quangthanh (2016)'!$A$3,"MA_HT","NTD","MA_QH","DKV")</f>
        <v>0</v>
      </c>
      <c r="BA50" s="89">
        <f ca="1">+GETPIVOTDATA("XQT4",'quangthanh (2016)'!$A$3,"MA_HT","NTD","MA_QH","TIN")</f>
        <v>0</v>
      </c>
      <c r="BB50" s="50">
        <f ca="1">+GETPIVOTDATA("XQT4",'quangthanh (2016)'!$A$3,"MA_HT","NTD","MA_QH","SON")</f>
        <v>0</v>
      </c>
      <c r="BC50" s="50">
        <f ca="1">+GETPIVOTDATA("XQT4",'quangthanh (2016)'!$A$3,"MA_HT","NTD","MA_QH","MNC")</f>
        <v>0</v>
      </c>
      <c r="BD50" s="22">
        <f ca="1">+GETPIVOTDATA("XQT4",'quangthanh (2016)'!$A$3,"MA_HT","NTD","MA_QH","PNK")</f>
        <v>0</v>
      </c>
      <c r="BE50" s="71">
        <f ca="1">+GETPIVOTDATA("XQT4",'quangthanh (2016)'!$A$3,"MA_HT","NTD","MA_QH","CSD")</f>
        <v>0</v>
      </c>
      <c r="BF50" s="74">
        <f ca="1" t="shared" si="13"/>
        <v>0</v>
      </c>
      <c r="BG50" s="101">
        <f ca="1">AW$59-$BF50</f>
        <v>0</v>
      </c>
      <c r="BH50" s="41" t="e">
        <f ca="1" t="shared" si="14"/>
        <v>#REF!</v>
      </c>
      <c r="BI50" s="98"/>
      <c r="BJ50" s="98"/>
      <c r="BK50" s="107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</row>
    <row r="51" s="2" customFormat="1" ht="15.75" customHeight="1" spans="1:79">
      <c r="A51" s="39" t="s">
        <v>8420</v>
      </c>
      <c r="B51" s="39" t="s">
        <v>8421</v>
      </c>
      <c r="C51" s="40" t="s">
        <v>236</v>
      </c>
      <c r="D51" s="41" t="e">
        <f>+#REF!</f>
        <v>#REF!</v>
      </c>
      <c r="E51" s="42">
        <f ca="1" t="shared" si="15"/>
        <v>0</v>
      </c>
      <c r="F51" s="52">
        <f ca="1" t="shared" si="9"/>
        <v>0</v>
      </c>
      <c r="G51" s="22">
        <f ca="1">+GETPIVOTDATA("XQT4",'quangthanh (2016)'!$A$3,"MA_HT","SKX","MA_QH","LUC")</f>
        <v>0</v>
      </c>
      <c r="H51" s="22">
        <f ca="1">+GETPIVOTDATA("XQT4",'quangthanh (2016)'!$A$3,"MA_HT","SKX","MA_QH","LUK")</f>
        <v>0</v>
      </c>
      <c r="I51" s="22">
        <f ca="1">+GETPIVOTDATA("XQT4",'quangthanh (2016)'!$A$3,"MA_HT","SKX","MA_QH","LUN")</f>
        <v>0</v>
      </c>
      <c r="J51" s="22">
        <f ca="1">+GETPIVOTDATA("XQT4",'quangthanh (2016)'!$A$3,"MA_HT","SKX","MA_QH","HNK")</f>
        <v>0</v>
      </c>
      <c r="K51" s="22">
        <f ca="1">+GETPIVOTDATA("XQT4",'quangthanh (2016)'!$A$3,"MA_HT","SKX","MA_QH","CLN")</f>
        <v>0</v>
      </c>
      <c r="L51" s="22">
        <f ca="1">+GETPIVOTDATA("XQT4",'quangthanh (2016)'!$A$3,"MA_HT","SKX","MA_QH","RSX")</f>
        <v>0</v>
      </c>
      <c r="M51" s="22">
        <f ca="1">+GETPIVOTDATA("XQT4",'quangthanh (2016)'!$A$3,"MA_HT","SKX","MA_QH","RPH")</f>
        <v>0</v>
      </c>
      <c r="N51" s="22">
        <f ca="1">+GETPIVOTDATA("XQT4",'quangthanh (2016)'!$A$3,"MA_HT","SKX","MA_QH","RDD")</f>
        <v>0</v>
      </c>
      <c r="O51" s="22">
        <f ca="1">+GETPIVOTDATA("XQT4",'quangthanh (2016)'!$A$3,"MA_HT","SKX","MA_QH","NTS")</f>
        <v>0</v>
      </c>
      <c r="P51" s="22">
        <f ca="1">+GETPIVOTDATA("XQT4",'quangthanh (2016)'!$A$3,"MA_HT","SKX","MA_QH","LMU")</f>
        <v>0</v>
      </c>
      <c r="Q51" s="22">
        <f ca="1">+GETPIVOTDATA("XQT4",'quangthanh (2016)'!$A$3,"MA_HT","SKX","MA_QH","NKH")</f>
        <v>0</v>
      </c>
      <c r="R51" s="79">
        <f ca="1">SUM(S51:AA51,AN51:AW51,AY51:BD51)</f>
        <v>0</v>
      </c>
      <c r="S51" s="22">
        <f ca="1">+GETPIVOTDATA("XQT4",'quangthanh (2016)'!$A$3,"MA_HT","SKX","MA_QH","CQP")</f>
        <v>0</v>
      </c>
      <c r="T51" s="22">
        <f ca="1">+GETPIVOTDATA("XQT4",'quangthanh (2016)'!$A$3,"MA_HT","SKX","MA_QH","CAN")</f>
        <v>0</v>
      </c>
      <c r="U51" s="22">
        <f ca="1">+GETPIVOTDATA("XQT4",'quangthanh (2016)'!$A$3,"MA_HT","SKX","MA_QH","SKK")</f>
        <v>0</v>
      </c>
      <c r="V51" s="22">
        <f ca="1">+GETPIVOTDATA("XQT4",'quangthanh (2016)'!$A$3,"MA_HT","SKX","MA_QH","SKT")</f>
        <v>0</v>
      </c>
      <c r="W51" s="22">
        <f ca="1">+GETPIVOTDATA("XQT4",'quangthanh (2016)'!$A$3,"MA_HT","SKX","MA_QH","SKN")</f>
        <v>0</v>
      </c>
      <c r="X51" s="22">
        <f ca="1">+GETPIVOTDATA("XQT4",'quangthanh (2016)'!$A$3,"MA_HT","SKX","MA_QH","TMD")</f>
        <v>0</v>
      </c>
      <c r="Y51" s="22">
        <f ca="1">+GETPIVOTDATA("XQT4",'quangthanh (2016)'!$A$3,"MA_HT","SKX","MA_QH","SKC")</f>
        <v>0</v>
      </c>
      <c r="Z51" s="22">
        <f ca="1">+GETPIVOTDATA("XQT4",'quangthanh (2016)'!$A$3,"MA_HT","SKX","MA_QH","SKS")</f>
        <v>0</v>
      </c>
      <c r="AA51" s="52">
        <f ca="1" t="shared" si="21"/>
        <v>0</v>
      </c>
      <c r="AB51" s="22">
        <f ca="1">+GETPIVOTDATA("XQT4",'quangthanh (2016)'!$A$3,"MA_HT","SKX","MA_QH","DGT")</f>
        <v>0</v>
      </c>
      <c r="AC51" s="22">
        <f ca="1">+GETPIVOTDATA("XQT4",'quangthanh (2016)'!$A$3,"MA_HT","SKX","MA_QH","DTL")</f>
        <v>0</v>
      </c>
      <c r="AD51" s="22">
        <f ca="1">+GETPIVOTDATA("XQT4",'quangthanh (2016)'!$A$3,"MA_HT","SKX","MA_QH","DNL")</f>
        <v>0</v>
      </c>
      <c r="AE51" s="22">
        <f ca="1">+GETPIVOTDATA("XQT4",'quangthanh (2016)'!$A$3,"MA_HT","SKX","MA_QH","DBV")</f>
        <v>0</v>
      </c>
      <c r="AF51" s="22">
        <f ca="1">+GETPIVOTDATA("XQT4",'quangthanh (2016)'!$A$3,"MA_HT","SKX","MA_QH","DVH")</f>
        <v>0</v>
      </c>
      <c r="AG51" s="22">
        <f ca="1">+GETPIVOTDATA("XQT4",'quangthanh (2016)'!$A$3,"MA_HT","SKX","MA_QH","DYT")</f>
        <v>0</v>
      </c>
      <c r="AH51" s="22">
        <f ca="1">+GETPIVOTDATA("XQT4",'quangthanh (2016)'!$A$3,"MA_HT","SKX","MA_QH","DGD")</f>
        <v>0</v>
      </c>
      <c r="AI51" s="22">
        <f ca="1">+GETPIVOTDATA("XQT4",'quangthanh (2016)'!$A$3,"MA_HT","SKX","MA_QH","DTT")</f>
        <v>0</v>
      </c>
      <c r="AJ51" s="22">
        <f ca="1">+GETPIVOTDATA("XQT4",'quangthanh (2016)'!$A$3,"MA_HT","SKX","MA_QH","NCK")</f>
        <v>0</v>
      </c>
      <c r="AK51" s="22">
        <f ca="1">+GETPIVOTDATA("XQT4",'quangthanh (2016)'!$A$3,"MA_HT","SKX","MA_QH","DXH")</f>
        <v>0</v>
      </c>
      <c r="AL51" s="22">
        <f ca="1">+GETPIVOTDATA("XQT4",'quangthanh (2016)'!$A$3,"MA_HT","SKX","MA_QH","DCH")</f>
        <v>0</v>
      </c>
      <c r="AM51" s="22">
        <f ca="1">+GETPIVOTDATA("XQT4",'quangthanh (2016)'!$A$3,"MA_HT","SKX","MA_QH","DKG")</f>
        <v>0</v>
      </c>
      <c r="AN51" s="22">
        <f ca="1">+GETPIVOTDATA("XQT4",'quangthanh (2016)'!$A$3,"MA_HT","SKX","MA_QH","DDT")</f>
        <v>0</v>
      </c>
      <c r="AO51" s="22">
        <f ca="1">+GETPIVOTDATA("XQT4",'quangthanh (2016)'!$A$3,"MA_HT","SKX","MA_QH","DDL")</f>
        <v>0</v>
      </c>
      <c r="AP51" s="22">
        <f ca="1">+GETPIVOTDATA("XQT4",'quangthanh (2016)'!$A$3,"MA_HT","SKX","MA_QH","DRA")</f>
        <v>0</v>
      </c>
      <c r="AQ51" s="22">
        <f ca="1">+GETPIVOTDATA("XQT4",'quangthanh (2016)'!$A$3,"MA_HT","SKX","MA_QH","ONT")</f>
        <v>0</v>
      </c>
      <c r="AR51" s="22">
        <f ca="1">+GETPIVOTDATA("XQT4",'quangthanh (2016)'!$A$3,"MA_HT","SKX","MA_QH","ODT")</f>
        <v>0</v>
      </c>
      <c r="AS51" s="22">
        <f ca="1">+GETPIVOTDATA("XQT4",'quangthanh (2016)'!$A$3,"MA_HT","SKX","MA_QH","TSC")</f>
        <v>0</v>
      </c>
      <c r="AT51" s="22">
        <f ca="1">+GETPIVOTDATA("XQT4",'quangthanh (2016)'!$A$3,"MA_HT","SKX","MA_QH","DTS")</f>
        <v>0</v>
      </c>
      <c r="AU51" s="22">
        <f ca="1">+GETPIVOTDATA("XQT4",'quangthanh (2016)'!$A$3,"MA_HT","SKX","MA_QH","DNG")</f>
        <v>0</v>
      </c>
      <c r="AV51" s="22">
        <f ca="1">+GETPIVOTDATA("XQT4",'quangthanh (2016)'!$A$3,"MA_HT","SKX","MA_QH","TON")</f>
        <v>0</v>
      </c>
      <c r="AW51" s="22">
        <f ca="1">+GETPIVOTDATA("XQT4",'quangthanh (2016)'!$A$3,"MA_HT","SKX","MA_QH","NTD")</f>
        <v>0</v>
      </c>
      <c r="AX51" s="43" t="e">
        <f ca="1">$D51-$BF51</f>
        <v>#REF!</v>
      </c>
      <c r="AY51" s="22">
        <f ca="1">+GETPIVOTDATA("XQT4",'quangthanh (2016)'!$A$3,"MA_HT","SKX","MA_QH","DSH")</f>
        <v>0</v>
      </c>
      <c r="AZ51" s="22">
        <f ca="1">+GETPIVOTDATA("XQT4",'quangthanh (2016)'!$A$3,"MA_HT","SKX","MA_QH","DKV")</f>
        <v>0</v>
      </c>
      <c r="BA51" s="89">
        <f ca="1">+GETPIVOTDATA("XQT4",'quangthanh (2016)'!$A$3,"MA_HT","SKX","MA_QH","TIN")</f>
        <v>0</v>
      </c>
      <c r="BB51" s="50">
        <f ca="1">+GETPIVOTDATA("XQT4",'quangthanh (2016)'!$A$3,"MA_HT","SKX","MA_QH","SON")</f>
        <v>0</v>
      </c>
      <c r="BC51" s="50">
        <f ca="1">+GETPIVOTDATA("XQT4",'quangthanh (2016)'!$A$3,"MA_HT","SKX","MA_QH","MNC")</f>
        <v>0</v>
      </c>
      <c r="BD51" s="22">
        <f ca="1">+GETPIVOTDATA("XQT4",'quangthanh (2016)'!$A$3,"MA_HT","SKX","MA_QH","PNK")</f>
        <v>0</v>
      </c>
      <c r="BE51" s="71">
        <f ca="1">+GETPIVOTDATA("XQT4",'quangthanh (2016)'!$A$3,"MA_HT","SKX","MA_QH","CSD")</f>
        <v>0</v>
      </c>
      <c r="BF51" s="74">
        <f ca="1" t="shared" si="13"/>
        <v>0</v>
      </c>
      <c r="BG51" s="101">
        <f ca="1">AX$59-$BF51</f>
        <v>0</v>
      </c>
      <c r="BH51" s="41" t="e">
        <f ca="1" t="shared" si="14"/>
        <v>#REF!</v>
      </c>
      <c r="BI51" s="98"/>
      <c r="BJ51" s="98" t="e">
        <f>#REF!</f>
        <v>#REF!</v>
      </c>
      <c r="BK51" s="107" t="e">
        <f ca="1">BH51-BJ51</f>
        <v>#REF!</v>
      </c>
      <c r="BL51" s="98"/>
      <c r="BM51" s="122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</row>
    <row r="52" s="2" customFormat="1" ht="15.75" customHeight="1" spans="1:79">
      <c r="A52" s="39" t="s">
        <v>8422</v>
      </c>
      <c r="B52" s="39" t="s">
        <v>8423</v>
      </c>
      <c r="C52" s="40" t="s">
        <v>8292</v>
      </c>
      <c r="D52" s="41" t="e">
        <f>+#REF!</f>
        <v>#REF!</v>
      </c>
      <c r="E52" s="42">
        <f ca="1" t="shared" si="15"/>
        <v>0</v>
      </c>
      <c r="F52" s="52">
        <f ca="1" t="shared" si="9"/>
        <v>0</v>
      </c>
      <c r="G52" s="22">
        <f ca="1">+GETPIVOTDATA("XQT4",'quangthanh (2016)'!$A$3,"MA_HT","DSH","MA_QH","LUC")</f>
        <v>0</v>
      </c>
      <c r="H52" s="22">
        <f ca="1">+GETPIVOTDATA("XQT4",'quangthanh (2016)'!$A$3,"MA_HT","DSH","MA_QH","LUK")</f>
        <v>0</v>
      </c>
      <c r="I52" s="22">
        <f ca="1">+GETPIVOTDATA("XQT4",'quangthanh (2016)'!$A$3,"MA_HT","DSH","MA_QH","LUN")</f>
        <v>0</v>
      </c>
      <c r="J52" s="22">
        <f ca="1">+GETPIVOTDATA("XQT4",'quangthanh (2016)'!$A$3,"MA_HT","DSH","MA_QH","HNK")</f>
        <v>0</v>
      </c>
      <c r="K52" s="22">
        <f ca="1">+GETPIVOTDATA("XQT4",'quangthanh (2016)'!$A$3,"MA_HT","DSH","MA_QH","CLN")</f>
        <v>0</v>
      </c>
      <c r="L52" s="22">
        <f ca="1">+GETPIVOTDATA("XQT4",'quangthanh (2016)'!$A$3,"MA_HT","DSH","MA_QH","RSX")</f>
        <v>0</v>
      </c>
      <c r="M52" s="22">
        <f ca="1">+GETPIVOTDATA("XQT4",'quangthanh (2016)'!$A$3,"MA_HT","DSH","MA_QH","RPH")</f>
        <v>0</v>
      </c>
      <c r="N52" s="22">
        <f ca="1">+GETPIVOTDATA("XQT4",'quangthanh (2016)'!$A$3,"MA_HT","DSH","MA_QH","RDD")</f>
        <v>0</v>
      </c>
      <c r="O52" s="22">
        <f ca="1">+GETPIVOTDATA("XQT4",'quangthanh (2016)'!$A$3,"MA_HT","DSH","MA_QH","NTS")</f>
        <v>0</v>
      </c>
      <c r="P52" s="22">
        <f ca="1">+GETPIVOTDATA("XQT4",'quangthanh (2016)'!$A$3,"MA_HT","DSH","MA_QH","LMU")</f>
        <v>0</v>
      </c>
      <c r="Q52" s="22">
        <f ca="1">+GETPIVOTDATA("XQT4",'quangthanh (2016)'!$A$3,"MA_HT","DSH","MA_QH","NKH")</f>
        <v>0</v>
      </c>
      <c r="R52" s="79">
        <f ca="1">SUM(S52:AA52,AN52:AX52,AZ52:BD52)</f>
        <v>0</v>
      </c>
      <c r="S52" s="22">
        <f ca="1">+GETPIVOTDATA("XQT4",'quangthanh (2016)'!$A$3,"MA_HT","DSH","MA_QH","CQP")</f>
        <v>0</v>
      </c>
      <c r="T52" s="22">
        <f ca="1">+GETPIVOTDATA("XQT4",'quangthanh (2016)'!$A$3,"MA_HT","DSH","MA_QH","CAN")</f>
        <v>0</v>
      </c>
      <c r="U52" s="22">
        <f ca="1">+GETPIVOTDATA("XQT4",'quangthanh (2016)'!$A$3,"MA_HT","DSH","MA_QH","SKK")</f>
        <v>0</v>
      </c>
      <c r="V52" s="22">
        <f ca="1">+GETPIVOTDATA("XQT4",'quangthanh (2016)'!$A$3,"MA_HT","DSH","MA_QH","SKT")</f>
        <v>0</v>
      </c>
      <c r="W52" s="22">
        <f ca="1">+GETPIVOTDATA("XQT4",'quangthanh (2016)'!$A$3,"MA_HT","DSH","MA_QH","SKN")</f>
        <v>0</v>
      </c>
      <c r="X52" s="22">
        <f ca="1">+GETPIVOTDATA("XQT4",'quangthanh (2016)'!$A$3,"MA_HT","DSH","MA_QH","TMD")</f>
        <v>0</v>
      </c>
      <c r="Y52" s="22">
        <f ca="1">+GETPIVOTDATA("XQT4",'quangthanh (2016)'!$A$3,"MA_HT","DSH","MA_QH","SKC")</f>
        <v>0</v>
      </c>
      <c r="Z52" s="22">
        <f ca="1">+GETPIVOTDATA("XQT4",'quangthanh (2016)'!$A$3,"MA_HT","DSH","MA_QH","SKS")</f>
        <v>0</v>
      </c>
      <c r="AA52" s="52">
        <f ca="1" t="shared" si="21"/>
        <v>0</v>
      </c>
      <c r="AB52" s="22">
        <f ca="1">+GETPIVOTDATA("XQT4",'quangthanh (2016)'!$A$3,"MA_HT","DSH","MA_QH","DGT")</f>
        <v>0</v>
      </c>
      <c r="AC52" s="22">
        <f ca="1">+GETPIVOTDATA("XQT4",'quangthanh (2016)'!$A$3,"MA_HT","DSH","MA_QH","DTL")</f>
        <v>0</v>
      </c>
      <c r="AD52" s="22">
        <f ca="1">+GETPIVOTDATA("XQT4",'quangthanh (2016)'!$A$3,"MA_HT","DSH","MA_QH","DNL")</f>
        <v>0</v>
      </c>
      <c r="AE52" s="22">
        <f ca="1">+GETPIVOTDATA("XQT4",'quangthanh (2016)'!$A$3,"MA_HT","DSH","MA_QH","DBV")</f>
        <v>0</v>
      </c>
      <c r="AF52" s="22">
        <f ca="1">+GETPIVOTDATA("XQT4",'quangthanh (2016)'!$A$3,"MA_HT","DSH","MA_QH","DVH")</f>
        <v>0</v>
      </c>
      <c r="AG52" s="22">
        <f ca="1">+GETPIVOTDATA("XQT4",'quangthanh (2016)'!$A$3,"MA_HT","DSH","MA_QH","DYT")</f>
        <v>0</v>
      </c>
      <c r="AH52" s="22">
        <f ca="1">+GETPIVOTDATA("XQT4",'quangthanh (2016)'!$A$3,"MA_HT","DSH","MA_QH","DGD")</f>
        <v>0</v>
      </c>
      <c r="AI52" s="22">
        <f ca="1">+GETPIVOTDATA("XQT4",'quangthanh (2016)'!$A$3,"MA_HT","DSH","MA_QH","DTT")</f>
        <v>0</v>
      </c>
      <c r="AJ52" s="22">
        <f ca="1">+GETPIVOTDATA("XQT4",'quangthanh (2016)'!$A$3,"MA_HT","DSH","MA_QH","NCK")</f>
        <v>0</v>
      </c>
      <c r="AK52" s="22">
        <f ca="1">+GETPIVOTDATA("XQT4",'quangthanh (2016)'!$A$3,"MA_HT","DSH","MA_QH","DXH")</f>
        <v>0</v>
      </c>
      <c r="AL52" s="22">
        <f ca="1">+GETPIVOTDATA("XQT4",'quangthanh (2016)'!$A$3,"MA_HT","DSH","MA_QH","DCH")</f>
        <v>0</v>
      </c>
      <c r="AM52" s="22">
        <f ca="1">+GETPIVOTDATA("XQT4",'quangthanh (2016)'!$A$3,"MA_HT","DSH","MA_QH","DKG")</f>
        <v>0</v>
      </c>
      <c r="AN52" s="22">
        <f ca="1">+GETPIVOTDATA("XQT4",'quangthanh (2016)'!$A$3,"MA_HT","DSH","MA_QH","DDT")</f>
        <v>0</v>
      </c>
      <c r="AO52" s="22">
        <f ca="1">+GETPIVOTDATA("XQT4",'quangthanh (2016)'!$A$3,"MA_HT","DSH","MA_QH","DDL")</f>
        <v>0</v>
      </c>
      <c r="AP52" s="22">
        <f ca="1">+GETPIVOTDATA("XQT4",'quangthanh (2016)'!$A$3,"MA_HT","DSH","MA_QH","DRA")</f>
        <v>0</v>
      </c>
      <c r="AQ52" s="22">
        <f ca="1">+GETPIVOTDATA("XQT4",'quangthanh (2016)'!$A$3,"MA_HT","DSH","MA_QH","ONT")</f>
        <v>0</v>
      </c>
      <c r="AR52" s="22">
        <f ca="1">+GETPIVOTDATA("XQT4",'quangthanh (2016)'!$A$3,"MA_HT","DSH","MA_QH","ODT")</f>
        <v>0</v>
      </c>
      <c r="AS52" s="22">
        <f ca="1">+GETPIVOTDATA("XQT4",'quangthanh (2016)'!$A$3,"MA_HT","DSH","MA_QH","TSC")</f>
        <v>0</v>
      </c>
      <c r="AT52" s="22">
        <f ca="1">+GETPIVOTDATA("XQT4",'quangthanh (2016)'!$A$3,"MA_HT","DSH","MA_QH","DTS")</f>
        <v>0</v>
      </c>
      <c r="AU52" s="22">
        <f ca="1">+GETPIVOTDATA("XQT4",'quangthanh (2016)'!$A$3,"MA_HT","DSH","MA_QH","DNG")</f>
        <v>0</v>
      </c>
      <c r="AV52" s="22">
        <f ca="1">+GETPIVOTDATA("XQT4",'quangthanh (2016)'!$A$3,"MA_HT","DSH","MA_QH","TON")</f>
        <v>0</v>
      </c>
      <c r="AW52" s="22">
        <f ca="1">+GETPIVOTDATA("XQT4",'quangthanh (2016)'!$A$3,"MA_HT","DSH","MA_QH","NTD")</f>
        <v>0</v>
      </c>
      <c r="AX52" s="22">
        <f ca="1">+GETPIVOTDATA("XQT4",'quangthanh (2016)'!$A$3,"MA_HT","DSH","MA_QH","SKX")</f>
        <v>0</v>
      </c>
      <c r="AY52" s="43" t="e">
        <f ca="1">$D52-$BF52</f>
        <v>#REF!</v>
      </c>
      <c r="AZ52" s="22">
        <f ca="1">+GETPIVOTDATA("XQT4",'quangthanh (2016)'!$A$3,"MA_HT","DSH","MA_QH","DKV")</f>
        <v>0</v>
      </c>
      <c r="BA52" s="89">
        <f ca="1">+GETPIVOTDATA("XQT4",'quangthanh (2016)'!$A$3,"MA_HT","DSH","MA_QH","TIN")</f>
        <v>0</v>
      </c>
      <c r="BB52" s="50">
        <f ca="1">+GETPIVOTDATA("XQT4",'quangthanh (2016)'!$A$3,"MA_HT","DSH","MA_QH","SON")</f>
        <v>0</v>
      </c>
      <c r="BC52" s="50">
        <f ca="1">+GETPIVOTDATA("XQT4",'quangthanh (2016)'!$A$3,"MA_HT","DSH","MA_QH","MNC")</f>
        <v>0</v>
      </c>
      <c r="BD52" s="22">
        <f ca="1">+GETPIVOTDATA("XQT4",'quangthanh (2016)'!$A$3,"MA_HT","DSH","MA_QH","PNK")</f>
        <v>0</v>
      </c>
      <c r="BE52" s="71">
        <f ca="1">+GETPIVOTDATA("XQT4",'quangthanh (2016)'!$A$3,"MA_HT","DSH","MA_QH","CSD")</f>
        <v>0</v>
      </c>
      <c r="BF52" s="74">
        <f ca="1" t="shared" si="13"/>
        <v>0</v>
      </c>
      <c r="BG52" s="101">
        <f ca="1">AY$59-$BF52</f>
        <v>0</v>
      </c>
      <c r="BH52" s="41" t="e">
        <f ca="1" t="shared" si="14"/>
        <v>#REF!</v>
      </c>
      <c r="BI52" s="98"/>
      <c r="BJ52" s="98" t="e">
        <f>#REF!</f>
        <v>#REF!</v>
      </c>
      <c r="BK52" s="107" t="e">
        <f ca="1">BH52-BJ52</f>
        <v>#REF!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</row>
    <row r="53" s="2" customFormat="1" ht="15.75" customHeight="1" spans="1:79">
      <c r="A53" s="39" t="s">
        <v>8424</v>
      </c>
      <c r="B53" s="39" t="s">
        <v>8425</v>
      </c>
      <c r="C53" s="40" t="s">
        <v>8289</v>
      </c>
      <c r="D53" s="41" t="e">
        <f>+#REF!</f>
        <v>#REF!</v>
      </c>
      <c r="E53" s="42">
        <f ca="1" t="shared" si="15"/>
        <v>0</v>
      </c>
      <c r="F53" s="52">
        <f ca="1" t="shared" si="9"/>
        <v>0</v>
      </c>
      <c r="G53" s="22">
        <f ca="1">+GETPIVOTDATA("XQT4",'quangthanh (2016)'!$A$3,"MA_HT","DKV","MA_QH","LUC")</f>
        <v>0</v>
      </c>
      <c r="H53" s="22">
        <f ca="1">+GETPIVOTDATA("XQT4",'quangthanh (2016)'!$A$3,"MA_HT","DKV","MA_QH","LUK")</f>
        <v>0</v>
      </c>
      <c r="I53" s="22">
        <f ca="1">+GETPIVOTDATA("XQT4",'quangthanh (2016)'!$A$3,"MA_HT","DKV","MA_QH","LUN")</f>
        <v>0</v>
      </c>
      <c r="J53" s="22">
        <f ca="1">+GETPIVOTDATA("XQT4",'quangthanh (2016)'!$A$3,"MA_HT","DKV","MA_QH","HNK")</f>
        <v>0</v>
      </c>
      <c r="K53" s="22">
        <f ca="1">+GETPIVOTDATA("XQT4",'quangthanh (2016)'!$A$3,"MA_HT","DKV","MA_QH","CLN")</f>
        <v>0</v>
      </c>
      <c r="L53" s="22">
        <f ca="1">+GETPIVOTDATA("XQT4",'quangthanh (2016)'!$A$3,"MA_HT","DKV","MA_QH","RSX")</f>
        <v>0</v>
      </c>
      <c r="M53" s="22">
        <f ca="1">+GETPIVOTDATA("XQT4",'quangthanh (2016)'!$A$3,"MA_HT","DKV","MA_QH","RPH")</f>
        <v>0</v>
      </c>
      <c r="N53" s="22">
        <f ca="1">+GETPIVOTDATA("XQT4",'quangthanh (2016)'!$A$3,"MA_HT","DKV","MA_QH","RDD")</f>
        <v>0</v>
      </c>
      <c r="O53" s="22">
        <f ca="1">+GETPIVOTDATA("XQT4",'quangthanh (2016)'!$A$3,"MA_HT","DKV","MA_QH","NTS")</f>
        <v>0</v>
      </c>
      <c r="P53" s="22">
        <f ca="1">+GETPIVOTDATA("XQT4",'quangthanh (2016)'!$A$3,"MA_HT","DKV","MA_QH","LMU")</f>
        <v>0</v>
      </c>
      <c r="Q53" s="22">
        <f ca="1">+GETPIVOTDATA("XQT4",'quangthanh (2016)'!$A$3,"MA_HT","DKV","MA_QH","NKH")</f>
        <v>0</v>
      </c>
      <c r="R53" s="79">
        <f ca="1">SUM(S53:AA53,AN53:AY53,BB53:BD53)</f>
        <v>0</v>
      </c>
      <c r="S53" s="22">
        <f ca="1">+GETPIVOTDATA("XQT4",'quangthanh (2016)'!$A$3,"MA_HT","DKV","MA_QH","CQP")</f>
        <v>0</v>
      </c>
      <c r="T53" s="22">
        <f ca="1">+GETPIVOTDATA("XQT4",'quangthanh (2016)'!$A$3,"MA_HT","DKV","MA_QH","CAN")</f>
        <v>0</v>
      </c>
      <c r="U53" s="22">
        <f ca="1">+GETPIVOTDATA("XQT4",'quangthanh (2016)'!$A$3,"MA_HT","DKV","MA_QH","SKK")</f>
        <v>0</v>
      </c>
      <c r="V53" s="22">
        <f ca="1">+GETPIVOTDATA("XQT4",'quangthanh (2016)'!$A$3,"MA_HT","DKV","MA_QH","SKT")</f>
        <v>0</v>
      </c>
      <c r="W53" s="22">
        <f ca="1">+GETPIVOTDATA("XQT4",'quangthanh (2016)'!$A$3,"MA_HT","DKV","MA_QH","SKN")</f>
        <v>0</v>
      </c>
      <c r="X53" s="22">
        <f ca="1">+GETPIVOTDATA("XQT4",'quangthanh (2016)'!$A$3,"MA_HT","DKV","MA_QH","TMD")</f>
        <v>0</v>
      </c>
      <c r="Y53" s="22">
        <f ca="1">+GETPIVOTDATA("XQT4",'quangthanh (2016)'!$A$3,"MA_HT","DKV","MA_QH","SKC")</f>
        <v>0</v>
      </c>
      <c r="Z53" s="22">
        <f ca="1">+GETPIVOTDATA("XQT4",'quangthanh (2016)'!$A$3,"MA_HT","DKV","MA_QH","SKS")</f>
        <v>0</v>
      </c>
      <c r="AA53" s="52">
        <f ca="1" t="shared" si="21"/>
        <v>0</v>
      </c>
      <c r="AB53" s="22">
        <f ca="1">+GETPIVOTDATA("XQT4",'quangthanh (2016)'!$A$3,"MA_HT","DKV","MA_QH","DGT")</f>
        <v>0</v>
      </c>
      <c r="AC53" s="22">
        <f ca="1">+GETPIVOTDATA("XQT4",'quangthanh (2016)'!$A$3,"MA_HT","DKV","MA_QH","DTL")</f>
        <v>0</v>
      </c>
      <c r="AD53" s="22">
        <f ca="1">+GETPIVOTDATA("XQT4",'quangthanh (2016)'!$A$3,"MA_HT","DKV","MA_QH","DNL")</f>
        <v>0</v>
      </c>
      <c r="AE53" s="22">
        <f ca="1">+GETPIVOTDATA("XQT4",'quangthanh (2016)'!$A$3,"MA_HT","DKV","MA_QH","DBV")</f>
        <v>0</v>
      </c>
      <c r="AF53" s="22">
        <f ca="1">+GETPIVOTDATA("XQT4",'quangthanh (2016)'!$A$3,"MA_HT","DKV","MA_QH","DVH")</f>
        <v>0</v>
      </c>
      <c r="AG53" s="22">
        <f ca="1">+GETPIVOTDATA("XQT4",'quangthanh (2016)'!$A$3,"MA_HT","DKV","MA_QH","DYT")</f>
        <v>0</v>
      </c>
      <c r="AH53" s="22">
        <f ca="1">+GETPIVOTDATA("XQT4",'quangthanh (2016)'!$A$3,"MA_HT","DKV","MA_QH","DGD")</f>
        <v>0</v>
      </c>
      <c r="AI53" s="22">
        <f ca="1">+GETPIVOTDATA("XQT4",'quangthanh (2016)'!$A$3,"MA_HT","DKV","MA_QH","DTT")</f>
        <v>0</v>
      </c>
      <c r="AJ53" s="22">
        <f ca="1">+GETPIVOTDATA("XQT4",'quangthanh (2016)'!$A$3,"MA_HT","DKV","MA_QH","NCK")</f>
        <v>0</v>
      </c>
      <c r="AK53" s="22">
        <f ca="1">+GETPIVOTDATA("XQT4",'quangthanh (2016)'!$A$3,"MA_HT","DKV","MA_QH","DXH")</f>
        <v>0</v>
      </c>
      <c r="AL53" s="22">
        <f ca="1">+GETPIVOTDATA("XQT4",'quangthanh (2016)'!$A$3,"MA_HT","DKV","MA_QH","DCH")</f>
        <v>0</v>
      </c>
      <c r="AM53" s="22">
        <f ca="1">+GETPIVOTDATA("XQT4",'quangthanh (2016)'!$A$3,"MA_HT","DKV","MA_QH","DKG")</f>
        <v>0</v>
      </c>
      <c r="AN53" s="22">
        <f ca="1">+GETPIVOTDATA("XQT4",'quangthanh (2016)'!$A$3,"MA_HT","DKV","MA_QH","DDT")</f>
        <v>0</v>
      </c>
      <c r="AO53" s="22">
        <f ca="1">+GETPIVOTDATA("XQT4",'quangthanh (2016)'!$A$3,"MA_HT","DKV","MA_QH","DDL")</f>
        <v>0</v>
      </c>
      <c r="AP53" s="22">
        <f ca="1">+GETPIVOTDATA("XQT4",'quangthanh (2016)'!$A$3,"MA_HT","DKV","MA_QH","DRA")</f>
        <v>0</v>
      </c>
      <c r="AQ53" s="22">
        <f ca="1">+GETPIVOTDATA("XQT4",'quangthanh (2016)'!$A$3,"MA_HT","DKV","MA_QH","ONT")</f>
        <v>0</v>
      </c>
      <c r="AR53" s="22">
        <f ca="1">+GETPIVOTDATA("XQT4",'quangthanh (2016)'!$A$3,"MA_HT","DKV","MA_QH","ODT")</f>
        <v>0</v>
      </c>
      <c r="AS53" s="22">
        <f ca="1">+GETPIVOTDATA("XQT4",'quangthanh (2016)'!$A$3,"MA_HT","DKV","MA_QH","TSC")</f>
        <v>0</v>
      </c>
      <c r="AT53" s="22">
        <f ca="1">+GETPIVOTDATA("XQT4",'quangthanh (2016)'!$A$3,"MA_HT","DKV","MA_QH","DTS")</f>
        <v>0</v>
      </c>
      <c r="AU53" s="22">
        <f ca="1">+GETPIVOTDATA("XQT4",'quangthanh (2016)'!$A$3,"MA_HT","DKV","MA_QH","DNG")</f>
        <v>0</v>
      </c>
      <c r="AV53" s="22">
        <f ca="1">+GETPIVOTDATA("XQT4",'quangthanh (2016)'!$A$3,"MA_HT","DKV","MA_QH","TON")</f>
        <v>0</v>
      </c>
      <c r="AW53" s="22">
        <f ca="1">+GETPIVOTDATA("XQT4",'quangthanh (2016)'!$A$3,"MA_HT","DKV","MA_QH","NTD")</f>
        <v>0</v>
      </c>
      <c r="AX53" s="22">
        <f ca="1">+GETPIVOTDATA("XQT4",'quangthanh (2016)'!$A$3,"MA_HT","DKV","MA_QH","SKX")</f>
        <v>0</v>
      </c>
      <c r="AY53" s="22">
        <f ca="1">+GETPIVOTDATA("XQT4",'quangthanh (2016)'!$A$3,"MA_HT","DKV","MA_QH","DSH")</f>
        <v>0</v>
      </c>
      <c r="AZ53" s="43" t="e">
        <f ca="1">$D53-$BF53</f>
        <v>#REF!</v>
      </c>
      <c r="BA53" s="89">
        <f ca="1">+GETPIVOTDATA("XQT4",'quangthanh (2016)'!$A$3,"MA_HT","DKV","MA_QH","TIN")</f>
        <v>0</v>
      </c>
      <c r="BB53" s="50">
        <f ca="1">+GETPIVOTDATA("XQT4",'quangthanh (2016)'!$A$3,"MA_HT","DKV","MA_QH","SON")</f>
        <v>0</v>
      </c>
      <c r="BC53" s="50">
        <f ca="1">+GETPIVOTDATA("XQT4",'quangthanh (2016)'!$A$3,"MA_HT","DKV","MA_QH","MNC")</f>
        <v>0</v>
      </c>
      <c r="BD53" s="22">
        <f ca="1">+GETPIVOTDATA("XQT4",'quangthanh (2016)'!$A$3,"MA_HT","DKV","MA_QH","PNK")</f>
        <v>0</v>
      </c>
      <c r="BE53" s="71">
        <f ca="1">+GETPIVOTDATA("XQT4",'quangthanh (2016)'!$A$3,"MA_HT","DKV","MA_QH","CSD")</f>
        <v>0</v>
      </c>
      <c r="BF53" s="74">
        <f ca="1" t="shared" si="13"/>
        <v>0</v>
      </c>
      <c r="BG53" s="101">
        <f ca="1">AZ$59-$BF53</f>
        <v>0</v>
      </c>
      <c r="BH53" s="41" t="e">
        <f ca="1" t="shared" si="14"/>
        <v>#REF!</v>
      </c>
      <c r="BI53" s="98"/>
      <c r="BJ53" s="98" t="e">
        <f>#REF!</f>
        <v>#REF!</v>
      </c>
      <c r="BK53" s="107" t="e">
        <f ca="1">BH53-BJ53</f>
        <v>#REF!</v>
      </c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</row>
    <row r="54" s="2" customFormat="1" ht="15.75" customHeight="1" spans="1:75">
      <c r="A54" s="39" t="s">
        <v>8426</v>
      </c>
      <c r="B54" s="39" t="s">
        <v>8427</v>
      </c>
      <c r="C54" s="40" t="s">
        <v>8310</v>
      </c>
      <c r="D54" s="41" t="e">
        <f>+#REF!</f>
        <v>#REF!</v>
      </c>
      <c r="E54" s="33">
        <f ca="1" t="shared" si="15"/>
        <v>0</v>
      </c>
      <c r="F54" s="52">
        <f ca="1">SUM(F29:F39)</f>
        <v>0</v>
      </c>
      <c r="G54" s="22">
        <f ca="1">+GETPIVOTDATA("XQT4",'quangthanh (2016)'!$A$3,"MA_HT","TIN","MA_QH","LUC")</f>
        <v>0</v>
      </c>
      <c r="H54" s="22">
        <f ca="1">+GETPIVOTDATA("XQT4",'quangthanh (2016)'!$A$3,"MA_HT","TIN","MA_QH","LUK")</f>
        <v>0</v>
      </c>
      <c r="I54" s="22">
        <f ca="1">+GETPIVOTDATA("XQT4",'quangthanh (2016)'!$A$3,"MA_HT","TIN","MA_QH","LUN")</f>
        <v>0</v>
      </c>
      <c r="J54" s="22">
        <f ca="1">+GETPIVOTDATA("XQT4",'quangthanh (2016)'!$A$3,"MA_HT","TIN","MA_QH","HNK")</f>
        <v>0</v>
      </c>
      <c r="K54" s="22">
        <f ca="1">+GETPIVOTDATA("XQT4",'quangthanh (2016)'!$A$3,"MA_HT","TIN","MA_QH","CLN")</f>
        <v>0</v>
      </c>
      <c r="L54" s="22">
        <f ca="1">+GETPIVOTDATA("XQT4",'quangthanh (2016)'!$A$3,"MA_HT","TIN","MA_QH","RSX")</f>
        <v>0</v>
      </c>
      <c r="M54" s="22">
        <f ca="1">+GETPIVOTDATA("XQT4",'quangthanh (2016)'!$A$3,"MA_HT","TIN","MA_QH","RPH")</f>
        <v>0</v>
      </c>
      <c r="N54" s="22">
        <f ca="1">+GETPIVOTDATA("XQT4",'quangthanh (2016)'!$A$3,"MA_HT","TIN","MA_QH","RDD")</f>
        <v>0</v>
      </c>
      <c r="O54" s="22">
        <f ca="1">+GETPIVOTDATA("XQT4",'quangthanh (2016)'!$A$3,"MA_HT","TIN","MA_QH","NTS")</f>
        <v>0</v>
      </c>
      <c r="P54" s="22">
        <f ca="1">+GETPIVOTDATA("XQT4",'quangthanh (2016)'!$A$3,"MA_HT","TIN","MA_QH","LMU")</f>
        <v>0</v>
      </c>
      <c r="Q54" s="22">
        <f ca="1">+GETPIVOTDATA("XQT4",'quangthanh (2016)'!$A$3,"MA_HT","TIN","MA_QH","NKH")</f>
        <v>0</v>
      </c>
      <c r="R54" s="79">
        <f ca="1">SUM(S54:AA54,AN54:AZ54,BB54:BD54)</f>
        <v>0</v>
      </c>
      <c r="S54" s="22">
        <f ca="1">+GETPIVOTDATA("XQT4",'quangthanh (2016)'!$A$3,"MA_HT","TIN","MA_QH","CQP")</f>
        <v>0</v>
      </c>
      <c r="T54" s="22">
        <f ca="1">+GETPIVOTDATA("XQT4",'quangthanh (2016)'!$A$3,"MA_HT","TIN","MA_QH","CAN")</f>
        <v>0</v>
      </c>
      <c r="U54" s="22">
        <f ca="1">+GETPIVOTDATA("XQT4",'quangthanh (2016)'!$A$3,"MA_HT","TIN","MA_QH","SKK")</f>
        <v>0</v>
      </c>
      <c r="V54" s="22">
        <f ca="1">+GETPIVOTDATA("XQT4",'quangthanh (2016)'!$A$3,"MA_HT","TIN","MA_QH","SKT")</f>
        <v>0</v>
      </c>
      <c r="W54" s="22">
        <f ca="1">+GETPIVOTDATA("XQT4",'quangthanh (2016)'!$A$3,"MA_HT","TIN","MA_QH","SKN")</f>
        <v>0</v>
      </c>
      <c r="X54" s="22">
        <f ca="1">+GETPIVOTDATA("XQT4",'quangthanh (2016)'!$A$3,"MA_HT","TIN","MA_QH","TMD")</f>
        <v>0</v>
      </c>
      <c r="Y54" s="22">
        <f ca="1">+GETPIVOTDATA("XQT4",'quangthanh (2016)'!$A$3,"MA_HT","TIN","MA_QH","SKC")</f>
        <v>0</v>
      </c>
      <c r="Z54" s="22">
        <f ca="1">+GETPIVOTDATA("XQT4",'quangthanh (2016)'!$A$3,"MA_HT","TIN","MA_QH","SKS")</f>
        <v>0</v>
      </c>
      <c r="AA54" s="52">
        <f ca="1" t="shared" si="21"/>
        <v>0</v>
      </c>
      <c r="AB54" s="22">
        <f ca="1">+GETPIVOTDATA("XQT4",'quangthanh (2016)'!$A$3,"MA_HT","TIN","MA_QH","DGT")</f>
        <v>0</v>
      </c>
      <c r="AC54" s="22">
        <f ca="1">+GETPIVOTDATA("XQT4",'quangthanh (2016)'!$A$3,"MA_HT","TIN","MA_QH","DTL")</f>
        <v>0</v>
      </c>
      <c r="AD54" s="22">
        <f ca="1">+GETPIVOTDATA("XQT4",'quangthanh (2016)'!$A$3,"MA_HT","TIN","MA_QH","DNL")</f>
        <v>0</v>
      </c>
      <c r="AE54" s="22">
        <f ca="1">+GETPIVOTDATA("XQT4",'quangthanh (2016)'!$A$3,"MA_HT","TIN","MA_QH","DBV")</f>
        <v>0</v>
      </c>
      <c r="AF54" s="22">
        <f ca="1">+GETPIVOTDATA("XQT4",'quangthanh (2016)'!$A$3,"MA_HT","TIN","MA_QH","DVH")</f>
        <v>0</v>
      </c>
      <c r="AG54" s="22">
        <f ca="1">+GETPIVOTDATA("XQT4",'quangthanh (2016)'!$A$3,"MA_HT","TIN","MA_QH","DYT")</f>
        <v>0</v>
      </c>
      <c r="AH54" s="22">
        <f ca="1">+GETPIVOTDATA("XQT4",'quangthanh (2016)'!$A$3,"MA_HT","TIN","MA_QH","DGD")</f>
        <v>0</v>
      </c>
      <c r="AI54" s="22">
        <f ca="1">+GETPIVOTDATA("XQT4",'quangthanh (2016)'!$A$3,"MA_HT","TIN","MA_QH","DTT")</f>
        <v>0</v>
      </c>
      <c r="AJ54" s="22">
        <f ca="1">+GETPIVOTDATA("XQT4",'quangthanh (2016)'!$A$3,"MA_HT","TIN","MA_QH","NCK")</f>
        <v>0</v>
      </c>
      <c r="AK54" s="22">
        <f ca="1">+GETPIVOTDATA("XQT4",'quangthanh (2016)'!$A$3,"MA_HT","TIN","MA_QH","DXH")</f>
        <v>0</v>
      </c>
      <c r="AL54" s="22">
        <f ca="1">+GETPIVOTDATA("XQT4",'quangthanh (2016)'!$A$3,"MA_HT","TIN","MA_QH","DCH")</f>
        <v>0</v>
      </c>
      <c r="AM54" s="22">
        <f ca="1">+GETPIVOTDATA("XQT4",'quangthanh (2016)'!$A$3,"MA_HT","TIN","MA_QH","DKG")</f>
        <v>0</v>
      </c>
      <c r="AN54" s="22">
        <f ca="1">+GETPIVOTDATA("XQT4",'quangthanh (2016)'!$A$3,"MA_HT","TIN","MA_QH","DDT")</f>
        <v>0</v>
      </c>
      <c r="AO54" s="22">
        <f ca="1">+GETPIVOTDATA("XQT4",'quangthanh (2016)'!$A$3,"MA_HT","TIN","MA_QH","DDL")</f>
        <v>0</v>
      </c>
      <c r="AP54" s="22">
        <f ca="1">+GETPIVOTDATA("XQT4",'quangthanh (2016)'!$A$3,"MA_HT","TIN","MA_QH","DRA")</f>
        <v>0</v>
      </c>
      <c r="AQ54" s="22">
        <f ca="1">+GETPIVOTDATA("XQT4",'quangthanh (2016)'!$A$3,"MA_HT","TIN","MA_QH","ONT")</f>
        <v>0</v>
      </c>
      <c r="AR54" s="22">
        <f ca="1">+GETPIVOTDATA("XQT4",'quangthanh (2016)'!$A$3,"MA_HT","TIN","MA_QH","ODT")</f>
        <v>0</v>
      </c>
      <c r="AS54" s="22">
        <f ca="1">+GETPIVOTDATA("XQT4",'quangthanh (2016)'!$A$3,"MA_HT","TIN","MA_QH","TSC")</f>
        <v>0</v>
      </c>
      <c r="AT54" s="22">
        <f ca="1">+GETPIVOTDATA("XQT4",'quangthanh (2016)'!$A$3,"MA_HT","TIN","MA_QH","DTS")</f>
        <v>0</v>
      </c>
      <c r="AU54" s="22">
        <f ca="1">+GETPIVOTDATA("XQT4",'quangthanh (2016)'!$A$3,"MA_HT","TIN","MA_QH","DNG")</f>
        <v>0</v>
      </c>
      <c r="AV54" s="22">
        <f ca="1">+GETPIVOTDATA("XQT4",'quangthanh (2016)'!$A$3,"MA_HT","TIN","MA_QH","TON")</f>
        <v>0</v>
      </c>
      <c r="AW54" s="22">
        <f ca="1">+GETPIVOTDATA("XQT4",'quangthanh (2016)'!$A$3,"MA_HT","TIN","MA_QH","NTD")</f>
        <v>0</v>
      </c>
      <c r="AX54" s="22">
        <f ca="1">+GETPIVOTDATA("XQT4",'quangthanh (2016)'!$A$3,"MA_HT","TIN","MA_QH","SKX")</f>
        <v>0</v>
      </c>
      <c r="AY54" s="22">
        <f ca="1">+GETPIVOTDATA("XQT4",'quangthanh (2016)'!$A$3,"MA_HT","TIN","MA_QH","DSH")</f>
        <v>0</v>
      </c>
      <c r="AZ54" s="22">
        <f ca="1">+GETPIVOTDATA("XQT4",'quangthanh (2016)'!$A$3,"MA_HT","TIN","MA_QH","DKV")</f>
        <v>0</v>
      </c>
      <c r="BA54" s="43" t="e">
        <f ca="1">$D54-$BF54</f>
        <v>#REF!</v>
      </c>
      <c r="BB54" s="22">
        <f ca="1">+GETPIVOTDATA("XQT4",'quangthanh (2016)'!$A$3,"MA_HT","TIN","MA_QH","SON")</f>
        <v>0</v>
      </c>
      <c r="BC54" s="22">
        <f ca="1">+GETPIVOTDATA("XQT4",'quangthanh (2016)'!$A$3,"MA_HT","TIN","MA_QH","MNC")</f>
        <v>0</v>
      </c>
      <c r="BD54" s="22">
        <f ca="1">+GETPIVOTDATA("XQT4",'quangthanh (2016)'!$A$3,"MA_HT","TIN","MA_QH","PNK")</f>
        <v>0</v>
      </c>
      <c r="BE54" s="71">
        <f ca="1">+GETPIVOTDATA("XQT4",'quangthanh (2016)'!$A$3,"MA_HT","TIN","MA_QH","CSD")</f>
        <v>0</v>
      </c>
      <c r="BF54" s="74">
        <f ca="1" t="shared" si="13"/>
        <v>0</v>
      </c>
      <c r="BG54" s="101">
        <f ca="1">BA59-BF54</f>
        <v>0</v>
      </c>
      <c r="BH54" s="41" t="e">
        <f ca="1" t="shared" si="14"/>
        <v>#REF!</v>
      </c>
      <c r="BI54" s="98"/>
      <c r="BJ54" s="39" t="e">
        <f>SUM(BJ29:BJ39)</f>
        <v>#REF!</v>
      </c>
      <c r="BK54" s="107" t="e">
        <f ca="1">BH54-BJ54</f>
        <v>#REF!</v>
      </c>
      <c r="BL54" s="107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</row>
    <row r="55" s="2" customFormat="1" ht="15.75" customHeight="1" spans="1:79">
      <c r="A55" s="68" t="s">
        <v>8428</v>
      </c>
      <c r="B55" s="69" t="s">
        <v>8429</v>
      </c>
      <c r="C55" s="40" t="s">
        <v>8309</v>
      </c>
      <c r="D55" s="41" t="e">
        <f>+#REF!</f>
        <v>#REF!</v>
      </c>
      <c r="E55" s="42">
        <f ca="1" t="shared" si="15"/>
        <v>0</v>
      </c>
      <c r="F55" s="52">
        <f ca="1" t="shared" si="9"/>
        <v>0</v>
      </c>
      <c r="G55" s="22">
        <f ca="1">+GETPIVOTDATA("XQT4",'quangthanh (2016)'!$A$3,"MA_HT","SON","MA_QH","LUC")</f>
        <v>0</v>
      </c>
      <c r="H55" s="22">
        <f ca="1">+GETPIVOTDATA("XQT4",'quangthanh (2016)'!$A$3,"MA_HT","SON","MA_QH","LUK")</f>
        <v>0</v>
      </c>
      <c r="I55" s="22">
        <f ca="1">+GETPIVOTDATA("XQT4",'quangthanh (2016)'!$A$3,"MA_HT","SON","MA_QH","LUN")</f>
        <v>0</v>
      </c>
      <c r="J55" s="22">
        <f ca="1">+GETPIVOTDATA("XQT4",'quangthanh (2016)'!$A$3,"MA_HT","SON","MA_QH","HNK")</f>
        <v>0</v>
      </c>
      <c r="K55" s="22">
        <f ca="1">+GETPIVOTDATA("XQT4",'quangthanh (2016)'!$A$3,"MA_HT","SON","MA_QH","CLN")</f>
        <v>0</v>
      </c>
      <c r="L55" s="22">
        <f ca="1">+GETPIVOTDATA("XQT4",'quangthanh (2016)'!$A$3,"MA_HT","SON","MA_QH","RSX")</f>
        <v>0</v>
      </c>
      <c r="M55" s="22">
        <f ca="1">+GETPIVOTDATA("XQT4",'quangthanh (2016)'!$A$3,"MA_HT","SON","MA_QH","RPH")</f>
        <v>0</v>
      </c>
      <c r="N55" s="22">
        <f ca="1">+GETPIVOTDATA("XQT4",'quangthanh (2016)'!$A$3,"MA_HT","SON","MA_QH","RDD")</f>
        <v>0</v>
      </c>
      <c r="O55" s="22">
        <f ca="1">+GETPIVOTDATA("XQT4",'quangthanh (2016)'!$A$3,"MA_HT","SON","MA_QH","NTS")</f>
        <v>0</v>
      </c>
      <c r="P55" s="22">
        <f ca="1">+GETPIVOTDATA("XQT4",'quangthanh (2016)'!$A$3,"MA_HT","SON","MA_QH","LMU")</f>
        <v>0</v>
      </c>
      <c r="Q55" s="22">
        <f ca="1">+GETPIVOTDATA("XQT4",'quangthanh (2016)'!$A$3,"MA_HT","SON","MA_QH","NKH")</f>
        <v>0</v>
      </c>
      <c r="R55" s="79">
        <f ca="1">SUM(S55:AA55,AN55:AZ55,BC55:BD55)</f>
        <v>0</v>
      </c>
      <c r="S55" s="22">
        <f ca="1">+GETPIVOTDATA("XQT4",'quangthanh (2016)'!$A$3,"MA_HT","SON","MA_QH","CQP")</f>
        <v>0</v>
      </c>
      <c r="T55" s="22">
        <f ca="1">+GETPIVOTDATA("XQT4",'quangthanh (2016)'!$A$3,"MA_HT","SON","MA_QH","CAN")</f>
        <v>0</v>
      </c>
      <c r="U55" s="22">
        <f ca="1">+GETPIVOTDATA("XQT4",'quangthanh (2016)'!$A$3,"MA_HT","SON","MA_QH","SKK")</f>
        <v>0</v>
      </c>
      <c r="V55" s="22">
        <f ca="1">+GETPIVOTDATA("XQT4",'quangthanh (2016)'!$A$3,"MA_HT","SON","MA_QH","SKT")</f>
        <v>0</v>
      </c>
      <c r="W55" s="22">
        <f ca="1">+GETPIVOTDATA("XQT4",'quangthanh (2016)'!$A$3,"MA_HT","SON","MA_QH","SKN")</f>
        <v>0</v>
      </c>
      <c r="X55" s="22">
        <f ca="1">+GETPIVOTDATA("XQT4",'quangthanh (2016)'!$A$3,"MA_HT","SON","MA_QH","TMD")</f>
        <v>0</v>
      </c>
      <c r="Y55" s="22">
        <f ca="1">+GETPIVOTDATA("XQT4",'quangthanh (2016)'!$A$3,"MA_HT","SON","MA_QH","SKC")</f>
        <v>0</v>
      </c>
      <c r="Z55" s="22">
        <f ca="1">+GETPIVOTDATA("XQT4",'quangthanh (2016)'!$A$3,"MA_HT","SON","MA_QH","SKS")</f>
        <v>0</v>
      </c>
      <c r="AA55" s="52">
        <f ca="1" t="shared" si="21"/>
        <v>0</v>
      </c>
      <c r="AB55" s="22">
        <f ca="1">+GETPIVOTDATA("XQT4",'quangthanh (2016)'!$A$3,"MA_HT","SON","MA_QH","DGT")</f>
        <v>0</v>
      </c>
      <c r="AC55" s="22">
        <f ca="1">+GETPIVOTDATA("XQT4",'quangthanh (2016)'!$A$3,"MA_HT","SON","MA_QH","DTL")</f>
        <v>0</v>
      </c>
      <c r="AD55" s="22">
        <f ca="1">+GETPIVOTDATA("XQT4",'quangthanh (2016)'!$A$3,"MA_HT","SON","MA_QH","DNL")</f>
        <v>0</v>
      </c>
      <c r="AE55" s="22">
        <f ca="1">+GETPIVOTDATA("XQT4",'quangthanh (2016)'!$A$3,"MA_HT","SON","MA_QH","DBV")</f>
        <v>0</v>
      </c>
      <c r="AF55" s="22">
        <f ca="1">+GETPIVOTDATA("XQT4",'quangthanh (2016)'!$A$3,"MA_HT","SON","MA_QH","DVH")</f>
        <v>0</v>
      </c>
      <c r="AG55" s="22">
        <f ca="1">+GETPIVOTDATA("XQT4",'quangthanh (2016)'!$A$3,"MA_HT","SON","MA_QH","DYT")</f>
        <v>0</v>
      </c>
      <c r="AH55" s="22">
        <f ca="1">+GETPIVOTDATA("XQT4",'quangthanh (2016)'!$A$3,"MA_HT","SON","MA_QH","DGD")</f>
        <v>0</v>
      </c>
      <c r="AI55" s="22">
        <f ca="1">+GETPIVOTDATA("XQT4",'quangthanh (2016)'!$A$3,"MA_HT","SON","MA_QH","DTT")</f>
        <v>0</v>
      </c>
      <c r="AJ55" s="22">
        <f ca="1">+GETPIVOTDATA("XQT4",'quangthanh (2016)'!$A$3,"MA_HT","SON","MA_QH","NCK")</f>
        <v>0</v>
      </c>
      <c r="AK55" s="22">
        <f ca="1">+GETPIVOTDATA("XQT4",'quangthanh (2016)'!$A$3,"MA_HT","SON","MA_QH","DXH")</f>
        <v>0</v>
      </c>
      <c r="AL55" s="22">
        <f ca="1">+GETPIVOTDATA("XQT4",'quangthanh (2016)'!$A$3,"MA_HT","SON","MA_QH","DCH")</f>
        <v>0</v>
      </c>
      <c r="AM55" s="22">
        <f ca="1">+GETPIVOTDATA("XQT4",'quangthanh (2016)'!$A$3,"MA_HT","SON","MA_QH","DKG")</f>
        <v>0</v>
      </c>
      <c r="AN55" s="22">
        <f ca="1">+GETPIVOTDATA("XQT4",'quangthanh (2016)'!$A$3,"MA_HT","SON","MA_QH","DDT")</f>
        <v>0</v>
      </c>
      <c r="AO55" s="22">
        <f ca="1">+GETPIVOTDATA("XQT4",'quangthanh (2016)'!$A$3,"MA_HT","SON","MA_QH","DDL")</f>
        <v>0</v>
      </c>
      <c r="AP55" s="22">
        <f ca="1">+GETPIVOTDATA("XQT4",'quangthanh (2016)'!$A$3,"MA_HT","SON","MA_QH","DRA")</f>
        <v>0</v>
      </c>
      <c r="AQ55" s="22">
        <f ca="1">+GETPIVOTDATA("XQT4",'quangthanh (2016)'!$A$3,"MA_HT","SON","MA_QH","ONT")</f>
        <v>0</v>
      </c>
      <c r="AR55" s="22">
        <f ca="1">+GETPIVOTDATA("XQT4",'quangthanh (2016)'!$A$3,"MA_HT","SON","MA_QH","ODT")</f>
        <v>0</v>
      </c>
      <c r="AS55" s="22">
        <f ca="1">+GETPIVOTDATA("XQT4",'quangthanh (2016)'!$A$3,"MA_HT","SON","MA_QH","TSC")</f>
        <v>0</v>
      </c>
      <c r="AT55" s="22">
        <f ca="1">+GETPIVOTDATA("XQT4",'quangthanh (2016)'!$A$3,"MA_HT","SON","MA_QH","DTS")</f>
        <v>0</v>
      </c>
      <c r="AU55" s="22">
        <f ca="1">+GETPIVOTDATA("XQT4",'quangthanh (2016)'!$A$3,"MA_HT","SON","MA_QH","DNG")</f>
        <v>0</v>
      </c>
      <c r="AV55" s="22">
        <f ca="1">+GETPIVOTDATA("XQT4",'quangthanh (2016)'!$A$3,"MA_HT","SON","MA_QH","TON")</f>
        <v>0</v>
      </c>
      <c r="AW55" s="22">
        <f ca="1">+GETPIVOTDATA("XQT4",'quangthanh (2016)'!$A$3,"MA_HT","SON","MA_QH","NTD")</f>
        <v>0</v>
      </c>
      <c r="AX55" s="22">
        <f ca="1">+GETPIVOTDATA("XQT4",'quangthanh (2016)'!$A$3,"MA_HT","SON","MA_QH","SKX")</f>
        <v>0</v>
      </c>
      <c r="AY55" s="22">
        <f ca="1">+GETPIVOTDATA("XQT4",'quangthanh (2016)'!$A$3,"MA_HT","SON","MA_QH","DSH")</f>
        <v>0</v>
      </c>
      <c r="AZ55" s="22">
        <f ca="1">+GETPIVOTDATA("XQT4",'quangthanh (2016)'!$A$3,"MA_HT","SON","MA_QH","DKV")</f>
        <v>0</v>
      </c>
      <c r="BA55" s="89">
        <f ca="1">+GETPIVOTDATA("XQT4",'quangthanh (2016)'!$A$3,"MA_HT","SON","MA_QH","TIN")</f>
        <v>0</v>
      </c>
      <c r="BB55" s="43" t="e">
        <f ca="1">$D55-$BF55</f>
        <v>#REF!</v>
      </c>
      <c r="BC55" s="50">
        <f ca="1">+GETPIVOTDATA("XQT4",'quangthanh (2016)'!$A$3,"MA_HT","SON","MA_QH","MNC")</f>
        <v>0</v>
      </c>
      <c r="BD55" s="22">
        <f ca="1">+GETPIVOTDATA("XQT4",'quangthanh (2016)'!$A$3,"MA_HT","SON","MA_QH","PNK")</f>
        <v>0</v>
      </c>
      <c r="BE55" s="71">
        <f ca="1">+GETPIVOTDATA("XQT4",'quangthanh (2016)'!$A$3,"MA_HT","SON","MA_QH","CSD")</f>
        <v>0</v>
      </c>
      <c r="BF55" s="74">
        <f ca="1" t="shared" si="13"/>
        <v>0</v>
      </c>
      <c r="BG55" s="101">
        <f ca="1">BB$59-$BF55</f>
        <v>0</v>
      </c>
      <c r="BH55" s="41" t="e">
        <f ca="1" t="shared" si="14"/>
        <v>#REF!</v>
      </c>
      <c r="BI55" s="98"/>
      <c r="BJ55" s="98"/>
      <c r="BK55" s="107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</row>
    <row r="56" s="2" customFormat="1" ht="15.75" customHeight="1" spans="1:79">
      <c r="A56" s="68" t="s">
        <v>8430</v>
      </c>
      <c r="B56" s="69" t="s">
        <v>8431</v>
      </c>
      <c r="C56" s="40" t="s">
        <v>8301</v>
      </c>
      <c r="D56" s="41" t="e">
        <f>+#REF!</f>
        <v>#REF!</v>
      </c>
      <c r="E56" s="42">
        <f ca="1" t="shared" si="15"/>
        <v>0</v>
      </c>
      <c r="F56" s="52">
        <f ca="1" t="shared" si="9"/>
        <v>0</v>
      </c>
      <c r="G56" s="22">
        <f ca="1">+GETPIVOTDATA("XQT4",'quangthanh (2016)'!$A$3,"MA_HT","MNC","MA_QH","LUC")</f>
        <v>0</v>
      </c>
      <c r="H56" s="22">
        <f ca="1">+GETPIVOTDATA("XQT4",'quangthanh (2016)'!$A$3,"MA_HT","MNC","MA_QH","LUK")</f>
        <v>0</v>
      </c>
      <c r="I56" s="22">
        <f ca="1">+GETPIVOTDATA("XQT4",'quangthanh (2016)'!$A$3,"MA_HT","MNC","MA_QH","LUN")</f>
        <v>0</v>
      </c>
      <c r="J56" s="22">
        <f ca="1">+GETPIVOTDATA("XQT4",'quangthanh (2016)'!$A$3,"MA_HT","MNC","MA_QH","HNK")</f>
        <v>0</v>
      </c>
      <c r="K56" s="22">
        <f ca="1">+GETPIVOTDATA("XQT4",'quangthanh (2016)'!$A$3,"MA_HT","MNC","MA_QH","CLN")</f>
        <v>0</v>
      </c>
      <c r="L56" s="22">
        <f ca="1">+GETPIVOTDATA("XQT4",'quangthanh (2016)'!$A$3,"MA_HT","MNC","MA_QH","RSX")</f>
        <v>0</v>
      </c>
      <c r="M56" s="22">
        <f ca="1">+GETPIVOTDATA("XQT4",'quangthanh (2016)'!$A$3,"MA_HT","MNC","MA_QH","RPH")</f>
        <v>0</v>
      </c>
      <c r="N56" s="22">
        <f ca="1">+GETPIVOTDATA("XQT4",'quangthanh (2016)'!$A$3,"MA_HT","MNC","MA_QH","RDD")</f>
        <v>0</v>
      </c>
      <c r="O56" s="22">
        <f ca="1">+GETPIVOTDATA("XQT4",'quangthanh (2016)'!$A$3,"MA_HT","MNC","MA_QH","NTS")</f>
        <v>0</v>
      </c>
      <c r="P56" s="22">
        <f ca="1">+GETPIVOTDATA("XQT4",'quangthanh (2016)'!$A$3,"MA_HT","MNC","MA_QH","LMU")</f>
        <v>0</v>
      </c>
      <c r="Q56" s="22">
        <f ca="1">+GETPIVOTDATA("XQT4",'quangthanh (2016)'!$A$3,"MA_HT","MNC","MA_QH","NKH")</f>
        <v>0</v>
      </c>
      <c r="R56" s="79">
        <f ca="1">SUM(S56:AA56,AN56:BB56,BD56)</f>
        <v>0</v>
      </c>
      <c r="S56" s="22">
        <f ca="1">+GETPIVOTDATA("XQT4",'quangthanh (2016)'!$A$3,"MA_HT","MNC","MA_QH","CQP")</f>
        <v>0</v>
      </c>
      <c r="T56" s="22">
        <f ca="1">+GETPIVOTDATA("XQT4",'quangthanh (2016)'!$A$3,"MA_HT","MNC","MA_QH","CAN")</f>
        <v>0</v>
      </c>
      <c r="U56" s="22">
        <f ca="1">+GETPIVOTDATA("XQT4",'quangthanh (2016)'!$A$3,"MA_HT","MNC","MA_QH","SKK")</f>
        <v>0</v>
      </c>
      <c r="V56" s="22">
        <f ca="1">+GETPIVOTDATA("XQT4",'quangthanh (2016)'!$A$3,"MA_HT","MNC","MA_QH","SKT")</f>
        <v>0</v>
      </c>
      <c r="W56" s="22">
        <f ca="1">+GETPIVOTDATA("XQT4",'quangthanh (2016)'!$A$3,"MA_HT","MNC","MA_QH","SKN")</f>
        <v>0</v>
      </c>
      <c r="X56" s="22">
        <f ca="1">+GETPIVOTDATA("XQT4",'quangthanh (2016)'!$A$3,"MA_HT","MNC","MA_QH","TMD")</f>
        <v>0</v>
      </c>
      <c r="Y56" s="22">
        <f ca="1">+GETPIVOTDATA("XQT4",'quangthanh (2016)'!$A$3,"MA_HT","MNC","MA_QH","SKC")</f>
        <v>0</v>
      </c>
      <c r="Z56" s="22">
        <f ca="1">+GETPIVOTDATA("XQT4",'quangthanh (2016)'!$A$3,"MA_HT","MNC","MA_QH","SKS")</f>
        <v>0</v>
      </c>
      <c r="AA56" s="52">
        <f ca="1" t="shared" si="21"/>
        <v>0</v>
      </c>
      <c r="AB56" s="22">
        <f ca="1">+GETPIVOTDATA("XQT4",'quangthanh (2016)'!$A$3,"MA_HT","MNC","MA_QH","DGT")</f>
        <v>0</v>
      </c>
      <c r="AC56" s="22">
        <f ca="1">+GETPIVOTDATA("XQT4",'quangthanh (2016)'!$A$3,"MA_HT","MNC","MA_QH","DTL")</f>
        <v>0</v>
      </c>
      <c r="AD56" s="22">
        <f ca="1">+GETPIVOTDATA("XQT4",'quangthanh (2016)'!$A$3,"MA_HT","MNC","MA_QH","DNL")</f>
        <v>0</v>
      </c>
      <c r="AE56" s="22">
        <f ca="1">+GETPIVOTDATA("XQT4",'quangthanh (2016)'!$A$3,"MA_HT","MNC","MA_QH","DBV")</f>
        <v>0</v>
      </c>
      <c r="AF56" s="22">
        <f ca="1">+GETPIVOTDATA("XQT4",'quangthanh (2016)'!$A$3,"MA_HT","MNC","MA_QH","DVH")</f>
        <v>0</v>
      </c>
      <c r="AG56" s="22">
        <f ca="1">+GETPIVOTDATA("XQT4",'quangthanh (2016)'!$A$3,"MA_HT","MNC","MA_QH","DYT")</f>
        <v>0</v>
      </c>
      <c r="AH56" s="22">
        <f ca="1">+GETPIVOTDATA("XQT4",'quangthanh (2016)'!$A$3,"MA_HT","MNC","MA_QH","DGD")</f>
        <v>0</v>
      </c>
      <c r="AI56" s="22">
        <f ca="1">+GETPIVOTDATA("XQT4",'quangthanh (2016)'!$A$3,"MA_HT","MNC","MA_QH","DTT")</f>
        <v>0</v>
      </c>
      <c r="AJ56" s="22">
        <f ca="1">+GETPIVOTDATA("XQT4",'quangthanh (2016)'!$A$3,"MA_HT","MNC","MA_QH","NCK")</f>
        <v>0</v>
      </c>
      <c r="AK56" s="22">
        <f ca="1">+GETPIVOTDATA("XQT4",'quangthanh (2016)'!$A$3,"MA_HT","MNC","MA_QH","DXH")</f>
        <v>0</v>
      </c>
      <c r="AL56" s="22">
        <f ca="1">+GETPIVOTDATA("XQT4",'quangthanh (2016)'!$A$3,"MA_HT","MNC","MA_QH","DCH")</f>
        <v>0</v>
      </c>
      <c r="AM56" s="22">
        <f ca="1">+GETPIVOTDATA("XQT4",'quangthanh (2016)'!$A$3,"MA_HT","MNC","MA_QH","DKG")</f>
        <v>0</v>
      </c>
      <c r="AN56" s="22">
        <f ca="1">+GETPIVOTDATA("XQT4",'quangthanh (2016)'!$A$3,"MA_HT","MNC","MA_QH","DDT")</f>
        <v>0</v>
      </c>
      <c r="AO56" s="22">
        <f ca="1">+GETPIVOTDATA("XQT4",'quangthanh (2016)'!$A$3,"MA_HT","MNC","MA_QH","DDL")</f>
        <v>0</v>
      </c>
      <c r="AP56" s="22">
        <f ca="1">+GETPIVOTDATA("XQT4",'quangthanh (2016)'!$A$3,"MA_HT","MNC","MA_QH","DRA")</f>
        <v>0</v>
      </c>
      <c r="AQ56" s="22">
        <f ca="1">+GETPIVOTDATA("XQT4",'quangthanh (2016)'!$A$3,"MA_HT","MNC","MA_QH","ONT")</f>
        <v>0</v>
      </c>
      <c r="AR56" s="22">
        <f ca="1">+GETPIVOTDATA("XQT4",'quangthanh (2016)'!$A$3,"MA_HT","MNC","MA_QH","ODT")</f>
        <v>0</v>
      </c>
      <c r="AS56" s="22">
        <f ca="1">+GETPIVOTDATA("XQT4",'quangthanh (2016)'!$A$3,"MA_HT","MNC","MA_QH","TSC")</f>
        <v>0</v>
      </c>
      <c r="AT56" s="22">
        <f ca="1">+GETPIVOTDATA("XQT4",'quangthanh (2016)'!$A$3,"MA_HT","MNC","MA_QH","DTS")</f>
        <v>0</v>
      </c>
      <c r="AU56" s="22">
        <f ca="1">+GETPIVOTDATA("XQT4",'quangthanh (2016)'!$A$3,"MA_HT","MNC","MA_QH","DNG")</f>
        <v>0</v>
      </c>
      <c r="AV56" s="22">
        <f ca="1">+GETPIVOTDATA("XQT4",'quangthanh (2016)'!$A$3,"MA_HT","MNC","MA_QH","TON")</f>
        <v>0</v>
      </c>
      <c r="AW56" s="22">
        <f ca="1">+GETPIVOTDATA("XQT4",'quangthanh (2016)'!$A$3,"MA_HT","MNC","MA_QH","NTD")</f>
        <v>0</v>
      </c>
      <c r="AX56" s="22">
        <f ca="1">+GETPIVOTDATA("XQT4",'quangthanh (2016)'!$A$3,"MA_HT","MNC","MA_QH","SKX")</f>
        <v>0</v>
      </c>
      <c r="AY56" s="22">
        <f ca="1">+GETPIVOTDATA("XQT4",'quangthanh (2016)'!$A$3,"MA_HT","MNC","MA_QH","DSH")</f>
        <v>0</v>
      </c>
      <c r="AZ56" s="22">
        <f ca="1">+GETPIVOTDATA("XQT4",'quangthanh (2016)'!$A$3,"MA_HT","MNC","MA_QH","DKV")</f>
        <v>0</v>
      </c>
      <c r="BA56" s="89">
        <f ca="1">+GETPIVOTDATA("XQT4",'quangthanh (2016)'!$A$3,"MA_HT","MNC","MA_QH","TIN")</f>
        <v>0</v>
      </c>
      <c r="BB56" s="50">
        <f ca="1">+GETPIVOTDATA("XQT4",'quangthanh (2016)'!$A$3,"MA_HT","MNC","MA_QH","SON")</f>
        <v>0</v>
      </c>
      <c r="BC56" s="43" t="e">
        <f ca="1">$D56-$BF56</f>
        <v>#REF!</v>
      </c>
      <c r="BD56" s="22">
        <f ca="1">+GETPIVOTDATA("XQT4",'quangthanh (2016)'!$A$3,"MA_HT","MNC","MA_QH","PNK")</f>
        <v>0</v>
      </c>
      <c r="BE56" s="71">
        <f ca="1">+GETPIVOTDATA("XQT4",'quangthanh (2016)'!$A$3,"MA_HT","MNC","MA_QH","CSD")</f>
        <v>0</v>
      </c>
      <c r="BF56" s="74">
        <f ca="1" t="shared" si="13"/>
        <v>0</v>
      </c>
      <c r="BG56" s="101">
        <f ca="1">BC$59-$BF56</f>
        <v>0</v>
      </c>
      <c r="BH56" s="41" t="e">
        <f ca="1" t="shared" si="14"/>
        <v>#REF!</v>
      </c>
      <c r="BI56" s="98"/>
      <c r="BJ56" s="98"/>
      <c r="BK56" s="107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</row>
    <row r="57" s="2" customFormat="1" ht="15.75" customHeight="1" spans="1:79">
      <c r="A57" s="68" t="s">
        <v>8432</v>
      </c>
      <c r="B57" s="69" t="s">
        <v>8433</v>
      </c>
      <c r="C57" s="40" t="s">
        <v>59</v>
      </c>
      <c r="D57" s="41" t="e">
        <f>+#REF!</f>
        <v>#REF!</v>
      </c>
      <c r="E57" s="42">
        <f ca="1" t="shared" si="15"/>
        <v>0</v>
      </c>
      <c r="F57" s="52">
        <f ca="1" t="shared" si="9"/>
        <v>0</v>
      </c>
      <c r="G57" s="22">
        <f ca="1">+GETPIVOTDATA("XQT4",'quangthanh (2016)'!$A$3,"MA_HT","PNK","MA_QH","LUC")</f>
        <v>0</v>
      </c>
      <c r="H57" s="22">
        <f ca="1">+GETPIVOTDATA("XQT4",'quangthanh (2016)'!$A$3,"MA_HT","PNK","MA_QH","LUK")</f>
        <v>0</v>
      </c>
      <c r="I57" s="22">
        <f ca="1">+GETPIVOTDATA("XQT4",'quangthanh (2016)'!$A$3,"MA_HT","PNK","MA_QH","LUN")</f>
        <v>0</v>
      </c>
      <c r="J57" s="22">
        <f ca="1">+GETPIVOTDATA("XQT4",'quangthanh (2016)'!$A$3,"MA_HT","PNK","MA_QH","HNK")</f>
        <v>0</v>
      </c>
      <c r="K57" s="22">
        <f ca="1">+GETPIVOTDATA("XQT4",'quangthanh (2016)'!$A$3,"MA_HT","PNK","MA_QH","CLN")</f>
        <v>0</v>
      </c>
      <c r="L57" s="22">
        <f ca="1">+GETPIVOTDATA("XQT4",'quangthanh (2016)'!$A$3,"MA_HT","PNK","MA_QH","RSX")</f>
        <v>0</v>
      </c>
      <c r="M57" s="22">
        <f ca="1">+GETPIVOTDATA("XQT4",'quangthanh (2016)'!$A$3,"MA_HT","PNK","MA_QH","RPH")</f>
        <v>0</v>
      </c>
      <c r="N57" s="22">
        <f ca="1">+GETPIVOTDATA("XQT4",'quangthanh (2016)'!$A$3,"MA_HT","PNK","MA_QH","RDD")</f>
        <v>0</v>
      </c>
      <c r="O57" s="22">
        <f ca="1">+GETPIVOTDATA("XQT4",'quangthanh (2016)'!$A$3,"MA_HT","PNK","MA_QH","NTS")</f>
        <v>0</v>
      </c>
      <c r="P57" s="22">
        <f ca="1">+GETPIVOTDATA("XQT4",'quangthanh (2016)'!$A$3,"MA_HT","PNK","MA_QH","LMU")</f>
        <v>0</v>
      </c>
      <c r="Q57" s="22">
        <f ca="1">+GETPIVOTDATA("XQT4",'quangthanh (2016)'!$A$3,"MA_HT","PNK","MA_QH","NKH")</f>
        <v>0</v>
      </c>
      <c r="R57" s="79">
        <f ca="1">SUM(S57:AA57,AN57:BC57)</f>
        <v>0</v>
      </c>
      <c r="S57" s="22">
        <f ca="1">+GETPIVOTDATA("XQT4",'quangthanh (2016)'!$A$3,"MA_HT","PNK","MA_QH","CQP")</f>
        <v>0</v>
      </c>
      <c r="T57" s="22">
        <f ca="1">+GETPIVOTDATA("XQT4",'quangthanh (2016)'!$A$3,"MA_HT","PNK","MA_QH","CAN")</f>
        <v>0</v>
      </c>
      <c r="U57" s="22">
        <f ca="1">+GETPIVOTDATA("XQT4",'quangthanh (2016)'!$A$3,"MA_HT","PNK","MA_QH","SKK")</f>
        <v>0</v>
      </c>
      <c r="V57" s="22">
        <f ca="1">+GETPIVOTDATA("XQT4",'quangthanh (2016)'!$A$3,"MA_HT","PNK","MA_QH","SKT")</f>
        <v>0</v>
      </c>
      <c r="W57" s="22">
        <f ca="1">+GETPIVOTDATA("XQT4",'quangthanh (2016)'!$A$3,"MA_HT","PNK","MA_QH","SKN")</f>
        <v>0</v>
      </c>
      <c r="X57" s="22">
        <f ca="1">+GETPIVOTDATA("XQT4",'quangthanh (2016)'!$A$3,"MA_HT","PNK","MA_QH","TMD")</f>
        <v>0</v>
      </c>
      <c r="Y57" s="22">
        <f ca="1">+GETPIVOTDATA("XQT4",'quangthanh (2016)'!$A$3,"MA_HT","PNK","MA_QH","SKC")</f>
        <v>0</v>
      </c>
      <c r="Z57" s="22">
        <f ca="1">+GETPIVOTDATA("XQT4",'quangthanh (2016)'!$A$3,"MA_HT","PNK","MA_QH","SKS")</f>
        <v>0</v>
      </c>
      <c r="AA57" s="52">
        <f ca="1" t="shared" si="21"/>
        <v>0</v>
      </c>
      <c r="AB57" s="22">
        <f ca="1">+GETPIVOTDATA("XQT4",'quangthanh (2016)'!$A$3,"MA_HT","PNK","MA_QH","DGT")</f>
        <v>0</v>
      </c>
      <c r="AC57" s="22">
        <f ca="1">+GETPIVOTDATA("XQT4",'quangthanh (2016)'!$A$3,"MA_HT","PNK","MA_QH","DTL")</f>
        <v>0</v>
      </c>
      <c r="AD57" s="22">
        <f ca="1">+GETPIVOTDATA("XQT4",'quangthanh (2016)'!$A$3,"MA_HT","PNK","MA_QH","DNL")</f>
        <v>0</v>
      </c>
      <c r="AE57" s="22">
        <f ca="1">+GETPIVOTDATA("XQT4",'quangthanh (2016)'!$A$3,"MA_HT","PNK","MA_QH","DBV")</f>
        <v>0</v>
      </c>
      <c r="AF57" s="22">
        <f ca="1">+GETPIVOTDATA("XQT4",'quangthanh (2016)'!$A$3,"MA_HT","PNK","MA_QH","DVH")</f>
        <v>0</v>
      </c>
      <c r="AG57" s="22">
        <f ca="1">+GETPIVOTDATA("XQT4",'quangthanh (2016)'!$A$3,"MA_HT","PNK","MA_QH","DYT")</f>
        <v>0</v>
      </c>
      <c r="AH57" s="22">
        <f ca="1">+GETPIVOTDATA("XQT4",'quangthanh (2016)'!$A$3,"MA_HT","PNK","MA_QH","DGD")</f>
        <v>0</v>
      </c>
      <c r="AI57" s="22">
        <f ca="1">+GETPIVOTDATA("XQT4",'quangthanh (2016)'!$A$3,"MA_HT","PNK","MA_QH","DTT")</f>
        <v>0</v>
      </c>
      <c r="AJ57" s="22">
        <f ca="1">+GETPIVOTDATA("XQT4",'quangthanh (2016)'!$A$3,"MA_HT","PNK","MA_QH","NCK")</f>
        <v>0</v>
      </c>
      <c r="AK57" s="22">
        <f ca="1">+GETPIVOTDATA("XQT4",'quangthanh (2016)'!$A$3,"MA_HT","PNK","MA_QH","DXH")</f>
        <v>0</v>
      </c>
      <c r="AL57" s="22">
        <f ca="1">+GETPIVOTDATA("XQT4",'quangthanh (2016)'!$A$3,"MA_HT","PNK","MA_QH","DCH")</f>
        <v>0</v>
      </c>
      <c r="AM57" s="22">
        <f ca="1">+GETPIVOTDATA("XQT4",'quangthanh (2016)'!$A$3,"MA_HT","PNK","MA_QH","DKG")</f>
        <v>0</v>
      </c>
      <c r="AN57" s="22">
        <f ca="1">+GETPIVOTDATA("XQT4",'quangthanh (2016)'!$A$3,"MA_HT","PNK","MA_QH","DDT")</f>
        <v>0</v>
      </c>
      <c r="AO57" s="22">
        <f ca="1">+GETPIVOTDATA("XQT4",'quangthanh (2016)'!$A$3,"MA_HT","PNK","MA_QH","DDL")</f>
        <v>0</v>
      </c>
      <c r="AP57" s="22">
        <f ca="1">+GETPIVOTDATA("XQT4",'quangthanh (2016)'!$A$3,"MA_HT","PNK","MA_QH","DRA")</f>
        <v>0</v>
      </c>
      <c r="AQ57" s="22">
        <f ca="1">+GETPIVOTDATA("XQT4",'quangthanh (2016)'!$A$3,"MA_HT","PNK","MA_QH","ONT")</f>
        <v>0</v>
      </c>
      <c r="AR57" s="22">
        <f ca="1">+GETPIVOTDATA("XQT4",'quangthanh (2016)'!$A$3,"MA_HT","PNK","MA_QH","ODT")</f>
        <v>0</v>
      </c>
      <c r="AS57" s="22">
        <f ca="1">+GETPIVOTDATA("XQT4",'quangthanh (2016)'!$A$3,"MA_HT","PNK","MA_QH","TSC")</f>
        <v>0</v>
      </c>
      <c r="AT57" s="22">
        <f ca="1">+GETPIVOTDATA("XQT4",'quangthanh (2016)'!$A$3,"MA_HT","PNK","MA_QH","DTS")</f>
        <v>0</v>
      </c>
      <c r="AU57" s="22">
        <f ca="1">+GETPIVOTDATA("XQT4",'quangthanh (2016)'!$A$3,"MA_HT","PNK","MA_QH","DNG")</f>
        <v>0</v>
      </c>
      <c r="AV57" s="22">
        <f ca="1">+GETPIVOTDATA("XQT4",'quangthanh (2016)'!$A$3,"MA_HT","PNK","MA_QH","TON")</f>
        <v>0</v>
      </c>
      <c r="AW57" s="22">
        <f ca="1">+GETPIVOTDATA("XQT4",'quangthanh (2016)'!$A$3,"MA_HT","PNK","MA_QH","NTD")</f>
        <v>0</v>
      </c>
      <c r="AX57" s="22">
        <f ca="1">+GETPIVOTDATA("XQT4",'quangthanh (2016)'!$A$3,"MA_HT","PNK","MA_QH","SKX")</f>
        <v>0</v>
      </c>
      <c r="AY57" s="22">
        <f ca="1">+GETPIVOTDATA("XQT4",'quangthanh (2016)'!$A$3,"MA_HT","PNK","MA_QH","DSH")</f>
        <v>0</v>
      </c>
      <c r="AZ57" s="22">
        <f ca="1">+GETPIVOTDATA("XQT4",'quangthanh (2016)'!$A$3,"MA_HT","PNK","MA_QH","DKV")</f>
        <v>0</v>
      </c>
      <c r="BA57" s="89">
        <f ca="1">+GETPIVOTDATA("XQT4",'quangthanh (2016)'!$A$3,"MA_HT","PNK","MA_QH","TIN")</f>
        <v>0</v>
      </c>
      <c r="BB57" s="50">
        <f ca="1">+GETPIVOTDATA("XQT4",'quangthanh (2016)'!$A$3,"MA_HT","PNK","MA_QH","SON")</f>
        <v>0</v>
      </c>
      <c r="BC57" s="50">
        <f ca="1">+GETPIVOTDATA("XQT4",'quangthanh (2016)'!$A$3,"MA_HT","PNK","MA_QH","MNC")</f>
        <v>0</v>
      </c>
      <c r="BD57" s="43" t="e">
        <f ca="1">$D57-$BF57</f>
        <v>#REF!</v>
      </c>
      <c r="BE57" s="71">
        <f ca="1">+GETPIVOTDATA("XQT4",'quangthanh (2016)'!$A$3,"MA_HT","PNK","MA_QH","CSD")</f>
        <v>0</v>
      </c>
      <c r="BF57" s="74">
        <f ca="1" t="shared" si="13"/>
        <v>0</v>
      </c>
      <c r="BG57" s="101">
        <f ca="1">BD$59-$BF57</f>
        <v>0</v>
      </c>
      <c r="BH57" s="41" t="e">
        <f ca="1" t="shared" si="14"/>
        <v>#REF!</v>
      </c>
      <c r="BI57" s="98"/>
      <c r="BJ57" s="98" t="e">
        <f>#REF!</f>
        <v>#REF!</v>
      </c>
      <c r="BK57" s="107" t="e">
        <f ca="1">BH57-BJ57</f>
        <v>#REF!</v>
      </c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</row>
    <row r="58" s="3" customFormat="1" ht="15.75" customHeight="1" spans="1:79">
      <c r="A58" s="70" t="s">
        <v>8434</v>
      </c>
      <c r="B58" s="36" t="s">
        <v>8435</v>
      </c>
      <c r="C58" s="37" t="s">
        <v>8284</v>
      </c>
      <c r="D58" s="32" t="e">
        <f>+#REF!</f>
        <v>#REF!</v>
      </c>
      <c r="E58" s="42">
        <f ca="1" t="shared" si="15"/>
        <v>0</v>
      </c>
      <c r="F58" s="33">
        <f ca="1" t="shared" si="9"/>
        <v>0</v>
      </c>
      <c r="G58" s="71">
        <f ca="1">+GETPIVOTDATA("XQT4",'quangthanh (2016)'!$A$3,"MA_HT","CSD","MA_QH","LUC")</f>
        <v>0</v>
      </c>
      <c r="H58" s="71">
        <f ca="1">+GETPIVOTDATA("XQT4",'quangthanh (2016)'!$A$3,"MA_HT","CSD","MA_QH","LUK")</f>
        <v>0</v>
      </c>
      <c r="I58" s="71">
        <f ca="1">+GETPIVOTDATA("XQT4",'quangthanh (2016)'!$A$3,"MA_HT","CSD","MA_QH","LUN")</f>
        <v>0</v>
      </c>
      <c r="J58" s="71">
        <f ca="1">+GETPIVOTDATA("XQT4",'quangthanh (2016)'!$A$3,"MA_HT","CSD","MA_QH","HNK")</f>
        <v>0</v>
      </c>
      <c r="K58" s="71">
        <f ca="1">+GETPIVOTDATA("XQT4",'quangthanh (2016)'!$A$3,"MA_HT","CSD","MA_QH","CLN")</f>
        <v>0</v>
      </c>
      <c r="L58" s="71">
        <f ca="1">+GETPIVOTDATA("XQT4",'quangthanh (2016)'!$A$3,"MA_HT","CSD","MA_QH","RSX")</f>
        <v>0</v>
      </c>
      <c r="M58" s="71">
        <f ca="1">+GETPIVOTDATA("XQT4",'quangthanh (2016)'!$A$3,"MA_HT","CSD","MA_QH","RPH")</f>
        <v>0</v>
      </c>
      <c r="N58" s="71">
        <f ca="1">+GETPIVOTDATA("XQT4",'quangthanh (2016)'!$A$3,"MA_HT","CSD","MA_QH","RDD")</f>
        <v>0</v>
      </c>
      <c r="O58" s="71">
        <f ca="1">+GETPIVOTDATA("XQT4",'quangthanh (2016)'!$A$3,"MA_HT","CSD","MA_QH","NTS")</f>
        <v>0</v>
      </c>
      <c r="P58" s="71">
        <f ca="1">+GETPIVOTDATA("XQT4",'quangthanh (2016)'!$A$3,"MA_HT","CSD","MA_QH","LMU")</f>
        <v>0</v>
      </c>
      <c r="Q58" s="71">
        <f ca="1">+GETPIVOTDATA("XQT4",'quangthanh (2016)'!$A$3,"MA_HT","CSD","MA_QH","NKH")</f>
        <v>0</v>
      </c>
      <c r="R58" s="79">
        <f ca="1">SUM(S58:AA58,AN58:BD58)</f>
        <v>0</v>
      </c>
      <c r="S58" s="80">
        <f ca="1">+GETPIVOTDATA("XQT4",'quangthanh (2016)'!$A$3,"MA_HT","CSD","MA_QH","CQP")</f>
        <v>0</v>
      </c>
      <c r="T58" s="80">
        <f ca="1">+GETPIVOTDATA("XQT4",'quangthanh (2016)'!$A$3,"MA_HT","CSD","MA_QH","CAN")</f>
        <v>0</v>
      </c>
      <c r="U58" s="71">
        <f ca="1">+GETPIVOTDATA("XQT4",'quangthanh (2016)'!$A$3,"MA_HT","CSD","MA_QH","SKK")</f>
        <v>0</v>
      </c>
      <c r="V58" s="71">
        <f ca="1">+GETPIVOTDATA("XQT4",'quangthanh (2016)'!$A$3,"MA_HT","CSD","MA_QH","SKT")</f>
        <v>0</v>
      </c>
      <c r="W58" s="71">
        <f ca="1">+GETPIVOTDATA("XQT4",'quangthanh (2016)'!$A$3,"MA_HT","CSD","MA_QH","SKN")</f>
        <v>0</v>
      </c>
      <c r="X58" s="71">
        <f ca="1">+GETPIVOTDATA("XQT4",'quangthanh (2016)'!$A$3,"MA_HT","CSD","MA_QH","TMD")</f>
        <v>0</v>
      </c>
      <c r="Y58" s="71">
        <f ca="1">+GETPIVOTDATA("XQT4",'quangthanh (2016)'!$A$3,"MA_HT","CSD","MA_QH","SKC")</f>
        <v>0</v>
      </c>
      <c r="Z58" s="71">
        <f ca="1">+GETPIVOTDATA("XQT4",'quangthanh (2016)'!$A$3,"MA_HT","CSD","MA_QH","SKS")</f>
        <v>0</v>
      </c>
      <c r="AA58" s="52">
        <f ca="1" t="shared" si="21"/>
        <v>0</v>
      </c>
      <c r="AB58" s="80">
        <f ca="1">+GETPIVOTDATA("XQT4",'quangthanh (2016)'!$A$3,"MA_HT","CSD","MA_QH","DGT")</f>
        <v>0</v>
      </c>
      <c r="AC58" s="80">
        <f ca="1">+GETPIVOTDATA("XQT4",'quangthanh (2016)'!$A$3,"MA_HT","CSD","MA_QH","DTL")</f>
        <v>0</v>
      </c>
      <c r="AD58" s="80">
        <f ca="1">+GETPIVOTDATA("XQT4",'quangthanh (2016)'!$A$3,"MA_HT","CSD","MA_QH","DNL")</f>
        <v>0</v>
      </c>
      <c r="AE58" s="80">
        <f ca="1">+GETPIVOTDATA("XQT4",'quangthanh (2016)'!$A$3,"MA_HT","CSD","MA_QH","DBV")</f>
        <v>0</v>
      </c>
      <c r="AF58" s="80">
        <f ca="1">+GETPIVOTDATA("XQT4",'quangthanh (2016)'!$A$3,"MA_HT","CSD","MA_QH","DVH")</f>
        <v>0</v>
      </c>
      <c r="AG58" s="80">
        <f ca="1">+GETPIVOTDATA("XQT4",'quangthanh (2016)'!$A$3,"MA_HT","CSD","MA_QH","DYT")</f>
        <v>0</v>
      </c>
      <c r="AH58" s="80">
        <f ca="1">+GETPIVOTDATA("XQT4",'quangthanh (2016)'!$A$3,"MA_HT","CSD","MA_QH","DGD")</f>
        <v>0</v>
      </c>
      <c r="AI58" s="80">
        <f ca="1">+GETPIVOTDATA("XQT4",'quangthanh (2016)'!$A$3,"MA_HT","CSD","MA_QH","DTT")</f>
        <v>0</v>
      </c>
      <c r="AJ58" s="80">
        <f ca="1">+GETPIVOTDATA("XQT4",'quangthanh (2016)'!$A$3,"MA_HT","CSD","MA_QH","NCK")</f>
        <v>0</v>
      </c>
      <c r="AK58" s="80">
        <f ca="1">+GETPIVOTDATA("XQT4",'quangthanh (2016)'!$A$3,"MA_HT","CSD","MA_QH","DXH")</f>
        <v>0</v>
      </c>
      <c r="AL58" s="80">
        <f ca="1">+GETPIVOTDATA("XQT4",'quangthanh (2016)'!$A$3,"MA_HT","CSD","MA_QH","DCH")</f>
        <v>0</v>
      </c>
      <c r="AM58" s="80">
        <f ca="1">+GETPIVOTDATA("XQT4",'quangthanh (2016)'!$A$3,"MA_HT","CSD","MA_QH","DKG")</f>
        <v>0</v>
      </c>
      <c r="AN58" s="71">
        <f ca="1">+GETPIVOTDATA("XQT4",'quangthanh (2016)'!$A$3,"MA_HT","CSD","MA_QH","DDT")</f>
        <v>0</v>
      </c>
      <c r="AO58" s="71">
        <f ca="1">+GETPIVOTDATA("XQT4",'quangthanh (2016)'!$A$3,"MA_HT","CSD","MA_QH","DDL")</f>
        <v>0</v>
      </c>
      <c r="AP58" s="71">
        <f ca="1">+GETPIVOTDATA("XQT4",'quangthanh (2016)'!$A$3,"MA_HT","CSD","MA_QH","DRA")</f>
        <v>0</v>
      </c>
      <c r="AQ58" s="71">
        <f ca="1">+GETPIVOTDATA("XQT4",'quangthanh (2016)'!$A$3,"MA_HT","CSD","MA_QH","ONT")</f>
        <v>0</v>
      </c>
      <c r="AR58" s="71">
        <f ca="1">+GETPIVOTDATA("XQT4",'quangthanh (2016)'!$A$3,"MA_HT","CSD","MA_QH","ODT")</f>
        <v>0</v>
      </c>
      <c r="AS58" s="71">
        <f ca="1">+GETPIVOTDATA("XQT4",'quangthanh (2016)'!$A$3,"MA_HT","CSD","MA_QH","TSC")</f>
        <v>0</v>
      </c>
      <c r="AT58" s="71">
        <f ca="1">+GETPIVOTDATA("XQT4",'quangthanh (2016)'!$A$3,"MA_HT","CSD","MA_QH","DTS")</f>
        <v>0</v>
      </c>
      <c r="AU58" s="71">
        <f ca="1">+GETPIVOTDATA("XQT4",'quangthanh (2016)'!$A$3,"MA_HT","CSD","MA_QH","DNG")</f>
        <v>0</v>
      </c>
      <c r="AV58" s="71">
        <f ca="1">+GETPIVOTDATA("XQT4",'quangthanh (2016)'!$A$3,"MA_HT","CSD","MA_QH","TON")</f>
        <v>0</v>
      </c>
      <c r="AW58" s="71">
        <f ca="1">+GETPIVOTDATA("XQT4",'quangthanh (2016)'!$A$3,"MA_HT","CSD","MA_QH","NTD")</f>
        <v>0</v>
      </c>
      <c r="AX58" s="71">
        <f ca="1">+GETPIVOTDATA("XQT4",'quangthanh (2016)'!$A$3,"MA_HT","CSD","MA_QH","SKX")</f>
        <v>0</v>
      </c>
      <c r="AY58" s="71">
        <f ca="1">+GETPIVOTDATA("XQT4",'quangthanh (2016)'!$A$3,"MA_HT","CSD","MA_QH","DSH")</f>
        <v>0</v>
      </c>
      <c r="AZ58" s="71">
        <f ca="1">+GETPIVOTDATA("XQT4",'quangthanh (2016)'!$A$3,"MA_HT","CSD","MA_QH","DKV")</f>
        <v>0</v>
      </c>
      <c r="BA58" s="89">
        <f ca="1">+GETPIVOTDATA("XQT4",'quangthanh (2016)'!$A$3,"MA_HT","CSD","MA_QH","TIN")</f>
        <v>0</v>
      </c>
      <c r="BB58" s="80">
        <f ca="1">+GETPIVOTDATA("XQT4",'quangthanh (2016)'!$A$3,"MA_HT","CSD","MA_QH","SON")</f>
        <v>0</v>
      </c>
      <c r="BC58" s="80">
        <f ca="1">+GETPIVOTDATA("XQT4",'quangthanh (2016)'!$A$3,"MA_HT","CSD","MA_QH","MNC")</f>
        <v>0</v>
      </c>
      <c r="BD58" s="71">
        <f ca="1">+GETPIVOTDATA("XQT4",'quangthanh (2016)'!$A$3,"MA_HT","CSD","MA_QH","PNK")</f>
        <v>0</v>
      </c>
      <c r="BE58" s="38" t="e">
        <f ca="1">$D58-$BF58</f>
        <v>#REF!</v>
      </c>
      <c r="BF58" s="74">
        <f ca="1">R58+E58</f>
        <v>0</v>
      </c>
      <c r="BG58" s="119">
        <f ca="1">BE$59-$BF58</f>
        <v>0</v>
      </c>
      <c r="BH58" s="41" t="e">
        <f ca="1" t="shared" si="14"/>
        <v>#REF!</v>
      </c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</row>
    <row r="59" s="2" customFormat="1" ht="13.5" spans="1:246">
      <c r="A59" s="72"/>
      <c r="B59" s="72" t="s">
        <v>8436</v>
      </c>
      <c r="C59" s="73"/>
      <c r="D59" s="74"/>
      <c r="E59" s="75">
        <f ca="1">E58+E19</f>
        <v>0</v>
      </c>
      <c r="F59" s="74">
        <f ca="1" t="shared" ref="F59:Q59" si="22">F58+F19+F6</f>
        <v>0</v>
      </c>
      <c r="G59" s="74">
        <f ca="1" t="shared" si="22"/>
        <v>0</v>
      </c>
      <c r="H59" s="74">
        <f ca="1" t="shared" si="22"/>
        <v>0</v>
      </c>
      <c r="I59" s="74">
        <f ca="1" t="shared" si="22"/>
        <v>0</v>
      </c>
      <c r="J59" s="74">
        <f ca="1" t="shared" si="22"/>
        <v>0</v>
      </c>
      <c r="K59" s="74">
        <f ca="1" t="shared" si="22"/>
        <v>0</v>
      </c>
      <c r="L59" s="74">
        <f ca="1" t="shared" si="22"/>
        <v>0</v>
      </c>
      <c r="M59" s="74">
        <f ca="1" t="shared" si="22"/>
        <v>0</v>
      </c>
      <c r="N59" s="74">
        <f ca="1" t="shared" si="22"/>
        <v>0</v>
      </c>
      <c r="O59" s="74">
        <f ca="1" t="shared" si="22"/>
        <v>0</v>
      </c>
      <c r="P59" s="74">
        <f ca="1" t="shared" si="22"/>
        <v>0</v>
      </c>
      <c r="Q59" s="74">
        <f ca="1" t="shared" si="22"/>
        <v>0</v>
      </c>
      <c r="R59" s="75">
        <f ca="1">+R58+R6</f>
        <v>0</v>
      </c>
      <c r="S59" s="74">
        <f ca="1" t="shared" ref="S59:BD59" si="23">S58+S19+S6</f>
        <v>0</v>
      </c>
      <c r="T59" s="74">
        <f ca="1" t="shared" si="23"/>
        <v>0</v>
      </c>
      <c r="U59" s="74">
        <f ca="1" t="shared" si="23"/>
        <v>0</v>
      </c>
      <c r="V59" s="74">
        <f ca="1" t="shared" si="23"/>
        <v>0</v>
      </c>
      <c r="W59" s="74">
        <f ca="1" t="shared" si="23"/>
        <v>0</v>
      </c>
      <c r="X59" s="74">
        <f ca="1" t="shared" si="23"/>
        <v>0</v>
      </c>
      <c r="Y59" s="74">
        <f ca="1" t="shared" si="23"/>
        <v>0</v>
      </c>
      <c r="Z59" s="74">
        <f ca="1" t="shared" si="23"/>
        <v>0</v>
      </c>
      <c r="AA59" s="74">
        <f ca="1" t="shared" si="23"/>
        <v>0</v>
      </c>
      <c r="AB59" s="74">
        <f ca="1" t="shared" si="23"/>
        <v>0</v>
      </c>
      <c r="AC59" s="74">
        <f ca="1" t="shared" si="23"/>
        <v>0</v>
      </c>
      <c r="AD59" s="74">
        <f ca="1" t="shared" si="23"/>
        <v>0</v>
      </c>
      <c r="AE59" s="74">
        <f ca="1" t="shared" si="23"/>
        <v>0</v>
      </c>
      <c r="AF59" s="74">
        <f ca="1" t="shared" si="23"/>
        <v>0</v>
      </c>
      <c r="AG59" s="74">
        <f ca="1" t="shared" si="23"/>
        <v>0</v>
      </c>
      <c r="AH59" s="74">
        <f ca="1" t="shared" si="23"/>
        <v>0</v>
      </c>
      <c r="AI59" s="74">
        <f ca="1" t="shared" si="23"/>
        <v>0</v>
      </c>
      <c r="AJ59" s="74">
        <f ca="1" t="shared" si="23"/>
        <v>0</v>
      </c>
      <c r="AK59" s="74">
        <f ca="1" t="shared" si="23"/>
        <v>0</v>
      </c>
      <c r="AL59" s="74">
        <f ca="1" t="shared" si="23"/>
        <v>0</v>
      </c>
      <c r="AM59" s="74">
        <f ca="1" t="shared" si="23"/>
        <v>0</v>
      </c>
      <c r="AN59" s="74">
        <f ca="1" t="shared" si="23"/>
        <v>0</v>
      </c>
      <c r="AO59" s="74">
        <f ca="1" t="shared" si="23"/>
        <v>0</v>
      </c>
      <c r="AP59" s="74">
        <f ca="1" t="shared" si="23"/>
        <v>0</v>
      </c>
      <c r="AQ59" s="74">
        <f ca="1" t="shared" si="23"/>
        <v>0</v>
      </c>
      <c r="AR59" s="74">
        <f ca="1" t="shared" si="23"/>
        <v>0</v>
      </c>
      <c r="AS59" s="74">
        <f ca="1" t="shared" si="23"/>
        <v>0</v>
      </c>
      <c r="AT59" s="74">
        <f ca="1" t="shared" si="23"/>
        <v>0</v>
      </c>
      <c r="AU59" s="74">
        <f ca="1" t="shared" si="23"/>
        <v>0</v>
      </c>
      <c r="AV59" s="74">
        <f ca="1" t="shared" si="23"/>
        <v>0</v>
      </c>
      <c r="AW59" s="74">
        <f ca="1" t="shared" si="23"/>
        <v>0</v>
      </c>
      <c r="AX59" s="74">
        <f ca="1" t="shared" si="23"/>
        <v>0</v>
      </c>
      <c r="AY59" s="74">
        <f ca="1" t="shared" si="23"/>
        <v>0</v>
      </c>
      <c r="AZ59" s="74">
        <f ca="1" t="shared" si="23"/>
        <v>0</v>
      </c>
      <c r="BA59" s="75">
        <f ca="1" t="shared" si="23"/>
        <v>0</v>
      </c>
      <c r="BB59" s="74">
        <f ca="1" t="shared" si="23"/>
        <v>0</v>
      </c>
      <c r="BC59" s="74">
        <f ca="1" t="shared" si="23"/>
        <v>0</v>
      </c>
      <c r="BD59" s="74">
        <f ca="1" t="shared" si="23"/>
        <v>0</v>
      </c>
      <c r="BE59" s="120">
        <f ca="1">BE19+BE6</f>
        <v>0</v>
      </c>
      <c r="BF59" s="74"/>
      <c r="BG59" s="74"/>
      <c r="BH59" s="74"/>
      <c r="BI59" s="121"/>
      <c r="BJ59" s="121"/>
      <c r="BK59" s="121"/>
      <c r="BL59" s="1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3"/>
      <c r="CB59" s="123"/>
      <c r="CC59" s="124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</row>
    <row r="61" spans="61:76"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</row>
  </sheetData>
  <mergeCells count="3">
    <mergeCell ref="A3:A4"/>
    <mergeCell ref="B3:B4"/>
    <mergeCell ref="C3:C4"/>
  </mergeCells>
  <pageMargins left="0.65" right="0" top="0.5" bottom="0.25" header="0.5" footer="0.5"/>
  <pageSetup paperSize="8" orientation="landscape" horizontalDpi="360" verticalDpi="36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0">
    <tabColor rgb="FFFF0000"/>
  </sheetPr>
  <dimension ref="A1:IL61"/>
  <sheetViews>
    <sheetView workbookViewId="0">
      <selection activeCell="A1" sqref="A1"/>
    </sheetView>
  </sheetViews>
  <sheetFormatPr defaultColWidth="9" defaultRowHeight="15"/>
  <cols>
    <col min="1" max="1" width="6.375" style="7" customWidth="1"/>
    <col min="2" max="2" width="29.125" style="7" customWidth="1"/>
    <col min="3" max="3" width="6" style="7" customWidth="1"/>
    <col min="4" max="4" width="9.75" style="8" customWidth="1"/>
    <col min="5" max="5" width="9.375" style="9" customWidth="1"/>
    <col min="6" max="6" width="7" style="8" customWidth="1"/>
    <col min="7" max="7" width="7.75" style="8" customWidth="1"/>
    <col min="8" max="8" width="7" style="8" customWidth="1"/>
    <col min="9" max="9" width="6.875" style="8" customWidth="1"/>
    <col min="10" max="10" width="7.625" style="8" customWidth="1"/>
    <col min="11" max="11" width="9.125" style="8" customWidth="1"/>
    <col min="12" max="12" width="8.25" style="8" customWidth="1"/>
    <col min="13" max="13" width="6" style="8" customWidth="1"/>
    <col min="14" max="14" width="6.25" style="8" customWidth="1"/>
    <col min="15" max="15" width="5.875" style="8" customWidth="1"/>
    <col min="16" max="16" width="5.75" style="8" customWidth="1"/>
    <col min="17" max="17" width="6.25" style="8" customWidth="1"/>
    <col min="18" max="18" width="8.75" style="10" customWidth="1"/>
    <col min="19" max="19" width="7.125" style="8" customWidth="1"/>
    <col min="20" max="20" width="7.75" style="8" customWidth="1"/>
    <col min="21" max="23" width="6.125" style="8" customWidth="1"/>
    <col min="24" max="24" width="7.125" style="8" customWidth="1"/>
    <col min="25" max="25" width="7.75" style="8" customWidth="1"/>
    <col min="26" max="26" width="6.875" style="8" customWidth="1"/>
    <col min="27" max="27" width="7.375" style="8" customWidth="1"/>
    <col min="28" max="28" width="9" style="8"/>
    <col min="29" max="29" width="7.25" style="8" customWidth="1"/>
    <col min="30" max="30" width="7" style="8" customWidth="1"/>
    <col min="31" max="31" width="6.125" style="8" customWidth="1"/>
    <col min="32" max="33" width="6.625" style="8" customWidth="1"/>
    <col min="34" max="34" width="6.125" style="8" customWidth="1"/>
    <col min="35" max="35" width="8.5" style="8" customWidth="1"/>
    <col min="36" max="36" width="8.875" style="8" customWidth="1"/>
    <col min="37" max="37" width="8.75" style="8" customWidth="1"/>
    <col min="38" max="39" width="6.625" style="8" customWidth="1"/>
    <col min="40" max="41" width="6.875" style="8" customWidth="1"/>
    <col min="42" max="42" width="6.75" style="8" customWidth="1"/>
    <col min="43" max="43" width="6.375" style="8" customWidth="1"/>
    <col min="44" max="44" width="6.125" style="8" customWidth="1"/>
    <col min="45" max="46" width="5.75" style="8" customWidth="1"/>
    <col min="47" max="47" width="6.5" style="8" customWidth="1"/>
    <col min="48" max="49" width="5.625" style="8" customWidth="1"/>
    <col min="50" max="51" width="6.125" style="8" customWidth="1"/>
    <col min="52" max="52" width="7.625" style="8" customWidth="1"/>
    <col min="53" max="53" width="9.375" style="11" customWidth="1"/>
    <col min="54" max="54" width="6.625" style="12" customWidth="1"/>
    <col min="55" max="55" width="6.25" style="12" customWidth="1"/>
    <col min="56" max="56" width="7.125" style="8" customWidth="1"/>
    <col min="57" max="57" width="6.25" style="9" customWidth="1"/>
    <col min="58" max="58" width="7.25" style="11" customWidth="1"/>
    <col min="59" max="59" width="8.25" style="11" customWidth="1"/>
    <col min="60" max="60" width="10.125" style="11" customWidth="1"/>
    <col min="61" max="61" width="5.125" style="7" customWidth="1"/>
    <col min="62" max="62" width="8.375" style="7" hidden="1" customWidth="1"/>
    <col min="63" max="63" width="9" style="7" hidden="1" customWidth="1"/>
    <col min="64" max="64" width="4.875" style="7" customWidth="1"/>
    <col min="65" max="65" width="6.25" style="7" customWidth="1"/>
    <col min="66" max="66" width="5" style="7" customWidth="1"/>
    <col min="67" max="67" width="4.25" style="7" customWidth="1"/>
    <col min="68" max="68" width="5.375" style="7" customWidth="1"/>
    <col min="69" max="69" width="5.125" style="7" customWidth="1"/>
    <col min="70" max="70" width="4.625" style="7" customWidth="1"/>
    <col min="71" max="71" width="5.625" style="7" customWidth="1"/>
    <col min="72" max="72" width="5.875" style="7" customWidth="1"/>
    <col min="73" max="73" width="5" style="7" customWidth="1"/>
    <col min="74" max="74" width="3.875" style="7" customWidth="1"/>
    <col min="75" max="75" width="4.625" style="7" customWidth="1"/>
    <col min="76" max="76" width="5.5" style="7" customWidth="1"/>
    <col min="77" max="77" width="7.625" style="13" customWidth="1"/>
    <col min="78" max="79" width="8.375" style="13" customWidth="1"/>
    <col min="80" max="80" width="7.5" style="7" customWidth="1"/>
    <col min="81" max="16384" width="9" style="7"/>
  </cols>
  <sheetData>
    <row r="1" ht="21" customHeight="1" spans="1:82">
      <c r="A1" s="14" t="s">
        <v>8330</v>
      </c>
      <c r="B1" s="15"/>
      <c r="C1" s="16" t="e">
        <f>+"CHU CHUYỂN ĐẤT ĐAI TRONG KẾ HOẠCH SỬ DỤNG ĐẤT NĂM 2015 CỦA "&amp;#REF!</f>
        <v>#REF!</v>
      </c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83"/>
      <c r="BC1" s="83"/>
      <c r="BD1" s="18"/>
      <c r="BE1" s="18"/>
      <c r="BF1" s="18"/>
      <c r="BG1" s="18"/>
      <c r="BH1" s="18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7"/>
      <c r="BZ1" s="7"/>
      <c r="CA1" s="7"/>
      <c r="CB1" s="8"/>
      <c r="CC1" s="8"/>
      <c r="CD1" s="8"/>
    </row>
    <row r="2" s="1" customFormat="1" ht="7.5" customHeight="1" spans="1:82">
      <c r="A2" s="1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9"/>
      <c r="BA2" s="20"/>
      <c r="BB2" s="84"/>
      <c r="BC2" s="84"/>
      <c r="BD2" s="20"/>
      <c r="BE2" s="20"/>
      <c r="BF2" s="20"/>
      <c r="BG2" s="20"/>
      <c r="BH2" s="95" t="s">
        <v>8331</v>
      </c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CB2" s="9"/>
      <c r="CC2" s="9"/>
      <c r="CD2" s="9"/>
    </row>
    <row r="3" s="2" customFormat="1" ht="15.75" customHeight="1" spans="1:79">
      <c r="A3" s="21" t="s">
        <v>3</v>
      </c>
      <c r="B3" s="21" t="s">
        <v>8332</v>
      </c>
      <c r="C3" s="21" t="s">
        <v>8333</v>
      </c>
      <c r="D3" s="22"/>
      <c r="E3" s="23" t="s">
        <v>8334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7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85"/>
      <c r="BC3" s="85"/>
      <c r="BD3" s="24"/>
      <c r="BE3" s="97"/>
      <c r="BF3" s="22"/>
      <c r="BG3" s="22"/>
      <c r="BH3" s="22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</row>
    <row r="4" s="2" customFormat="1" ht="31.5" customHeight="1" spans="1:79">
      <c r="A4" s="25"/>
      <c r="B4" s="25"/>
      <c r="C4" s="25"/>
      <c r="D4" s="26" t="s">
        <v>8335</v>
      </c>
      <c r="E4" s="27" t="s">
        <v>8303</v>
      </c>
      <c r="F4" s="28" t="s">
        <v>8298</v>
      </c>
      <c r="G4" s="29" t="s">
        <v>8299</v>
      </c>
      <c r="H4" s="29" t="s">
        <v>221</v>
      </c>
      <c r="I4" s="29" t="s">
        <v>8300</v>
      </c>
      <c r="J4" s="28" t="s">
        <v>2492</v>
      </c>
      <c r="K4" s="28" t="s">
        <v>30</v>
      </c>
      <c r="L4" s="28" t="s">
        <v>8307</v>
      </c>
      <c r="M4" s="28" t="s">
        <v>8306</v>
      </c>
      <c r="N4" s="28" t="s">
        <v>8305</v>
      </c>
      <c r="O4" s="76" t="s">
        <v>318</v>
      </c>
      <c r="P4" s="28" t="s">
        <v>8297</v>
      </c>
      <c r="Q4" s="28" t="s">
        <v>553</v>
      </c>
      <c r="R4" s="37" t="s">
        <v>8304</v>
      </c>
      <c r="S4" s="40" t="s">
        <v>31</v>
      </c>
      <c r="T4" s="40" t="s">
        <v>8283</v>
      </c>
      <c r="U4" s="40" t="s">
        <v>47</v>
      </c>
      <c r="V4" s="40" t="s">
        <v>8308</v>
      </c>
      <c r="W4" s="40" t="s">
        <v>56</v>
      </c>
      <c r="X4" s="40" t="s">
        <v>265</v>
      </c>
      <c r="Y4" s="40" t="s">
        <v>204</v>
      </c>
      <c r="Z4" s="40" t="s">
        <v>174</v>
      </c>
      <c r="AA4" s="40" t="s">
        <v>8288</v>
      </c>
      <c r="AB4" s="46" t="s">
        <v>94</v>
      </c>
      <c r="AC4" s="46" t="s">
        <v>216</v>
      </c>
      <c r="AD4" s="46" t="s">
        <v>71</v>
      </c>
      <c r="AE4" s="46" t="s">
        <v>8285</v>
      </c>
      <c r="AF4" s="46" t="s">
        <v>212</v>
      </c>
      <c r="AG4" s="46" t="s">
        <v>8296</v>
      </c>
      <c r="AH4" s="46" t="s">
        <v>165</v>
      </c>
      <c r="AI4" s="46" t="s">
        <v>8294</v>
      </c>
      <c r="AJ4" s="46" t="s">
        <v>8302</v>
      </c>
      <c r="AK4" s="46" t="s">
        <v>8295</v>
      </c>
      <c r="AL4" s="46" t="s">
        <v>178</v>
      </c>
      <c r="AM4" s="46" t="s">
        <v>8312</v>
      </c>
      <c r="AN4" s="40" t="s">
        <v>8287</v>
      </c>
      <c r="AO4" s="40" t="s">
        <v>8286</v>
      </c>
      <c r="AP4" s="40" t="s">
        <v>8291</v>
      </c>
      <c r="AQ4" s="40" t="s">
        <v>188</v>
      </c>
      <c r="AR4" s="40" t="s">
        <v>201</v>
      </c>
      <c r="AS4" s="40" t="s">
        <v>336</v>
      </c>
      <c r="AT4" s="40" t="s">
        <v>8293</v>
      </c>
      <c r="AU4" s="40" t="s">
        <v>8290</v>
      </c>
      <c r="AV4" s="40" t="s">
        <v>324</v>
      </c>
      <c r="AW4" s="40" t="s">
        <v>182</v>
      </c>
      <c r="AX4" s="40" t="s">
        <v>236</v>
      </c>
      <c r="AY4" s="40" t="s">
        <v>8292</v>
      </c>
      <c r="AZ4" s="40" t="s">
        <v>8289</v>
      </c>
      <c r="BA4" s="40" t="s">
        <v>8310</v>
      </c>
      <c r="BB4" s="40" t="s">
        <v>8309</v>
      </c>
      <c r="BC4" s="40" t="s">
        <v>8301</v>
      </c>
      <c r="BD4" s="40" t="s">
        <v>59</v>
      </c>
      <c r="BE4" s="27" t="s">
        <v>8284</v>
      </c>
      <c r="BF4" s="99" t="s">
        <v>8336</v>
      </c>
      <c r="BG4" s="100" t="s">
        <v>8337</v>
      </c>
      <c r="BH4" s="26" t="s">
        <v>8335</v>
      </c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</row>
    <row r="5" s="2" customFormat="1" ht="15.75" customHeight="1" spans="1:79">
      <c r="A5" s="30"/>
      <c r="B5" s="30" t="s">
        <v>8338</v>
      </c>
      <c r="C5" s="31"/>
      <c r="D5" s="32" t="e">
        <f>+#REF!</f>
        <v>#REF!</v>
      </c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86"/>
      <c r="BC5" s="86"/>
      <c r="BD5" s="34"/>
      <c r="BE5" s="33"/>
      <c r="BF5" s="34"/>
      <c r="BG5" s="34"/>
      <c r="BH5" s="34" t="e">
        <f ca="1">BH6+BH19+BH58</f>
        <v>#REF!</v>
      </c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</row>
    <row r="6" s="3" customFormat="1" ht="15.75" customHeight="1" spans="1:79">
      <c r="A6" s="35">
        <v>1</v>
      </c>
      <c r="B6" s="36" t="s">
        <v>8339</v>
      </c>
      <c r="C6" s="37" t="s">
        <v>8303</v>
      </c>
      <c r="D6" s="33" t="e">
        <f>+#REF!</f>
        <v>#REF!</v>
      </c>
      <c r="E6" s="38" t="e">
        <f ca="1">$D6-$BF6</f>
        <v>#REF!</v>
      </c>
      <c r="F6" s="33">
        <f ca="1">SUM(F11:F18)</f>
        <v>0</v>
      </c>
      <c r="G6" s="33">
        <f ca="1">SUM(G7,G11:G18)</f>
        <v>0</v>
      </c>
      <c r="H6" s="33">
        <f ca="1">SUM(H7,H11:H18)</f>
        <v>0</v>
      </c>
      <c r="I6" s="33">
        <f ca="1">SUM(I7,I11:I18)</f>
        <v>0</v>
      </c>
      <c r="J6" s="33">
        <f ca="1">SUM(J7,J12:J18)</f>
        <v>0</v>
      </c>
      <c r="K6" s="33">
        <f ca="1">SUM(K7,K11,K13:K18)</f>
        <v>0</v>
      </c>
      <c r="L6" s="33">
        <f ca="1">SUM(L7,L11:L12,L14:L18)</f>
        <v>0</v>
      </c>
      <c r="M6" s="33">
        <f ca="1">SUM(M7,M11:M13,M15:M18)</f>
        <v>0</v>
      </c>
      <c r="N6" s="33">
        <f ca="1">SUM(N7,N11:N14,N16:N18)</f>
        <v>0</v>
      </c>
      <c r="O6" s="33">
        <f ca="1">SUM(O7,O11:O15,O17:O18)</f>
        <v>0</v>
      </c>
      <c r="P6" s="33">
        <f ca="1">SUM(P7,P11:P16,P18:P18)</f>
        <v>0</v>
      </c>
      <c r="Q6" s="33">
        <f ca="1">SUM(Q7,Q11:Q17)</f>
        <v>0</v>
      </c>
      <c r="R6" s="33">
        <f ca="1">SUM(R7,R11:R18)</f>
        <v>0</v>
      </c>
      <c r="S6" s="33">
        <f ca="1">SUM(S7,S11:S18)</f>
        <v>0</v>
      </c>
      <c r="T6" s="33">
        <f ca="1" t="shared" ref="T6:BE6" si="0">SUM(T7,T11:T18)</f>
        <v>0</v>
      </c>
      <c r="U6" s="33">
        <f ca="1" t="shared" si="0"/>
        <v>0</v>
      </c>
      <c r="V6" s="33">
        <f ca="1" t="shared" si="0"/>
        <v>0</v>
      </c>
      <c r="W6" s="33">
        <f ca="1" t="shared" si="0"/>
        <v>0</v>
      </c>
      <c r="X6" s="33">
        <f ca="1" t="shared" si="0"/>
        <v>0</v>
      </c>
      <c r="Y6" s="33">
        <f ca="1" t="shared" si="0"/>
        <v>0</v>
      </c>
      <c r="Z6" s="33">
        <f ca="1" t="shared" si="0"/>
        <v>0</v>
      </c>
      <c r="AA6" s="33">
        <f ca="1" t="shared" si="0"/>
        <v>0</v>
      </c>
      <c r="AB6" s="33">
        <f ca="1" t="shared" si="0"/>
        <v>0</v>
      </c>
      <c r="AC6" s="33">
        <f ca="1" t="shared" si="0"/>
        <v>0</v>
      </c>
      <c r="AD6" s="33">
        <f ca="1" t="shared" si="0"/>
        <v>0</v>
      </c>
      <c r="AE6" s="33">
        <f ca="1" t="shared" si="0"/>
        <v>0</v>
      </c>
      <c r="AF6" s="33">
        <f ca="1" t="shared" si="0"/>
        <v>0</v>
      </c>
      <c r="AG6" s="33">
        <f ca="1" t="shared" si="0"/>
        <v>0</v>
      </c>
      <c r="AH6" s="33">
        <f ca="1" t="shared" si="0"/>
        <v>0</v>
      </c>
      <c r="AI6" s="33">
        <f ca="1" t="shared" si="0"/>
        <v>0</v>
      </c>
      <c r="AJ6" s="33">
        <f ca="1" t="shared" si="0"/>
        <v>0</v>
      </c>
      <c r="AK6" s="33">
        <f ca="1" t="shared" si="0"/>
        <v>0</v>
      </c>
      <c r="AL6" s="33">
        <f ca="1" t="shared" si="0"/>
        <v>0</v>
      </c>
      <c r="AM6" s="33">
        <f ca="1" t="shared" si="0"/>
        <v>0</v>
      </c>
      <c r="AN6" s="33">
        <f ca="1" t="shared" si="0"/>
        <v>0</v>
      </c>
      <c r="AO6" s="33">
        <f ca="1" t="shared" si="0"/>
        <v>0</v>
      </c>
      <c r="AP6" s="33">
        <f ca="1" t="shared" si="0"/>
        <v>0</v>
      </c>
      <c r="AQ6" s="33">
        <f ca="1" t="shared" si="0"/>
        <v>0</v>
      </c>
      <c r="AR6" s="33">
        <f ca="1" t="shared" si="0"/>
        <v>0</v>
      </c>
      <c r="AS6" s="33">
        <f ca="1" t="shared" si="0"/>
        <v>0</v>
      </c>
      <c r="AT6" s="33">
        <f ca="1" t="shared" si="0"/>
        <v>0</v>
      </c>
      <c r="AU6" s="33">
        <f ca="1" t="shared" si="0"/>
        <v>0</v>
      </c>
      <c r="AV6" s="33">
        <f ca="1" t="shared" si="0"/>
        <v>0</v>
      </c>
      <c r="AW6" s="33">
        <f ca="1" t="shared" si="0"/>
        <v>0</v>
      </c>
      <c r="AX6" s="33">
        <f ca="1" t="shared" si="0"/>
        <v>0</v>
      </c>
      <c r="AY6" s="33">
        <f ca="1" t="shared" si="0"/>
        <v>0</v>
      </c>
      <c r="AZ6" s="33">
        <f ca="1" t="shared" si="0"/>
        <v>0</v>
      </c>
      <c r="BA6" s="33">
        <f ca="1" t="shared" si="0"/>
        <v>0</v>
      </c>
      <c r="BB6" s="33">
        <f ca="1" t="shared" si="0"/>
        <v>0</v>
      </c>
      <c r="BC6" s="33">
        <f ca="1" t="shared" si="0"/>
        <v>0</v>
      </c>
      <c r="BD6" s="33">
        <f ca="1" t="shared" si="0"/>
        <v>0</v>
      </c>
      <c r="BE6" s="33">
        <f ca="1" t="shared" si="0"/>
        <v>0</v>
      </c>
      <c r="BF6" s="74">
        <f ca="1">BE6+R6</f>
        <v>0</v>
      </c>
      <c r="BG6" s="101">
        <f ca="1">E$59-$BF6</f>
        <v>0</v>
      </c>
      <c r="BH6" s="33" t="e">
        <f ca="1">SUM(BH7,BH11:BH18)</f>
        <v>#REF!</v>
      </c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</row>
    <row r="7" s="2" customFormat="1" ht="15.75" customHeight="1" spans="1:79">
      <c r="A7" s="39" t="s">
        <v>27</v>
      </c>
      <c r="B7" s="39" t="s">
        <v>8340</v>
      </c>
      <c r="C7" s="40" t="s">
        <v>8298</v>
      </c>
      <c r="D7" s="41" t="e">
        <f>+#REF!</f>
        <v>#REF!</v>
      </c>
      <c r="E7" s="42">
        <f ca="1">SUM(J7:Q7)</f>
        <v>0</v>
      </c>
      <c r="F7" s="43" t="e">
        <f ca="1">$D7-$BF7</f>
        <v>#REF!</v>
      </c>
      <c r="G7" s="44">
        <f ca="1">SUM(G9:G10)</f>
        <v>0</v>
      </c>
      <c r="H7" s="44">
        <f ca="1">SUM(H8,H10)</f>
        <v>0</v>
      </c>
      <c r="I7" s="44">
        <f ca="1">SUM(I8:I9)</f>
        <v>0</v>
      </c>
      <c r="J7" s="44">
        <f ca="1">SUM(J8:J10)</f>
        <v>0</v>
      </c>
      <c r="K7" s="44">
        <f ca="1" t="shared" ref="K7:Q7" si="1">SUM(K8:K10)</f>
        <v>0</v>
      </c>
      <c r="L7" s="44">
        <f ca="1" t="shared" si="1"/>
        <v>0</v>
      </c>
      <c r="M7" s="44">
        <f ca="1" t="shared" si="1"/>
        <v>0</v>
      </c>
      <c r="N7" s="44">
        <f ca="1" t="shared" si="1"/>
        <v>0</v>
      </c>
      <c r="O7" s="44">
        <f ca="1" t="shared" si="1"/>
        <v>0</v>
      </c>
      <c r="P7" s="44">
        <f ca="1" t="shared" si="1"/>
        <v>0</v>
      </c>
      <c r="Q7" s="44">
        <f ca="1" t="shared" si="1"/>
        <v>0</v>
      </c>
      <c r="R7" s="42">
        <f ca="1" t="shared" ref="R7:R18" si="2">SUM(S7:AA7,AN7:BD7)</f>
        <v>0</v>
      </c>
      <c r="S7" s="52">
        <f ca="1" t="shared" ref="S7:AY7" si="3">SUM(S8:S10)</f>
        <v>0</v>
      </c>
      <c r="T7" s="52">
        <f ca="1" t="shared" si="3"/>
        <v>0</v>
      </c>
      <c r="U7" s="52">
        <f ca="1" t="shared" si="3"/>
        <v>0</v>
      </c>
      <c r="V7" s="52">
        <f ca="1" t="shared" si="3"/>
        <v>0</v>
      </c>
      <c r="W7" s="52">
        <f ca="1" t="shared" si="3"/>
        <v>0</v>
      </c>
      <c r="X7" s="52">
        <f ca="1" t="shared" si="3"/>
        <v>0</v>
      </c>
      <c r="Y7" s="52">
        <f ca="1" t="shared" si="3"/>
        <v>0</v>
      </c>
      <c r="Z7" s="52">
        <f ca="1" t="shared" si="3"/>
        <v>0</v>
      </c>
      <c r="AA7" s="52">
        <f ca="1" t="shared" ref="AA7:AA18" si="4">+SUM(AB7:AM7)</f>
        <v>0</v>
      </c>
      <c r="AB7" s="52">
        <f ca="1" t="shared" ref="AB7:AM7" si="5">SUM(AB8:AB10)</f>
        <v>0</v>
      </c>
      <c r="AC7" s="52">
        <f ca="1" t="shared" si="5"/>
        <v>0</v>
      </c>
      <c r="AD7" s="52">
        <f ca="1" t="shared" si="5"/>
        <v>0</v>
      </c>
      <c r="AE7" s="52">
        <f ca="1" t="shared" si="5"/>
        <v>0</v>
      </c>
      <c r="AF7" s="52">
        <f ca="1" t="shared" si="5"/>
        <v>0</v>
      </c>
      <c r="AG7" s="52">
        <f ca="1" t="shared" si="5"/>
        <v>0</v>
      </c>
      <c r="AH7" s="52">
        <f ca="1" t="shared" si="5"/>
        <v>0</v>
      </c>
      <c r="AI7" s="52">
        <f ca="1" t="shared" si="5"/>
        <v>0</v>
      </c>
      <c r="AJ7" s="52">
        <f ca="1" t="shared" si="5"/>
        <v>0</v>
      </c>
      <c r="AK7" s="52">
        <f ca="1" t="shared" si="5"/>
        <v>0</v>
      </c>
      <c r="AL7" s="52">
        <f ca="1" t="shared" si="5"/>
        <v>0</v>
      </c>
      <c r="AM7" s="52">
        <f ca="1" t="shared" si="5"/>
        <v>0</v>
      </c>
      <c r="AN7" s="52">
        <f ca="1" t="shared" si="3"/>
        <v>0</v>
      </c>
      <c r="AO7" s="52">
        <f ca="1" t="shared" si="3"/>
        <v>0</v>
      </c>
      <c r="AP7" s="52">
        <f ca="1" t="shared" si="3"/>
        <v>0</v>
      </c>
      <c r="AQ7" s="52">
        <f ca="1" t="shared" si="3"/>
        <v>0</v>
      </c>
      <c r="AR7" s="52">
        <f ca="1" t="shared" si="3"/>
        <v>0</v>
      </c>
      <c r="AS7" s="52">
        <f ca="1" t="shared" si="3"/>
        <v>0</v>
      </c>
      <c r="AT7" s="52">
        <f ca="1" t="shared" si="3"/>
        <v>0</v>
      </c>
      <c r="AU7" s="52">
        <f ca="1" t="shared" si="3"/>
        <v>0</v>
      </c>
      <c r="AV7" s="52">
        <f ca="1" t="shared" si="3"/>
        <v>0</v>
      </c>
      <c r="AW7" s="52">
        <f ca="1" t="shared" si="3"/>
        <v>0</v>
      </c>
      <c r="AX7" s="52">
        <f ca="1" t="shared" si="3"/>
        <v>0</v>
      </c>
      <c r="AY7" s="52">
        <f ca="1" t="shared" si="3"/>
        <v>0</v>
      </c>
      <c r="AZ7" s="52">
        <f ca="1" t="shared" ref="AZ7:BE7" si="6">SUM(AZ8:AZ10)</f>
        <v>0</v>
      </c>
      <c r="BA7" s="87">
        <f ca="1" t="shared" si="6"/>
        <v>0</v>
      </c>
      <c r="BB7" s="52">
        <f ca="1" t="shared" si="6"/>
        <v>0</v>
      </c>
      <c r="BC7" s="52">
        <f ca="1" t="shared" si="6"/>
        <v>0</v>
      </c>
      <c r="BD7" s="52">
        <f ca="1" t="shared" si="6"/>
        <v>0</v>
      </c>
      <c r="BE7" s="52">
        <f ca="1" t="shared" si="6"/>
        <v>0</v>
      </c>
      <c r="BF7" s="74">
        <f ca="1" t="shared" ref="BF7:BF18" si="7">BE7+R7+E7</f>
        <v>0</v>
      </c>
      <c r="BG7" s="101">
        <f ca="1">F$59-$BF7</f>
        <v>0</v>
      </c>
      <c r="BH7" s="41" t="e">
        <f ca="1" t="shared" ref="BH7:BH18" si="8">BG7+D7</f>
        <v>#REF!</v>
      </c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</row>
    <row r="8" s="4" customFormat="1" ht="15.75" customHeight="1" spans="1:79">
      <c r="A8" s="45"/>
      <c r="B8" s="316" t="s">
        <v>8341</v>
      </c>
      <c r="C8" s="46" t="s">
        <v>8299</v>
      </c>
      <c r="D8" s="47" t="e">
        <f>+#REF!</f>
        <v>#REF!</v>
      </c>
      <c r="E8" s="48">
        <f ca="1">SUM(F8,J8:Q8)</f>
        <v>0</v>
      </c>
      <c r="F8" s="44">
        <f ca="1">SUM(H8:I8)</f>
        <v>0</v>
      </c>
      <c r="G8" s="49" t="e">
        <f ca="1">$D8-$BF8</f>
        <v>#REF!</v>
      </c>
      <c r="H8" s="50">
        <f ca="1">+GETPIVOTDATA("XSB4",'sonbinh (2016)'!$A$3,"MA_HT","LUC","MA_QH","LUK")</f>
        <v>0</v>
      </c>
      <c r="I8" s="50">
        <f ca="1">+GETPIVOTDATA("XSB4",'sonbinh (2016)'!$A$3,"MA_HT","LUC","MA_QH","LUN")</f>
        <v>0</v>
      </c>
      <c r="J8" s="50">
        <f ca="1">+GETPIVOTDATA("XSB4",'sonbinh (2016)'!$A$3,"MA_HT","LUC","MA_QH","HNK")</f>
        <v>0</v>
      </c>
      <c r="K8" s="50">
        <f ca="1">+GETPIVOTDATA("XSB4",'sonbinh (2016)'!$A$3,"MA_HT","LUC","MA_QH","CLN")</f>
        <v>0</v>
      </c>
      <c r="L8" s="50">
        <f ca="1">+GETPIVOTDATA("XSB4",'sonbinh (2016)'!$A$3,"MA_HT","LUC","MA_QH","RSX")</f>
        <v>0</v>
      </c>
      <c r="M8" s="50">
        <f ca="1">+GETPIVOTDATA("XSB4",'sonbinh (2016)'!$A$3,"MA_HT","LUC","MA_QH","RPH")</f>
        <v>0</v>
      </c>
      <c r="N8" s="50">
        <f ca="1">+GETPIVOTDATA("XSB4",'sonbinh (2016)'!$A$3,"MA_HT","LUC","MA_QH","RDD")</f>
        <v>0</v>
      </c>
      <c r="O8" s="50">
        <f ca="1">+GETPIVOTDATA("XSB4",'sonbinh (2016)'!$A$3,"MA_HT","LUC","MA_QH","NTS")</f>
        <v>0</v>
      </c>
      <c r="P8" s="50">
        <f ca="1">+GETPIVOTDATA("XSB4",'sonbinh (2016)'!$A$3,"MA_HT","LUC","MA_QH","LMU")</f>
        <v>0</v>
      </c>
      <c r="Q8" s="50">
        <f ca="1">+GETPIVOTDATA("XSB4",'sonbinh (2016)'!$A$3,"MA_HT","LUC","MA_QH","NKH")</f>
        <v>0</v>
      </c>
      <c r="R8" s="48">
        <f ca="1" t="shared" si="2"/>
        <v>0</v>
      </c>
      <c r="S8" s="50">
        <f ca="1">+GETPIVOTDATA("XSB4",'sonbinh (2016)'!$A$3,"MA_HT","LUC","MA_QH","CQP")</f>
        <v>0</v>
      </c>
      <c r="T8" s="50">
        <f ca="1">+GETPIVOTDATA("XSB4",'sonbinh (2016)'!$A$3,"MA_HT","LUC","MA_QH","CAN")</f>
        <v>0</v>
      </c>
      <c r="U8" s="50">
        <f ca="1">+GETPIVOTDATA("XSB4",'sonbinh (2016)'!$A$3,"MA_HT","LUC","MA_QH","SKK")</f>
        <v>0</v>
      </c>
      <c r="V8" s="50">
        <f ca="1">+GETPIVOTDATA("XSB4",'sonbinh (2016)'!$A$3,"MA_HT","LUC","MA_QH","SKT")</f>
        <v>0</v>
      </c>
      <c r="W8" s="50">
        <f ca="1">+GETPIVOTDATA("XSB4",'sonbinh (2016)'!$A$3,"MA_HT","LUC","MA_QH","SKN")</f>
        <v>0</v>
      </c>
      <c r="X8" s="50">
        <f ca="1">+GETPIVOTDATA("XSB4",'sonbinh (2016)'!$A$3,"MA_HT","LUC","MA_QH","TMD")</f>
        <v>0</v>
      </c>
      <c r="Y8" s="50">
        <f ca="1">+GETPIVOTDATA("XSB4",'sonbinh (2016)'!$A$3,"MA_HT","LUC","MA_QH","SKC")</f>
        <v>0</v>
      </c>
      <c r="Z8" s="50">
        <f ca="1">+GETPIVOTDATA("XSB4",'sonbinh (2016)'!$A$3,"MA_HT","LUC","MA_QH","SKS")</f>
        <v>0</v>
      </c>
      <c r="AA8" s="52">
        <f ca="1" t="shared" si="4"/>
        <v>0</v>
      </c>
      <c r="AB8" s="50">
        <f ca="1">+GETPIVOTDATA("XSB4",'sonbinh (2016)'!$A$3,"MA_HT","LUC","MA_QH","DGT")</f>
        <v>0</v>
      </c>
      <c r="AC8" s="50">
        <f ca="1">+GETPIVOTDATA("XSB4",'sonbinh (2016)'!$A$3,"MA_HT","LUC","MA_QH","DTL")</f>
        <v>0</v>
      </c>
      <c r="AD8" s="50">
        <f ca="1">+GETPIVOTDATA("XSB4",'sonbinh (2016)'!$A$3,"MA_HT","LUC","MA_QH","DNL")</f>
        <v>0</v>
      </c>
      <c r="AE8" s="50">
        <f ca="1">+GETPIVOTDATA("XSB4",'sonbinh (2016)'!$A$3,"MA_HT","LUC","MA_QH","DBV")</f>
        <v>0</v>
      </c>
      <c r="AF8" s="50">
        <f ca="1">+GETPIVOTDATA("XSB4",'sonbinh (2016)'!$A$3,"MA_HT","LUC","MA_QH","DVH")</f>
        <v>0</v>
      </c>
      <c r="AG8" s="50">
        <f ca="1">+GETPIVOTDATA("XSB4",'sonbinh (2016)'!$A$3,"MA_HT","LUC","MA_QH","DYT")</f>
        <v>0</v>
      </c>
      <c r="AH8" s="50">
        <f ca="1">+GETPIVOTDATA("XSB4",'sonbinh (2016)'!$A$3,"MA_HT","LUC","MA_QH","DGD")</f>
        <v>0</v>
      </c>
      <c r="AI8" s="50">
        <f ca="1">+GETPIVOTDATA("XSB4",'sonbinh (2016)'!$A$3,"MA_HT","LUC","MA_QH","DTT")</f>
        <v>0</v>
      </c>
      <c r="AJ8" s="50">
        <f ca="1">+GETPIVOTDATA("XSB4",'sonbinh (2016)'!$A$3,"MA_HT","LUC","MA_QH","NCK")</f>
        <v>0</v>
      </c>
      <c r="AK8" s="50">
        <f ca="1">+GETPIVOTDATA("XSB4",'sonbinh (2016)'!$A$3,"MA_HT","LUC","MA_QH","DXH")</f>
        <v>0</v>
      </c>
      <c r="AL8" s="50">
        <f ca="1">+GETPIVOTDATA("XSB4",'sonbinh (2016)'!$A$3,"MA_HT","LUC","MA_QH","DCH")</f>
        <v>0</v>
      </c>
      <c r="AM8" s="50">
        <f ca="1">+GETPIVOTDATA("XSB4",'sonbinh (2016)'!$A$3,"MA_HT","LUC","MA_QH","DKG")</f>
        <v>0</v>
      </c>
      <c r="AN8" s="50">
        <f ca="1">+GETPIVOTDATA("XSB4",'sonbinh (2016)'!$A$3,"MA_HT","LUC","MA_QH","DDT")</f>
        <v>0</v>
      </c>
      <c r="AO8" s="50">
        <f ca="1">+GETPIVOTDATA("XSB4",'sonbinh (2016)'!$A$3,"MA_HT","LUC","MA_QH","DDL")</f>
        <v>0</v>
      </c>
      <c r="AP8" s="50">
        <f ca="1">+GETPIVOTDATA("XSB4",'sonbinh (2016)'!$A$3,"MA_HT","LUC","MA_QH","DRA")</f>
        <v>0</v>
      </c>
      <c r="AQ8" s="50">
        <f ca="1">+GETPIVOTDATA("XSB4",'sonbinh (2016)'!$A$3,"MA_HT","LUC","MA_QH","ONT")</f>
        <v>0</v>
      </c>
      <c r="AR8" s="50">
        <f ca="1">+GETPIVOTDATA("XSB4",'sonbinh (2016)'!$A$3,"MA_HT","LUC","MA_QH","ODT")</f>
        <v>0</v>
      </c>
      <c r="AS8" s="50">
        <f ca="1">+GETPIVOTDATA("XSB4",'sonbinh (2016)'!$A$3,"MA_HT","LUC","MA_QH","TSC")</f>
        <v>0</v>
      </c>
      <c r="AT8" s="50">
        <f ca="1">+GETPIVOTDATA("XSB4",'sonbinh (2016)'!$A$3,"MA_HT","LUC","MA_QH","DTS")</f>
        <v>0</v>
      </c>
      <c r="AU8" s="50">
        <f ca="1">+GETPIVOTDATA("XSB4",'sonbinh (2016)'!$A$3,"MA_HT","LUC","MA_QH","DNG")</f>
        <v>0</v>
      </c>
      <c r="AV8" s="50">
        <f ca="1">+GETPIVOTDATA("XSB4",'sonbinh (2016)'!$A$3,"MA_HT","LUC","MA_QH","TON")</f>
        <v>0</v>
      </c>
      <c r="AW8" s="50">
        <f ca="1">+GETPIVOTDATA("XSB4",'sonbinh (2016)'!$A$3,"MA_HT","LUC","MA_QH","NTD")</f>
        <v>0</v>
      </c>
      <c r="AX8" s="50">
        <f ca="1">+GETPIVOTDATA("XSB4",'sonbinh (2016)'!$A$3,"MA_HT","LUC","MA_QH","SKX")</f>
        <v>0</v>
      </c>
      <c r="AY8" s="50">
        <f ca="1">+GETPIVOTDATA("XSB4",'sonbinh (2016)'!$A$3,"MA_HT","LUC","MA_QH","DSH")</f>
        <v>0</v>
      </c>
      <c r="AZ8" s="50">
        <f ca="1">+GETPIVOTDATA("XSB4",'sonbinh (2016)'!$A$3,"MA_HT","LUC","MA_QH","DKV")</f>
        <v>0</v>
      </c>
      <c r="BA8" s="88">
        <f ca="1">+GETPIVOTDATA("XSB4",'sonbinh (2016)'!$A$3,"MA_HT","LUC","MA_QH","TIN")</f>
        <v>0</v>
      </c>
      <c r="BB8" s="50">
        <f ca="1">+GETPIVOTDATA("XSB4",'sonbinh (2016)'!$A$3,"MA_HT","LUC","MA_QH","SON")</f>
        <v>0</v>
      </c>
      <c r="BC8" s="50">
        <f ca="1">+GETPIVOTDATA("XSB4",'sonbinh (2016)'!$A$3,"MA_HT","LUC","MA_QH","MNC")</f>
        <v>0</v>
      </c>
      <c r="BD8" s="50">
        <f ca="1">+GETPIVOTDATA("XSB4",'sonbinh (2016)'!$A$3,"MA_HT","LUC","MA_QH","PNK")</f>
        <v>0</v>
      </c>
      <c r="BE8" s="80">
        <f ca="1">+GETPIVOTDATA("XSB4",'sonbinh (2016)'!$A$3,"MA_HT","LUC","MA_QH","CSD")</f>
        <v>0</v>
      </c>
      <c r="BF8" s="103">
        <f ca="1" t="shared" si="7"/>
        <v>0</v>
      </c>
      <c r="BG8" s="104">
        <f ca="1">G$59-$BF8</f>
        <v>0</v>
      </c>
      <c r="BH8" s="47" t="e">
        <f ca="1" t="shared" si="8"/>
        <v>#REF!</v>
      </c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</row>
    <row r="9" s="4" customFormat="1" ht="15.75" customHeight="1" spans="1:79">
      <c r="A9" s="45"/>
      <c r="B9" s="316" t="s">
        <v>8342</v>
      </c>
      <c r="C9" s="46" t="s">
        <v>221</v>
      </c>
      <c r="D9" s="47" t="e">
        <f>+#REF!</f>
        <v>#REF!</v>
      </c>
      <c r="E9" s="48">
        <f ca="1">SUM(F9,J9:Q9)</f>
        <v>0</v>
      </c>
      <c r="F9" s="44">
        <f ca="1">SUM(G9,I9)</f>
        <v>0</v>
      </c>
      <c r="G9" s="51">
        <f ca="1">+GETPIVOTDATA("XSB4",'sonbinh (2016)'!$A$3,"MA_HT","LUK","MA_QH","LUC")</f>
        <v>0</v>
      </c>
      <c r="H9" s="49" t="e">
        <f ca="1">$D9-$BF9</f>
        <v>#REF!</v>
      </c>
      <c r="I9" s="50">
        <f ca="1">+GETPIVOTDATA("XSB4",'sonbinh (2016)'!$A$3,"MA_HT","LUK","MA_QH","LUN")</f>
        <v>0</v>
      </c>
      <c r="J9" s="50">
        <f ca="1">+GETPIVOTDATA("XSB4",'sonbinh (2016)'!$A$3,"MA_HT","LUK","MA_QH","HNK")</f>
        <v>0</v>
      </c>
      <c r="K9" s="50">
        <f ca="1">+GETPIVOTDATA("XSB4",'sonbinh (2016)'!$A$3,"MA_HT","LUK","MA_QH","CLN")</f>
        <v>0</v>
      </c>
      <c r="L9" s="50">
        <f ca="1">+GETPIVOTDATA("XSB4",'sonbinh (2016)'!$A$3,"MA_HT","LUK","MA_QH","RSX")</f>
        <v>0</v>
      </c>
      <c r="M9" s="50">
        <f ca="1">+GETPIVOTDATA("XSB4",'sonbinh (2016)'!$A$3,"MA_HT","LUK","MA_QH","RPH")</f>
        <v>0</v>
      </c>
      <c r="N9" s="50">
        <f ca="1">+GETPIVOTDATA("XSB4",'sonbinh (2016)'!$A$3,"MA_HT","LUK","MA_QH","RDD")</f>
        <v>0</v>
      </c>
      <c r="O9" s="50">
        <f ca="1">+GETPIVOTDATA("XSB4",'sonbinh (2016)'!$A$3,"MA_HT","LUK","MA_QH","NTS")</f>
        <v>0</v>
      </c>
      <c r="P9" s="50">
        <f ca="1">+GETPIVOTDATA("XSB4",'sonbinh (2016)'!$A$3,"MA_HT","LUK","MA_QH","LMU")</f>
        <v>0</v>
      </c>
      <c r="Q9" s="50">
        <f ca="1">+GETPIVOTDATA("XSB4",'sonbinh (2016)'!$A$3,"MA_HT","LUK","MA_QH","NKH")</f>
        <v>0</v>
      </c>
      <c r="R9" s="48">
        <f ca="1" t="shared" si="2"/>
        <v>0</v>
      </c>
      <c r="S9" s="50">
        <f ca="1">+GETPIVOTDATA("XSB4",'sonbinh (2016)'!$A$3,"MA_HT","LUK","MA_QH","CQP")</f>
        <v>0</v>
      </c>
      <c r="T9" s="50">
        <f ca="1">+GETPIVOTDATA("XSB4",'sonbinh (2016)'!$A$3,"MA_HT","LUK","MA_QH","CAN")</f>
        <v>0</v>
      </c>
      <c r="U9" s="50">
        <f ca="1">+GETPIVOTDATA("XSB4",'sonbinh (2016)'!$A$3,"MA_HT","LUK","MA_QH","SKK")</f>
        <v>0</v>
      </c>
      <c r="V9" s="50">
        <f ca="1">+GETPIVOTDATA("XSB4",'sonbinh (2016)'!$A$3,"MA_HT","LUK","MA_QH","SKT")</f>
        <v>0</v>
      </c>
      <c r="W9" s="50">
        <f ca="1">+GETPIVOTDATA("XSB4",'sonbinh (2016)'!$A$3,"MA_HT","LUK","MA_QH","SKN")</f>
        <v>0</v>
      </c>
      <c r="X9" s="50">
        <f ca="1">+GETPIVOTDATA("XSB4",'sonbinh (2016)'!$A$3,"MA_HT","LUK","MA_QH","TMD")</f>
        <v>0</v>
      </c>
      <c r="Y9" s="50">
        <f ca="1">+GETPIVOTDATA("XSB4",'sonbinh (2016)'!$A$3,"MA_HT","LUK","MA_QH","SKC")</f>
        <v>0</v>
      </c>
      <c r="Z9" s="50">
        <f ca="1">+GETPIVOTDATA("XSB4",'sonbinh (2016)'!$A$3,"MA_HT","LUK","MA_QH","SKS")</f>
        <v>0</v>
      </c>
      <c r="AA9" s="52">
        <f ca="1" t="shared" si="4"/>
        <v>0</v>
      </c>
      <c r="AB9" s="50">
        <f ca="1">+GETPIVOTDATA("XSB4",'sonbinh (2016)'!$A$3,"MA_HT","LUK","MA_QH","DGT")</f>
        <v>0</v>
      </c>
      <c r="AC9" s="50">
        <f ca="1">+GETPIVOTDATA("XSB4",'sonbinh (2016)'!$A$3,"MA_HT","LUK","MA_QH","DTL")</f>
        <v>0</v>
      </c>
      <c r="AD9" s="50">
        <f ca="1">+GETPIVOTDATA("XSB4",'sonbinh (2016)'!$A$3,"MA_HT","LUK","MA_QH","DNL")</f>
        <v>0</v>
      </c>
      <c r="AE9" s="50">
        <f ca="1">+GETPIVOTDATA("XSB4",'sonbinh (2016)'!$A$3,"MA_HT","LUK","MA_QH","DBV")</f>
        <v>0</v>
      </c>
      <c r="AF9" s="50">
        <f ca="1">+GETPIVOTDATA("XSB4",'sonbinh (2016)'!$A$3,"MA_HT","LUK","MA_QH","DVH")</f>
        <v>0</v>
      </c>
      <c r="AG9" s="50">
        <f ca="1">+GETPIVOTDATA("XSB4",'sonbinh (2016)'!$A$3,"MA_HT","LUK","MA_QH","DYT")</f>
        <v>0</v>
      </c>
      <c r="AH9" s="50">
        <f ca="1">+GETPIVOTDATA("XSB4",'sonbinh (2016)'!$A$3,"MA_HT","LUK","MA_QH","DGD")</f>
        <v>0</v>
      </c>
      <c r="AI9" s="50">
        <f ca="1">+GETPIVOTDATA("XSB4",'sonbinh (2016)'!$A$3,"MA_HT","LUK","MA_QH","DTT")</f>
        <v>0</v>
      </c>
      <c r="AJ9" s="50">
        <f ca="1">+GETPIVOTDATA("XSB4",'sonbinh (2016)'!$A$3,"MA_HT","LUK","MA_QH","NCK")</f>
        <v>0</v>
      </c>
      <c r="AK9" s="50">
        <f ca="1">+GETPIVOTDATA("XSB4",'sonbinh (2016)'!$A$3,"MA_HT","LUK","MA_QH","DXH")</f>
        <v>0</v>
      </c>
      <c r="AL9" s="50">
        <f ca="1">+GETPIVOTDATA("XSB4",'sonbinh (2016)'!$A$3,"MA_HT","LUK","MA_QH","DCH")</f>
        <v>0</v>
      </c>
      <c r="AM9" s="50">
        <f ca="1">+GETPIVOTDATA("XSB4",'sonbinh (2016)'!$A$3,"MA_HT","LUK","MA_QH","DKG")</f>
        <v>0</v>
      </c>
      <c r="AN9" s="50">
        <f ca="1">+GETPIVOTDATA("XSB4",'sonbinh (2016)'!$A$3,"MA_HT","LUK","MA_QH","DDT")</f>
        <v>0</v>
      </c>
      <c r="AO9" s="50">
        <f ca="1">+GETPIVOTDATA("XSB4",'sonbinh (2016)'!$A$3,"MA_HT","LUK","MA_QH","DDL")</f>
        <v>0</v>
      </c>
      <c r="AP9" s="50">
        <f ca="1">+GETPIVOTDATA("XSB4",'sonbinh (2016)'!$A$3,"MA_HT","LUK","MA_QH","DRA")</f>
        <v>0</v>
      </c>
      <c r="AQ9" s="50">
        <f ca="1">+GETPIVOTDATA("XSB4",'sonbinh (2016)'!$A$3,"MA_HT","LUK","MA_QH","ONT")</f>
        <v>0</v>
      </c>
      <c r="AR9" s="50">
        <f ca="1">+GETPIVOTDATA("XSB4",'sonbinh (2016)'!$A$3,"MA_HT","LUK","MA_QH","ODT")</f>
        <v>0</v>
      </c>
      <c r="AS9" s="50">
        <f ca="1">+GETPIVOTDATA("XSB4",'sonbinh (2016)'!$A$3,"MA_HT","LUK","MA_QH","TSC")</f>
        <v>0</v>
      </c>
      <c r="AT9" s="50">
        <f ca="1">+GETPIVOTDATA("XSB4",'sonbinh (2016)'!$A$3,"MA_HT","LUK","MA_QH","DTS")</f>
        <v>0</v>
      </c>
      <c r="AU9" s="50">
        <f ca="1">+GETPIVOTDATA("XSB4",'sonbinh (2016)'!$A$3,"MA_HT","LUK","MA_QH","DNG")</f>
        <v>0</v>
      </c>
      <c r="AV9" s="50">
        <f ca="1">+GETPIVOTDATA("XSB4",'sonbinh (2016)'!$A$3,"MA_HT","LUK","MA_QH","TON")</f>
        <v>0</v>
      </c>
      <c r="AW9" s="50">
        <f ca="1">+GETPIVOTDATA("XSB4",'sonbinh (2016)'!$A$3,"MA_HT","LUK","MA_QH","NTD")</f>
        <v>0</v>
      </c>
      <c r="AX9" s="50">
        <f ca="1">+GETPIVOTDATA("XSB4",'sonbinh (2016)'!$A$3,"MA_HT","LUK","MA_QH","SKX")</f>
        <v>0</v>
      </c>
      <c r="AY9" s="50">
        <f ca="1">+GETPIVOTDATA("XSB4",'sonbinh (2016)'!$A$3,"MA_HT","LUK","MA_QH","DSH")</f>
        <v>0</v>
      </c>
      <c r="AZ9" s="50">
        <f ca="1">+GETPIVOTDATA("XSB4",'sonbinh (2016)'!$A$3,"MA_HT","LUK","MA_QH","DKV")</f>
        <v>0</v>
      </c>
      <c r="BA9" s="88">
        <f ca="1">+GETPIVOTDATA("XSB4",'sonbinh (2016)'!$A$3,"MA_HT","LUK","MA_QH","TIN")</f>
        <v>0</v>
      </c>
      <c r="BB9" s="50">
        <f ca="1">+GETPIVOTDATA("XSB4",'sonbinh (2016)'!$A$3,"MA_HT","LUK","MA_QH","SON")</f>
        <v>0</v>
      </c>
      <c r="BC9" s="50">
        <f ca="1">+GETPIVOTDATA("XSB4",'sonbinh (2016)'!$A$3,"MA_HT","LUK","MA_QH","MNC")</f>
        <v>0</v>
      </c>
      <c r="BD9" s="50">
        <f ca="1">+GETPIVOTDATA("XSB4",'sonbinh (2016)'!$A$3,"MA_HT","LUK","MA_QH","PNK")</f>
        <v>0</v>
      </c>
      <c r="BE9" s="80">
        <f ca="1">+GETPIVOTDATA("XSB4",'sonbinh (2016)'!$A$3,"MA_HT","LUK","MA_QH","CSD")</f>
        <v>0</v>
      </c>
      <c r="BF9" s="103">
        <f ca="1" t="shared" si="7"/>
        <v>0</v>
      </c>
      <c r="BG9" s="104">
        <f ca="1">H$59-$BF9</f>
        <v>0</v>
      </c>
      <c r="BH9" s="47" t="e">
        <f ca="1" t="shared" si="8"/>
        <v>#REF!</v>
      </c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</row>
    <row r="10" s="4" customFormat="1" ht="15.75" customHeight="1" spans="1:79">
      <c r="A10" s="45"/>
      <c r="B10" s="316" t="s">
        <v>8343</v>
      </c>
      <c r="C10" s="46" t="s">
        <v>8300</v>
      </c>
      <c r="D10" s="47" t="e">
        <f>+#REF!</f>
        <v>#REF!</v>
      </c>
      <c r="E10" s="48">
        <f ca="1">SUM(J10:Q10,F10)</f>
        <v>0</v>
      </c>
      <c r="F10" s="44">
        <f ca="1">SUM(G10:H10)</f>
        <v>0</v>
      </c>
      <c r="G10" s="50">
        <f ca="1">+GETPIVOTDATA("XSB4",'sonbinh (2016)'!$A$3,"MA_HT","LUN","MA_QH","LUC")</f>
        <v>0</v>
      </c>
      <c r="H10" s="50">
        <f ca="1">+GETPIVOTDATA("XSB4",'sonbinh (2016)'!$A$3,"MA_HT","LUN","MA_QH","LUK")</f>
        <v>0</v>
      </c>
      <c r="I10" s="49" t="e">
        <f ca="1">$D10-$BF10</f>
        <v>#REF!</v>
      </c>
      <c r="J10" s="50">
        <f ca="1">+GETPIVOTDATA("XSB4",'sonbinh (2016)'!$A$3,"MA_HT","LUN","MA_QH","HNK")</f>
        <v>0</v>
      </c>
      <c r="K10" s="50">
        <f ca="1">+GETPIVOTDATA("XSB4",'sonbinh (2016)'!$A$3,"MA_HT","LUN","MA_QH","CLN")</f>
        <v>0</v>
      </c>
      <c r="L10" s="50">
        <f ca="1">+GETPIVOTDATA("XSB4",'sonbinh (2016)'!$A$3,"MA_HT","LUN","MA_QH","RSX")</f>
        <v>0</v>
      </c>
      <c r="M10" s="50">
        <f ca="1">+GETPIVOTDATA("XSB4",'sonbinh (2016)'!$A$3,"MA_HT","LUN","MA_QH","RPH")</f>
        <v>0</v>
      </c>
      <c r="N10" s="50">
        <f ca="1">+GETPIVOTDATA("XSB4",'sonbinh (2016)'!$A$3,"MA_HT","LUN","MA_QH","RDD")</f>
        <v>0</v>
      </c>
      <c r="O10" s="50">
        <f ca="1">+GETPIVOTDATA("XSB4",'sonbinh (2016)'!$A$3,"MA_HT","LUN","MA_QH","NTS")</f>
        <v>0</v>
      </c>
      <c r="P10" s="50">
        <f ca="1">+GETPIVOTDATA("XSB4",'sonbinh (2016)'!$A$3,"MA_HT","LUN","MA_QH","LMU")</f>
        <v>0</v>
      </c>
      <c r="Q10" s="50">
        <f ca="1">+GETPIVOTDATA("XSB4",'sonbinh (2016)'!$A$3,"MA_HT","LUN","MA_QH","NKH")</f>
        <v>0</v>
      </c>
      <c r="R10" s="48">
        <f ca="1" t="shared" si="2"/>
        <v>0</v>
      </c>
      <c r="S10" s="50">
        <f ca="1">+GETPIVOTDATA("XSB4",'sonbinh (2016)'!$A$3,"MA_HT","LUN","MA_QH","CQP")</f>
        <v>0</v>
      </c>
      <c r="T10" s="50">
        <f ca="1">+GETPIVOTDATA("XSB4",'sonbinh (2016)'!$A$3,"MA_HT","LUN","MA_QH","CAN")</f>
        <v>0</v>
      </c>
      <c r="U10" s="50">
        <f ca="1">+GETPIVOTDATA("XSB4",'sonbinh (2016)'!$A$3,"MA_HT","LUN","MA_QH","SKK")</f>
        <v>0</v>
      </c>
      <c r="V10" s="50">
        <f ca="1">+GETPIVOTDATA("XSB4",'sonbinh (2016)'!$A$3,"MA_HT","LUN","MA_QH","SKT")</f>
        <v>0</v>
      </c>
      <c r="W10" s="50">
        <f ca="1">+GETPIVOTDATA("XSB4",'sonbinh (2016)'!$A$3,"MA_HT","LUN","MA_QH","SKN")</f>
        <v>0</v>
      </c>
      <c r="X10" s="50">
        <f ca="1">+GETPIVOTDATA("XSB4",'sonbinh (2016)'!$A$3,"MA_HT","LUN","MA_QH","TMD")</f>
        <v>0</v>
      </c>
      <c r="Y10" s="50">
        <f ca="1">+GETPIVOTDATA("XSB4",'sonbinh (2016)'!$A$3,"MA_HT","LUN","MA_QH","SKC")</f>
        <v>0</v>
      </c>
      <c r="Z10" s="50">
        <f ca="1">+GETPIVOTDATA("XSB4",'sonbinh (2016)'!$A$3,"MA_HT","LUN","MA_QH","SKS")</f>
        <v>0</v>
      </c>
      <c r="AA10" s="52">
        <f ca="1" t="shared" si="4"/>
        <v>0</v>
      </c>
      <c r="AB10" s="50">
        <f ca="1">+GETPIVOTDATA("XSB4",'sonbinh (2016)'!$A$3,"MA_HT","LUN","MA_QH","DGT")</f>
        <v>0</v>
      </c>
      <c r="AC10" s="50">
        <f ca="1">+GETPIVOTDATA("XSB4",'sonbinh (2016)'!$A$3,"MA_HT","LUN","MA_QH","DTL")</f>
        <v>0</v>
      </c>
      <c r="AD10" s="50">
        <f ca="1">+GETPIVOTDATA("XSB4",'sonbinh (2016)'!$A$3,"MA_HT","LUN","MA_QH","DNL")</f>
        <v>0</v>
      </c>
      <c r="AE10" s="50">
        <f ca="1">+GETPIVOTDATA("XSB4",'sonbinh (2016)'!$A$3,"MA_HT","LUN","MA_QH","DBV")</f>
        <v>0</v>
      </c>
      <c r="AF10" s="50">
        <f ca="1">+GETPIVOTDATA("XSB4",'sonbinh (2016)'!$A$3,"MA_HT","LUN","MA_QH","DVH")</f>
        <v>0</v>
      </c>
      <c r="AG10" s="50">
        <f ca="1">+GETPIVOTDATA("XSB4",'sonbinh (2016)'!$A$3,"MA_HT","LUN","MA_QH","DYT")</f>
        <v>0</v>
      </c>
      <c r="AH10" s="50">
        <f ca="1">+GETPIVOTDATA("XSB4",'sonbinh (2016)'!$A$3,"MA_HT","LUN","MA_QH","DGD")</f>
        <v>0</v>
      </c>
      <c r="AI10" s="50">
        <f ca="1">+GETPIVOTDATA("XSB4",'sonbinh (2016)'!$A$3,"MA_HT","LUN","MA_QH","DTT")</f>
        <v>0</v>
      </c>
      <c r="AJ10" s="50">
        <f ca="1">+GETPIVOTDATA("XSB4",'sonbinh (2016)'!$A$3,"MA_HT","LUN","MA_QH","NCK")</f>
        <v>0</v>
      </c>
      <c r="AK10" s="50">
        <f ca="1">+GETPIVOTDATA("XSB4",'sonbinh (2016)'!$A$3,"MA_HT","LUN","MA_QH","DXH")</f>
        <v>0</v>
      </c>
      <c r="AL10" s="50">
        <f ca="1">+GETPIVOTDATA("XSB4",'sonbinh (2016)'!$A$3,"MA_HT","LUN","MA_QH","DCH")</f>
        <v>0</v>
      </c>
      <c r="AM10" s="50">
        <f ca="1">+GETPIVOTDATA("XSB4",'sonbinh (2016)'!$A$3,"MA_HT","LUN","MA_QH","DKG")</f>
        <v>0</v>
      </c>
      <c r="AN10" s="50">
        <f ca="1">+GETPIVOTDATA("XSB4",'sonbinh (2016)'!$A$3,"MA_HT","LUN","MA_QH","DDT")</f>
        <v>0</v>
      </c>
      <c r="AO10" s="50">
        <f ca="1">+GETPIVOTDATA("XSB4",'sonbinh (2016)'!$A$3,"MA_HT","LUN","MA_QH","DDL")</f>
        <v>0</v>
      </c>
      <c r="AP10" s="50">
        <f ca="1">+GETPIVOTDATA("XSB4",'sonbinh (2016)'!$A$3,"MA_HT","LUN","MA_QH","DRA")</f>
        <v>0</v>
      </c>
      <c r="AQ10" s="50">
        <f ca="1">+GETPIVOTDATA("XSB4",'sonbinh (2016)'!$A$3,"MA_HT","LUN","MA_QH","ONT")</f>
        <v>0</v>
      </c>
      <c r="AR10" s="50">
        <f ca="1">+GETPIVOTDATA("XSB4",'sonbinh (2016)'!$A$3,"MA_HT","LUN","MA_QH","ODT")</f>
        <v>0</v>
      </c>
      <c r="AS10" s="50">
        <f ca="1">+GETPIVOTDATA("XSB4",'sonbinh (2016)'!$A$3,"MA_HT","LUN","MA_QH","TSC")</f>
        <v>0</v>
      </c>
      <c r="AT10" s="50">
        <f ca="1">+GETPIVOTDATA("XSB4",'sonbinh (2016)'!$A$3,"MA_HT","LUN","MA_QH","DTS")</f>
        <v>0</v>
      </c>
      <c r="AU10" s="50">
        <f ca="1">+GETPIVOTDATA("XSB4",'sonbinh (2016)'!$A$3,"MA_HT","LUN","MA_QH","DNG")</f>
        <v>0</v>
      </c>
      <c r="AV10" s="50">
        <f ca="1">+GETPIVOTDATA("XSB4",'sonbinh (2016)'!$A$3,"MA_HT","LUN","MA_QH","TON")</f>
        <v>0</v>
      </c>
      <c r="AW10" s="50">
        <f ca="1">+GETPIVOTDATA("XSB4",'sonbinh (2016)'!$A$3,"MA_HT","LUN","MA_QH","NTD")</f>
        <v>0</v>
      </c>
      <c r="AX10" s="50">
        <f ca="1">+GETPIVOTDATA("XSB4",'sonbinh (2016)'!$A$3,"MA_HT","LUN","MA_QH","SKX")</f>
        <v>0</v>
      </c>
      <c r="AY10" s="50">
        <f ca="1">+GETPIVOTDATA("XSB4",'sonbinh (2016)'!$A$3,"MA_HT","LUN","MA_QH","DSH")</f>
        <v>0</v>
      </c>
      <c r="AZ10" s="50">
        <f ca="1">+GETPIVOTDATA("XSB4",'sonbinh (2016)'!$A$3,"MA_HT","LUN","MA_QH","DKV")</f>
        <v>0</v>
      </c>
      <c r="BA10" s="88">
        <f ca="1">+GETPIVOTDATA("XSB4",'sonbinh (2016)'!$A$3,"MA_HT","LUN","MA_QH","TIN")</f>
        <v>0</v>
      </c>
      <c r="BB10" s="50">
        <f ca="1">+GETPIVOTDATA("XSB4",'sonbinh (2016)'!$A$3,"MA_HT","LUN","MA_QH","SON")</f>
        <v>0</v>
      </c>
      <c r="BC10" s="50">
        <f ca="1">+GETPIVOTDATA("XSB4",'sonbinh (2016)'!$A$3,"MA_HT","LUN","MA_QH","MNC")</f>
        <v>0</v>
      </c>
      <c r="BD10" s="50">
        <f ca="1">+GETPIVOTDATA("XSB4",'sonbinh (2016)'!$A$3,"MA_HT","LUN","MA_QH","PNK")</f>
        <v>0</v>
      </c>
      <c r="BE10" s="80">
        <f ca="1">+GETPIVOTDATA("XSB4",'sonbinh (2016)'!$A$3,"MA_HT","LUN","MA_QH","CSD")</f>
        <v>0</v>
      </c>
      <c r="BF10" s="103">
        <f ca="1" t="shared" si="7"/>
        <v>0</v>
      </c>
      <c r="BG10" s="104">
        <f ca="1">I$59-$BF10</f>
        <v>0</v>
      </c>
      <c r="BH10" s="47" t="e">
        <f ca="1" t="shared" si="8"/>
        <v>#REF!</v>
      </c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</row>
    <row r="11" s="2" customFormat="1" ht="15.75" customHeight="1" spans="1:79">
      <c r="A11" s="39" t="s">
        <v>40</v>
      </c>
      <c r="B11" s="39" t="s">
        <v>8344</v>
      </c>
      <c r="C11" s="40" t="s">
        <v>2492</v>
      </c>
      <c r="D11" s="47" t="e">
        <f>+#REF!</f>
        <v>#REF!</v>
      </c>
      <c r="E11" s="42">
        <f ca="1">SUM(K11:Q11,F11)</f>
        <v>0</v>
      </c>
      <c r="F11" s="52">
        <f ca="1">SUM(G11:I11)</f>
        <v>0</v>
      </c>
      <c r="G11" s="22">
        <f ca="1">+GETPIVOTDATA("XSB4",'sonbinh (2016)'!$A$3,"MA_HT","HNK","MA_QH","LUC")</f>
        <v>0</v>
      </c>
      <c r="H11" s="22">
        <f ca="1">+GETPIVOTDATA("XSB4",'sonbinh (2016)'!$A$3,"MA_HT","HNK","MA_QH","LUK")</f>
        <v>0</v>
      </c>
      <c r="I11" s="22">
        <f ca="1">+GETPIVOTDATA("XSB4",'sonbinh (2016)'!$A$3,"MA_HT","HNK","MA_QH","LUN")</f>
        <v>0</v>
      </c>
      <c r="J11" s="43" t="e">
        <f ca="1">$D11-$BF11</f>
        <v>#REF!</v>
      </c>
      <c r="K11" s="22">
        <f ca="1">+GETPIVOTDATA("XSB4",'sonbinh (2016)'!$A$3,"MA_HT","HNK","MA_QH","CLN")</f>
        <v>0</v>
      </c>
      <c r="L11" s="22">
        <f ca="1">+GETPIVOTDATA("XSB4",'sonbinh (2016)'!$A$3,"MA_HT","HNK","MA_QH","RSX")</f>
        <v>0</v>
      </c>
      <c r="M11" s="22">
        <f ca="1">+GETPIVOTDATA("XSB4",'sonbinh (2016)'!$A$3,"MA_HT","HNK","MA_QH","RPH")</f>
        <v>0</v>
      </c>
      <c r="N11" s="22">
        <f ca="1">+GETPIVOTDATA("XSB4",'sonbinh (2016)'!$A$3,"MA_HT","HNK","MA_QH","RDD")</f>
        <v>0</v>
      </c>
      <c r="O11" s="22">
        <f ca="1">+GETPIVOTDATA("XSB4",'sonbinh (2016)'!$A$3,"MA_HT","HNK","MA_QH","NTS")</f>
        <v>0</v>
      </c>
      <c r="P11" s="22">
        <f ca="1">+GETPIVOTDATA("XSB4",'sonbinh (2016)'!$A$3,"MA_HT","HNK","MA_QH","LMU")</f>
        <v>0</v>
      </c>
      <c r="Q11" s="22">
        <f ca="1">+GETPIVOTDATA("XSB4",'sonbinh (2016)'!$A$3,"MA_HT","HNK","MA_QH","NKH")</f>
        <v>0</v>
      </c>
      <c r="R11" s="42">
        <f ca="1" t="shared" si="2"/>
        <v>0</v>
      </c>
      <c r="S11" s="22">
        <f ca="1">+GETPIVOTDATA("XSB4",'sonbinh (2016)'!$A$3,"MA_HT","HNK","MA_QH","CQP")</f>
        <v>0</v>
      </c>
      <c r="T11" s="22">
        <f ca="1">+GETPIVOTDATA("XSB4",'sonbinh (2016)'!$A$3,"MA_HT","HNK","MA_QH","CAN")</f>
        <v>0</v>
      </c>
      <c r="U11" s="22">
        <f ca="1">+GETPIVOTDATA("XSB4",'sonbinh (2016)'!$A$3,"MA_HT","HNK","MA_QH","SKK")</f>
        <v>0</v>
      </c>
      <c r="V11" s="22">
        <f ca="1">+GETPIVOTDATA("XSB4",'sonbinh (2016)'!$A$3,"MA_HT","HNK","MA_QH","SKT")</f>
        <v>0</v>
      </c>
      <c r="W11" s="22">
        <f ca="1">+GETPIVOTDATA("XSB4",'sonbinh (2016)'!$A$3,"MA_HT","HNK","MA_QH","SKN")</f>
        <v>0</v>
      </c>
      <c r="X11" s="22">
        <f ca="1">+GETPIVOTDATA("XSB4",'sonbinh (2016)'!$A$3,"MA_HT","HNK","MA_QH","TMD")</f>
        <v>0</v>
      </c>
      <c r="Y11" s="22">
        <f ca="1">+GETPIVOTDATA("XSB4",'sonbinh (2016)'!$A$3,"MA_HT","HNK","MA_QH","SKC")</f>
        <v>0</v>
      </c>
      <c r="Z11" s="22">
        <f ca="1">+GETPIVOTDATA("XSB4",'sonbinh (2016)'!$A$3,"MA_HT","HNK","MA_QH","SKS")</f>
        <v>0</v>
      </c>
      <c r="AA11" s="52">
        <f ca="1" t="shared" si="4"/>
        <v>0</v>
      </c>
      <c r="AB11" s="22">
        <f ca="1">+GETPIVOTDATA("XSB4",'sonbinh (2016)'!$A$3,"MA_HT","HNK","MA_QH","DGT")</f>
        <v>0</v>
      </c>
      <c r="AC11" s="22">
        <f ca="1">+GETPIVOTDATA("XSB4",'sonbinh (2016)'!$A$3,"MA_HT","HNK","MA_QH","DTL")</f>
        <v>0</v>
      </c>
      <c r="AD11" s="22">
        <f ca="1">+GETPIVOTDATA("XSB4",'sonbinh (2016)'!$A$3,"MA_HT","HNK","MA_QH","DNL")</f>
        <v>0</v>
      </c>
      <c r="AE11" s="22">
        <f ca="1">+GETPIVOTDATA("XSB4",'sonbinh (2016)'!$A$3,"MA_HT","HNK","MA_QH","DBV")</f>
        <v>0</v>
      </c>
      <c r="AF11" s="22">
        <f ca="1">+GETPIVOTDATA("XSB4",'sonbinh (2016)'!$A$3,"MA_HT","HNK","MA_QH","DVH")</f>
        <v>0</v>
      </c>
      <c r="AG11" s="22">
        <f ca="1">+GETPIVOTDATA("XSB4",'sonbinh (2016)'!$A$3,"MA_HT","HNK","MA_QH","DYT")</f>
        <v>0</v>
      </c>
      <c r="AH11" s="22">
        <f ca="1">+GETPIVOTDATA("XSB4",'sonbinh (2016)'!$A$3,"MA_HT","HNK","MA_QH","DGD")</f>
        <v>0</v>
      </c>
      <c r="AI11" s="22">
        <f ca="1">+GETPIVOTDATA("XSB4",'sonbinh (2016)'!$A$3,"MA_HT","HNK","MA_QH","DTT")</f>
        <v>0</v>
      </c>
      <c r="AJ11" s="22">
        <f ca="1">+GETPIVOTDATA("XSB4",'sonbinh (2016)'!$A$3,"MA_HT","HNK","MA_QH","NCK")</f>
        <v>0</v>
      </c>
      <c r="AK11" s="22">
        <f ca="1">+GETPIVOTDATA("XSB4",'sonbinh (2016)'!$A$3,"MA_HT","HNK","MA_QH","DXH")</f>
        <v>0</v>
      </c>
      <c r="AL11" s="22">
        <f ca="1">+GETPIVOTDATA("XSB4",'sonbinh (2016)'!$A$3,"MA_HT","HNK","MA_QH","DCH")</f>
        <v>0</v>
      </c>
      <c r="AM11" s="22">
        <f ca="1">+GETPIVOTDATA("XSB4",'sonbinh (2016)'!$A$3,"MA_HT","HNK","MA_QH","DKG")</f>
        <v>0</v>
      </c>
      <c r="AN11" s="22">
        <f ca="1">+GETPIVOTDATA("XSB4",'sonbinh (2016)'!$A$3,"MA_HT","HNK","MA_QH","DDT")</f>
        <v>0</v>
      </c>
      <c r="AO11" s="22">
        <f ca="1">+GETPIVOTDATA("XSB4",'sonbinh (2016)'!$A$3,"MA_HT","HNK","MA_QH","DDL")</f>
        <v>0</v>
      </c>
      <c r="AP11" s="22">
        <f ca="1">+GETPIVOTDATA("XSB4",'sonbinh (2016)'!$A$3,"MA_HT","HNK","MA_QH","DRA")</f>
        <v>0</v>
      </c>
      <c r="AQ11" s="22">
        <f ca="1">+GETPIVOTDATA("XSB4",'sonbinh (2016)'!$A$3,"MA_HT","HNK","MA_QH","ONT")</f>
        <v>0</v>
      </c>
      <c r="AR11" s="22">
        <f ca="1">+GETPIVOTDATA("XSB4",'sonbinh (2016)'!$A$3,"MA_HT","HNK","MA_QH","ODT")</f>
        <v>0</v>
      </c>
      <c r="AS11" s="22">
        <f ca="1">+GETPIVOTDATA("XSB4",'sonbinh (2016)'!$A$3,"MA_HT","HNK","MA_QH","TSC")</f>
        <v>0</v>
      </c>
      <c r="AT11" s="22">
        <f ca="1">+GETPIVOTDATA("XSB4",'sonbinh (2016)'!$A$3,"MA_HT","HNK","MA_QH","DTS")</f>
        <v>0</v>
      </c>
      <c r="AU11" s="22">
        <f ca="1">+GETPIVOTDATA("XSB4",'sonbinh (2016)'!$A$3,"MA_HT","HNK","MA_QH","DNG")</f>
        <v>0</v>
      </c>
      <c r="AV11" s="22">
        <f ca="1">+GETPIVOTDATA("XSB4",'sonbinh (2016)'!$A$3,"MA_HT","HNK","MA_QH","TON")</f>
        <v>0</v>
      </c>
      <c r="AW11" s="22">
        <f ca="1">+GETPIVOTDATA("XSB4",'sonbinh (2016)'!$A$3,"MA_HT","HNK","MA_QH","NTD")</f>
        <v>0</v>
      </c>
      <c r="AX11" s="22">
        <f ca="1">+GETPIVOTDATA("XSB4",'sonbinh (2016)'!$A$3,"MA_HT","HNK","MA_QH","SKX")</f>
        <v>0</v>
      </c>
      <c r="AY11" s="22">
        <f ca="1">+GETPIVOTDATA("XSB4",'sonbinh (2016)'!$A$3,"MA_HT","HNK","MA_QH","DSH")</f>
        <v>0</v>
      </c>
      <c r="AZ11" s="22">
        <f ca="1">+GETPIVOTDATA("XSB4",'sonbinh (2016)'!$A$3,"MA_HT","HNK","MA_QH","DKV")</f>
        <v>0</v>
      </c>
      <c r="BA11" s="89">
        <f ca="1">+GETPIVOTDATA("XSB4",'sonbinh (2016)'!$A$3,"MA_HT","HNK","MA_QH","TIN")</f>
        <v>0</v>
      </c>
      <c r="BB11" s="50">
        <f ca="1">+GETPIVOTDATA("XSB4",'sonbinh (2016)'!$A$3,"MA_HT","HNK","MA_QH","SON")</f>
        <v>0</v>
      </c>
      <c r="BC11" s="50">
        <f ca="1">+GETPIVOTDATA("XSB4",'sonbinh (2016)'!$A$3,"MA_HT","HNK","MA_QH","MNC")</f>
        <v>0</v>
      </c>
      <c r="BD11" s="22">
        <f ca="1">+GETPIVOTDATA("XSB4",'sonbinh (2016)'!$A$3,"MA_HT","HNK","MA_QH","PNK")</f>
        <v>0</v>
      </c>
      <c r="BE11" s="71">
        <f ca="1">+GETPIVOTDATA("XSB4",'sonbinh (2016)'!$A$3,"MA_HT","HNK","MA_QH","CSD")</f>
        <v>0</v>
      </c>
      <c r="BF11" s="74">
        <f ca="1" t="shared" si="7"/>
        <v>0</v>
      </c>
      <c r="BG11" s="101">
        <f ca="1">J$59-$BF11</f>
        <v>0</v>
      </c>
      <c r="BH11" s="41" t="e">
        <f ca="1" t="shared" si="8"/>
        <v>#REF!</v>
      </c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</row>
    <row r="12" s="2" customFormat="1" ht="15.75" customHeight="1" spans="1:79">
      <c r="A12" s="39" t="s">
        <v>8345</v>
      </c>
      <c r="B12" s="39" t="s">
        <v>8346</v>
      </c>
      <c r="C12" s="40" t="s">
        <v>30</v>
      </c>
      <c r="D12" s="47" t="e">
        <f>+#REF!</f>
        <v>#REF!</v>
      </c>
      <c r="E12" s="42">
        <f ca="1">SUM(L12:Q12,F12,J12)</f>
        <v>0</v>
      </c>
      <c r="F12" s="52">
        <f ca="1" t="shared" ref="F12:F58" si="9">SUM(G12:I12)</f>
        <v>0</v>
      </c>
      <c r="G12" s="22">
        <f ca="1">+GETPIVOTDATA("XSB4",'sonbinh (2016)'!$A$3,"MA_HT","CLN","MA_QH","LUC")</f>
        <v>0</v>
      </c>
      <c r="H12" s="22">
        <f ca="1">+GETPIVOTDATA("XSB4",'sonbinh (2016)'!$A$3,"MA_HT","CLN","MA_QH","LUK")</f>
        <v>0</v>
      </c>
      <c r="I12" s="22">
        <f ca="1">+GETPIVOTDATA("XSB4",'sonbinh (2016)'!$A$3,"MA_HT","CLN","MA_QH","LUN")</f>
        <v>0</v>
      </c>
      <c r="J12" s="22">
        <f ca="1">+GETPIVOTDATA("XSB4",'sonbinh (2016)'!$A$3,"MA_HT","CLN","MA_QH","HNK")</f>
        <v>0</v>
      </c>
      <c r="K12" s="43" t="e">
        <f ca="1">$D12-$BF12</f>
        <v>#REF!</v>
      </c>
      <c r="L12" s="22">
        <f ca="1">+GETPIVOTDATA("XSB4",'sonbinh (2016)'!$A$3,"MA_HT","CLN","MA_QH","RSX")</f>
        <v>0</v>
      </c>
      <c r="M12" s="22">
        <f ca="1">+GETPIVOTDATA("XSB4",'sonbinh (2016)'!$A$3,"MA_HT","CLN","MA_QH","RPH")</f>
        <v>0</v>
      </c>
      <c r="N12" s="22">
        <f ca="1">+GETPIVOTDATA("XSB4",'sonbinh (2016)'!$A$3,"MA_HT","CLN","MA_QH","RDD")</f>
        <v>0</v>
      </c>
      <c r="O12" s="22">
        <f ca="1">+GETPIVOTDATA("XSB4",'sonbinh (2016)'!$A$3,"MA_HT","CLN","MA_QH","NTS")</f>
        <v>0</v>
      </c>
      <c r="P12" s="22">
        <f ca="1">+GETPIVOTDATA("XSB4",'sonbinh (2016)'!$A$3,"MA_HT","CLN","MA_QH","LMU")</f>
        <v>0</v>
      </c>
      <c r="Q12" s="22">
        <f ca="1">+GETPIVOTDATA("XSB4",'sonbinh (2016)'!$A$3,"MA_HT","CLN","MA_QH","NKH")</f>
        <v>0</v>
      </c>
      <c r="R12" s="42">
        <f ca="1" t="shared" si="2"/>
        <v>0</v>
      </c>
      <c r="S12" s="22">
        <f ca="1">+GETPIVOTDATA("XSB4",'sonbinh (2016)'!$A$3,"MA_HT","CLN","MA_QH","CQP")</f>
        <v>0</v>
      </c>
      <c r="T12" s="22">
        <f ca="1">+GETPIVOTDATA("XSB4",'sonbinh (2016)'!$A$3,"MA_HT","CLN","MA_QH","CAN")</f>
        <v>0</v>
      </c>
      <c r="U12" s="22">
        <f ca="1">+GETPIVOTDATA("XSB4",'sonbinh (2016)'!$A$3,"MA_HT","CLN","MA_QH","SKK")</f>
        <v>0</v>
      </c>
      <c r="V12" s="22">
        <f ca="1">+GETPIVOTDATA("XSB4",'sonbinh (2016)'!$A$3,"MA_HT","CLN","MA_QH","SKT")</f>
        <v>0</v>
      </c>
      <c r="W12" s="22">
        <f ca="1">+GETPIVOTDATA("XSB4",'sonbinh (2016)'!$A$3,"MA_HT","CLN","MA_QH","SKN")</f>
        <v>0</v>
      </c>
      <c r="X12" s="22">
        <f ca="1">+GETPIVOTDATA("XSB4",'sonbinh (2016)'!$A$3,"MA_HT","CLN","MA_QH","TMD")</f>
        <v>0</v>
      </c>
      <c r="Y12" s="22">
        <f ca="1">+GETPIVOTDATA("XSB4",'sonbinh (2016)'!$A$3,"MA_HT","CLN","MA_QH","SKC")</f>
        <v>0</v>
      </c>
      <c r="Z12" s="22">
        <f ca="1">+GETPIVOTDATA("XSB4",'sonbinh (2016)'!$A$3,"MA_HT","CLN","MA_QH","SKS")</f>
        <v>0</v>
      </c>
      <c r="AA12" s="52">
        <f ca="1" t="shared" si="4"/>
        <v>0</v>
      </c>
      <c r="AB12" s="22">
        <f ca="1">+GETPIVOTDATA("XSB4",'sonbinh (2016)'!$A$3,"MA_HT","CLN","MA_QH","DGT")</f>
        <v>0</v>
      </c>
      <c r="AC12" s="22">
        <f ca="1">+GETPIVOTDATA("XSB4",'sonbinh (2016)'!$A$3,"MA_HT","CLN","MA_QH","DTL")</f>
        <v>0</v>
      </c>
      <c r="AD12" s="22">
        <f ca="1">+GETPIVOTDATA("XSB4",'sonbinh (2016)'!$A$3,"MA_HT","CLN","MA_QH","DNL")</f>
        <v>0</v>
      </c>
      <c r="AE12" s="22">
        <f ca="1">+GETPIVOTDATA("XSB4",'sonbinh (2016)'!$A$3,"MA_HT","CLN","MA_QH","DBV")</f>
        <v>0</v>
      </c>
      <c r="AF12" s="22">
        <f ca="1">+GETPIVOTDATA("XSB4",'sonbinh (2016)'!$A$3,"MA_HT","CLN","MA_QH","DVH")</f>
        <v>0</v>
      </c>
      <c r="AG12" s="22">
        <f ca="1">+GETPIVOTDATA("XSB4",'sonbinh (2016)'!$A$3,"MA_HT","CLN","MA_QH","DYT")</f>
        <v>0</v>
      </c>
      <c r="AH12" s="22">
        <f ca="1">+GETPIVOTDATA("XSB4",'sonbinh (2016)'!$A$3,"MA_HT","CLN","MA_QH","DGD")</f>
        <v>0</v>
      </c>
      <c r="AI12" s="22">
        <f ca="1">+GETPIVOTDATA("XSB4",'sonbinh (2016)'!$A$3,"MA_HT","CLN","MA_QH","DTT")</f>
        <v>0</v>
      </c>
      <c r="AJ12" s="22">
        <f ca="1">+GETPIVOTDATA("XSB4",'sonbinh (2016)'!$A$3,"MA_HT","CLN","MA_QH","NCK")</f>
        <v>0</v>
      </c>
      <c r="AK12" s="22">
        <f ca="1">+GETPIVOTDATA("XSB4",'sonbinh (2016)'!$A$3,"MA_HT","CLN","MA_QH","DXH")</f>
        <v>0</v>
      </c>
      <c r="AL12" s="22">
        <f ca="1">+GETPIVOTDATA("XSB4",'sonbinh (2016)'!$A$3,"MA_HT","CLN","MA_QH","DCH")</f>
        <v>0</v>
      </c>
      <c r="AM12" s="22">
        <f ca="1">+GETPIVOTDATA("XSB4",'sonbinh (2016)'!$A$3,"MA_HT","CLN","MA_QH","DKG")</f>
        <v>0</v>
      </c>
      <c r="AN12" s="22">
        <f ca="1">+GETPIVOTDATA("XSB4",'sonbinh (2016)'!$A$3,"MA_HT","CLN","MA_QH","DDT")</f>
        <v>0</v>
      </c>
      <c r="AO12" s="22">
        <f ca="1">+GETPIVOTDATA("XSB4",'sonbinh (2016)'!$A$3,"MA_HT","CLN","MA_QH","DDL")</f>
        <v>0</v>
      </c>
      <c r="AP12" s="22">
        <f ca="1">+GETPIVOTDATA("XSB4",'sonbinh (2016)'!$A$3,"MA_HT","CLN","MA_QH","DRA")</f>
        <v>0</v>
      </c>
      <c r="AQ12" s="22">
        <f ca="1">+GETPIVOTDATA("XSB4",'sonbinh (2016)'!$A$3,"MA_HT","CLN","MA_QH","ONT")</f>
        <v>0</v>
      </c>
      <c r="AR12" s="22">
        <f ca="1">+GETPIVOTDATA("XSB4",'sonbinh (2016)'!$A$3,"MA_HT","CLN","MA_QH","ODT")</f>
        <v>0</v>
      </c>
      <c r="AS12" s="22">
        <f ca="1">+GETPIVOTDATA("XSB4",'sonbinh (2016)'!$A$3,"MA_HT","CLN","MA_QH","TSC")</f>
        <v>0</v>
      </c>
      <c r="AT12" s="22">
        <f ca="1">+GETPIVOTDATA("XSB4",'sonbinh (2016)'!$A$3,"MA_HT","CLN","MA_QH","DTS")</f>
        <v>0</v>
      </c>
      <c r="AU12" s="22">
        <f ca="1">+GETPIVOTDATA("XSB4",'sonbinh (2016)'!$A$3,"MA_HT","CLN","MA_QH","DNG")</f>
        <v>0</v>
      </c>
      <c r="AV12" s="22">
        <f ca="1">+GETPIVOTDATA("XSB4",'sonbinh (2016)'!$A$3,"MA_HT","CLN","MA_QH","TON")</f>
        <v>0</v>
      </c>
      <c r="AW12" s="22">
        <f ca="1">+GETPIVOTDATA("XSB4",'sonbinh (2016)'!$A$3,"MA_HT","CLN","MA_QH","NTD")</f>
        <v>0</v>
      </c>
      <c r="AX12" s="22">
        <f ca="1">+GETPIVOTDATA("XSB4",'sonbinh (2016)'!$A$3,"MA_HT","CLN","MA_QH","SKX")</f>
        <v>0</v>
      </c>
      <c r="AY12" s="22">
        <f ca="1">+GETPIVOTDATA("XSB4",'sonbinh (2016)'!$A$3,"MA_HT","CLN","MA_QH","DSH")</f>
        <v>0</v>
      </c>
      <c r="AZ12" s="22">
        <f ca="1">+GETPIVOTDATA("XSB4",'sonbinh (2016)'!$A$3,"MA_HT","CLN","MA_QH","DKV")</f>
        <v>0</v>
      </c>
      <c r="BA12" s="89">
        <f ca="1">+GETPIVOTDATA("XSB4",'sonbinh (2016)'!$A$3,"MA_HT","CLN","MA_QH","TIN")</f>
        <v>0</v>
      </c>
      <c r="BB12" s="50">
        <f ca="1">+GETPIVOTDATA("XSB4",'sonbinh (2016)'!$A$3,"MA_HT","CLN","MA_QH","SON")</f>
        <v>0</v>
      </c>
      <c r="BC12" s="50">
        <f ca="1">+GETPIVOTDATA("XSB4",'sonbinh (2016)'!$A$3,"MA_HT","CLN","MA_QH","MNC")</f>
        <v>0</v>
      </c>
      <c r="BD12" s="22">
        <f ca="1">+GETPIVOTDATA("XSB4",'sonbinh (2016)'!$A$3,"MA_HT","CLN","MA_QH","PNK")</f>
        <v>0</v>
      </c>
      <c r="BE12" s="71">
        <f ca="1">+GETPIVOTDATA("XSB4",'sonbinh (2016)'!$A$3,"MA_HT","CLN","MA_QH","CSD")</f>
        <v>0</v>
      </c>
      <c r="BF12" s="74">
        <f ca="1" t="shared" si="7"/>
        <v>0</v>
      </c>
      <c r="BG12" s="101">
        <f ca="1">K$59-$BF12</f>
        <v>0</v>
      </c>
      <c r="BH12" s="41" t="e">
        <f ca="1" t="shared" si="8"/>
        <v>#REF!</v>
      </c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</row>
    <row r="13" s="2" customFormat="1" ht="15.75" customHeight="1" spans="1:79">
      <c r="A13" s="39" t="s">
        <v>8347</v>
      </c>
      <c r="B13" s="39" t="s">
        <v>8348</v>
      </c>
      <c r="C13" s="40" t="s">
        <v>8307</v>
      </c>
      <c r="D13" s="47" t="e">
        <f>+#REF!</f>
        <v>#REF!</v>
      </c>
      <c r="E13" s="42">
        <f ca="1">SUM(F13,J13:K13,M13:Q13)</f>
        <v>0</v>
      </c>
      <c r="F13" s="52">
        <f ca="1" t="shared" si="9"/>
        <v>0</v>
      </c>
      <c r="G13" s="22">
        <f ca="1">+GETPIVOTDATA("XSB4",'sonbinh (2016)'!$A$3,"MA_HT","RSX","MA_QH","LUC")</f>
        <v>0</v>
      </c>
      <c r="H13" s="22">
        <f ca="1">+GETPIVOTDATA("XSB4",'sonbinh (2016)'!$A$3,"MA_HT","RSX","MA_QH","LUK")</f>
        <v>0</v>
      </c>
      <c r="I13" s="22">
        <f ca="1">+GETPIVOTDATA("XSB4",'sonbinh (2016)'!$A$3,"MA_HT","RSX","MA_QH","LUN")</f>
        <v>0</v>
      </c>
      <c r="J13" s="22">
        <f ca="1">+GETPIVOTDATA("XSB4",'sonbinh (2016)'!$A$3,"MA_HT","RSX","MA_QH","HNK")</f>
        <v>0</v>
      </c>
      <c r="K13" s="22">
        <f ca="1">+GETPIVOTDATA("XSB4",'sonbinh (2016)'!$A$3,"MA_HT","RSX","MA_QH","CLN")</f>
        <v>0</v>
      </c>
      <c r="L13" s="43" t="e">
        <f ca="1">$D13-$BF13</f>
        <v>#REF!</v>
      </c>
      <c r="M13" s="22">
        <f ca="1">+GETPIVOTDATA("XSB4",'sonbinh (2016)'!$A$3,"MA_HT","RSX","MA_QH","RPH")</f>
        <v>0</v>
      </c>
      <c r="N13" s="22">
        <f ca="1">+GETPIVOTDATA("XSB4",'sonbinh (2016)'!$A$3,"MA_HT","RSX","MA_QH","RDD")</f>
        <v>0</v>
      </c>
      <c r="O13" s="22">
        <f ca="1">+GETPIVOTDATA("XSB4",'sonbinh (2016)'!$A$3,"MA_HT","RSX","MA_QH","NTS")</f>
        <v>0</v>
      </c>
      <c r="P13" s="22">
        <f ca="1">+GETPIVOTDATA("XSB4",'sonbinh (2016)'!$A$3,"MA_HT","RSX","MA_QH","LMU")</f>
        <v>0</v>
      </c>
      <c r="Q13" s="22">
        <f ca="1">+GETPIVOTDATA("XSB4",'sonbinh (2016)'!$A$3,"MA_HT","RSX","MA_QH","NKH")</f>
        <v>0</v>
      </c>
      <c r="R13" s="42">
        <f ca="1" t="shared" si="2"/>
        <v>0</v>
      </c>
      <c r="S13" s="22">
        <f ca="1">+GETPIVOTDATA("XSB4",'sonbinh (2016)'!$A$3,"MA_HT","RSX","MA_QH","CQP")</f>
        <v>0</v>
      </c>
      <c r="T13" s="22">
        <f ca="1">+GETPIVOTDATA("XSB4",'sonbinh (2016)'!$A$3,"MA_HT","RSX","MA_QH","CAN")</f>
        <v>0</v>
      </c>
      <c r="U13" s="22">
        <f ca="1">+GETPIVOTDATA("XSB4",'sonbinh (2016)'!$A$3,"MA_HT","RSX","MA_QH","SKK")</f>
        <v>0</v>
      </c>
      <c r="V13" s="22">
        <f ca="1">+GETPIVOTDATA("XSB4",'sonbinh (2016)'!$A$3,"MA_HT","RSX","MA_QH","SKT")</f>
        <v>0</v>
      </c>
      <c r="W13" s="22">
        <f ca="1">+GETPIVOTDATA("XSB4",'sonbinh (2016)'!$A$3,"MA_HT","RSX","MA_QH","SKN")</f>
        <v>0</v>
      </c>
      <c r="X13" s="22">
        <f ca="1">+GETPIVOTDATA("XSB4",'sonbinh (2016)'!$A$3,"MA_HT","RSX","MA_QH","TMD")</f>
        <v>0</v>
      </c>
      <c r="Y13" s="22">
        <f ca="1">+GETPIVOTDATA("XSB4",'sonbinh (2016)'!$A$3,"MA_HT","RSX","MA_QH","SKC")</f>
        <v>0</v>
      </c>
      <c r="Z13" s="22">
        <f ca="1">+GETPIVOTDATA("XSB4",'sonbinh (2016)'!$A$3,"MA_HT","RSX","MA_QH","SKS")</f>
        <v>0</v>
      </c>
      <c r="AA13" s="52">
        <f ca="1" t="shared" si="4"/>
        <v>0</v>
      </c>
      <c r="AB13" s="22">
        <f ca="1">+GETPIVOTDATA("XSB4",'sonbinh (2016)'!$A$3,"MA_HT","RSX","MA_QH","DGT")</f>
        <v>0</v>
      </c>
      <c r="AC13" s="22">
        <f ca="1">+GETPIVOTDATA("XSB4",'sonbinh (2016)'!$A$3,"MA_HT","RSX","MA_QH","DTL")</f>
        <v>0</v>
      </c>
      <c r="AD13" s="22">
        <f ca="1">+GETPIVOTDATA("XSB4",'sonbinh (2016)'!$A$3,"MA_HT","RSX","MA_QH","DNL")</f>
        <v>0</v>
      </c>
      <c r="AE13" s="22">
        <f ca="1">+GETPIVOTDATA("XSB4",'sonbinh (2016)'!$A$3,"MA_HT","RSX","MA_QH","DBV")</f>
        <v>0</v>
      </c>
      <c r="AF13" s="22">
        <f ca="1">+GETPIVOTDATA("XSB4",'sonbinh (2016)'!$A$3,"MA_HT","RSX","MA_QH","DVH")</f>
        <v>0</v>
      </c>
      <c r="AG13" s="22">
        <f ca="1">+GETPIVOTDATA("XSB4",'sonbinh (2016)'!$A$3,"MA_HT","RSX","MA_QH","DYT")</f>
        <v>0</v>
      </c>
      <c r="AH13" s="22">
        <f ca="1">+GETPIVOTDATA("XSB4",'sonbinh (2016)'!$A$3,"MA_HT","RSX","MA_QH","DGD")</f>
        <v>0</v>
      </c>
      <c r="AI13" s="22">
        <f ca="1">+GETPIVOTDATA("XSB4",'sonbinh (2016)'!$A$3,"MA_HT","RSX","MA_QH","DTT")</f>
        <v>0</v>
      </c>
      <c r="AJ13" s="22">
        <f ca="1">+GETPIVOTDATA("XSB4",'sonbinh (2016)'!$A$3,"MA_HT","RSX","MA_QH","NCK")</f>
        <v>0</v>
      </c>
      <c r="AK13" s="22">
        <f ca="1">+GETPIVOTDATA("XSB4",'sonbinh (2016)'!$A$3,"MA_HT","RSX","MA_QH","DXH")</f>
        <v>0</v>
      </c>
      <c r="AL13" s="22">
        <f ca="1">+GETPIVOTDATA("XSB4",'sonbinh (2016)'!$A$3,"MA_HT","RSX","MA_QH","DCH")</f>
        <v>0</v>
      </c>
      <c r="AM13" s="22">
        <f ca="1">+GETPIVOTDATA("XSB4",'sonbinh (2016)'!$A$3,"MA_HT","RSX","MA_QH","DKG")</f>
        <v>0</v>
      </c>
      <c r="AN13" s="22">
        <f ca="1">+GETPIVOTDATA("XSB4",'sonbinh (2016)'!$A$3,"MA_HT","RSX","MA_QH","DDT")</f>
        <v>0</v>
      </c>
      <c r="AO13" s="22">
        <f ca="1">+GETPIVOTDATA("XSB4",'sonbinh (2016)'!$A$3,"MA_HT","RSX","MA_QH","DDL")</f>
        <v>0</v>
      </c>
      <c r="AP13" s="22">
        <f ca="1">+GETPIVOTDATA("XSB4",'sonbinh (2016)'!$A$3,"MA_HT","RSX","MA_QH","DRA")</f>
        <v>0</v>
      </c>
      <c r="AQ13" s="22">
        <f ca="1">+GETPIVOTDATA("XSB4",'sonbinh (2016)'!$A$3,"MA_HT","RSX","MA_QH","ONT")</f>
        <v>0</v>
      </c>
      <c r="AR13" s="22">
        <f ca="1">+GETPIVOTDATA("XSB4",'sonbinh (2016)'!$A$3,"MA_HT","RSX","MA_QH","ODT")</f>
        <v>0</v>
      </c>
      <c r="AS13" s="22">
        <f ca="1">+GETPIVOTDATA("XSB4",'sonbinh (2016)'!$A$3,"MA_HT","RSX","MA_QH","TSC")</f>
        <v>0</v>
      </c>
      <c r="AT13" s="22">
        <f ca="1">+GETPIVOTDATA("XSB4",'sonbinh (2016)'!$A$3,"MA_HT","RSX","MA_QH","DTS")</f>
        <v>0</v>
      </c>
      <c r="AU13" s="22">
        <f ca="1">+GETPIVOTDATA("XSB4",'sonbinh (2016)'!$A$3,"MA_HT","RSX","MA_QH","DNG")</f>
        <v>0</v>
      </c>
      <c r="AV13" s="22">
        <f ca="1">+GETPIVOTDATA("XSB4",'sonbinh (2016)'!$A$3,"MA_HT","RSX","MA_QH","TON")</f>
        <v>0</v>
      </c>
      <c r="AW13" s="22">
        <f ca="1">+GETPIVOTDATA("XSB4",'sonbinh (2016)'!$A$3,"MA_HT","RSX","MA_QH","NTD")</f>
        <v>0</v>
      </c>
      <c r="AX13" s="22">
        <f ca="1">+GETPIVOTDATA("XSB4",'sonbinh (2016)'!$A$3,"MA_HT","RSX","MA_QH","SKX")</f>
        <v>0</v>
      </c>
      <c r="AY13" s="22">
        <f ca="1">+GETPIVOTDATA("XSB4",'sonbinh (2016)'!$A$3,"MA_HT","RSX","MA_QH","DSH")</f>
        <v>0</v>
      </c>
      <c r="AZ13" s="22">
        <f ca="1">+GETPIVOTDATA("XSB4",'sonbinh (2016)'!$A$3,"MA_HT","RSX","MA_QH","DKV")</f>
        <v>0</v>
      </c>
      <c r="BA13" s="89">
        <f ca="1">+GETPIVOTDATA("XSB4",'sonbinh (2016)'!$A$3,"MA_HT","RSX","MA_QH","TIN")</f>
        <v>0</v>
      </c>
      <c r="BB13" s="50">
        <f ca="1">+GETPIVOTDATA("XSB4",'sonbinh (2016)'!$A$3,"MA_HT","RSX","MA_QH","SON")</f>
        <v>0</v>
      </c>
      <c r="BC13" s="50">
        <f ca="1">+GETPIVOTDATA("XSB4",'sonbinh (2016)'!$A$3,"MA_HT","RSX","MA_QH","MNC")</f>
        <v>0</v>
      </c>
      <c r="BD13" s="22">
        <f ca="1">+GETPIVOTDATA("XSB4",'sonbinh (2016)'!$A$3,"MA_HT","RSX","MA_QH","PNK")</f>
        <v>0</v>
      </c>
      <c r="BE13" s="71">
        <f ca="1">+GETPIVOTDATA("XSB4",'sonbinh (2016)'!$A$3,"MA_HT","RSX","MA_QH","CSD")</f>
        <v>0</v>
      </c>
      <c r="BF13" s="74">
        <f ca="1" t="shared" si="7"/>
        <v>0</v>
      </c>
      <c r="BG13" s="101">
        <f ca="1">L$59-$BF13</f>
        <v>0</v>
      </c>
      <c r="BH13" s="41" t="e">
        <f ca="1" t="shared" si="8"/>
        <v>#REF!</v>
      </c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</row>
    <row r="14" s="2" customFormat="1" ht="15.75" customHeight="1" spans="1:79">
      <c r="A14" s="39" t="s">
        <v>8349</v>
      </c>
      <c r="B14" s="39" t="s">
        <v>8350</v>
      </c>
      <c r="C14" s="40" t="s">
        <v>8306</v>
      </c>
      <c r="D14" s="47" t="e">
        <f>+#REF!</f>
        <v>#REF!</v>
      </c>
      <c r="E14" s="42">
        <f ca="1">SUM(F14,J14:L14,N14:Q14)</f>
        <v>0</v>
      </c>
      <c r="F14" s="52">
        <f ca="1" t="shared" si="9"/>
        <v>0</v>
      </c>
      <c r="G14" s="22">
        <f ca="1">+GETPIVOTDATA("XSB4",'sonbinh (2016)'!$A$3,"MA_HT","RPH","MA_QH","LUC")</f>
        <v>0</v>
      </c>
      <c r="H14" s="22">
        <f ca="1">+GETPIVOTDATA("XSB4",'sonbinh (2016)'!$A$3,"MA_HT","RPH","MA_QH","LUK")</f>
        <v>0</v>
      </c>
      <c r="I14" s="22">
        <f ca="1">+GETPIVOTDATA("XSB4",'sonbinh (2016)'!$A$3,"MA_HT","RPH","MA_QH","LUN")</f>
        <v>0</v>
      </c>
      <c r="J14" s="22">
        <f ca="1">+GETPIVOTDATA("XSB4",'sonbinh (2016)'!$A$3,"MA_HT","RPH","MA_QH","HNK")</f>
        <v>0</v>
      </c>
      <c r="K14" s="22">
        <f ca="1">+GETPIVOTDATA("XSB4",'sonbinh (2016)'!$A$3,"MA_HT","RPH","MA_QH","CLN")</f>
        <v>0</v>
      </c>
      <c r="L14" s="22">
        <f ca="1">+GETPIVOTDATA("XSB4",'sonbinh (2016)'!$A$3,"MA_HT","RPH","MA_QH","RSX")</f>
        <v>0</v>
      </c>
      <c r="M14" s="43" t="e">
        <f ca="1">$D14-$BF14</f>
        <v>#REF!</v>
      </c>
      <c r="N14" s="22">
        <f ca="1">+GETPIVOTDATA("XSB4",'sonbinh (2016)'!$A$3,"MA_HT","RPH","MA_QH","RDD")</f>
        <v>0</v>
      </c>
      <c r="O14" s="22">
        <f ca="1">+GETPIVOTDATA("XSB4",'sonbinh (2016)'!$A$3,"MA_HT","RPH","MA_QH","NTS")</f>
        <v>0</v>
      </c>
      <c r="P14" s="22">
        <f ca="1">+GETPIVOTDATA("XSB4",'sonbinh (2016)'!$A$3,"MA_HT","RPH","MA_QH","LMU")</f>
        <v>0</v>
      </c>
      <c r="Q14" s="22">
        <f ca="1">+GETPIVOTDATA("XSB4",'sonbinh (2016)'!$A$3,"MA_HT","RPH","MA_QH","NKH")</f>
        <v>0</v>
      </c>
      <c r="R14" s="42">
        <f ca="1" t="shared" si="2"/>
        <v>0</v>
      </c>
      <c r="S14" s="22">
        <f ca="1">+GETPIVOTDATA("XSB4",'sonbinh (2016)'!$A$3,"MA_HT","RPH","MA_QH","CQP")</f>
        <v>0</v>
      </c>
      <c r="T14" s="22">
        <f ca="1">+GETPIVOTDATA("XSB4",'sonbinh (2016)'!$A$3,"MA_HT","RPH","MA_QH","CAN")</f>
        <v>0</v>
      </c>
      <c r="U14" s="22">
        <f ca="1">+GETPIVOTDATA("XSB4",'sonbinh (2016)'!$A$3,"MA_HT","RPH","MA_QH","SKK")</f>
        <v>0</v>
      </c>
      <c r="V14" s="22">
        <f ca="1">+GETPIVOTDATA("XSB4",'sonbinh (2016)'!$A$3,"MA_HT","RPH","MA_QH","SKT")</f>
        <v>0</v>
      </c>
      <c r="W14" s="22">
        <f ca="1">+GETPIVOTDATA("XSB4",'sonbinh (2016)'!$A$3,"MA_HT","RPH","MA_QH","SKN")</f>
        <v>0</v>
      </c>
      <c r="X14" s="22">
        <f ca="1">+GETPIVOTDATA("XSB4",'sonbinh (2016)'!$A$3,"MA_HT","RPH","MA_QH","TMD")</f>
        <v>0</v>
      </c>
      <c r="Y14" s="22">
        <f ca="1">+GETPIVOTDATA("XSB4",'sonbinh (2016)'!$A$3,"MA_HT","RPH","MA_QH","SKC")</f>
        <v>0</v>
      </c>
      <c r="Z14" s="22">
        <f ca="1">+GETPIVOTDATA("XSB4",'sonbinh (2016)'!$A$3,"MA_HT","RPH","MA_QH","SKS")</f>
        <v>0</v>
      </c>
      <c r="AA14" s="52">
        <f ca="1" t="shared" si="4"/>
        <v>0</v>
      </c>
      <c r="AB14" s="22">
        <f ca="1">+GETPIVOTDATA("XSB4",'sonbinh (2016)'!$A$3,"MA_HT","RPH","MA_QH","DGT")</f>
        <v>0</v>
      </c>
      <c r="AC14" s="22">
        <f ca="1">+GETPIVOTDATA("XSB4",'sonbinh (2016)'!$A$3,"MA_HT","RPH","MA_QH","DTL")</f>
        <v>0</v>
      </c>
      <c r="AD14" s="22">
        <f ca="1">+GETPIVOTDATA("XSB4",'sonbinh (2016)'!$A$3,"MA_HT","RPH","MA_QH","DNL")</f>
        <v>0</v>
      </c>
      <c r="AE14" s="22">
        <f ca="1">+GETPIVOTDATA("XSB4",'sonbinh (2016)'!$A$3,"MA_HT","RPH","MA_QH","DBV")</f>
        <v>0</v>
      </c>
      <c r="AF14" s="22">
        <f ca="1">+GETPIVOTDATA("XSB4",'sonbinh (2016)'!$A$3,"MA_HT","RPH","MA_QH","DVH")</f>
        <v>0</v>
      </c>
      <c r="AG14" s="22">
        <f ca="1">+GETPIVOTDATA("XSB4",'sonbinh (2016)'!$A$3,"MA_HT","RPH","MA_QH","DYT")</f>
        <v>0</v>
      </c>
      <c r="AH14" s="22">
        <f ca="1">+GETPIVOTDATA("XSB4",'sonbinh (2016)'!$A$3,"MA_HT","RPH","MA_QH","DGD")</f>
        <v>0</v>
      </c>
      <c r="AI14" s="22">
        <f ca="1">+GETPIVOTDATA("XSB4",'sonbinh (2016)'!$A$3,"MA_HT","RPH","MA_QH","DTT")</f>
        <v>0</v>
      </c>
      <c r="AJ14" s="22">
        <f ca="1">+GETPIVOTDATA("XSB4",'sonbinh (2016)'!$A$3,"MA_HT","RPH","MA_QH","NCK")</f>
        <v>0</v>
      </c>
      <c r="AK14" s="22">
        <f ca="1">+GETPIVOTDATA("XSB4",'sonbinh (2016)'!$A$3,"MA_HT","RPH","MA_QH","DXH")</f>
        <v>0</v>
      </c>
      <c r="AL14" s="22">
        <f ca="1">+GETPIVOTDATA("XSB4",'sonbinh (2016)'!$A$3,"MA_HT","RPH","MA_QH","DCH")</f>
        <v>0</v>
      </c>
      <c r="AM14" s="22">
        <f ca="1">+GETPIVOTDATA("XSB4",'sonbinh (2016)'!$A$3,"MA_HT","RPH","MA_QH","DKG")</f>
        <v>0</v>
      </c>
      <c r="AN14" s="22">
        <f ca="1">+GETPIVOTDATA("XSB4",'sonbinh (2016)'!$A$3,"MA_HT","RPH","MA_QH","DDT")</f>
        <v>0</v>
      </c>
      <c r="AO14" s="22">
        <f ca="1">+GETPIVOTDATA("XSB4",'sonbinh (2016)'!$A$3,"MA_HT","RPH","MA_QH","DDL")</f>
        <v>0</v>
      </c>
      <c r="AP14" s="22">
        <f ca="1">+GETPIVOTDATA("XSB4",'sonbinh (2016)'!$A$3,"MA_HT","RPH","MA_QH","DRA")</f>
        <v>0</v>
      </c>
      <c r="AQ14" s="22">
        <f ca="1">+GETPIVOTDATA("XSB4",'sonbinh (2016)'!$A$3,"MA_HT","RPH","MA_QH","ONT")</f>
        <v>0</v>
      </c>
      <c r="AR14" s="22">
        <f ca="1">+GETPIVOTDATA("XSB4",'sonbinh (2016)'!$A$3,"MA_HT","RPH","MA_QH","ODT")</f>
        <v>0</v>
      </c>
      <c r="AS14" s="22">
        <f ca="1">+GETPIVOTDATA("XSB4",'sonbinh (2016)'!$A$3,"MA_HT","RPH","MA_QH","TSC")</f>
        <v>0</v>
      </c>
      <c r="AT14" s="22">
        <f ca="1">+GETPIVOTDATA("XSB4",'sonbinh (2016)'!$A$3,"MA_HT","RPH","MA_QH","DTS")</f>
        <v>0</v>
      </c>
      <c r="AU14" s="22">
        <f ca="1">+GETPIVOTDATA("XSB4",'sonbinh (2016)'!$A$3,"MA_HT","RPH","MA_QH","DNG")</f>
        <v>0</v>
      </c>
      <c r="AV14" s="22">
        <f ca="1">+GETPIVOTDATA("XSB4",'sonbinh (2016)'!$A$3,"MA_HT","RPH","MA_QH","TON")</f>
        <v>0</v>
      </c>
      <c r="AW14" s="22">
        <f ca="1">+GETPIVOTDATA("XSB4",'sonbinh (2016)'!$A$3,"MA_HT","RPH","MA_QH","NTD")</f>
        <v>0</v>
      </c>
      <c r="AX14" s="22">
        <f ca="1">+GETPIVOTDATA("XSB4",'sonbinh (2016)'!$A$3,"MA_HT","RPH","MA_QH","SKX")</f>
        <v>0</v>
      </c>
      <c r="AY14" s="22">
        <f ca="1">+GETPIVOTDATA("XSB4",'sonbinh (2016)'!$A$3,"MA_HT","RPH","MA_QH","DSH")</f>
        <v>0</v>
      </c>
      <c r="AZ14" s="22">
        <f ca="1">+GETPIVOTDATA("XSB4",'sonbinh (2016)'!$A$3,"MA_HT","RPH","MA_QH","DKV")</f>
        <v>0</v>
      </c>
      <c r="BA14" s="89">
        <f ca="1">+GETPIVOTDATA("XSB4",'sonbinh (2016)'!$A$3,"MA_HT","RPH","MA_QH","TIN")</f>
        <v>0</v>
      </c>
      <c r="BB14" s="50">
        <f ca="1">+GETPIVOTDATA("XSB4",'sonbinh (2016)'!$A$3,"MA_HT","RPH","MA_QH","SON")</f>
        <v>0</v>
      </c>
      <c r="BC14" s="50">
        <f ca="1">+GETPIVOTDATA("XSB4",'sonbinh (2016)'!$A$3,"MA_HT","RPH","MA_QH","MNC")</f>
        <v>0</v>
      </c>
      <c r="BD14" s="22">
        <f ca="1">+GETPIVOTDATA("XSB4",'sonbinh (2016)'!$A$3,"MA_HT","RPH","MA_QH","PNK")</f>
        <v>0</v>
      </c>
      <c r="BE14" s="71">
        <f ca="1">+GETPIVOTDATA("XSB4",'sonbinh (2016)'!$A$3,"MA_HT","RPH","MA_QH","CSD")</f>
        <v>0</v>
      </c>
      <c r="BF14" s="74">
        <f ca="1" t="shared" si="7"/>
        <v>0</v>
      </c>
      <c r="BG14" s="101">
        <f ca="1">M$59-$BF14</f>
        <v>0</v>
      </c>
      <c r="BH14" s="41" t="e">
        <f ca="1" t="shared" si="8"/>
        <v>#REF!</v>
      </c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</row>
    <row r="15" s="2" customFormat="1" ht="15.75" customHeight="1" spans="1:79">
      <c r="A15" s="39" t="s">
        <v>8351</v>
      </c>
      <c r="B15" s="39" t="s">
        <v>8352</v>
      </c>
      <c r="C15" s="40" t="s">
        <v>8305</v>
      </c>
      <c r="D15" s="47" t="e">
        <f>+#REF!</f>
        <v>#REF!</v>
      </c>
      <c r="E15" s="42">
        <f ca="1">SUM(F15,J15:M15,O15:Q15)</f>
        <v>0</v>
      </c>
      <c r="F15" s="52">
        <f ca="1" t="shared" si="9"/>
        <v>0</v>
      </c>
      <c r="G15" s="22">
        <f ca="1">+GETPIVOTDATA("XSB4",'sonbinh (2016)'!$A$3,"MA_HT","RDD","MA_QH","LUC")</f>
        <v>0</v>
      </c>
      <c r="H15" s="22">
        <f ca="1">+GETPIVOTDATA("XSB4",'sonbinh (2016)'!$A$3,"MA_HT","RDD","MA_QH","LUK")</f>
        <v>0</v>
      </c>
      <c r="I15" s="22">
        <f ca="1">+GETPIVOTDATA("XSB4",'sonbinh (2016)'!$A$3,"MA_HT","RDD","MA_QH","LUN")</f>
        <v>0</v>
      </c>
      <c r="J15" s="22">
        <f ca="1">+GETPIVOTDATA("XSB4",'sonbinh (2016)'!$A$3,"MA_HT","RDD","MA_QH","HNK")</f>
        <v>0</v>
      </c>
      <c r="K15" s="22">
        <f ca="1">+GETPIVOTDATA("XSB4",'sonbinh (2016)'!$A$3,"MA_HT","RDD","MA_QH","CLN")</f>
        <v>0</v>
      </c>
      <c r="L15" s="22">
        <f ca="1">+GETPIVOTDATA("XSB4",'sonbinh (2016)'!$A$3,"MA_HT","RDD","MA_QH","RSX")</f>
        <v>0</v>
      </c>
      <c r="M15" s="22">
        <f ca="1">+GETPIVOTDATA("XSB4",'sonbinh (2016)'!$A$3,"MA_HT","RDD","MA_QH","RPH")</f>
        <v>0</v>
      </c>
      <c r="N15" s="43" t="e">
        <f ca="1">$D15-$BF15</f>
        <v>#REF!</v>
      </c>
      <c r="O15" s="22">
        <f ca="1">+GETPIVOTDATA("XSB4",'sonbinh (2016)'!$A$3,"MA_HT","RDD","MA_QH","NTS")</f>
        <v>0</v>
      </c>
      <c r="P15" s="22">
        <f ca="1">+GETPIVOTDATA("XSB4",'sonbinh (2016)'!$A$3,"MA_HT","RDD","MA_QH","LMU")</f>
        <v>0</v>
      </c>
      <c r="Q15" s="22">
        <f ca="1">+GETPIVOTDATA("XSB4",'sonbinh (2016)'!$A$3,"MA_HT","RDD","MA_QH","NKH")</f>
        <v>0</v>
      </c>
      <c r="R15" s="42">
        <f ca="1" t="shared" si="2"/>
        <v>0</v>
      </c>
      <c r="S15" s="22">
        <f ca="1">+GETPIVOTDATA("XSB4",'sonbinh (2016)'!$A$3,"MA_HT","RDD","MA_QH","CQP")</f>
        <v>0</v>
      </c>
      <c r="T15" s="22">
        <f ca="1">+GETPIVOTDATA("XSB4",'sonbinh (2016)'!$A$3,"MA_HT","RDD","MA_QH","CAN")</f>
        <v>0</v>
      </c>
      <c r="U15" s="22">
        <f ca="1">+GETPIVOTDATA("XSB4",'sonbinh (2016)'!$A$3,"MA_HT","RDD","MA_QH","SKK")</f>
        <v>0</v>
      </c>
      <c r="V15" s="22">
        <f ca="1">+GETPIVOTDATA("XSB4",'sonbinh (2016)'!$A$3,"MA_HT","RDD","MA_QH","SKT")</f>
        <v>0</v>
      </c>
      <c r="W15" s="22">
        <f ca="1">+GETPIVOTDATA("XSB4",'sonbinh (2016)'!$A$3,"MA_HT","RDD","MA_QH","SKN")</f>
        <v>0</v>
      </c>
      <c r="X15" s="22">
        <f ca="1">+GETPIVOTDATA("XSB4",'sonbinh (2016)'!$A$3,"MA_HT","RDD","MA_QH","TMD")</f>
        <v>0</v>
      </c>
      <c r="Y15" s="22">
        <f ca="1">+GETPIVOTDATA("XSB4",'sonbinh (2016)'!$A$3,"MA_HT","RDD","MA_QH","SKC")</f>
        <v>0</v>
      </c>
      <c r="Z15" s="22">
        <f ca="1">+GETPIVOTDATA("XSB4",'sonbinh (2016)'!$A$3,"MA_HT","RDD","MA_QH","SKS")</f>
        <v>0</v>
      </c>
      <c r="AA15" s="52">
        <f ca="1" t="shared" si="4"/>
        <v>0</v>
      </c>
      <c r="AB15" s="22">
        <f ca="1">+GETPIVOTDATA("XSB4",'sonbinh (2016)'!$A$3,"MA_HT","RDD","MA_QH","DGT")</f>
        <v>0</v>
      </c>
      <c r="AC15" s="22">
        <f ca="1">+GETPIVOTDATA("XSB4",'sonbinh (2016)'!$A$3,"MA_HT","RDD","MA_QH","DTL")</f>
        <v>0</v>
      </c>
      <c r="AD15" s="22">
        <f ca="1">+GETPIVOTDATA("XSB4",'sonbinh (2016)'!$A$3,"MA_HT","RDD","MA_QH","DNL")</f>
        <v>0</v>
      </c>
      <c r="AE15" s="22">
        <f ca="1">+GETPIVOTDATA("XSB4",'sonbinh (2016)'!$A$3,"MA_HT","RDD","MA_QH","DBV")</f>
        <v>0</v>
      </c>
      <c r="AF15" s="22">
        <f ca="1">+GETPIVOTDATA("XSB4",'sonbinh (2016)'!$A$3,"MA_HT","RDD","MA_QH","DVH")</f>
        <v>0</v>
      </c>
      <c r="AG15" s="22">
        <f ca="1">+GETPIVOTDATA("XSB4",'sonbinh (2016)'!$A$3,"MA_HT","RDD","MA_QH","DYT")</f>
        <v>0</v>
      </c>
      <c r="AH15" s="22">
        <f ca="1">+GETPIVOTDATA("XSB4",'sonbinh (2016)'!$A$3,"MA_HT","RDD","MA_QH","DGD")</f>
        <v>0</v>
      </c>
      <c r="AI15" s="22">
        <f ca="1">+GETPIVOTDATA("XSB4",'sonbinh (2016)'!$A$3,"MA_HT","RDD","MA_QH","DTT")</f>
        <v>0</v>
      </c>
      <c r="AJ15" s="22">
        <f ca="1">+GETPIVOTDATA("XSB4",'sonbinh (2016)'!$A$3,"MA_HT","RDD","MA_QH","NCK")</f>
        <v>0</v>
      </c>
      <c r="AK15" s="22">
        <f ca="1">+GETPIVOTDATA("XSB4",'sonbinh (2016)'!$A$3,"MA_HT","RDD","MA_QH","DXH")</f>
        <v>0</v>
      </c>
      <c r="AL15" s="22">
        <f ca="1">+GETPIVOTDATA("XSB4",'sonbinh (2016)'!$A$3,"MA_HT","RDD","MA_QH","DCH")</f>
        <v>0</v>
      </c>
      <c r="AM15" s="22">
        <f ca="1">+GETPIVOTDATA("XSB4",'sonbinh (2016)'!$A$3,"MA_HT","RDD","MA_QH","DKG")</f>
        <v>0</v>
      </c>
      <c r="AN15" s="22">
        <f ca="1">+GETPIVOTDATA("XSB4",'sonbinh (2016)'!$A$3,"MA_HT","RDD","MA_QH","DDT")</f>
        <v>0</v>
      </c>
      <c r="AO15" s="22">
        <f ca="1">+GETPIVOTDATA("XSB4",'sonbinh (2016)'!$A$3,"MA_HT","RDD","MA_QH","DDL")</f>
        <v>0</v>
      </c>
      <c r="AP15" s="22">
        <f ca="1">+GETPIVOTDATA("XSB4",'sonbinh (2016)'!$A$3,"MA_HT","RDD","MA_QH","DRA")</f>
        <v>0</v>
      </c>
      <c r="AQ15" s="22">
        <f ca="1">+GETPIVOTDATA("XSB4",'sonbinh (2016)'!$A$3,"MA_HT","RDD","MA_QH","ONT")</f>
        <v>0</v>
      </c>
      <c r="AR15" s="22">
        <f ca="1">+GETPIVOTDATA("XSB4",'sonbinh (2016)'!$A$3,"MA_HT","RDD","MA_QH","ODT")</f>
        <v>0</v>
      </c>
      <c r="AS15" s="22">
        <f ca="1">+GETPIVOTDATA("XSB4",'sonbinh (2016)'!$A$3,"MA_HT","RDD","MA_QH","TSC")</f>
        <v>0</v>
      </c>
      <c r="AT15" s="22">
        <f ca="1">+GETPIVOTDATA("XSB4",'sonbinh (2016)'!$A$3,"MA_HT","RDD","MA_QH","DTS")</f>
        <v>0</v>
      </c>
      <c r="AU15" s="22">
        <f ca="1">+GETPIVOTDATA("XSB4",'sonbinh (2016)'!$A$3,"MA_HT","RDD","MA_QH","DNG")</f>
        <v>0</v>
      </c>
      <c r="AV15" s="22">
        <f ca="1">+GETPIVOTDATA("XSB4",'sonbinh (2016)'!$A$3,"MA_HT","RDD","MA_QH","TON")</f>
        <v>0</v>
      </c>
      <c r="AW15" s="22">
        <f ca="1">+GETPIVOTDATA("XSB4",'sonbinh (2016)'!$A$3,"MA_HT","RDD","MA_QH","NTD")</f>
        <v>0</v>
      </c>
      <c r="AX15" s="22">
        <f ca="1">+GETPIVOTDATA("XSB4",'sonbinh (2016)'!$A$3,"MA_HT","RDD","MA_QH","SKX")</f>
        <v>0</v>
      </c>
      <c r="AY15" s="22">
        <f ca="1">+GETPIVOTDATA("XSB4",'sonbinh (2016)'!$A$3,"MA_HT","RDD","MA_QH","DSH")</f>
        <v>0</v>
      </c>
      <c r="AZ15" s="22">
        <f ca="1">+GETPIVOTDATA("XSB4",'sonbinh (2016)'!$A$3,"MA_HT","RDD","MA_QH","DKV")</f>
        <v>0</v>
      </c>
      <c r="BA15" s="89">
        <f ca="1">+GETPIVOTDATA("XSB4",'sonbinh (2016)'!$A$3,"MA_HT","RDD","MA_QH","TIN")</f>
        <v>0</v>
      </c>
      <c r="BB15" s="50">
        <f ca="1">+GETPIVOTDATA("XSB4",'sonbinh (2016)'!$A$3,"MA_HT","RDD","MA_QH","SON")</f>
        <v>0</v>
      </c>
      <c r="BC15" s="50">
        <f ca="1">+GETPIVOTDATA("XSB4",'sonbinh (2016)'!$A$3,"MA_HT","RDD","MA_QH","MNC")</f>
        <v>0</v>
      </c>
      <c r="BD15" s="22">
        <f ca="1">+GETPIVOTDATA("XSB4",'sonbinh (2016)'!$A$3,"MA_HT","RDD","MA_QH","PNK")</f>
        <v>0</v>
      </c>
      <c r="BE15" s="71">
        <f ca="1">+GETPIVOTDATA("XSB4",'sonbinh (2016)'!$A$3,"MA_HT","RDD","MA_QH","CSD")</f>
        <v>0</v>
      </c>
      <c r="BF15" s="74">
        <f ca="1" t="shared" si="7"/>
        <v>0</v>
      </c>
      <c r="BG15" s="101">
        <f ca="1">N$59-$BF15</f>
        <v>0</v>
      </c>
      <c r="BH15" s="41" t="e">
        <f ca="1" t="shared" si="8"/>
        <v>#REF!</v>
      </c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</row>
    <row r="16" s="2" customFormat="1" ht="15.75" customHeight="1" spans="1:79">
      <c r="A16" s="39" t="s">
        <v>8353</v>
      </c>
      <c r="B16" s="39" t="s">
        <v>8354</v>
      </c>
      <c r="C16" s="40" t="s">
        <v>318</v>
      </c>
      <c r="D16" s="47" t="e">
        <f>+#REF!</f>
        <v>#REF!</v>
      </c>
      <c r="E16" s="42">
        <f ca="1">SUM(F16,J16:N16,P16:Q16)</f>
        <v>0</v>
      </c>
      <c r="F16" s="52">
        <f ca="1" t="shared" si="9"/>
        <v>0</v>
      </c>
      <c r="G16" s="22">
        <f ca="1">+GETPIVOTDATA("XSB4",'sonbinh (2016)'!$A$3,"MA_HT","NTS","MA_QH","LUC")</f>
        <v>0</v>
      </c>
      <c r="H16" s="22">
        <f ca="1">+GETPIVOTDATA("XSB4",'sonbinh (2016)'!$A$3,"MA_HT","NTS","MA_QH","LUK")</f>
        <v>0</v>
      </c>
      <c r="I16" s="22">
        <f ca="1">+GETPIVOTDATA("XSB4",'sonbinh (2016)'!$A$3,"MA_HT","NTS","MA_QH","LUN")</f>
        <v>0</v>
      </c>
      <c r="J16" s="22">
        <f ca="1">+GETPIVOTDATA("XSB4",'sonbinh (2016)'!$A$3,"MA_HT","NTS","MA_QH","HNK")</f>
        <v>0</v>
      </c>
      <c r="K16" s="22">
        <f ca="1">+GETPIVOTDATA("XSB4",'sonbinh (2016)'!$A$3,"MA_HT","NTS","MA_QH","CLN")</f>
        <v>0</v>
      </c>
      <c r="L16" s="22">
        <f ca="1">+GETPIVOTDATA("XSB4",'sonbinh (2016)'!$A$3,"MA_HT","NTS","MA_QH","RSX")</f>
        <v>0</v>
      </c>
      <c r="M16" s="22">
        <f ca="1">+GETPIVOTDATA("XSB4",'sonbinh (2016)'!$A$3,"MA_HT","NTS","MA_QH","RPH")</f>
        <v>0</v>
      </c>
      <c r="N16" s="22">
        <f ca="1">+GETPIVOTDATA("XSB4",'sonbinh (2016)'!$A$3,"MA_HT","NTS","MA_QH","RDD")</f>
        <v>0</v>
      </c>
      <c r="O16" s="43" t="e">
        <f ca="1">$D16-$BF16</f>
        <v>#REF!</v>
      </c>
      <c r="P16" s="22">
        <f ca="1">+GETPIVOTDATA("XSB4",'sonbinh (2016)'!$A$3,"MA_HT","NTS","MA_QH","LMU")</f>
        <v>0</v>
      </c>
      <c r="Q16" s="22">
        <f ca="1">+GETPIVOTDATA("XSB4",'sonbinh (2016)'!$A$3,"MA_HT","NTS","MA_QH","NKH")</f>
        <v>0</v>
      </c>
      <c r="R16" s="42">
        <f ca="1" t="shared" si="2"/>
        <v>0</v>
      </c>
      <c r="S16" s="22">
        <f ca="1">+GETPIVOTDATA("XSB4",'sonbinh (2016)'!$A$3,"MA_HT","NTS","MA_QH","CQP")</f>
        <v>0</v>
      </c>
      <c r="T16" s="22">
        <f ca="1">+GETPIVOTDATA("XSB4",'sonbinh (2016)'!$A$3,"MA_HT","NTS","MA_QH","CAN")</f>
        <v>0</v>
      </c>
      <c r="U16" s="22">
        <f ca="1">+GETPIVOTDATA("XSB4",'sonbinh (2016)'!$A$3,"MA_HT","NTS","MA_QH","SKK")</f>
        <v>0</v>
      </c>
      <c r="V16" s="22">
        <f ca="1">+GETPIVOTDATA("XSB4",'sonbinh (2016)'!$A$3,"MA_HT","NTS","MA_QH","SKT")</f>
        <v>0</v>
      </c>
      <c r="W16" s="22">
        <f ca="1">+GETPIVOTDATA("XSB4",'sonbinh (2016)'!$A$3,"MA_HT","NTS","MA_QH","SKN")</f>
        <v>0</v>
      </c>
      <c r="X16" s="22">
        <f ca="1">+GETPIVOTDATA("XSB4",'sonbinh (2016)'!$A$3,"MA_HT","NTS","MA_QH","TMD")</f>
        <v>0</v>
      </c>
      <c r="Y16" s="22">
        <f ca="1">+GETPIVOTDATA("XSB4",'sonbinh (2016)'!$A$3,"MA_HT","NTS","MA_QH","SKC")</f>
        <v>0</v>
      </c>
      <c r="Z16" s="22">
        <f ca="1">+GETPIVOTDATA("XSB4",'sonbinh (2016)'!$A$3,"MA_HT","NTS","MA_QH","SKS")</f>
        <v>0</v>
      </c>
      <c r="AA16" s="52">
        <f ca="1" t="shared" si="4"/>
        <v>0</v>
      </c>
      <c r="AB16" s="22">
        <f ca="1">+GETPIVOTDATA("XSB4",'sonbinh (2016)'!$A$3,"MA_HT","NTS","MA_QH","DGT")</f>
        <v>0</v>
      </c>
      <c r="AC16" s="22">
        <f ca="1">+GETPIVOTDATA("XSB4",'sonbinh (2016)'!$A$3,"MA_HT","NTS","MA_QH","DTL")</f>
        <v>0</v>
      </c>
      <c r="AD16" s="22">
        <f ca="1">+GETPIVOTDATA("XSB4",'sonbinh (2016)'!$A$3,"MA_HT","NTS","MA_QH","DNL")</f>
        <v>0</v>
      </c>
      <c r="AE16" s="22">
        <f ca="1">+GETPIVOTDATA("XSB4",'sonbinh (2016)'!$A$3,"MA_HT","NTS","MA_QH","DBV")</f>
        <v>0</v>
      </c>
      <c r="AF16" s="22">
        <f ca="1">+GETPIVOTDATA("XSB4",'sonbinh (2016)'!$A$3,"MA_HT","NTS","MA_QH","DVH")</f>
        <v>0</v>
      </c>
      <c r="AG16" s="22">
        <f ca="1">+GETPIVOTDATA("XSB4",'sonbinh (2016)'!$A$3,"MA_HT","NTS","MA_QH","DYT")</f>
        <v>0</v>
      </c>
      <c r="AH16" s="22">
        <f ca="1">+GETPIVOTDATA("XSB4",'sonbinh (2016)'!$A$3,"MA_HT","NTS","MA_QH","DGD")</f>
        <v>0</v>
      </c>
      <c r="AI16" s="22">
        <f ca="1">+GETPIVOTDATA("XSB4",'sonbinh (2016)'!$A$3,"MA_HT","NTS","MA_QH","DTT")</f>
        <v>0</v>
      </c>
      <c r="AJ16" s="22">
        <f ca="1">+GETPIVOTDATA("XSB4",'sonbinh (2016)'!$A$3,"MA_HT","NTS","MA_QH","NCK")</f>
        <v>0</v>
      </c>
      <c r="AK16" s="22">
        <f ca="1">+GETPIVOTDATA("XSB4",'sonbinh (2016)'!$A$3,"MA_HT","NTS","MA_QH","DXH")</f>
        <v>0</v>
      </c>
      <c r="AL16" s="22">
        <f ca="1">+GETPIVOTDATA("XSB4",'sonbinh (2016)'!$A$3,"MA_HT","NTS","MA_QH","DCH")</f>
        <v>0</v>
      </c>
      <c r="AM16" s="22">
        <f ca="1">+GETPIVOTDATA("XSB4",'sonbinh (2016)'!$A$3,"MA_HT","NTS","MA_QH","DKG")</f>
        <v>0</v>
      </c>
      <c r="AN16" s="22">
        <f ca="1">+GETPIVOTDATA("XSB4",'sonbinh (2016)'!$A$3,"MA_HT","NTS","MA_QH","DDT")</f>
        <v>0</v>
      </c>
      <c r="AO16" s="22">
        <f ca="1">+GETPIVOTDATA("XSB4",'sonbinh (2016)'!$A$3,"MA_HT","NTS","MA_QH","DDL")</f>
        <v>0</v>
      </c>
      <c r="AP16" s="22">
        <f ca="1">+GETPIVOTDATA("XSB4",'sonbinh (2016)'!$A$3,"MA_HT","NTS","MA_QH","DRA")</f>
        <v>0</v>
      </c>
      <c r="AQ16" s="22">
        <f ca="1">+GETPIVOTDATA("XSB4",'sonbinh (2016)'!$A$3,"MA_HT","NTS","MA_QH","ONT")</f>
        <v>0</v>
      </c>
      <c r="AR16" s="22">
        <f ca="1">+GETPIVOTDATA("XSB4",'sonbinh (2016)'!$A$3,"MA_HT","NTS","MA_QH","ODT")</f>
        <v>0</v>
      </c>
      <c r="AS16" s="22">
        <f ca="1">+GETPIVOTDATA("XSB4",'sonbinh (2016)'!$A$3,"MA_HT","NTS","MA_QH","TSC")</f>
        <v>0</v>
      </c>
      <c r="AT16" s="22">
        <f ca="1">+GETPIVOTDATA("XSB4",'sonbinh (2016)'!$A$3,"MA_HT","NTS","MA_QH","DTS")</f>
        <v>0</v>
      </c>
      <c r="AU16" s="22">
        <f ca="1">+GETPIVOTDATA("XSB4",'sonbinh (2016)'!$A$3,"MA_HT","NTS","MA_QH","DNG")</f>
        <v>0</v>
      </c>
      <c r="AV16" s="22">
        <f ca="1">+GETPIVOTDATA("XSB4",'sonbinh (2016)'!$A$3,"MA_HT","NTS","MA_QH","TON")</f>
        <v>0</v>
      </c>
      <c r="AW16" s="22">
        <f ca="1">+GETPIVOTDATA("XSB4",'sonbinh (2016)'!$A$3,"MA_HT","NTS","MA_QH","NTD")</f>
        <v>0</v>
      </c>
      <c r="AX16" s="22">
        <f ca="1">+GETPIVOTDATA("XSB4",'sonbinh (2016)'!$A$3,"MA_HT","NTS","MA_QH","SKX")</f>
        <v>0</v>
      </c>
      <c r="AY16" s="22">
        <f ca="1">+GETPIVOTDATA("XSB4",'sonbinh (2016)'!$A$3,"MA_HT","NTS","MA_QH","DSH")</f>
        <v>0</v>
      </c>
      <c r="AZ16" s="22">
        <f ca="1">+GETPIVOTDATA("XSB4",'sonbinh (2016)'!$A$3,"MA_HT","NTS","MA_QH","DKV")</f>
        <v>0</v>
      </c>
      <c r="BA16" s="89">
        <f ca="1">+GETPIVOTDATA("XSB4",'sonbinh (2016)'!$A$3,"MA_HT","NTS","MA_QH","TIN")</f>
        <v>0</v>
      </c>
      <c r="BB16" s="50">
        <f ca="1">+GETPIVOTDATA("XSB4",'sonbinh (2016)'!$A$3,"MA_HT","NTS","MA_QH","SON")</f>
        <v>0</v>
      </c>
      <c r="BC16" s="50">
        <f ca="1">+GETPIVOTDATA("XSB4",'sonbinh (2016)'!$A$3,"MA_HT","NTS","MA_QH","MNC")</f>
        <v>0</v>
      </c>
      <c r="BD16" s="22">
        <f ca="1">+GETPIVOTDATA("XSB4",'sonbinh (2016)'!$A$3,"MA_HT","NTS","MA_QH","PNK")</f>
        <v>0</v>
      </c>
      <c r="BE16" s="71">
        <f ca="1">+GETPIVOTDATA("XSB4",'sonbinh (2016)'!$A$3,"MA_HT","NTS","MA_QH","CSD")</f>
        <v>0</v>
      </c>
      <c r="BF16" s="74">
        <f ca="1" t="shared" si="7"/>
        <v>0</v>
      </c>
      <c r="BG16" s="101">
        <f ca="1">O$59-$BF16</f>
        <v>0</v>
      </c>
      <c r="BH16" s="41" t="e">
        <f ca="1" t="shared" si="8"/>
        <v>#REF!</v>
      </c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</row>
    <row r="17" s="2" customFormat="1" ht="15.75" customHeight="1" spans="1:79">
      <c r="A17" s="39" t="s">
        <v>8355</v>
      </c>
      <c r="B17" s="39" t="s">
        <v>8356</v>
      </c>
      <c r="C17" s="40" t="s">
        <v>8297</v>
      </c>
      <c r="D17" s="47" t="e">
        <f>+#REF!</f>
        <v>#REF!</v>
      </c>
      <c r="E17" s="42">
        <f ca="1">SUM(F17,J17:O17,Q17:Q17)</f>
        <v>0</v>
      </c>
      <c r="F17" s="52">
        <f ca="1" t="shared" si="9"/>
        <v>0</v>
      </c>
      <c r="G17" s="22">
        <f ca="1">+GETPIVOTDATA("XSB4",'sonbinh (2016)'!$A$3,"MA_HT","LMU","MA_QH","LUC")</f>
        <v>0</v>
      </c>
      <c r="H17" s="22">
        <f ca="1">+GETPIVOTDATA("XSB4",'sonbinh (2016)'!$A$3,"MA_HT","LMU","MA_QH","LUK")</f>
        <v>0</v>
      </c>
      <c r="I17" s="22">
        <f ca="1">+GETPIVOTDATA("XSB4",'sonbinh (2016)'!$A$3,"MA_HT","LMU","MA_QH","LUN")</f>
        <v>0</v>
      </c>
      <c r="J17" s="22">
        <f ca="1">+GETPIVOTDATA("XSB4",'sonbinh (2016)'!$A$3,"MA_HT","LMU","MA_QH","HNK")</f>
        <v>0</v>
      </c>
      <c r="K17" s="22">
        <f ca="1">+GETPIVOTDATA("XSB4",'sonbinh (2016)'!$A$3,"MA_HT","LMU","MA_QH","CLN")</f>
        <v>0</v>
      </c>
      <c r="L17" s="22">
        <f ca="1">+GETPIVOTDATA("XSB4",'sonbinh (2016)'!$A$3,"MA_HT","LMU","MA_QH","RSX")</f>
        <v>0</v>
      </c>
      <c r="M17" s="22">
        <f ca="1">+GETPIVOTDATA("XSB4",'sonbinh (2016)'!$A$3,"MA_HT","LMU","MA_QH","RPH")</f>
        <v>0</v>
      </c>
      <c r="N17" s="22">
        <f ca="1">+GETPIVOTDATA("XSB4",'sonbinh (2016)'!$A$3,"MA_HT","LMU","MA_QH","RDD")</f>
        <v>0</v>
      </c>
      <c r="O17" s="22">
        <f ca="1">+GETPIVOTDATA("XSB4",'sonbinh (2016)'!$A$3,"MA_HT","LMU","MA_QH","NTS")</f>
        <v>0</v>
      </c>
      <c r="P17" s="43" t="e">
        <f ca="1">$D17-$BF17</f>
        <v>#REF!</v>
      </c>
      <c r="Q17" s="22">
        <f ca="1">+GETPIVOTDATA("XSB4",'sonbinh (2016)'!$A$3,"MA_HT","LMU","MA_QH","NKH")</f>
        <v>0</v>
      </c>
      <c r="R17" s="42">
        <f ca="1" t="shared" si="2"/>
        <v>0</v>
      </c>
      <c r="S17" s="22">
        <f ca="1">+GETPIVOTDATA("XSB4",'sonbinh (2016)'!$A$3,"MA_HT","LMU","MA_QH","CQP")</f>
        <v>0</v>
      </c>
      <c r="T17" s="22">
        <f ca="1">+GETPIVOTDATA("XSB4",'sonbinh (2016)'!$A$3,"MA_HT","LMU","MA_QH","CAN")</f>
        <v>0</v>
      </c>
      <c r="U17" s="22">
        <f ca="1">+GETPIVOTDATA("XSB4",'sonbinh (2016)'!$A$3,"MA_HT","LMU","MA_QH","SKK")</f>
        <v>0</v>
      </c>
      <c r="V17" s="22">
        <f ca="1">+GETPIVOTDATA("XSB4",'sonbinh (2016)'!$A$3,"MA_HT","LMU","MA_QH","SKT")</f>
        <v>0</v>
      </c>
      <c r="W17" s="22">
        <f ca="1">+GETPIVOTDATA("XSB4",'sonbinh (2016)'!$A$3,"MA_HT","LMU","MA_QH","SKN")</f>
        <v>0</v>
      </c>
      <c r="X17" s="22">
        <f ca="1">+GETPIVOTDATA("XSB4",'sonbinh (2016)'!$A$3,"MA_HT","LMU","MA_QH","TMD")</f>
        <v>0</v>
      </c>
      <c r="Y17" s="22">
        <f ca="1">+GETPIVOTDATA("XSB4",'sonbinh (2016)'!$A$3,"MA_HT","LMU","MA_QH","SKC")</f>
        <v>0</v>
      </c>
      <c r="Z17" s="22">
        <f ca="1">+GETPIVOTDATA("XSB4",'sonbinh (2016)'!$A$3,"MA_HT","LMU","MA_QH","SKS")</f>
        <v>0</v>
      </c>
      <c r="AA17" s="52">
        <f ca="1" t="shared" si="4"/>
        <v>0</v>
      </c>
      <c r="AB17" s="22">
        <f ca="1">+GETPIVOTDATA("XSB4",'sonbinh (2016)'!$A$3,"MA_HT","LMU","MA_QH","DGT")</f>
        <v>0</v>
      </c>
      <c r="AC17" s="22">
        <f ca="1">+GETPIVOTDATA("XSB4",'sonbinh (2016)'!$A$3,"MA_HT","LMU","MA_QH","DTL")</f>
        <v>0</v>
      </c>
      <c r="AD17" s="22">
        <f ca="1">+GETPIVOTDATA("XSB4",'sonbinh (2016)'!$A$3,"MA_HT","LMU","MA_QH","DNL")</f>
        <v>0</v>
      </c>
      <c r="AE17" s="22">
        <f ca="1">+GETPIVOTDATA("XSB4",'sonbinh (2016)'!$A$3,"MA_HT","LMU","MA_QH","DBV")</f>
        <v>0</v>
      </c>
      <c r="AF17" s="22">
        <f ca="1">+GETPIVOTDATA("XSB4",'sonbinh (2016)'!$A$3,"MA_HT","LMU","MA_QH","DVH")</f>
        <v>0</v>
      </c>
      <c r="AG17" s="22">
        <f ca="1">+GETPIVOTDATA("XSB4",'sonbinh (2016)'!$A$3,"MA_HT","LMU","MA_QH","DYT")</f>
        <v>0</v>
      </c>
      <c r="AH17" s="22">
        <f ca="1">+GETPIVOTDATA("XSB4",'sonbinh (2016)'!$A$3,"MA_HT","LMU","MA_QH","DGD")</f>
        <v>0</v>
      </c>
      <c r="AI17" s="22">
        <f ca="1">+GETPIVOTDATA("XSB4",'sonbinh (2016)'!$A$3,"MA_HT","LMU","MA_QH","DTT")</f>
        <v>0</v>
      </c>
      <c r="AJ17" s="22">
        <f ca="1">+GETPIVOTDATA("XSB4",'sonbinh (2016)'!$A$3,"MA_HT","LMU","MA_QH","NCK")</f>
        <v>0</v>
      </c>
      <c r="AK17" s="22">
        <f ca="1">+GETPIVOTDATA("XSB4",'sonbinh (2016)'!$A$3,"MA_HT","LMU","MA_QH","DXH")</f>
        <v>0</v>
      </c>
      <c r="AL17" s="22">
        <f ca="1">+GETPIVOTDATA("XSB4",'sonbinh (2016)'!$A$3,"MA_HT","LMU","MA_QH","DCH")</f>
        <v>0</v>
      </c>
      <c r="AM17" s="22">
        <f ca="1">+GETPIVOTDATA("XSB4",'sonbinh (2016)'!$A$3,"MA_HT","LMU","MA_QH","DKG")</f>
        <v>0</v>
      </c>
      <c r="AN17" s="22">
        <f ca="1">+GETPIVOTDATA("XSB4",'sonbinh (2016)'!$A$3,"MA_HT","LMU","MA_QH","DDT")</f>
        <v>0</v>
      </c>
      <c r="AO17" s="22">
        <f ca="1">+GETPIVOTDATA("XSB4",'sonbinh (2016)'!$A$3,"MA_HT","LMU","MA_QH","DDL")</f>
        <v>0</v>
      </c>
      <c r="AP17" s="22">
        <f ca="1">+GETPIVOTDATA("XSB4",'sonbinh (2016)'!$A$3,"MA_HT","LMU","MA_QH","DRA")</f>
        <v>0</v>
      </c>
      <c r="AQ17" s="22">
        <f ca="1">+GETPIVOTDATA("XSB4",'sonbinh (2016)'!$A$3,"MA_HT","LMU","MA_QH","ONT")</f>
        <v>0</v>
      </c>
      <c r="AR17" s="22">
        <f ca="1">+GETPIVOTDATA("XSB4",'sonbinh (2016)'!$A$3,"MA_HT","LMU","MA_QH","ODT")</f>
        <v>0</v>
      </c>
      <c r="AS17" s="22">
        <f ca="1">+GETPIVOTDATA("XSB4",'sonbinh (2016)'!$A$3,"MA_HT","LMU","MA_QH","TSC")</f>
        <v>0</v>
      </c>
      <c r="AT17" s="22">
        <f ca="1">+GETPIVOTDATA("XSB4",'sonbinh (2016)'!$A$3,"MA_HT","LMU","MA_QH","DTS")</f>
        <v>0</v>
      </c>
      <c r="AU17" s="22">
        <f ca="1">+GETPIVOTDATA("XSB4",'sonbinh (2016)'!$A$3,"MA_HT","LMU","MA_QH","DNG")</f>
        <v>0</v>
      </c>
      <c r="AV17" s="22">
        <f ca="1">+GETPIVOTDATA("XSB4",'sonbinh (2016)'!$A$3,"MA_HT","LMU","MA_QH","TON")</f>
        <v>0</v>
      </c>
      <c r="AW17" s="22">
        <f ca="1">+GETPIVOTDATA("XSB4",'sonbinh (2016)'!$A$3,"MA_HT","LMU","MA_QH","NTD")</f>
        <v>0</v>
      </c>
      <c r="AX17" s="22">
        <f ca="1">+GETPIVOTDATA("XSB4",'sonbinh (2016)'!$A$3,"MA_HT","LMU","MA_QH","SKX")</f>
        <v>0</v>
      </c>
      <c r="AY17" s="22">
        <f ca="1">+GETPIVOTDATA("XSB4",'sonbinh (2016)'!$A$3,"MA_HT","LMU","MA_QH","DSH")</f>
        <v>0</v>
      </c>
      <c r="AZ17" s="22">
        <f ca="1">+GETPIVOTDATA("XSB4",'sonbinh (2016)'!$A$3,"MA_HT","LMU","MA_QH","DKV")</f>
        <v>0</v>
      </c>
      <c r="BA17" s="89">
        <f ca="1">+GETPIVOTDATA("XSB4",'sonbinh (2016)'!$A$3,"MA_HT","LMU","MA_QH","TIN")</f>
        <v>0</v>
      </c>
      <c r="BB17" s="50">
        <f ca="1">+GETPIVOTDATA("XSB4",'sonbinh (2016)'!$A$3,"MA_HT","LMU","MA_QH","SON")</f>
        <v>0</v>
      </c>
      <c r="BC17" s="50">
        <f ca="1">+GETPIVOTDATA("XSB4",'sonbinh (2016)'!$A$3,"MA_HT","LMU","MA_QH","MNC")</f>
        <v>0</v>
      </c>
      <c r="BD17" s="22">
        <f ca="1">+GETPIVOTDATA("XSB4",'sonbinh (2016)'!$A$3,"MA_HT","LMU","MA_QH","PNK")</f>
        <v>0</v>
      </c>
      <c r="BE17" s="71">
        <f ca="1">+GETPIVOTDATA("XSB4",'sonbinh (2016)'!$A$3,"MA_HT","LMU","MA_QH","CSD")</f>
        <v>0</v>
      </c>
      <c r="BF17" s="74">
        <f ca="1" t="shared" si="7"/>
        <v>0</v>
      </c>
      <c r="BG17" s="101">
        <f ca="1">P$59-$BF17</f>
        <v>0</v>
      </c>
      <c r="BH17" s="41" t="e">
        <f ca="1" t="shared" si="8"/>
        <v>#REF!</v>
      </c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</row>
    <row r="18" s="2" customFormat="1" ht="15.75" customHeight="1" spans="1:79">
      <c r="A18" s="39" t="s">
        <v>8357</v>
      </c>
      <c r="B18" s="39" t="s">
        <v>8358</v>
      </c>
      <c r="C18" s="40" t="s">
        <v>553</v>
      </c>
      <c r="D18" s="47" t="e">
        <f>+#REF!</f>
        <v>#REF!</v>
      </c>
      <c r="E18" s="42">
        <f ca="1">SUM(F18,J18:P18)</f>
        <v>0</v>
      </c>
      <c r="F18" s="52">
        <f ca="1" t="shared" si="9"/>
        <v>0</v>
      </c>
      <c r="G18" s="22">
        <f ca="1">+GETPIVOTDATA("XSB4",'sonbinh (2016)'!$A$3,"MA_HT","NKH","MA_QH","LUC")</f>
        <v>0</v>
      </c>
      <c r="H18" s="22">
        <f ca="1">+GETPIVOTDATA("XSB4",'sonbinh (2016)'!$A$3,"MA_HT","NKH","MA_QH","LUK")</f>
        <v>0</v>
      </c>
      <c r="I18" s="22">
        <f ca="1">+GETPIVOTDATA("XSB4",'sonbinh (2016)'!$A$3,"MA_HT","NKH","MA_QH","LUN")</f>
        <v>0</v>
      </c>
      <c r="J18" s="22">
        <f ca="1">+GETPIVOTDATA("XSB4",'sonbinh (2016)'!$A$3,"MA_HT","NKH","MA_QH","HNK")</f>
        <v>0</v>
      </c>
      <c r="K18" s="22">
        <f ca="1">+GETPIVOTDATA("XSB4",'sonbinh (2016)'!$A$3,"MA_HT","NKH","MA_QH","CLN")</f>
        <v>0</v>
      </c>
      <c r="L18" s="22">
        <f ca="1">+GETPIVOTDATA("XSB4",'sonbinh (2016)'!$A$3,"MA_HT","NKH","MA_QH","RSX")</f>
        <v>0</v>
      </c>
      <c r="M18" s="22">
        <f ca="1">+GETPIVOTDATA("XSB4",'sonbinh (2016)'!$A$3,"MA_HT","NKH","MA_QH","RPH")</f>
        <v>0</v>
      </c>
      <c r="N18" s="22">
        <f ca="1">+GETPIVOTDATA("XSB4",'sonbinh (2016)'!$A$3,"MA_HT","NKH","MA_QH","RDD")</f>
        <v>0</v>
      </c>
      <c r="O18" s="22">
        <f ca="1">+GETPIVOTDATA("XSB4",'sonbinh (2016)'!$A$3,"MA_HT","NKH","MA_QH","NTS")</f>
        <v>0</v>
      </c>
      <c r="P18" s="22">
        <f ca="1">+GETPIVOTDATA("XSB4",'sonbinh (2016)'!$A$3,"MA_HT","NKH","MA_QH","LMU")</f>
        <v>0</v>
      </c>
      <c r="Q18" s="43" t="e">
        <f ca="1">$D18-$BF18</f>
        <v>#REF!</v>
      </c>
      <c r="R18" s="42">
        <f ca="1" t="shared" si="2"/>
        <v>0</v>
      </c>
      <c r="S18" s="22">
        <f ca="1">+GETPIVOTDATA("XSB4",'sonbinh (2016)'!$A$3,"MA_HT","NKH","MA_QH","CQP")</f>
        <v>0</v>
      </c>
      <c r="T18" s="22">
        <f ca="1">+GETPIVOTDATA("XSB4",'sonbinh (2016)'!$A$3,"MA_HT","NKH","MA_QH","CAN")</f>
        <v>0</v>
      </c>
      <c r="U18" s="22">
        <f ca="1">+GETPIVOTDATA("XSB4",'sonbinh (2016)'!$A$3,"MA_HT","NKH","MA_QH","SKK")</f>
        <v>0</v>
      </c>
      <c r="V18" s="22">
        <f ca="1">+GETPIVOTDATA("XSB4",'sonbinh (2016)'!$A$3,"MA_HT","NKH","MA_QH","SKT")</f>
        <v>0</v>
      </c>
      <c r="W18" s="22">
        <f ca="1">+GETPIVOTDATA("XSB4",'sonbinh (2016)'!$A$3,"MA_HT","NKH","MA_QH","SKN")</f>
        <v>0</v>
      </c>
      <c r="X18" s="22">
        <f ca="1">+GETPIVOTDATA("XSB4",'sonbinh (2016)'!$A$3,"MA_HT","NKH","MA_QH","TMD")</f>
        <v>0</v>
      </c>
      <c r="Y18" s="22">
        <f ca="1">+GETPIVOTDATA("XSB4",'sonbinh (2016)'!$A$3,"MA_HT","NKH","MA_QH","SKC")</f>
        <v>0</v>
      </c>
      <c r="Z18" s="22">
        <f ca="1">+GETPIVOTDATA("XSB4",'sonbinh (2016)'!$A$3,"MA_HT","NKH","MA_QH","SKS")</f>
        <v>0</v>
      </c>
      <c r="AA18" s="52">
        <f ca="1" t="shared" si="4"/>
        <v>0</v>
      </c>
      <c r="AB18" s="22">
        <f ca="1">+GETPIVOTDATA("XSB4",'sonbinh (2016)'!$A$3,"MA_HT","NKH","MA_QH","DGT")</f>
        <v>0</v>
      </c>
      <c r="AC18" s="22">
        <f ca="1">+GETPIVOTDATA("XSB4",'sonbinh (2016)'!$A$3,"MA_HT","NKH","MA_QH","DTL")</f>
        <v>0</v>
      </c>
      <c r="AD18" s="22">
        <f ca="1">+GETPIVOTDATA("XSB4",'sonbinh (2016)'!$A$3,"MA_HT","NKH","MA_QH","DNL")</f>
        <v>0</v>
      </c>
      <c r="AE18" s="22">
        <f ca="1">+GETPIVOTDATA("XSB4",'sonbinh (2016)'!$A$3,"MA_HT","NKH","MA_QH","DBV")</f>
        <v>0</v>
      </c>
      <c r="AF18" s="22">
        <f ca="1">+GETPIVOTDATA("XSB4",'sonbinh (2016)'!$A$3,"MA_HT","NKH","MA_QH","DVH")</f>
        <v>0</v>
      </c>
      <c r="AG18" s="22">
        <f ca="1">+GETPIVOTDATA("XSB4",'sonbinh (2016)'!$A$3,"MA_HT","NKH","MA_QH","DYT")</f>
        <v>0</v>
      </c>
      <c r="AH18" s="22">
        <f ca="1">+GETPIVOTDATA("XSB4",'sonbinh (2016)'!$A$3,"MA_HT","NKH","MA_QH","DGD")</f>
        <v>0</v>
      </c>
      <c r="AI18" s="22">
        <f ca="1">+GETPIVOTDATA("XSB4",'sonbinh (2016)'!$A$3,"MA_HT","NKH","MA_QH","DTT")</f>
        <v>0</v>
      </c>
      <c r="AJ18" s="22">
        <f ca="1">+GETPIVOTDATA("XSB4",'sonbinh (2016)'!$A$3,"MA_HT","NKH","MA_QH","NCK")</f>
        <v>0</v>
      </c>
      <c r="AK18" s="22">
        <f ca="1">+GETPIVOTDATA("XSB4",'sonbinh (2016)'!$A$3,"MA_HT","NKH","MA_QH","DXH")</f>
        <v>0</v>
      </c>
      <c r="AL18" s="22">
        <f ca="1">+GETPIVOTDATA("XSB4",'sonbinh (2016)'!$A$3,"MA_HT","NKH","MA_QH","DCH")</f>
        <v>0</v>
      </c>
      <c r="AM18" s="22">
        <f ca="1">+GETPIVOTDATA("XSB4",'sonbinh (2016)'!$A$3,"MA_HT","NKH","MA_QH","DKG")</f>
        <v>0</v>
      </c>
      <c r="AN18" s="22">
        <f ca="1">+GETPIVOTDATA("XSB4",'sonbinh (2016)'!$A$3,"MA_HT","NKH","MA_QH","DDT")</f>
        <v>0</v>
      </c>
      <c r="AO18" s="22">
        <f ca="1">+GETPIVOTDATA("XSB4",'sonbinh (2016)'!$A$3,"MA_HT","NKH","MA_QH","DDL")</f>
        <v>0</v>
      </c>
      <c r="AP18" s="22">
        <f ca="1">+GETPIVOTDATA("XSB4",'sonbinh (2016)'!$A$3,"MA_HT","NKH","MA_QH","DRA")</f>
        <v>0</v>
      </c>
      <c r="AQ18" s="22">
        <f ca="1">+GETPIVOTDATA("XSB4",'sonbinh (2016)'!$A$3,"MA_HT","NKH","MA_QH","ONT")</f>
        <v>0</v>
      </c>
      <c r="AR18" s="22">
        <f ca="1">+GETPIVOTDATA("XSB4",'sonbinh (2016)'!$A$3,"MA_HT","NKH","MA_QH","ODT")</f>
        <v>0</v>
      </c>
      <c r="AS18" s="22">
        <f ca="1">+GETPIVOTDATA("XSB4",'sonbinh (2016)'!$A$3,"MA_HT","NKH","MA_QH","TSC")</f>
        <v>0</v>
      </c>
      <c r="AT18" s="22">
        <f ca="1">+GETPIVOTDATA("XSB4",'sonbinh (2016)'!$A$3,"MA_HT","NKH","MA_QH","DTS")</f>
        <v>0</v>
      </c>
      <c r="AU18" s="22">
        <f ca="1">+GETPIVOTDATA("XSB4",'sonbinh (2016)'!$A$3,"MA_HT","NKH","MA_QH","DNG")</f>
        <v>0</v>
      </c>
      <c r="AV18" s="22">
        <f ca="1">+GETPIVOTDATA("XSB4",'sonbinh (2016)'!$A$3,"MA_HT","NKH","MA_QH","TON")</f>
        <v>0</v>
      </c>
      <c r="AW18" s="22">
        <f ca="1">+GETPIVOTDATA("XSB4",'sonbinh (2016)'!$A$3,"MA_HT","NKH","MA_QH","NTD")</f>
        <v>0</v>
      </c>
      <c r="AX18" s="22">
        <f ca="1">+GETPIVOTDATA("XSB4",'sonbinh (2016)'!$A$3,"MA_HT","NKH","MA_QH","SKX")</f>
        <v>0</v>
      </c>
      <c r="AY18" s="22">
        <f ca="1">+GETPIVOTDATA("XSB4",'sonbinh (2016)'!$A$3,"MA_HT","NKH","MA_QH","DSH")</f>
        <v>0</v>
      </c>
      <c r="AZ18" s="22">
        <f ca="1">+GETPIVOTDATA("XSB4",'sonbinh (2016)'!$A$3,"MA_HT","NKH","MA_QH","DKV")</f>
        <v>0</v>
      </c>
      <c r="BA18" s="89">
        <f ca="1">+GETPIVOTDATA("XSB4",'sonbinh (2016)'!$A$3,"MA_HT","NKH","MA_QH","TIN")</f>
        <v>0</v>
      </c>
      <c r="BB18" s="50">
        <f ca="1">+GETPIVOTDATA("XSB4",'sonbinh (2016)'!$A$3,"MA_HT","NKH","MA_QH","SON")</f>
        <v>0</v>
      </c>
      <c r="BC18" s="50">
        <f ca="1">+GETPIVOTDATA("XSB4",'sonbinh (2016)'!$A$3,"MA_HT","NKH","MA_QH","MNC")</f>
        <v>0</v>
      </c>
      <c r="BD18" s="22">
        <f ca="1">+GETPIVOTDATA("XSB4",'sonbinh (2016)'!$A$3,"MA_HT","NKH","MA_QH","PNK")</f>
        <v>0</v>
      </c>
      <c r="BE18" s="71">
        <f ca="1">+GETPIVOTDATA("XSB4",'sonbinh (2016)'!$A$3,"MA_HT","NKH","MA_QH","CSD")</f>
        <v>0</v>
      </c>
      <c r="BF18" s="74">
        <f ca="1" t="shared" si="7"/>
        <v>0</v>
      </c>
      <c r="BG18" s="101">
        <f ca="1">Q$59-$BF18</f>
        <v>0</v>
      </c>
      <c r="BH18" s="41" t="e">
        <f ca="1" t="shared" si="8"/>
        <v>#REF!</v>
      </c>
      <c r="BI18" s="98"/>
      <c r="BJ18" s="98"/>
      <c r="BK18" s="98"/>
      <c r="BL18" s="98"/>
      <c r="BM18" s="107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</row>
    <row r="19" s="3" customFormat="1" ht="15.75" customHeight="1" spans="1:75">
      <c r="A19" s="35">
        <v>2</v>
      </c>
      <c r="B19" s="36" t="s">
        <v>8359</v>
      </c>
      <c r="C19" s="37" t="s">
        <v>8304</v>
      </c>
      <c r="D19" s="33" t="e">
        <f>+#REF!</f>
        <v>#REF!</v>
      </c>
      <c r="E19" s="33">
        <f ca="1">SUM(E20:E28,E41:E57)</f>
        <v>0</v>
      </c>
      <c r="F19" s="33">
        <f ca="1">SUM(F20:F28,F41:F57)</f>
        <v>0</v>
      </c>
      <c r="G19" s="33">
        <f ca="1">SUM(G20:G28,G41:G57)</f>
        <v>0</v>
      </c>
      <c r="H19" s="33">
        <f ca="1">SUM(H20:H28,H41:H57)</f>
        <v>0</v>
      </c>
      <c r="I19" s="33">
        <f ca="1">SUM(I20:I28,I41:I57)</f>
        <v>0</v>
      </c>
      <c r="J19" s="33">
        <f ca="1" t="shared" ref="J19:Q19" si="10">SUM(J20:J28,J41:J57)</f>
        <v>0</v>
      </c>
      <c r="K19" s="33">
        <f ca="1" t="shared" si="10"/>
        <v>0</v>
      </c>
      <c r="L19" s="33">
        <f ca="1" t="shared" si="10"/>
        <v>0</v>
      </c>
      <c r="M19" s="33">
        <f ca="1" t="shared" si="10"/>
        <v>0</v>
      </c>
      <c r="N19" s="33">
        <f ca="1" t="shared" si="10"/>
        <v>0</v>
      </c>
      <c r="O19" s="33">
        <f ca="1" t="shared" si="10"/>
        <v>0</v>
      </c>
      <c r="P19" s="33">
        <f ca="1" t="shared" si="10"/>
        <v>0</v>
      </c>
      <c r="Q19" s="33">
        <f ca="1" t="shared" si="10"/>
        <v>0</v>
      </c>
      <c r="R19" s="38" t="e">
        <f ca="1">$D19-$BF19</f>
        <v>#REF!</v>
      </c>
      <c r="S19" s="33">
        <f ca="1">SUM(S21:S28,S41:S57)</f>
        <v>0</v>
      </c>
      <c r="T19" s="33">
        <f ca="1">SUM(T20,T22:T28,T41:T57)</f>
        <v>0</v>
      </c>
      <c r="U19" s="33">
        <f ca="1">SUM(U20:U21,U23:U28,U41:U57)</f>
        <v>0</v>
      </c>
      <c r="V19" s="33">
        <f ca="1">SUM(V20:V22,V24:V28,V41:V57)</f>
        <v>0</v>
      </c>
      <c r="W19" s="33">
        <f ca="1">SUM(W20:W23,W25:W28,W41:W57)</f>
        <v>0</v>
      </c>
      <c r="X19" s="33">
        <f ca="1">SUM(X20:X24,X26:X28,X41:X57)</f>
        <v>0</v>
      </c>
      <c r="Y19" s="33">
        <f ca="1">SUM(Y20:Y25,Y27:Y28,Y41:Y57)</f>
        <v>0</v>
      </c>
      <c r="Z19" s="33">
        <f ca="1">SUM(Z20:Z26,Z28,Z41:Z57)</f>
        <v>0</v>
      </c>
      <c r="AA19" s="33">
        <f ca="1">SUM(AA20:AA27,AA41:AA57)</f>
        <v>0</v>
      </c>
      <c r="AB19" s="33">
        <f ca="1" t="shared" ref="AB19:AM19" si="11">SUM(AB20:AB28,AB41:AB57)</f>
        <v>0</v>
      </c>
      <c r="AC19" s="33">
        <f ca="1" t="shared" si="11"/>
        <v>0</v>
      </c>
      <c r="AD19" s="33">
        <f ca="1" t="shared" si="11"/>
        <v>0</v>
      </c>
      <c r="AE19" s="33">
        <f ca="1" t="shared" si="11"/>
        <v>0</v>
      </c>
      <c r="AF19" s="33">
        <f ca="1" t="shared" si="11"/>
        <v>0</v>
      </c>
      <c r="AG19" s="33">
        <f ca="1" t="shared" si="11"/>
        <v>0</v>
      </c>
      <c r="AH19" s="33">
        <f ca="1" t="shared" si="11"/>
        <v>0</v>
      </c>
      <c r="AI19" s="33">
        <f ca="1" t="shared" si="11"/>
        <v>0</v>
      </c>
      <c r="AJ19" s="33">
        <f ca="1" t="shared" si="11"/>
        <v>0</v>
      </c>
      <c r="AK19" s="33">
        <f ca="1" t="shared" si="11"/>
        <v>0</v>
      </c>
      <c r="AL19" s="33">
        <f ca="1" t="shared" si="11"/>
        <v>0</v>
      </c>
      <c r="AM19" s="33">
        <f ca="1" t="shared" si="11"/>
        <v>0</v>
      </c>
      <c r="AN19" s="33">
        <f ca="1">SUM(AN20:AN28,AN42:AN57)</f>
        <v>0</v>
      </c>
      <c r="AO19" s="33">
        <f ca="1">SUM(AO20:AO28,AO41,AO43:AO57)</f>
        <v>0</v>
      </c>
      <c r="AP19" s="33">
        <f ca="1">SUM(AP20:AP28,AP41:AP42,AP44:AP57)</f>
        <v>0</v>
      </c>
      <c r="AQ19" s="33">
        <f ca="1">SUM(AQ20:AQ28,AQ41:AQ43,AQ45:AQ57)</f>
        <v>0</v>
      </c>
      <c r="AR19" s="33">
        <f ca="1">SUM(AR20:AR28,AR41:AR44,AR46:AR57)</f>
        <v>0</v>
      </c>
      <c r="AS19" s="33">
        <f ca="1">SUM(AS20:AS28,AS41:AS45,AS47:AS57)</f>
        <v>0</v>
      </c>
      <c r="AT19" s="33">
        <f ca="1">SUM(AT20:AT28,AT41:AT46,AT48:AT57)</f>
        <v>0</v>
      </c>
      <c r="AU19" s="33">
        <f ca="1">SUM(AU20:AU28,AU41:AU47,AU49:AU57)</f>
        <v>0</v>
      </c>
      <c r="AV19" s="33">
        <f ca="1">SUM(AV20:AV28,AV41:AV48,AV50:AV57)</f>
        <v>0</v>
      </c>
      <c r="AW19" s="33">
        <f ca="1">SUM(AW20:AW28,AW41:AW49,AW51:AW57)</f>
        <v>0</v>
      </c>
      <c r="AX19" s="33">
        <f ca="1">SUM(AX20:AX28,AX41:AX50,AX52:AX57)</f>
        <v>0</v>
      </c>
      <c r="AY19" s="33">
        <f ca="1">SUM(AY20:AY28,AY41:AY51,AY53:AY57)</f>
        <v>0</v>
      </c>
      <c r="AZ19" s="33">
        <f ca="1">SUM(AZ20:AZ28,AZ41:AZ52,AZ54:AZ57)</f>
        <v>0</v>
      </c>
      <c r="BA19" s="33">
        <f ca="1">SUM(BA20:BA28,BA41:BA53,BA55:BA57)</f>
        <v>0</v>
      </c>
      <c r="BB19" s="33">
        <f ca="1">SUM(BB20:BB28,BB41:BB54,BB56:BB57)</f>
        <v>0</v>
      </c>
      <c r="BC19" s="33">
        <f ca="1">SUM(BC20:BC28,BC41:BC55,BC57)</f>
        <v>0</v>
      </c>
      <c r="BD19" s="33">
        <f ca="1">SUM(BD20:BD28,BD41:BD56,BD58)</f>
        <v>0</v>
      </c>
      <c r="BE19" s="33">
        <f ca="1">SUM(BE20:BE28,BE41:BE57)</f>
        <v>0</v>
      </c>
      <c r="BF19" s="74">
        <f ca="1">SUM(BE19,E19)</f>
        <v>0</v>
      </c>
      <c r="BG19" s="101">
        <f ca="1">R$59-$BF19</f>
        <v>0</v>
      </c>
      <c r="BH19" s="33" t="e">
        <f ca="1">SUM(BH20:BH28,BH41:BH57)</f>
        <v>#REF!</v>
      </c>
      <c r="BI19" s="102"/>
      <c r="BJ19" s="36" t="e">
        <f>SUM(BJ22:BJ54,BJ57:BJ57)</f>
        <v>#REF!</v>
      </c>
      <c r="BK19" s="106" t="e">
        <f ca="1">BH19-BJ19</f>
        <v>#REF!</v>
      </c>
      <c r="BL19" s="106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</row>
    <row r="20" s="2" customFormat="1" ht="15.75" customHeight="1" spans="1:79">
      <c r="A20" s="39" t="s">
        <v>69</v>
      </c>
      <c r="B20" s="39" t="s">
        <v>8360</v>
      </c>
      <c r="C20" s="40" t="s">
        <v>31</v>
      </c>
      <c r="D20" s="41" t="e">
        <f>+#REF!</f>
        <v>#REF!</v>
      </c>
      <c r="E20" s="42">
        <f ca="1">SUM(F20,J20:Q20)</f>
        <v>0</v>
      </c>
      <c r="F20" s="52">
        <f ca="1" t="shared" si="9"/>
        <v>0</v>
      </c>
      <c r="G20" s="22">
        <f ca="1">+GETPIVOTDATA("XSB4",'sonbinh (2016)'!$A$3,"MA_HT","CQP","MA_QH","LUC")</f>
        <v>0</v>
      </c>
      <c r="H20" s="22">
        <f ca="1">+GETPIVOTDATA("XSB4",'sonbinh (2016)'!$A$3,"MA_HT","CQP","MA_QH","LUK")</f>
        <v>0</v>
      </c>
      <c r="I20" s="22">
        <f ca="1">+GETPIVOTDATA("XSB4",'sonbinh (2016)'!$A$3,"MA_HT","CQP","MA_QH","LUN")</f>
        <v>0</v>
      </c>
      <c r="J20" s="22">
        <f ca="1">+GETPIVOTDATA("XSB4",'sonbinh (2016)'!$A$3,"MA_HT","CQP","MA_QH","HNK")</f>
        <v>0</v>
      </c>
      <c r="K20" s="22">
        <f ca="1">+GETPIVOTDATA("XSB4",'sonbinh (2016)'!$A$3,"MA_HT","CQP","MA_QH","CLN")</f>
        <v>0</v>
      </c>
      <c r="L20" s="22">
        <f ca="1">+GETPIVOTDATA("XSB4",'sonbinh (2016)'!$A$3,"MA_HT","CQP","MA_QH","RSX")</f>
        <v>0</v>
      </c>
      <c r="M20" s="22">
        <f ca="1">+GETPIVOTDATA("XSB4",'sonbinh (2016)'!$A$3,"MA_HT","CQP","MA_QH","RPH")</f>
        <v>0</v>
      </c>
      <c r="N20" s="22">
        <f ca="1">+GETPIVOTDATA("XSB4",'sonbinh (2016)'!$A$3,"MA_HT","CQP","MA_QH","RDD")</f>
        <v>0</v>
      </c>
      <c r="O20" s="22">
        <f ca="1">+GETPIVOTDATA("XSB4",'sonbinh (2016)'!$A$3,"MA_HT","CQP","MA_QH","NTS")</f>
        <v>0</v>
      </c>
      <c r="P20" s="22">
        <f ca="1">+GETPIVOTDATA("XSB4",'sonbinh (2016)'!$A$3,"MA_HT","CQP","MA_QH","LMU")</f>
        <v>0</v>
      </c>
      <c r="Q20" s="22">
        <f ca="1">+GETPIVOTDATA("XSB4",'sonbinh (2016)'!$A$3,"MA_HT","CQP","MA_QH","NKH")</f>
        <v>0</v>
      </c>
      <c r="R20" s="42">
        <f ca="1">SUM(T20:AA20,AN20:BD20)</f>
        <v>0</v>
      </c>
      <c r="S20" s="43" t="e">
        <f ca="1">$D20-$BF20</f>
        <v>#REF!</v>
      </c>
      <c r="T20" s="22">
        <f ca="1">+GETPIVOTDATA("XSB4",'sonbinh (2016)'!$A$3,"MA_HT","CQP","MA_QH","CAN")</f>
        <v>0</v>
      </c>
      <c r="U20" s="22">
        <f ca="1">+GETPIVOTDATA("XSB4",'sonbinh (2016)'!$A$3,"MA_HT","CQP","MA_QH","SKK")</f>
        <v>0</v>
      </c>
      <c r="V20" s="22">
        <f ca="1">+GETPIVOTDATA("XSB4",'sonbinh (2016)'!$A$3,"MA_HT","CQP","MA_QH","SKT")</f>
        <v>0</v>
      </c>
      <c r="W20" s="22">
        <f ca="1">+GETPIVOTDATA("XSB4",'sonbinh (2016)'!$A$3,"MA_HT","CQP","MA_QH","SKN")</f>
        <v>0</v>
      </c>
      <c r="X20" s="22">
        <f ca="1">+GETPIVOTDATA("XSB4",'sonbinh (2016)'!$A$3,"MA_HT","CQP","MA_QH","TMD")</f>
        <v>0</v>
      </c>
      <c r="Y20" s="22">
        <f ca="1">+GETPIVOTDATA("XSB4",'sonbinh (2016)'!$A$3,"MA_HT","CQP","MA_QH","SKC")</f>
        <v>0</v>
      </c>
      <c r="Z20" s="22">
        <f ca="1">+GETPIVOTDATA("XSB4",'sonbinh (2016)'!$A$3,"MA_HT","CQP","MA_QH","SKS")</f>
        <v>0</v>
      </c>
      <c r="AA20" s="52">
        <f ca="1" t="shared" ref="AA20:AA27" si="12">+SUM(AB20:AM20)</f>
        <v>0</v>
      </c>
      <c r="AB20" s="22">
        <f ca="1">+GETPIVOTDATA("XSB4",'sonbinh (2016)'!$A$3,"MA_HT","CQP","MA_QH","DGT")</f>
        <v>0</v>
      </c>
      <c r="AC20" s="22">
        <f ca="1">+GETPIVOTDATA("XSB4",'sonbinh (2016)'!$A$3,"MA_HT","CQP","MA_QH","DTL")</f>
        <v>0</v>
      </c>
      <c r="AD20" s="22">
        <f ca="1">+GETPIVOTDATA("XSB4",'sonbinh (2016)'!$A$3,"MA_HT","CQP","MA_QH","DNL")</f>
        <v>0</v>
      </c>
      <c r="AE20" s="22">
        <f ca="1">+GETPIVOTDATA("XSB4",'sonbinh (2016)'!$A$3,"MA_HT","CQP","MA_QH","DBV")</f>
        <v>0</v>
      </c>
      <c r="AF20" s="22">
        <f ca="1">+GETPIVOTDATA("XSB4",'sonbinh (2016)'!$A$3,"MA_HT","CQP","MA_QH","DVH")</f>
        <v>0</v>
      </c>
      <c r="AG20" s="22">
        <f ca="1">+GETPIVOTDATA("XSB4",'sonbinh (2016)'!$A$3,"MA_HT","CQP","MA_QH","DYT")</f>
        <v>0</v>
      </c>
      <c r="AH20" s="22">
        <f ca="1">+GETPIVOTDATA("XSB4",'sonbinh (2016)'!$A$3,"MA_HT","CQP","MA_QH","DGD")</f>
        <v>0</v>
      </c>
      <c r="AI20" s="22">
        <f ca="1">+GETPIVOTDATA("XSB4",'sonbinh (2016)'!$A$3,"MA_HT","CQP","MA_QH","DTT")</f>
        <v>0</v>
      </c>
      <c r="AJ20" s="22">
        <f ca="1">+GETPIVOTDATA("XSB4",'sonbinh (2016)'!$A$3,"MA_HT","CQP","MA_QH","NCK")</f>
        <v>0</v>
      </c>
      <c r="AK20" s="22">
        <f ca="1">+GETPIVOTDATA("XSB4",'sonbinh (2016)'!$A$3,"MA_HT","CQP","MA_QH","DXH")</f>
        <v>0</v>
      </c>
      <c r="AL20" s="22">
        <f ca="1">+GETPIVOTDATA("XSB4",'sonbinh (2016)'!$A$3,"MA_HT","CQP","MA_QH","DCH")</f>
        <v>0</v>
      </c>
      <c r="AM20" s="22">
        <f ca="1">+GETPIVOTDATA("XSB4",'sonbinh (2016)'!$A$3,"MA_HT","CQP","MA_QH","DKG")</f>
        <v>0</v>
      </c>
      <c r="AN20" s="22">
        <f ca="1">+GETPIVOTDATA("XSB4",'sonbinh (2016)'!$A$3,"MA_HT","CQP","MA_QH","DDT")</f>
        <v>0</v>
      </c>
      <c r="AO20" s="22">
        <f ca="1">+GETPIVOTDATA("XSB4",'sonbinh (2016)'!$A$3,"MA_HT","CQP","MA_QH","DDL")</f>
        <v>0</v>
      </c>
      <c r="AP20" s="22">
        <f ca="1">+GETPIVOTDATA("XSB4",'sonbinh (2016)'!$A$3,"MA_HT","CQP","MA_QH","DRA")</f>
        <v>0</v>
      </c>
      <c r="AQ20" s="22">
        <f ca="1">+GETPIVOTDATA("XSB4",'sonbinh (2016)'!$A$3,"MA_HT","CQP","MA_QH","ONT")</f>
        <v>0</v>
      </c>
      <c r="AR20" s="22">
        <f ca="1">+GETPIVOTDATA("XSB4",'sonbinh (2016)'!$A$3,"MA_HT","CQP","MA_QH","ODT")</f>
        <v>0</v>
      </c>
      <c r="AS20" s="22">
        <f ca="1">+GETPIVOTDATA("XSB4",'sonbinh (2016)'!$A$3,"MA_HT","CQP","MA_QH","TSC")</f>
        <v>0</v>
      </c>
      <c r="AT20" s="22">
        <f ca="1">+GETPIVOTDATA("XSB4",'sonbinh (2016)'!$A$3,"MA_HT","CQP","MA_QH","DTS")</f>
        <v>0</v>
      </c>
      <c r="AU20" s="22">
        <f ca="1">+GETPIVOTDATA("XSB4",'sonbinh (2016)'!$A$3,"MA_HT","CQP","MA_QH","DNG")</f>
        <v>0</v>
      </c>
      <c r="AV20" s="22">
        <f ca="1">+GETPIVOTDATA("XSB4",'sonbinh (2016)'!$A$3,"MA_HT","CQP","MA_QH","TON")</f>
        <v>0</v>
      </c>
      <c r="AW20" s="22">
        <f ca="1">+GETPIVOTDATA("XSB4",'sonbinh (2016)'!$A$3,"MA_HT","CQP","MA_QH","NTD")</f>
        <v>0</v>
      </c>
      <c r="AX20" s="22">
        <f ca="1">+GETPIVOTDATA("XSB4",'sonbinh (2016)'!$A$3,"MA_HT","CQP","MA_QH","SKX")</f>
        <v>0</v>
      </c>
      <c r="AY20" s="22">
        <f ca="1">+GETPIVOTDATA("XSB4",'sonbinh (2016)'!$A$3,"MA_HT","CQP","MA_QH","DSH")</f>
        <v>0</v>
      </c>
      <c r="AZ20" s="22">
        <f ca="1">+GETPIVOTDATA("XSB4",'sonbinh (2016)'!$A$3,"MA_HT","CQP","MA_QH","DKV")</f>
        <v>0</v>
      </c>
      <c r="BA20" s="89">
        <f ca="1">+GETPIVOTDATA("XSB4",'sonbinh (2016)'!$A$3,"MA_HT","CQP","MA_QH","TIN")</f>
        <v>0</v>
      </c>
      <c r="BB20" s="50">
        <f ca="1">+GETPIVOTDATA("XSB4",'sonbinh (2016)'!$A$3,"MA_HT","CQP","MA_QH","SON")</f>
        <v>0</v>
      </c>
      <c r="BC20" s="50">
        <f ca="1">+GETPIVOTDATA("XSB4",'sonbinh (2016)'!$A$3,"MA_HT","CQP","MA_QH","MNC")</f>
        <v>0</v>
      </c>
      <c r="BD20" s="22">
        <f ca="1">+GETPIVOTDATA("XSB4",'sonbinh (2016)'!$A$3,"MA_HT","CQP","MA_QH","PNK")</f>
        <v>0</v>
      </c>
      <c r="BE20" s="71">
        <f ca="1">+GETPIVOTDATA("XSB4",'sonbinh (2016)'!$A$3,"MA_HT","CQP","MA_QH","CSD")</f>
        <v>0</v>
      </c>
      <c r="BF20" s="74">
        <f ca="1" t="shared" ref="BF20:BF57" si="13">BE20+R20+E20</f>
        <v>0</v>
      </c>
      <c r="BG20" s="101">
        <f ca="1">S$59-$BF20</f>
        <v>0</v>
      </c>
      <c r="BH20" s="41" t="e">
        <f ca="1" t="shared" ref="BH20:BH58" si="14">BG20+D20</f>
        <v>#REF!</v>
      </c>
      <c r="BI20" s="98"/>
      <c r="BJ20" s="98" t="e">
        <f>#REF!</f>
        <v>#REF!</v>
      </c>
      <c r="BK20" s="107" t="e">
        <f ca="1">BH20-BJ20</f>
        <v>#REF!</v>
      </c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</row>
    <row r="21" s="2" customFormat="1" ht="15.75" customHeight="1" spans="1:79">
      <c r="A21" s="39" t="s">
        <v>232</v>
      </c>
      <c r="B21" s="39" t="s">
        <v>8361</v>
      </c>
      <c r="C21" s="40" t="s">
        <v>8283</v>
      </c>
      <c r="D21" s="41" t="e">
        <f>+#REF!</f>
        <v>#REF!</v>
      </c>
      <c r="E21" s="42">
        <f ca="1" t="shared" ref="E21:E58" si="15">SUM(F21,J21:Q21)</f>
        <v>0</v>
      </c>
      <c r="F21" s="52">
        <f ca="1" t="shared" si="9"/>
        <v>0</v>
      </c>
      <c r="G21" s="22">
        <f ca="1">+GETPIVOTDATA("XSB4",'sonbinh (2016)'!$A$3,"MA_HT","CAN","MA_QH","LUC")</f>
        <v>0</v>
      </c>
      <c r="H21" s="22">
        <f ca="1">+GETPIVOTDATA("XSB4",'sonbinh (2016)'!$A$3,"MA_HT","CAN","MA_QH","LUK")</f>
        <v>0</v>
      </c>
      <c r="I21" s="22">
        <f ca="1">+GETPIVOTDATA("XSB4",'sonbinh (2016)'!$A$3,"MA_HT","CAN","MA_QH","LUN")</f>
        <v>0</v>
      </c>
      <c r="J21" s="22">
        <f ca="1">+GETPIVOTDATA("XSB4",'sonbinh (2016)'!$A$3,"MA_HT","CAN","MA_QH","HNK")</f>
        <v>0</v>
      </c>
      <c r="K21" s="22">
        <f ca="1">+GETPIVOTDATA("XSB4",'sonbinh (2016)'!$A$3,"MA_HT","CAN","MA_QH","CLN")</f>
        <v>0</v>
      </c>
      <c r="L21" s="22">
        <f ca="1">+GETPIVOTDATA("XSB4",'sonbinh (2016)'!$A$3,"MA_HT","CAN","MA_QH","RSX")</f>
        <v>0</v>
      </c>
      <c r="M21" s="22">
        <f ca="1">+GETPIVOTDATA("XSB4",'sonbinh (2016)'!$A$3,"MA_HT","CAN","MA_QH","RPH")</f>
        <v>0</v>
      </c>
      <c r="N21" s="22">
        <f ca="1">+GETPIVOTDATA("XSB4",'sonbinh (2016)'!$A$3,"MA_HT","CAN","MA_QH","RDD")</f>
        <v>0</v>
      </c>
      <c r="O21" s="22">
        <f ca="1">+GETPIVOTDATA("XSB4",'sonbinh (2016)'!$A$3,"MA_HT","CAN","MA_QH","NTS")</f>
        <v>0</v>
      </c>
      <c r="P21" s="22">
        <f ca="1">+GETPIVOTDATA("XSB4",'sonbinh (2016)'!$A$3,"MA_HT","CAN","MA_QH","LMU")</f>
        <v>0</v>
      </c>
      <c r="Q21" s="22">
        <f ca="1">+GETPIVOTDATA("XSB4",'sonbinh (2016)'!$A$3,"MA_HT","CAN","MA_QH","NKH")</f>
        <v>0</v>
      </c>
      <c r="R21" s="42">
        <f ca="1">SUM(S21,U21:AA21,AN21:BD21)</f>
        <v>0</v>
      </c>
      <c r="S21" s="22">
        <f ca="1">+GETPIVOTDATA("XSB4",'sonbinh (2016)'!$A$3,"MA_HT","CAN","MA_QH","CQP")</f>
        <v>0</v>
      </c>
      <c r="T21" s="43" t="e">
        <f ca="1">$D21-$BF21</f>
        <v>#REF!</v>
      </c>
      <c r="U21" s="22">
        <f ca="1">+GETPIVOTDATA("XSB4",'sonbinh (2016)'!$A$3,"MA_HT","CAN","MA_QH","SKK")</f>
        <v>0</v>
      </c>
      <c r="V21" s="22">
        <f ca="1">+GETPIVOTDATA("XSB4",'sonbinh (2016)'!$A$3,"MA_HT","CAN","MA_QH","SKT")</f>
        <v>0</v>
      </c>
      <c r="W21" s="22">
        <f ca="1">+GETPIVOTDATA("XSB4",'sonbinh (2016)'!$A$3,"MA_HT","CAN","MA_QH","SKN")</f>
        <v>0</v>
      </c>
      <c r="X21" s="22">
        <f ca="1">+GETPIVOTDATA("XSB4",'sonbinh (2016)'!$A$3,"MA_HT","CAN","MA_QH","TMD")</f>
        <v>0</v>
      </c>
      <c r="Y21" s="22">
        <f ca="1">+GETPIVOTDATA("XSB4",'sonbinh (2016)'!$A$3,"MA_HT","CAN","MA_QH","SKC")</f>
        <v>0</v>
      </c>
      <c r="Z21" s="22">
        <f ca="1">+GETPIVOTDATA("XSB4",'sonbinh (2016)'!$A$3,"MA_HT","CAN","MA_QH","SKS")</f>
        <v>0</v>
      </c>
      <c r="AA21" s="52">
        <f ca="1" t="shared" si="12"/>
        <v>0</v>
      </c>
      <c r="AB21" s="22">
        <f ca="1">+GETPIVOTDATA("XSB4",'sonbinh (2016)'!$A$3,"MA_HT","CAN","MA_QH","DGT")</f>
        <v>0</v>
      </c>
      <c r="AC21" s="22">
        <f ca="1">+GETPIVOTDATA("XSB4",'sonbinh (2016)'!$A$3,"MA_HT","CAN","MA_QH","DTL")</f>
        <v>0</v>
      </c>
      <c r="AD21" s="22">
        <f ca="1">+GETPIVOTDATA("XSB4",'sonbinh (2016)'!$A$3,"MA_HT","CAN","MA_QH","DNL")</f>
        <v>0</v>
      </c>
      <c r="AE21" s="22">
        <f ca="1">+GETPIVOTDATA("XSB4",'sonbinh (2016)'!$A$3,"MA_HT","CAN","MA_QH","DBV")</f>
        <v>0</v>
      </c>
      <c r="AF21" s="22">
        <f ca="1">+GETPIVOTDATA("XSB4",'sonbinh (2016)'!$A$3,"MA_HT","CAN","MA_QH","DVH")</f>
        <v>0</v>
      </c>
      <c r="AG21" s="22">
        <f ca="1">+GETPIVOTDATA("XSB4",'sonbinh (2016)'!$A$3,"MA_HT","CAN","MA_QH","DYT")</f>
        <v>0</v>
      </c>
      <c r="AH21" s="22">
        <f ca="1">+GETPIVOTDATA("XSB4",'sonbinh (2016)'!$A$3,"MA_HT","CAN","MA_QH","DGD")</f>
        <v>0</v>
      </c>
      <c r="AI21" s="22">
        <f ca="1">+GETPIVOTDATA("XSB4",'sonbinh (2016)'!$A$3,"MA_HT","CAN","MA_QH","DTT")</f>
        <v>0</v>
      </c>
      <c r="AJ21" s="22">
        <f ca="1">+GETPIVOTDATA("XSB4",'sonbinh (2016)'!$A$3,"MA_HT","CAN","MA_QH","NCK")</f>
        <v>0</v>
      </c>
      <c r="AK21" s="22">
        <f ca="1">+GETPIVOTDATA("XSB4",'sonbinh (2016)'!$A$3,"MA_HT","CAN","MA_QH","DXH")</f>
        <v>0</v>
      </c>
      <c r="AL21" s="22">
        <f ca="1">+GETPIVOTDATA("XSB4",'sonbinh (2016)'!$A$3,"MA_HT","CAN","MA_QH","DCH")</f>
        <v>0</v>
      </c>
      <c r="AM21" s="22">
        <f ca="1">+GETPIVOTDATA("XSB4",'sonbinh (2016)'!$A$3,"MA_HT","CAN","MA_QH","DKG")</f>
        <v>0</v>
      </c>
      <c r="AN21" s="22">
        <f ca="1">+GETPIVOTDATA("XSB4",'sonbinh (2016)'!$A$3,"MA_HT","CAN","MA_QH","DDT")</f>
        <v>0</v>
      </c>
      <c r="AO21" s="22">
        <f ca="1">+GETPIVOTDATA("XSB4",'sonbinh (2016)'!$A$3,"MA_HT","CAN","MA_QH","DDL")</f>
        <v>0</v>
      </c>
      <c r="AP21" s="22">
        <f ca="1">+GETPIVOTDATA("XSB4",'sonbinh (2016)'!$A$3,"MA_HT","CAN","MA_QH","DRA")</f>
        <v>0</v>
      </c>
      <c r="AQ21" s="22">
        <f ca="1">+GETPIVOTDATA("XSB4",'sonbinh (2016)'!$A$3,"MA_HT","CAN","MA_QH","ONT")</f>
        <v>0</v>
      </c>
      <c r="AR21" s="22">
        <f ca="1">+GETPIVOTDATA("XSB4",'sonbinh (2016)'!$A$3,"MA_HT","CAN","MA_QH","ODT")</f>
        <v>0</v>
      </c>
      <c r="AS21" s="22">
        <f ca="1">+GETPIVOTDATA("XSB4",'sonbinh (2016)'!$A$3,"MA_HT","CAN","MA_QH","TSC")</f>
        <v>0</v>
      </c>
      <c r="AT21" s="22">
        <f ca="1">+GETPIVOTDATA("XSB4",'sonbinh (2016)'!$A$3,"MA_HT","CAN","MA_QH","DTS")</f>
        <v>0</v>
      </c>
      <c r="AU21" s="22">
        <f ca="1">+GETPIVOTDATA("XSB4",'sonbinh (2016)'!$A$3,"MA_HT","CAN","MA_QH","DNG")</f>
        <v>0</v>
      </c>
      <c r="AV21" s="22">
        <f ca="1">+GETPIVOTDATA("XSB4",'sonbinh (2016)'!$A$3,"MA_HT","CAN","MA_QH","TON")</f>
        <v>0</v>
      </c>
      <c r="AW21" s="22">
        <f ca="1">+GETPIVOTDATA("XSB4",'sonbinh (2016)'!$A$3,"MA_HT","CAN","MA_QH","NTD")</f>
        <v>0</v>
      </c>
      <c r="AX21" s="22">
        <f ca="1">+GETPIVOTDATA("XSB4",'sonbinh (2016)'!$A$3,"MA_HT","CAN","MA_QH","SKX")</f>
        <v>0</v>
      </c>
      <c r="AY21" s="22">
        <f ca="1">+GETPIVOTDATA("XSB4",'sonbinh (2016)'!$A$3,"MA_HT","CAN","MA_QH","DSH")</f>
        <v>0</v>
      </c>
      <c r="AZ21" s="22">
        <f ca="1">+GETPIVOTDATA("XSB4",'sonbinh (2016)'!$A$3,"MA_HT","CAN","MA_QH","DKV")</f>
        <v>0</v>
      </c>
      <c r="BA21" s="89">
        <f ca="1">+GETPIVOTDATA("XSB4",'sonbinh (2016)'!$A$3,"MA_HT","CAN","MA_QH","TIN")</f>
        <v>0</v>
      </c>
      <c r="BB21" s="50">
        <f ca="1">+GETPIVOTDATA("XSB4",'sonbinh (2016)'!$A$3,"MA_HT","CAN","MA_QH","SON")</f>
        <v>0</v>
      </c>
      <c r="BC21" s="50">
        <f ca="1">+GETPIVOTDATA("XSB4",'sonbinh (2016)'!$A$3,"MA_HT","CAN","MA_QH","MNC")</f>
        <v>0</v>
      </c>
      <c r="BD21" s="22">
        <f ca="1">+GETPIVOTDATA("XSB4",'sonbinh (2016)'!$A$3,"MA_HT","CAN","MA_QH","PNK")</f>
        <v>0</v>
      </c>
      <c r="BE21" s="71">
        <f ca="1">+GETPIVOTDATA("XSB4",'sonbinh (2016)'!$A$3,"MA_HT","CAN","MA_QH","CSD")</f>
        <v>0</v>
      </c>
      <c r="BF21" s="74">
        <f ca="1" t="shared" si="13"/>
        <v>0</v>
      </c>
      <c r="BG21" s="101">
        <f ca="1">T$59-$BF21</f>
        <v>0</v>
      </c>
      <c r="BH21" s="41" t="e">
        <f ca="1" t="shared" si="14"/>
        <v>#REF!</v>
      </c>
      <c r="BI21" s="98"/>
      <c r="BJ21" s="98" t="e">
        <f>#REF!</f>
        <v>#REF!</v>
      </c>
      <c r="BK21" s="107" t="e">
        <f ca="1">BH21-BJ21</f>
        <v>#REF!</v>
      </c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</row>
    <row r="22" s="2" customFormat="1" ht="15.75" customHeight="1" spans="1:79">
      <c r="A22" s="39" t="s">
        <v>8362</v>
      </c>
      <c r="B22" s="53" t="s">
        <v>8363</v>
      </c>
      <c r="C22" s="40" t="s">
        <v>47</v>
      </c>
      <c r="D22" s="41" t="e">
        <f>+#REF!</f>
        <v>#REF!</v>
      </c>
      <c r="E22" s="42">
        <f ca="1" t="shared" si="15"/>
        <v>0</v>
      </c>
      <c r="F22" s="52">
        <f ca="1" t="shared" si="9"/>
        <v>0</v>
      </c>
      <c r="G22" s="22">
        <f ca="1">+GETPIVOTDATA("XSB4",'sonbinh (2016)'!$A$3,"MA_HT","SKK","MA_QH","LUC")</f>
        <v>0</v>
      </c>
      <c r="H22" s="22">
        <f ca="1">+GETPIVOTDATA("XSB4",'sonbinh (2016)'!$A$3,"MA_HT","SKK","MA_QH","LUK")</f>
        <v>0</v>
      </c>
      <c r="I22" s="22">
        <f ca="1">+GETPIVOTDATA("XSB4",'sonbinh (2016)'!$A$3,"MA_HT","SKK","MA_QH","LUN")</f>
        <v>0</v>
      </c>
      <c r="J22" s="22">
        <f ca="1">+GETPIVOTDATA("XSB4",'sonbinh (2016)'!$A$3,"MA_HT","SKK","MA_QH","HNK")</f>
        <v>0</v>
      </c>
      <c r="K22" s="22">
        <f ca="1">+GETPIVOTDATA("XSB4",'sonbinh (2016)'!$A$3,"MA_HT","SKK","MA_QH","CLN")</f>
        <v>0</v>
      </c>
      <c r="L22" s="22">
        <f ca="1">+GETPIVOTDATA("XSB4",'sonbinh (2016)'!$A$3,"MA_HT","SKK","MA_QH","RSX")</f>
        <v>0</v>
      </c>
      <c r="M22" s="22">
        <f ca="1">+GETPIVOTDATA("XSB4",'sonbinh (2016)'!$A$3,"MA_HT","SKK","MA_QH","RPH")</f>
        <v>0</v>
      </c>
      <c r="N22" s="22">
        <f ca="1">+GETPIVOTDATA("XSB4",'sonbinh (2016)'!$A$3,"MA_HT","SKK","MA_QH","RDD")</f>
        <v>0</v>
      </c>
      <c r="O22" s="22">
        <f ca="1">+GETPIVOTDATA("XSB4",'sonbinh (2016)'!$A$3,"MA_HT","SKK","MA_QH","NTS")</f>
        <v>0</v>
      </c>
      <c r="P22" s="22">
        <f ca="1">+GETPIVOTDATA("XSB4",'sonbinh (2016)'!$A$3,"MA_HT","SKK","MA_QH","LMU")</f>
        <v>0</v>
      </c>
      <c r="Q22" s="22">
        <f ca="1">+GETPIVOTDATA("XSB4",'sonbinh (2016)'!$A$3,"MA_HT","SKK","MA_QH","NKH")</f>
        <v>0</v>
      </c>
      <c r="R22" s="42">
        <f ca="1">SUM(S22:T22,V22:AA22,AN22:BD22)</f>
        <v>0</v>
      </c>
      <c r="S22" s="22">
        <f ca="1">+GETPIVOTDATA("XSB4",'sonbinh (2016)'!$A$3,"MA_HT","SKK","MA_QH","CQP")</f>
        <v>0</v>
      </c>
      <c r="T22" s="22">
        <f ca="1">+GETPIVOTDATA("XSB4",'sonbinh (2016)'!$A$3,"MA_HT","SKK","MA_QH","CAN")</f>
        <v>0</v>
      </c>
      <c r="U22" s="43" t="e">
        <f ca="1">$D22-$BF22</f>
        <v>#REF!</v>
      </c>
      <c r="V22" s="22">
        <f ca="1">+GETPIVOTDATA("XSB4",'sonbinh (2016)'!$A$3,"MA_HT","SKK","MA_QH","SKT")</f>
        <v>0</v>
      </c>
      <c r="W22" s="22">
        <f ca="1">+GETPIVOTDATA("XSB4",'sonbinh (2016)'!$A$3,"MA_HT","SKK","MA_QH","SKN")</f>
        <v>0</v>
      </c>
      <c r="X22" s="22">
        <f ca="1">+GETPIVOTDATA("XSB4",'sonbinh (2016)'!$A$3,"MA_HT","SKK","MA_QH","TMD")</f>
        <v>0</v>
      </c>
      <c r="Y22" s="22">
        <f ca="1">+GETPIVOTDATA("XSB4",'sonbinh (2016)'!$A$3,"MA_HT","SKK","MA_QH","SKC")</f>
        <v>0</v>
      </c>
      <c r="Z22" s="22">
        <f ca="1">+GETPIVOTDATA("XSB4",'sonbinh (2016)'!$A$3,"MA_HT","SKK","MA_QH","SKS")</f>
        <v>0</v>
      </c>
      <c r="AA22" s="52">
        <f ca="1" t="shared" si="12"/>
        <v>0</v>
      </c>
      <c r="AB22" s="22">
        <f ca="1">+GETPIVOTDATA("XSB4",'sonbinh (2016)'!$A$3,"MA_HT","SKK","MA_QH","DGT")</f>
        <v>0</v>
      </c>
      <c r="AC22" s="22">
        <f ca="1">+GETPIVOTDATA("XSB4",'sonbinh (2016)'!$A$3,"MA_HT","SKK","MA_QH","DTL")</f>
        <v>0</v>
      </c>
      <c r="AD22" s="22">
        <f ca="1">+GETPIVOTDATA("XSB4",'sonbinh (2016)'!$A$3,"MA_HT","SKK","MA_QH","DNL")</f>
        <v>0</v>
      </c>
      <c r="AE22" s="22">
        <f ca="1">+GETPIVOTDATA("XSB4",'sonbinh (2016)'!$A$3,"MA_HT","SKK","MA_QH","DBV")</f>
        <v>0</v>
      </c>
      <c r="AF22" s="22">
        <f ca="1">+GETPIVOTDATA("XSB4",'sonbinh (2016)'!$A$3,"MA_HT","SKK","MA_QH","DVH")</f>
        <v>0</v>
      </c>
      <c r="AG22" s="22">
        <f ca="1">+GETPIVOTDATA("XSB4",'sonbinh (2016)'!$A$3,"MA_HT","SKK","MA_QH","DYT")</f>
        <v>0</v>
      </c>
      <c r="AH22" s="22">
        <f ca="1">+GETPIVOTDATA("XSB4",'sonbinh (2016)'!$A$3,"MA_HT","SKK","MA_QH","DGD")</f>
        <v>0</v>
      </c>
      <c r="AI22" s="22">
        <f ca="1">+GETPIVOTDATA("XSB4",'sonbinh (2016)'!$A$3,"MA_HT","SKK","MA_QH","DTT")</f>
        <v>0</v>
      </c>
      <c r="AJ22" s="22">
        <f ca="1">+GETPIVOTDATA("XSB4",'sonbinh (2016)'!$A$3,"MA_HT","SKK","MA_QH","NCK")</f>
        <v>0</v>
      </c>
      <c r="AK22" s="22">
        <f ca="1">+GETPIVOTDATA("XSB4",'sonbinh (2016)'!$A$3,"MA_HT","SKK","MA_QH","DXH")</f>
        <v>0</v>
      </c>
      <c r="AL22" s="22">
        <f ca="1">+GETPIVOTDATA("XSB4",'sonbinh (2016)'!$A$3,"MA_HT","SKK","MA_QH","DCH")</f>
        <v>0</v>
      </c>
      <c r="AM22" s="22">
        <f ca="1">+GETPIVOTDATA("XSB4",'sonbinh (2016)'!$A$3,"MA_HT","SKK","MA_QH","DKG")</f>
        <v>0</v>
      </c>
      <c r="AN22" s="22">
        <f ca="1">+GETPIVOTDATA("XSB4",'sonbinh (2016)'!$A$3,"MA_HT","SKK","MA_QH","DDT")</f>
        <v>0</v>
      </c>
      <c r="AO22" s="22">
        <f ca="1">+GETPIVOTDATA("XSB4",'sonbinh (2016)'!$A$3,"MA_HT","SKK","MA_QH","DDL")</f>
        <v>0</v>
      </c>
      <c r="AP22" s="22">
        <f ca="1">+GETPIVOTDATA("XSB4",'sonbinh (2016)'!$A$3,"MA_HT","SKK","MA_QH","DRA")</f>
        <v>0</v>
      </c>
      <c r="AQ22" s="22">
        <f ca="1">+GETPIVOTDATA("XSB4",'sonbinh (2016)'!$A$3,"MA_HT","SKK","MA_QH","ONT")</f>
        <v>0</v>
      </c>
      <c r="AR22" s="22">
        <f ca="1">+GETPIVOTDATA("XSB4",'sonbinh (2016)'!$A$3,"MA_HT","SKK","MA_QH","ODT")</f>
        <v>0</v>
      </c>
      <c r="AS22" s="22">
        <f ca="1">+GETPIVOTDATA("XSB4",'sonbinh (2016)'!$A$3,"MA_HT","SKK","MA_QH","TSC")</f>
        <v>0</v>
      </c>
      <c r="AT22" s="22">
        <f ca="1">+GETPIVOTDATA("XSB4",'sonbinh (2016)'!$A$3,"MA_HT","SKK","MA_QH","DTS")</f>
        <v>0</v>
      </c>
      <c r="AU22" s="22">
        <f ca="1">+GETPIVOTDATA("XSB4",'sonbinh (2016)'!$A$3,"MA_HT","SKK","MA_QH","DNG")</f>
        <v>0</v>
      </c>
      <c r="AV22" s="22">
        <f ca="1">+GETPIVOTDATA("XSB4",'sonbinh (2016)'!$A$3,"MA_HT","SKK","MA_QH","TON")</f>
        <v>0</v>
      </c>
      <c r="AW22" s="22">
        <f ca="1">+GETPIVOTDATA("XSB4",'sonbinh (2016)'!$A$3,"MA_HT","SKK","MA_QH","NTD")</f>
        <v>0</v>
      </c>
      <c r="AX22" s="22">
        <f ca="1">+GETPIVOTDATA("XSB4",'sonbinh (2016)'!$A$3,"MA_HT","SKK","MA_QH","SKX")</f>
        <v>0</v>
      </c>
      <c r="AY22" s="22">
        <f ca="1">+GETPIVOTDATA("XSB4",'sonbinh (2016)'!$A$3,"MA_HT","SKK","MA_QH","DSH")</f>
        <v>0</v>
      </c>
      <c r="AZ22" s="22">
        <f ca="1">+GETPIVOTDATA("XSB4",'sonbinh (2016)'!$A$3,"MA_HT","SKK","MA_QH","DKV")</f>
        <v>0</v>
      </c>
      <c r="BA22" s="89">
        <f ca="1">+GETPIVOTDATA("XSB4",'sonbinh (2016)'!$A$3,"MA_HT","SKK","MA_QH","TIN")</f>
        <v>0</v>
      </c>
      <c r="BB22" s="50">
        <f ca="1">+GETPIVOTDATA("XSB4",'sonbinh (2016)'!$A$3,"MA_HT","SKK","MA_QH","SON")</f>
        <v>0</v>
      </c>
      <c r="BC22" s="50">
        <f ca="1">+GETPIVOTDATA("XSB4",'sonbinh (2016)'!$A$3,"MA_HT","SKK","MA_QH","MNC")</f>
        <v>0</v>
      </c>
      <c r="BD22" s="22">
        <f ca="1">+GETPIVOTDATA("XSB4",'sonbinh (2016)'!$A$3,"MA_HT","SKK","MA_QH","PNK")</f>
        <v>0</v>
      </c>
      <c r="BE22" s="71">
        <f ca="1">+GETPIVOTDATA("XSB4",'sonbinh (2016)'!$A$3,"MA_HT","SKK","MA_QH","CSD")</f>
        <v>0</v>
      </c>
      <c r="BF22" s="74">
        <f ca="1" t="shared" si="13"/>
        <v>0</v>
      </c>
      <c r="BG22" s="101">
        <f ca="1">U$59-$BF22</f>
        <v>0</v>
      </c>
      <c r="BH22" s="41" t="e">
        <f ca="1" t="shared" si="14"/>
        <v>#REF!</v>
      </c>
      <c r="BI22" s="98"/>
      <c r="BJ22" s="107" t="e">
        <f>#REF!</f>
        <v>#REF!</v>
      </c>
      <c r="BK22" s="107" t="e">
        <f ca="1">BH22-BJ22</f>
        <v>#REF!</v>
      </c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</row>
    <row r="23" s="2" customFormat="1" ht="15.75" customHeight="1" spans="1:79">
      <c r="A23" s="39" t="s">
        <v>8364</v>
      </c>
      <c r="B23" s="53" t="s">
        <v>8365</v>
      </c>
      <c r="C23" s="40" t="s">
        <v>8308</v>
      </c>
      <c r="D23" s="41" t="e">
        <f>+#REF!</f>
        <v>#REF!</v>
      </c>
      <c r="E23" s="42">
        <f ca="1" t="shared" si="15"/>
        <v>0</v>
      </c>
      <c r="F23" s="52">
        <f ca="1" t="shared" si="9"/>
        <v>0</v>
      </c>
      <c r="G23" s="22">
        <f ca="1">+GETPIVOTDATA("XSB4",'sonbinh (2016)'!$A$3,"MA_HT","SKT","MA_QH","LUC")</f>
        <v>0</v>
      </c>
      <c r="H23" s="22">
        <f ca="1">+GETPIVOTDATA("XSB4",'sonbinh (2016)'!$A$3,"MA_HT","SKT","MA_QH","LUK")</f>
        <v>0</v>
      </c>
      <c r="I23" s="22">
        <f ca="1">+GETPIVOTDATA("XSB4",'sonbinh (2016)'!$A$3,"MA_HT","SKT","MA_QH","LUN")</f>
        <v>0</v>
      </c>
      <c r="J23" s="22">
        <f ca="1">+GETPIVOTDATA("XSB4",'sonbinh (2016)'!$A$3,"MA_HT","SKT","MA_QH","HNK")</f>
        <v>0</v>
      </c>
      <c r="K23" s="22">
        <f ca="1">+GETPIVOTDATA("XSB4",'sonbinh (2016)'!$A$3,"MA_HT","SKT","MA_QH","CLN")</f>
        <v>0</v>
      </c>
      <c r="L23" s="22">
        <f ca="1">+GETPIVOTDATA("XSB4",'sonbinh (2016)'!$A$3,"MA_HT","SKT","MA_QH","RSX")</f>
        <v>0</v>
      </c>
      <c r="M23" s="22">
        <f ca="1">+GETPIVOTDATA("XSB4",'sonbinh (2016)'!$A$3,"MA_HT","SKT","MA_QH","RPH")</f>
        <v>0</v>
      </c>
      <c r="N23" s="22">
        <f ca="1">+GETPIVOTDATA("XSB4",'sonbinh (2016)'!$A$3,"MA_HT","SKT","MA_QH","RDD")</f>
        <v>0</v>
      </c>
      <c r="O23" s="22">
        <f ca="1">+GETPIVOTDATA("XSB4",'sonbinh (2016)'!$A$3,"MA_HT","SKT","MA_QH","NTS")</f>
        <v>0</v>
      </c>
      <c r="P23" s="22">
        <f ca="1">+GETPIVOTDATA("XSB4",'sonbinh (2016)'!$A$3,"MA_HT","SKT","MA_QH","LMU")</f>
        <v>0</v>
      </c>
      <c r="Q23" s="22">
        <f ca="1">+GETPIVOTDATA("XSB4",'sonbinh (2016)'!$A$3,"MA_HT","SKT","MA_QH","NKH")</f>
        <v>0</v>
      </c>
      <c r="R23" s="42">
        <f ca="1">SUM(S23:U23,W23:AA23,AN23:BD23)</f>
        <v>0</v>
      </c>
      <c r="S23" s="22">
        <f ca="1">+GETPIVOTDATA("XSB4",'sonbinh (2016)'!$A$3,"MA_HT","SKT","MA_QH","CQP")</f>
        <v>0</v>
      </c>
      <c r="T23" s="22">
        <f ca="1">+GETPIVOTDATA("XSB4",'sonbinh (2016)'!$A$3,"MA_HT","SKT","MA_QH","CAN")</f>
        <v>0</v>
      </c>
      <c r="U23" s="22">
        <f ca="1">+GETPIVOTDATA("XSB4",'sonbinh (2016)'!$A$3,"MA_HT","SKT","MA_QH","SKK")</f>
        <v>0</v>
      </c>
      <c r="V23" s="43" t="e">
        <f ca="1">$D23-$BF23</f>
        <v>#REF!</v>
      </c>
      <c r="W23" s="22">
        <f ca="1">+GETPIVOTDATA("XSB4",'sonbinh (2016)'!$A$3,"MA_HT","SKT","MA_QH","SKN")</f>
        <v>0</v>
      </c>
      <c r="X23" s="22">
        <f ca="1">+GETPIVOTDATA("XSB4",'sonbinh (2016)'!$A$3,"MA_HT","SKT","MA_QH","TMD")</f>
        <v>0</v>
      </c>
      <c r="Y23" s="22">
        <f ca="1">+GETPIVOTDATA("XSB4",'sonbinh (2016)'!$A$3,"MA_HT","SKT","MA_QH","SKC")</f>
        <v>0</v>
      </c>
      <c r="Z23" s="22">
        <f ca="1">+GETPIVOTDATA("XSB4",'sonbinh (2016)'!$A$3,"MA_HT","SKT","MA_QH","SKS")</f>
        <v>0</v>
      </c>
      <c r="AA23" s="52">
        <f ca="1" t="shared" si="12"/>
        <v>0</v>
      </c>
      <c r="AB23" s="22">
        <f ca="1">+GETPIVOTDATA("XSB4",'sonbinh (2016)'!$A$3,"MA_HT","SKT","MA_QH","DGT")</f>
        <v>0</v>
      </c>
      <c r="AC23" s="22">
        <f ca="1">+GETPIVOTDATA("XSB4",'sonbinh (2016)'!$A$3,"MA_HT","SKT","MA_QH","DTL")</f>
        <v>0</v>
      </c>
      <c r="AD23" s="22">
        <f ca="1">+GETPIVOTDATA("XSB4",'sonbinh (2016)'!$A$3,"MA_HT","SKT","MA_QH","DNL")</f>
        <v>0</v>
      </c>
      <c r="AE23" s="22">
        <f ca="1">+GETPIVOTDATA("XSB4",'sonbinh (2016)'!$A$3,"MA_HT","SKT","MA_QH","DBV")</f>
        <v>0</v>
      </c>
      <c r="AF23" s="22">
        <f ca="1">+GETPIVOTDATA("XSB4",'sonbinh (2016)'!$A$3,"MA_HT","SKT","MA_QH","DVH")</f>
        <v>0</v>
      </c>
      <c r="AG23" s="22">
        <f ca="1">+GETPIVOTDATA("XSB4",'sonbinh (2016)'!$A$3,"MA_HT","SKT","MA_QH","DYT")</f>
        <v>0</v>
      </c>
      <c r="AH23" s="22">
        <f ca="1">+GETPIVOTDATA("XSB4",'sonbinh (2016)'!$A$3,"MA_HT","SKT","MA_QH","DGD")</f>
        <v>0</v>
      </c>
      <c r="AI23" s="22">
        <f ca="1">+GETPIVOTDATA("XSB4",'sonbinh (2016)'!$A$3,"MA_HT","SKT","MA_QH","DTT")</f>
        <v>0</v>
      </c>
      <c r="AJ23" s="22">
        <f ca="1">+GETPIVOTDATA("XSB4",'sonbinh (2016)'!$A$3,"MA_HT","SKT","MA_QH","NCK")</f>
        <v>0</v>
      </c>
      <c r="AK23" s="22">
        <f ca="1">+GETPIVOTDATA("XSB4",'sonbinh (2016)'!$A$3,"MA_HT","SKT","MA_QH","DXH")</f>
        <v>0</v>
      </c>
      <c r="AL23" s="22">
        <f ca="1">+GETPIVOTDATA("XSB4",'sonbinh (2016)'!$A$3,"MA_HT","SKT","MA_QH","DCH")</f>
        <v>0</v>
      </c>
      <c r="AM23" s="22">
        <f ca="1">+GETPIVOTDATA("XSB4",'sonbinh (2016)'!$A$3,"MA_HT","SKT","MA_QH","DKG")</f>
        <v>0</v>
      </c>
      <c r="AN23" s="22">
        <f ca="1">+GETPIVOTDATA("XSB4",'sonbinh (2016)'!$A$3,"MA_HT","SKT","MA_QH","DDT")</f>
        <v>0</v>
      </c>
      <c r="AO23" s="22">
        <f ca="1">+GETPIVOTDATA("XSB4",'sonbinh (2016)'!$A$3,"MA_HT","SKT","MA_QH","DDL")</f>
        <v>0</v>
      </c>
      <c r="AP23" s="22">
        <f ca="1">+GETPIVOTDATA("XSB4",'sonbinh (2016)'!$A$3,"MA_HT","SKT","MA_QH","DRA")</f>
        <v>0</v>
      </c>
      <c r="AQ23" s="22">
        <f ca="1">+GETPIVOTDATA("XSB4",'sonbinh (2016)'!$A$3,"MA_HT","SKT","MA_QH","ONT")</f>
        <v>0</v>
      </c>
      <c r="AR23" s="22">
        <f ca="1">+GETPIVOTDATA("XSB4",'sonbinh (2016)'!$A$3,"MA_HT","SKT","MA_QH","ODT")</f>
        <v>0</v>
      </c>
      <c r="AS23" s="22">
        <f ca="1">+GETPIVOTDATA("XSB4",'sonbinh (2016)'!$A$3,"MA_HT","SKT","MA_QH","TSC")</f>
        <v>0</v>
      </c>
      <c r="AT23" s="22">
        <f ca="1">+GETPIVOTDATA("XSB4",'sonbinh (2016)'!$A$3,"MA_HT","SKT","MA_QH","DTS")</f>
        <v>0</v>
      </c>
      <c r="AU23" s="22">
        <f ca="1">+GETPIVOTDATA("XSB4",'sonbinh (2016)'!$A$3,"MA_HT","SKT","MA_QH","DNG")</f>
        <v>0</v>
      </c>
      <c r="AV23" s="22">
        <f ca="1">+GETPIVOTDATA("XSB4",'sonbinh (2016)'!$A$3,"MA_HT","SKT","MA_QH","TON")</f>
        <v>0</v>
      </c>
      <c r="AW23" s="22">
        <f ca="1">+GETPIVOTDATA("XSB4",'sonbinh (2016)'!$A$3,"MA_HT","SKT","MA_QH","NTD")</f>
        <v>0</v>
      </c>
      <c r="AX23" s="22">
        <f ca="1">+GETPIVOTDATA("XSB4",'sonbinh (2016)'!$A$3,"MA_HT","SKT","MA_QH","SKX")</f>
        <v>0</v>
      </c>
      <c r="AY23" s="22">
        <f ca="1">+GETPIVOTDATA("XSB4",'sonbinh (2016)'!$A$3,"MA_HT","SKT","MA_QH","DSH")</f>
        <v>0</v>
      </c>
      <c r="AZ23" s="22">
        <f ca="1">+GETPIVOTDATA("XSB4",'sonbinh (2016)'!$A$3,"MA_HT","SKT","MA_QH","DKV")</f>
        <v>0</v>
      </c>
      <c r="BA23" s="89">
        <f ca="1">+GETPIVOTDATA("XSB4",'sonbinh (2016)'!$A$3,"MA_HT","SKT","MA_QH","TIN")</f>
        <v>0</v>
      </c>
      <c r="BB23" s="50">
        <f ca="1">+GETPIVOTDATA("XSB4",'sonbinh (2016)'!$A$3,"MA_HT","SKT","MA_QH","SON")</f>
        <v>0</v>
      </c>
      <c r="BC23" s="50">
        <f ca="1">+GETPIVOTDATA("XSB4",'sonbinh (2016)'!$A$3,"MA_HT","SKT","MA_QH","MNC")</f>
        <v>0</v>
      </c>
      <c r="BD23" s="22">
        <f ca="1">+GETPIVOTDATA("XSB4",'sonbinh (2016)'!$A$3,"MA_HT","SKT","MA_QH","PNK")</f>
        <v>0</v>
      </c>
      <c r="BE23" s="71">
        <f ca="1">+GETPIVOTDATA("XSB4",'sonbinh (2016)'!$A$3,"MA_HT","SKT","MA_QH","CSD")</f>
        <v>0</v>
      </c>
      <c r="BF23" s="74">
        <f ca="1" t="shared" si="13"/>
        <v>0</v>
      </c>
      <c r="BG23" s="101">
        <f ca="1">V$59-$BF23</f>
        <v>0</v>
      </c>
      <c r="BH23" s="41" t="e">
        <f ca="1" t="shared" si="14"/>
        <v>#REF!</v>
      </c>
      <c r="BI23" s="98"/>
      <c r="BJ23" s="107"/>
      <c r="BK23" s="107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</row>
    <row r="24" s="2" customFormat="1" ht="15.75" customHeight="1" spans="1:79">
      <c r="A24" s="39" t="s">
        <v>8366</v>
      </c>
      <c r="B24" s="53" t="s">
        <v>8367</v>
      </c>
      <c r="C24" s="40" t="s">
        <v>56</v>
      </c>
      <c r="D24" s="41" t="e">
        <f>+#REF!</f>
        <v>#REF!</v>
      </c>
      <c r="E24" s="42">
        <f ca="1" t="shared" si="15"/>
        <v>0</v>
      </c>
      <c r="F24" s="52">
        <f ca="1" t="shared" si="9"/>
        <v>0</v>
      </c>
      <c r="G24" s="22">
        <f ca="1">+GETPIVOTDATA("XSB4",'sonbinh (2016)'!$A$3,"MA_HT","SKN","MA_QH","LUC")</f>
        <v>0</v>
      </c>
      <c r="H24" s="22">
        <f ca="1">+GETPIVOTDATA("XSB4",'sonbinh (2016)'!$A$3,"MA_HT","SKN","MA_QH","LUK")</f>
        <v>0</v>
      </c>
      <c r="I24" s="22">
        <f ca="1">+GETPIVOTDATA("XSB4",'sonbinh (2016)'!$A$3,"MA_HT","SKN","MA_QH","LUN")</f>
        <v>0</v>
      </c>
      <c r="J24" s="22">
        <f ca="1">+GETPIVOTDATA("XSB4",'sonbinh (2016)'!$A$3,"MA_HT","SKN","MA_QH","HNK")</f>
        <v>0</v>
      </c>
      <c r="K24" s="22">
        <f ca="1">+GETPIVOTDATA("XSB4",'sonbinh (2016)'!$A$3,"MA_HT","SKN","MA_QH","CLN")</f>
        <v>0</v>
      </c>
      <c r="L24" s="22">
        <f ca="1">+GETPIVOTDATA("XSB4",'sonbinh (2016)'!$A$3,"MA_HT","SKN","MA_QH","RSX")</f>
        <v>0</v>
      </c>
      <c r="M24" s="22">
        <f ca="1">+GETPIVOTDATA("XSB4",'sonbinh (2016)'!$A$3,"MA_HT","SKN","MA_QH","RPH")</f>
        <v>0</v>
      </c>
      <c r="N24" s="22">
        <f ca="1">+GETPIVOTDATA("XSB4",'sonbinh (2016)'!$A$3,"MA_HT","SKN","MA_QH","RDD")</f>
        <v>0</v>
      </c>
      <c r="O24" s="22">
        <f ca="1">+GETPIVOTDATA("XSB4",'sonbinh (2016)'!$A$3,"MA_HT","SKN","MA_QH","NTS")</f>
        <v>0</v>
      </c>
      <c r="P24" s="22">
        <f ca="1">+GETPIVOTDATA("XSB4",'sonbinh (2016)'!$A$3,"MA_HT","SKN","MA_QH","LMU")</f>
        <v>0</v>
      </c>
      <c r="Q24" s="22">
        <f ca="1">+GETPIVOTDATA("XSB4",'sonbinh (2016)'!$A$3,"MA_HT","SKN","MA_QH","NKH")</f>
        <v>0</v>
      </c>
      <c r="R24" s="42">
        <f ca="1">SUM(S24:V24,X24:AA24,AN24:BD24)</f>
        <v>0</v>
      </c>
      <c r="S24" s="22">
        <f ca="1">+GETPIVOTDATA("XSB4",'sonbinh (2016)'!$A$3,"MA_HT","SKN","MA_QH","CQP")</f>
        <v>0</v>
      </c>
      <c r="T24" s="22">
        <f ca="1">+GETPIVOTDATA("XSB4",'sonbinh (2016)'!$A$3,"MA_HT","SKN","MA_QH","CAN")</f>
        <v>0</v>
      </c>
      <c r="U24" s="22">
        <f ca="1">+GETPIVOTDATA("XSB4",'sonbinh (2016)'!$A$3,"MA_HT","SKN","MA_QH","SKK")</f>
        <v>0</v>
      </c>
      <c r="V24" s="22">
        <f ca="1">+GETPIVOTDATA("XSB4",'sonbinh (2016)'!$A$3,"MA_HT","SKN","MA_QH","SKT")</f>
        <v>0</v>
      </c>
      <c r="W24" s="43" t="e">
        <f ca="1">$D24-$BF24</f>
        <v>#REF!</v>
      </c>
      <c r="X24" s="22">
        <f ca="1">+GETPIVOTDATA("XSB4",'sonbinh (2016)'!$A$3,"MA_HT","SKN","MA_QH","TMD")</f>
        <v>0</v>
      </c>
      <c r="Y24" s="22">
        <f ca="1">+GETPIVOTDATA("XSB4",'sonbinh (2016)'!$A$3,"MA_HT","SKN","MA_QH","SKC")</f>
        <v>0</v>
      </c>
      <c r="Z24" s="22">
        <f ca="1">+GETPIVOTDATA("XSB4",'sonbinh (2016)'!$A$3,"MA_HT","SKN","MA_QH","SKS")</f>
        <v>0</v>
      </c>
      <c r="AA24" s="52">
        <f ca="1" t="shared" si="12"/>
        <v>0</v>
      </c>
      <c r="AB24" s="22">
        <f ca="1">+GETPIVOTDATA("XSB4",'sonbinh (2016)'!$A$3,"MA_HT","SKN","MA_QH","DGT")</f>
        <v>0</v>
      </c>
      <c r="AC24" s="22">
        <f ca="1">+GETPIVOTDATA("XSB4",'sonbinh (2016)'!$A$3,"MA_HT","SKN","MA_QH","DTL")</f>
        <v>0</v>
      </c>
      <c r="AD24" s="22">
        <f ca="1">+GETPIVOTDATA("XSB4",'sonbinh (2016)'!$A$3,"MA_HT","SKN","MA_QH","DNL")</f>
        <v>0</v>
      </c>
      <c r="AE24" s="22">
        <f ca="1">+GETPIVOTDATA("XSB4",'sonbinh (2016)'!$A$3,"MA_HT","SKN","MA_QH","DBV")</f>
        <v>0</v>
      </c>
      <c r="AF24" s="22">
        <f ca="1">+GETPIVOTDATA("XSB4",'sonbinh (2016)'!$A$3,"MA_HT","SKN","MA_QH","DVH")</f>
        <v>0</v>
      </c>
      <c r="AG24" s="22">
        <f ca="1">+GETPIVOTDATA("XSB4",'sonbinh (2016)'!$A$3,"MA_HT","SKN","MA_QH","DYT")</f>
        <v>0</v>
      </c>
      <c r="AH24" s="22">
        <f ca="1">+GETPIVOTDATA("XSB4",'sonbinh (2016)'!$A$3,"MA_HT","SKN","MA_QH","DGD")</f>
        <v>0</v>
      </c>
      <c r="AI24" s="22">
        <f ca="1">+GETPIVOTDATA("XSB4",'sonbinh (2016)'!$A$3,"MA_HT","SKN","MA_QH","DTT")</f>
        <v>0</v>
      </c>
      <c r="AJ24" s="22">
        <f ca="1">+GETPIVOTDATA("XSB4",'sonbinh (2016)'!$A$3,"MA_HT","SKN","MA_QH","NCK")</f>
        <v>0</v>
      </c>
      <c r="AK24" s="22">
        <f ca="1">+GETPIVOTDATA("XSB4",'sonbinh (2016)'!$A$3,"MA_HT","SKN","MA_QH","DXH")</f>
        <v>0</v>
      </c>
      <c r="AL24" s="22">
        <f ca="1">+GETPIVOTDATA("XSB4",'sonbinh (2016)'!$A$3,"MA_HT","SKN","MA_QH","DCH")</f>
        <v>0</v>
      </c>
      <c r="AM24" s="22">
        <f ca="1">+GETPIVOTDATA("XSB4",'sonbinh (2016)'!$A$3,"MA_HT","SKN","MA_QH","DKG")</f>
        <v>0</v>
      </c>
      <c r="AN24" s="22">
        <f ca="1">+GETPIVOTDATA("XSB4",'sonbinh (2016)'!$A$3,"MA_HT","SKN","MA_QH","DDT")</f>
        <v>0</v>
      </c>
      <c r="AO24" s="22">
        <f ca="1">+GETPIVOTDATA("XSB4",'sonbinh (2016)'!$A$3,"MA_HT","SKN","MA_QH","DDL")</f>
        <v>0</v>
      </c>
      <c r="AP24" s="22">
        <f ca="1">+GETPIVOTDATA("XSB4",'sonbinh (2016)'!$A$3,"MA_HT","SKN","MA_QH","DRA")</f>
        <v>0</v>
      </c>
      <c r="AQ24" s="22">
        <f ca="1">+GETPIVOTDATA("XSB4",'sonbinh (2016)'!$A$3,"MA_HT","SKN","MA_QH","ONT")</f>
        <v>0</v>
      </c>
      <c r="AR24" s="22">
        <f ca="1">+GETPIVOTDATA("XSB4",'sonbinh (2016)'!$A$3,"MA_HT","SKN","MA_QH","ODT")</f>
        <v>0</v>
      </c>
      <c r="AS24" s="22">
        <f ca="1">+GETPIVOTDATA("XSB4",'sonbinh (2016)'!$A$3,"MA_HT","SKN","MA_QH","TSC")</f>
        <v>0</v>
      </c>
      <c r="AT24" s="22">
        <f ca="1">+GETPIVOTDATA("XSB4",'sonbinh (2016)'!$A$3,"MA_HT","SKN","MA_QH","DTS")</f>
        <v>0</v>
      </c>
      <c r="AU24" s="22">
        <f ca="1">+GETPIVOTDATA("XSB4",'sonbinh (2016)'!$A$3,"MA_HT","SKN","MA_QH","DNG")</f>
        <v>0</v>
      </c>
      <c r="AV24" s="22">
        <f ca="1">+GETPIVOTDATA("XSB4",'sonbinh (2016)'!$A$3,"MA_HT","SKN","MA_QH","TON")</f>
        <v>0</v>
      </c>
      <c r="AW24" s="22">
        <f ca="1">+GETPIVOTDATA("XSB4",'sonbinh (2016)'!$A$3,"MA_HT","SKN","MA_QH","NTD")</f>
        <v>0</v>
      </c>
      <c r="AX24" s="22">
        <f ca="1">+GETPIVOTDATA("XSB4",'sonbinh (2016)'!$A$3,"MA_HT","SKN","MA_QH","SKX")</f>
        <v>0</v>
      </c>
      <c r="AY24" s="22">
        <f ca="1">+GETPIVOTDATA("XSB4",'sonbinh (2016)'!$A$3,"MA_HT","SKN","MA_QH","DSH")</f>
        <v>0</v>
      </c>
      <c r="AZ24" s="22">
        <f ca="1">+GETPIVOTDATA("XSB4",'sonbinh (2016)'!$A$3,"MA_HT","SKN","MA_QH","DKV")</f>
        <v>0</v>
      </c>
      <c r="BA24" s="89">
        <f ca="1">+GETPIVOTDATA("XSB4",'sonbinh (2016)'!$A$3,"MA_HT","SKN","MA_QH","TIN")</f>
        <v>0</v>
      </c>
      <c r="BB24" s="50">
        <f ca="1">+GETPIVOTDATA("XSB4",'sonbinh (2016)'!$A$3,"MA_HT","SKN","MA_QH","SON")</f>
        <v>0</v>
      </c>
      <c r="BC24" s="50">
        <f ca="1">+GETPIVOTDATA("XSB4",'sonbinh (2016)'!$A$3,"MA_HT","SKN","MA_QH","MNC")</f>
        <v>0</v>
      </c>
      <c r="BD24" s="22">
        <f ca="1">+GETPIVOTDATA("XSB4",'sonbinh (2016)'!$A$3,"MA_HT","SKN","MA_QH","PNK")</f>
        <v>0</v>
      </c>
      <c r="BE24" s="71">
        <f ca="1">+GETPIVOTDATA("XSB4",'sonbinh (2016)'!$A$3,"MA_HT","SKN","MA_QH","CSD")</f>
        <v>0</v>
      </c>
      <c r="BF24" s="74">
        <f ca="1" t="shared" si="13"/>
        <v>0</v>
      </c>
      <c r="BG24" s="101">
        <f ca="1">W$59-$BF24</f>
        <v>0</v>
      </c>
      <c r="BH24" s="41" t="e">
        <f ca="1" t="shared" si="14"/>
        <v>#REF!</v>
      </c>
      <c r="BI24" s="98"/>
      <c r="BJ24" s="107"/>
      <c r="BK24" s="107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</row>
    <row r="25" s="2" customFormat="1" ht="15.75" customHeight="1" spans="1:79">
      <c r="A25" s="39" t="s">
        <v>8368</v>
      </c>
      <c r="B25" s="39" t="s">
        <v>8369</v>
      </c>
      <c r="C25" s="40" t="s">
        <v>265</v>
      </c>
      <c r="D25" s="41" t="e">
        <f>+#REF!</f>
        <v>#REF!</v>
      </c>
      <c r="E25" s="42">
        <f ca="1" t="shared" si="15"/>
        <v>0</v>
      </c>
      <c r="F25" s="52">
        <f ca="1" t="shared" si="9"/>
        <v>0</v>
      </c>
      <c r="G25" s="22">
        <f ca="1">+GETPIVOTDATA("XSB4",'sonbinh (2016)'!$A$3,"MA_HT","TMD","MA_QH","LUC")</f>
        <v>0</v>
      </c>
      <c r="H25" s="22">
        <f ca="1">+GETPIVOTDATA("XSB4",'sonbinh (2016)'!$A$3,"MA_HT","TMD","MA_QH","LUK")</f>
        <v>0</v>
      </c>
      <c r="I25" s="22">
        <f ca="1">+GETPIVOTDATA("XSB4",'sonbinh (2016)'!$A$3,"MA_HT","TMD","MA_QH","LUN")</f>
        <v>0</v>
      </c>
      <c r="J25" s="22">
        <f ca="1">+GETPIVOTDATA("XSB4",'sonbinh (2016)'!$A$3,"MA_HT","TMD","MA_QH","HNK")</f>
        <v>0</v>
      </c>
      <c r="K25" s="22">
        <f ca="1">+GETPIVOTDATA("XSB4",'sonbinh (2016)'!$A$3,"MA_HT","TMD","MA_QH","CLN")</f>
        <v>0</v>
      </c>
      <c r="L25" s="22">
        <f ca="1">+GETPIVOTDATA("XSB4",'sonbinh (2016)'!$A$3,"MA_HT","TMD","MA_QH","RSX")</f>
        <v>0</v>
      </c>
      <c r="M25" s="22">
        <f ca="1">+GETPIVOTDATA("XSB4",'sonbinh (2016)'!$A$3,"MA_HT","TMD","MA_QH","RPH")</f>
        <v>0</v>
      </c>
      <c r="N25" s="22">
        <f ca="1">+GETPIVOTDATA("XSB4",'sonbinh (2016)'!$A$3,"MA_HT","TMD","MA_QH","RDD")</f>
        <v>0</v>
      </c>
      <c r="O25" s="22">
        <f ca="1">+GETPIVOTDATA("XSB4",'sonbinh (2016)'!$A$3,"MA_HT","TMD","MA_QH","NTS")</f>
        <v>0</v>
      </c>
      <c r="P25" s="22">
        <f ca="1">+GETPIVOTDATA("XSB4",'sonbinh (2016)'!$A$3,"MA_HT","TMD","MA_QH","LMU")</f>
        <v>0</v>
      </c>
      <c r="Q25" s="22">
        <f ca="1">+GETPIVOTDATA("XSB4",'sonbinh (2016)'!$A$3,"MA_HT","TMD","MA_QH","NKH")</f>
        <v>0</v>
      </c>
      <c r="R25" s="42">
        <f ca="1">SUM(S25:W25,Y25:AA25,AN25:BD25)</f>
        <v>0</v>
      </c>
      <c r="S25" s="22">
        <f ca="1">+GETPIVOTDATA("XSB4",'sonbinh (2016)'!$A$3,"MA_HT","TMD","MA_QH","CQP")</f>
        <v>0</v>
      </c>
      <c r="T25" s="22">
        <f ca="1">+GETPIVOTDATA("XSB4",'sonbinh (2016)'!$A$3,"MA_HT","TMD","MA_QH","CAN")</f>
        <v>0</v>
      </c>
      <c r="U25" s="22">
        <f ca="1">+GETPIVOTDATA("XSB4",'sonbinh (2016)'!$A$3,"MA_HT","TMD","MA_QH","SKK")</f>
        <v>0</v>
      </c>
      <c r="V25" s="22">
        <f ca="1">+GETPIVOTDATA("XSB4",'sonbinh (2016)'!$A$3,"MA_HT","TMD","MA_QH","SKT")</f>
        <v>0</v>
      </c>
      <c r="W25" s="22">
        <f ca="1">+GETPIVOTDATA("XSB4",'sonbinh (2016)'!$A$3,"MA_HT","TMD","MA_QH","SKN")</f>
        <v>0</v>
      </c>
      <c r="X25" s="43" t="e">
        <f ca="1">$D25-$BF25</f>
        <v>#REF!</v>
      </c>
      <c r="Y25" s="22">
        <f ca="1">+GETPIVOTDATA("XSB4",'sonbinh (2016)'!$A$3,"MA_HT","TMD","MA_QH","SKC")</f>
        <v>0</v>
      </c>
      <c r="Z25" s="22">
        <f ca="1">+GETPIVOTDATA("XSB4",'sonbinh (2016)'!$A$3,"MA_HT","TMD","MA_QH","SKS")</f>
        <v>0</v>
      </c>
      <c r="AA25" s="52">
        <f ca="1" t="shared" si="12"/>
        <v>0</v>
      </c>
      <c r="AB25" s="22">
        <f ca="1">+GETPIVOTDATA("XSB4",'sonbinh (2016)'!$A$3,"MA_HT","TMD","MA_QH","DGT")</f>
        <v>0</v>
      </c>
      <c r="AC25" s="22">
        <f ca="1">+GETPIVOTDATA("XSB4",'sonbinh (2016)'!$A$3,"MA_HT","TMD","MA_QH","DTL")</f>
        <v>0</v>
      </c>
      <c r="AD25" s="22">
        <f ca="1">+GETPIVOTDATA("XSB4",'sonbinh (2016)'!$A$3,"MA_HT","TMD","MA_QH","DNL")</f>
        <v>0</v>
      </c>
      <c r="AE25" s="22">
        <f ca="1">+GETPIVOTDATA("XSB4",'sonbinh (2016)'!$A$3,"MA_HT","TMD","MA_QH","DBV")</f>
        <v>0</v>
      </c>
      <c r="AF25" s="22">
        <f ca="1">+GETPIVOTDATA("XSB4",'sonbinh (2016)'!$A$3,"MA_HT","TMD","MA_QH","DVH")</f>
        <v>0</v>
      </c>
      <c r="AG25" s="22">
        <f ca="1">+GETPIVOTDATA("XSB4",'sonbinh (2016)'!$A$3,"MA_HT","TMD","MA_QH","DYT")</f>
        <v>0</v>
      </c>
      <c r="AH25" s="22">
        <f ca="1">+GETPIVOTDATA("XSB4",'sonbinh (2016)'!$A$3,"MA_HT","TMD","MA_QH","DGD")</f>
        <v>0</v>
      </c>
      <c r="AI25" s="22">
        <f ca="1">+GETPIVOTDATA("XSB4",'sonbinh (2016)'!$A$3,"MA_HT","TMD","MA_QH","DTT")</f>
        <v>0</v>
      </c>
      <c r="AJ25" s="22">
        <f ca="1">+GETPIVOTDATA("XSB4",'sonbinh (2016)'!$A$3,"MA_HT","TMD","MA_QH","NCK")</f>
        <v>0</v>
      </c>
      <c r="AK25" s="22">
        <f ca="1">+GETPIVOTDATA("XSB4",'sonbinh (2016)'!$A$3,"MA_HT","TMD","MA_QH","DXH")</f>
        <v>0</v>
      </c>
      <c r="AL25" s="22">
        <f ca="1">+GETPIVOTDATA("XSB4",'sonbinh (2016)'!$A$3,"MA_HT","TMD","MA_QH","DCH")</f>
        <v>0</v>
      </c>
      <c r="AM25" s="22">
        <f ca="1">+GETPIVOTDATA("XSB4",'sonbinh (2016)'!$A$3,"MA_HT","TMD","MA_QH","DKG")</f>
        <v>0</v>
      </c>
      <c r="AN25" s="22">
        <f ca="1">+GETPIVOTDATA("XSB4",'sonbinh (2016)'!$A$3,"MA_HT","TMD","MA_QH","DDT")</f>
        <v>0</v>
      </c>
      <c r="AO25" s="22">
        <f ca="1">+GETPIVOTDATA("XSB4",'sonbinh (2016)'!$A$3,"MA_HT","TMD","MA_QH","DDL")</f>
        <v>0</v>
      </c>
      <c r="AP25" s="22">
        <f ca="1">+GETPIVOTDATA("XSB4",'sonbinh (2016)'!$A$3,"MA_HT","TMD","MA_QH","DRA")</f>
        <v>0</v>
      </c>
      <c r="AQ25" s="22">
        <f ca="1">+GETPIVOTDATA("XSB4",'sonbinh (2016)'!$A$3,"MA_HT","TMD","MA_QH","ONT")</f>
        <v>0</v>
      </c>
      <c r="AR25" s="22">
        <f ca="1">+GETPIVOTDATA("XSB4",'sonbinh (2016)'!$A$3,"MA_HT","TMD","MA_QH","ODT")</f>
        <v>0</v>
      </c>
      <c r="AS25" s="22">
        <f ca="1">+GETPIVOTDATA("XSB4",'sonbinh (2016)'!$A$3,"MA_HT","TMD","MA_QH","TSC")</f>
        <v>0</v>
      </c>
      <c r="AT25" s="22">
        <f ca="1">+GETPIVOTDATA("XSB4",'sonbinh (2016)'!$A$3,"MA_HT","TMD","MA_QH","DTS")</f>
        <v>0</v>
      </c>
      <c r="AU25" s="22">
        <f ca="1">+GETPIVOTDATA("XSB4",'sonbinh (2016)'!$A$3,"MA_HT","TMD","MA_QH","DNG")</f>
        <v>0</v>
      </c>
      <c r="AV25" s="22">
        <f ca="1">+GETPIVOTDATA("XSB4",'sonbinh (2016)'!$A$3,"MA_HT","TMD","MA_QH","TON")</f>
        <v>0</v>
      </c>
      <c r="AW25" s="22">
        <f ca="1">+GETPIVOTDATA("XSB4",'sonbinh (2016)'!$A$3,"MA_HT","TMD","MA_QH","NTD")</f>
        <v>0</v>
      </c>
      <c r="AX25" s="22">
        <f ca="1">+GETPIVOTDATA("XSB4",'sonbinh (2016)'!$A$3,"MA_HT","TMD","MA_QH","SKX")</f>
        <v>0</v>
      </c>
      <c r="AY25" s="22">
        <f ca="1">+GETPIVOTDATA("XSB4",'sonbinh (2016)'!$A$3,"MA_HT","TMD","MA_QH","DSH")</f>
        <v>0</v>
      </c>
      <c r="AZ25" s="22">
        <f ca="1">+GETPIVOTDATA("XSB4",'sonbinh (2016)'!$A$3,"MA_HT","TMD","MA_QH","DKV")</f>
        <v>0</v>
      </c>
      <c r="BA25" s="89">
        <f ca="1">+GETPIVOTDATA("XSB4",'sonbinh (2016)'!$A$3,"MA_HT","TMD","MA_QH","TIN")</f>
        <v>0</v>
      </c>
      <c r="BB25" s="50">
        <f ca="1">+GETPIVOTDATA("XSB4",'sonbinh (2016)'!$A$3,"MA_HT","TMD","MA_QH","SON")</f>
        <v>0</v>
      </c>
      <c r="BC25" s="50">
        <f ca="1">+GETPIVOTDATA("XSB4",'sonbinh (2016)'!$A$3,"MA_HT","TMD","MA_QH","MNC")</f>
        <v>0</v>
      </c>
      <c r="BD25" s="22">
        <f ca="1">+GETPIVOTDATA("XSB4",'sonbinh (2016)'!$A$3,"MA_HT","TMD","MA_QH","PNK")</f>
        <v>0</v>
      </c>
      <c r="BE25" s="71">
        <f ca="1">+GETPIVOTDATA("XSB4",'sonbinh (2016)'!$A$3,"MA_HT","TMD","MA_QH","CSD")</f>
        <v>0</v>
      </c>
      <c r="BF25" s="74">
        <f ca="1" t="shared" si="13"/>
        <v>0</v>
      </c>
      <c r="BG25" s="101">
        <f ca="1">X$59-$BF25</f>
        <v>0</v>
      </c>
      <c r="BH25" s="41" t="e">
        <f ca="1" t="shared" si="14"/>
        <v>#REF!</v>
      </c>
      <c r="BI25" s="98"/>
      <c r="BJ25" s="107" t="e">
        <f>#REF!</f>
        <v>#REF!</v>
      </c>
      <c r="BK25" s="107" t="e">
        <f ca="1">BH25-BJ25</f>
        <v>#REF!</v>
      </c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</row>
    <row r="26" s="2" customFormat="1" ht="15.75" customHeight="1" spans="1:79">
      <c r="A26" s="39" t="s">
        <v>8370</v>
      </c>
      <c r="B26" s="39" t="s">
        <v>8371</v>
      </c>
      <c r="C26" s="40" t="s">
        <v>204</v>
      </c>
      <c r="D26" s="41" t="e">
        <f>+#REF!</f>
        <v>#REF!</v>
      </c>
      <c r="E26" s="42">
        <f ca="1" t="shared" si="15"/>
        <v>0</v>
      </c>
      <c r="F26" s="52">
        <f ca="1" t="shared" si="9"/>
        <v>0</v>
      </c>
      <c r="G26" s="22">
        <f ca="1">+GETPIVOTDATA("XSB4",'sonbinh (2016)'!$A$3,"MA_HT","SKC","MA_QH","LUC")</f>
        <v>0</v>
      </c>
      <c r="H26" s="22">
        <f ca="1">+GETPIVOTDATA("XSB4",'sonbinh (2016)'!$A$3,"MA_HT","SKC","MA_QH","LUK")</f>
        <v>0</v>
      </c>
      <c r="I26" s="22">
        <f ca="1">+GETPIVOTDATA("XSB4",'sonbinh (2016)'!$A$3,"MA_HT","SKC","MA_QH","LUN")</f>
        <v>0</v>
      </c>
      <c r="J26" s="22">
        <f ca="1">+GETPIVOTDATA("XSB4",'sonbinh (2016)'!$A$3,"MA_HT","SKC","MA_QH","HNK")</f>
        <v>0</v>
      </c>
      <c r="K26" s="22">
        <f ca="1">+GETPIVOTDATA("XSB4",'sonbinh (2016)'!$A$3,"MA_HT","SKC","MA_QH","CLN")</f>
        <v>0</v>
      </c>
      <c r="L26" s="22">
        <f ca="1">+GETPIVOTDATA("XSB4",'sonbinh (2016)'!$A$3,"MA_HT","SKC","MA_QH","RSX")</f>
        <v>0</v>
      </c>
      <c r="M26" s="22">
        <f ca="1">+GETPIVOTDATA("XSB4",'sonbinh (2016)'!$A$3,"MA_HT","SKC","MA_QH","RPH")</f>
        <v>0</v>
      </c>
      <c r="N26" s="22">
        <f ca="1">+GETPIVOTDATA("XSB4",'sonbinh (2016)'!$A$3,"MA_HT","SKC","MA_QH","RDD")</f>
        <v>0</v>
      </c>
      <c r="O26" s="22">
        <f ca="1">+GETPIVOTDATA("XSB4",'sonbinh (2016)'!$A$3,"MA_HT","SKC","MA_QH","NTS")</f>
        <v>0</v>
      </c>
      <c r="P26" s="22">
        <f ca="1">+GETPIVOTDATA("XSB4",'sonbinh (2016)'!$A$3,"MA_HT","SKC","MA_QH","LMU")</f>
        <v>0</v>
      </c>
      <c r="Q26" s="22">
        <f ca="1">+GETPIVOTDATA("XSB4",'sonbinh (2016)'!$A$3,"MA_HT","SKC","MA_QH","NKH")</f>
        <v>0</v>
      </c>
      <c r="R26" s="42">
        <f ca="1">SUM(S26:X26,Z26,AN26:BD26)</f>
        <v>0</v>
      </c>
      <c r="S26" s="22">
        <f ca="1">+GETPIVOTDATA("XSB4",'sonbinh (2016)'!$A$3,"MA_HT","SKC","MA_QH","CQP")</f>
        <v>0</v>
      </c>
      <c r="T26" s="22">
        <f ca="1">+GETPIVOTDATA("XSB4",'sonbinh (2016)'!$A$3,"MA_HT","SKC","MA_QH","CAN")</f>
        <v>0</v>
      </c>
      <c r="U26" s="22">
        <f ca="1">+GETPIVOTDATA("XSB4",'sonbinh (2016)'!$A$3,"MA_HT","SKC","MA_QH","SKK")</f>
        <v>0</v>
      </c>
      <c r="V26" s="22">
        <f ca="1">+GETPIVOTDATA("XSB4",'sonbinh (2016)'!$A$3,"MA_HT","SKC","MA_QH","SKT")</f>
        <v>0</v>
      </c>
      <c r="W26" s="22">
        <f ca="1">+GETPIVOTDATA("XSB4",'sonbinh (2016)'!$A$3,"MA_HT","SKC","MA_QH","SKN")</f>
        <v>0</v>
      </c>
      <c r="X26" s="22">
        <f ca="1">+GETPIVOTDATA("XSB4",'sonbinh (2016)'!$A$3,"MA_HT","SKC","MA_QH","TMD")</f>
        <v>0</v>
      </c>
      <c r="Y26" s="43" t="e">
        <f ca="1">$D26-$BF26</f>
        <v>#REF!</v>
      </c>
      <c r="Z26" s="22">
        <f ca="1">+GETPIVOTDATA("XSB4",'sonbinh (2016)'!$A$3,"MA_HT","SKC","MA_QH","SKS")</f>
        <v>0</v>
      </c>
      <c r="AA26" s="52">
        <f ca="1" t="shared" si="12"/>
        <v>0</v>
      </c>
      <c r="AB26" s="22">
        <f ca="1">+GETPIVOTDATA("XSB4",'sonbinh (2016)'!$A$3,"MA_HT","SKC","MA_QH","DGT")</f>
        <v>0</v>
      </c>
      <c r="AC26" s="22">
        <f ca="1">+GETPIVOTDATA("XSB4",'sonbinh (2016)'!$A$3,"MA_HT","SKC","MA_QH","DTL")</f>
        <v>0</v>
      </c>
      <c r="AD26" s="22">
        <f ca="1">+GETPIVOTDATA("XSB4",'sonbinh (2016)'!$A$3,"MA_HT","SKC","MA_QH","DNL")</f>
        <v>0</v>
      </c>
      <c r="AE26" s="22">
        <f ca="1">+GETPIVOTDATA("XSB4",'sonbinh (2016)'!$A$3,"MA_HT","SKC","MA_QH","DBV")</f>
        <v>0</v>
      </c>
      <c r="AF26" s="22">
        <f ca="1">+GETPIVOTDATA("XSB4",'sonbinh (2016)'!$A$3,"MA_HT","SKC","MA_QH","DVH")</f>
        <v>0</v>
      </c>
      <c r="AG26" s="22">
        <f ca="1">+GETPIVOTDATA("XSB4",'sonbinh (2016)'!$A$3,"MA_HT","SKC","MA_QH","DYT")</f>
        <v>0</v>
      </c>
      <c r="AH26" s="22">
        <f ca="1">+GETPIVOTDATA("XSB4",'sonbinh (2016)'!$A$3,"MA_HT","SKC","MA_QH","DGD")</f>
        <v>0</v>
      </c>
      <c r="AI26" s="22">
        <f ca="1">+GETPIVOTDATA("XSB4",'sonbinh (2016)'!$A$3,"MA_HT","SKC","MA_QH","DTT")</f>
        <v>0</v>
      </c>
      <c r="AJ26" s="22">
        <f ca="1">+GETPIVOTDATA("XSB4",'sonbinh (2016)'!$A$3,"MA_HT","SKC","MA_QH","NCK")</f>
        <v>0</v>
      </c>
      <c r="AK26" s="22">
        <f ca="1">+GETPIVOTDATA("XSB4",'sonbinh (2016)'!$A$3,"MA_HT","SKC","MA_QH","DXH")</f>
        <v>0</v>
      </c>
      <c r="AL26" s="22">
        <f ca="1">+GETPIVOTDATA("XSB4",'sonbinh (2016)'!$A$3,"MA_HT","SKC","MA_QH","DCH")</f>
        <v>0</v>
      </c>
      <c r="AM26" s="22">
        <f ca="1">+GETPIVOTDATA("XSB4",'sonbinh (2016)'!$A$3,"MA_HT","SKC","MA_QH","DKG")</f>
        <v>0</v>
      </c>
      <c r="AN26" s="22">
        <f ca="1">+GETPIVOTDATA("XSB4",'sonbinh (2016)'!$A$3,"MA_HT","SKC","MA_QH","DDT")</f>
        <v>0</v>
      </c>
      <c r="AO26" s="22">
        <f ca="1">+GETPIVOTDATA("XSB4",'sonbinh (2016)'!$A$3,"MA_HT","SKC","MA_QH","DDL")</f>
        <v>0</v>
      </c>
      <c r="AP26" s="22">
        <f ca="1">+GETPIVOTDATA("XSB4",'sonbinh (2016)'!$A$3,"MA_HT","SKC","MA_QH","DRA")</f>
        <v>0</v>
      </c>
      <c r="AQ26" s="22">
        <f ca="1">+GETPIVOTDATA("XSB4",'sonbinh (2016)'!$A$3,"MA_HT","SKC","MA_QH","ONT")</f>
        <v>0</v>
      </c>
      <c r="AR26" s="22">
        <f ca="1">+GETPIVOTDATA("XSB4",'sonbinh (2016)'!$A$3,"MA_HT","SKC","MA_QH","ODT")</f>
        <v>0</v>
      </c>
      <c r="AS26" s="22">
        <f ca="1">+GETPIVOTDATA("XSB4",'sonbinh (2016)'!$A$3,"MA_HT","SKC","MA_QH","TSC")</f>
        <v>0</v>
      </c>
      <c r="AT26" s="22">
        <f ca="1">+GETPIVOTDATA("XSB4",'sonbinh (2016)'!$A$3,"MA_HT","SKC","MA_QH","DTS")</f>
        <v>0</v>
      </c>
      <c r="AU26" s="22">
        <f ca="1">+GETPIVOTDATA("XSB4",'sonbinh (2016)'!$A$3,"MA_HT","SKC","MA_QH","DNG")</f>
        <v>0</v>
      </c>
      <c r="AV26" s="22">
        <f ca="1">+GETPIVOTDATA("XSB4",'sonbinh (2016)'!$A$3,"MA_HT","SKC","MA_QH","TON")</f>
        <v>0</v>
      </c>
      <c r="AW26" s="22">
        <f ca="1">+GETPIVOTDATA("XSB4",'sonbinh (2016)'!$A$3,"MA_HT","SKC","MA_QH","NTD")</f>
        <v>0</v>
      </c>
      <c r="AX26" s="22">
        <f ca="1">+GETPIVOTDATA("XSB4",'sonbinh (2016)'!$A$3,"MA_HT","SKC","MA_QH","SKX")</f>
        <v>0</v>
      </c>
      <c r="AY26" s="22">
        <f ca="1">+GETPIVOTDATA("XSB4",'sonbinh (2016)'!$A$3,"MA_HT","SKC","MA_QH","DSH")</f>
        <v>0</v>
      </c>
      <c r="AZ26" s="22">
        <f ca="1">+GETPIVOTDATA("XSB4",'sonbinh (2016)'!$A$3,"MA_HT","SKC","MA_QH","DKV")</f>
        <v>0</v>
      </c>
      <c r="BA26" s="89">
        <f ca="1">+GETPIVOTDATA("XSB4",'sonbinh (2016)'!$A$3,"MA_HT","SKC","MA_QH","TIN")</f>
        <v>0</v>
      </c>
      <c r="BB26" s="50">
        <f ca="1">+GETPIVOTDATA("XSB4",'sonbinh (2016)'!$A$3,"MA_HT","SKC","MA_QH","SON")</f>
        <v>0</v>
      </c>
      <c r="BC26" s="50">
        <f ca="1">+GETPIVOTDATA("XSB4",'sonbinh (2016)'!$A$3,"MA_HT","SKC","MA_QH","MNC")</f>
        <v>0</v>
      </c>
      <c r="BD26" s="22">
        <f ca="1">+GETPIVOTDATA("XSB4",'sonbinh (2016)'!$A$3,"MA_HT","SKC","MA_QH","PNK")</f>
        <v>0</v>
      </c>
      <c r="BE26" s="71">
        <f ca="1">+GETPIVOTDATA("XSB4",'sonbinh (2016)'!$A$3,"MA_HT","SKC","MA_QH","CSD")</f>
        <v>0</v>
      </c>
      <c r="BF26" s="74">
        <f ca="1" t="shared" si="13"/>
        <v>0</v>
      </c>
      <c r="BG26" s="101">
        <f ca="1">Y$59-$BF26</f>
        <v>0</v>
      </c>
      <c r="BH26" s="41" t="e">
        <f ca="1" t="shared" si="14"/>
        <v>#REF!</v>
      </c>
      <c r="BI26" s="98"/>
      <c r="BJ26" s="107" t="e">
        <f>#REF!</f>
        <v>#REF!</v>
      </c>
      <c r="BK26" s="107" t="e">
        <f ca="1">BH26-BJ26</f>
        <v>#REF!</v>
      </c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</row>
    <row r="27" s="2" customFormat="1" ht="15.75" customHeight="1" spans="1:79">
      <c r="A27" s="39" t="s">
        <v>8372</v>
      </c>
      <c r="B27" s="53" t="s">
        <v>8373</v>
      </c>
      <c r="C27" s="40" t="s">
        <v>174</v>
      </c>
      <c r="D27" s="41" t="e">
        <f>+#REF!</f>
        <v>#REF!</v>
      </c>
      <c r="E27" s="42">
        <f ca="1" t="shared" si="15"/>
        <v>0</v>
      </c>
      <c r="F27" s="52">
        <f ca="1" t="shared" si="9"/>
        <v>0</v>
      </c>
      <c r="G27" s="22">
        <f ca="1">+GETPIVOTDATA("XSB4",'sonbinh (2016)'!$A$3,"MA_HT","SKS","MA_QH","LUC")</f>
        <v>0</v>
      </c>
      <c r="H27" s="22">
        <f ca="1">+GETPIVOTDATA("XSB4",'sonbinh (2016)'!$A$3,"MA_HT","SKS","MA_QH","LUK")</f>
        <v>0</v>
      </c>
      <c r="I27" s="22">
        <f ca="1">+GETPIVOTDATA("XSB4",'sonbinh (2016)'!$A$3,"MA_HT","SKS","MA_QH","LUN")</f>
        <v>0</v>
      </c>
      <c r="J27" s="22">
        <f ca="1">+GETPIVOTDATA("XSB4",'sonbinh (2016)'!$A$3,"MA_HT","SKS","MA_QH","HNK")</f>
        <v>0</v>
      </c>
      <c r="K27" s="22">
        <f ca="1">+GETPIVOTDATA("XSB4",'sonbinh (2016)'!$A$3,"MA_HT","SKS","MA_QH","CLN")</f>
        <v>0</v>
      </c>
      <c r="L27" s="22">
        <f ca="1">+GETPIVOTDATA("XSB4",'sonbinh (2016)'!$A$3,"MA_HT","SKS","MA_QH","RSX")</f>
        <v>0</v>
      </c>
      <c r="M27" s="22">
        <f ca="1">+GETPIVOTDATA("XSB4",'sonbinh (2016)'!$A$3,"MA_HT","SKS","MA_QH","RPH")</f>
        <v>0</v>
      </c>
      <c r="N27" s="22">
        <f ca="1">+GETPIVOTDATA("XSB4",'sonbinh (2016)'!$A$3,"MA_HT","SKS","MA_QH","RDD")</f>
        <v>0</v>
      </c>
      <c r="O27" s="22">
        <f ca="1">+GETPIVOTDATA("XSB4",'sonbinh (2016)'!$A$3,"MA_HT","SKS","MA_QH","NTS")</f>
        <v>0</v>
      </c>
      <c r="P27" s="22">
        <f ca="1">+GETPIVOTDATA("XSB4",'sonbinh (2016)'!$A$3,"MA_HT","SKS","MA_QH","LMU")</f>
        <v>0</v>
      </c>
      <c r="Q27" s="22">
        <f ca="1">+GETPIVOTDATA("XSB4",'sonbinh (2016)'!$A$3,"MA_HT","SKS","MA_QH","NKH")</f>
        <v>0</v>
      </c>
      <c r="R27" s="42">
        <f ca="1">SUM(S27:Y27,AA27,AN27:BD27)</f>
        <v>0</v>
      </c>
      <c r="S27" s="22">
        <f ca="1">+GETPIVOTDATA("XSB4",'sonbinh (2016)'!$A$3,"MA_HT","SKS","MA_QH","CQP")</f>
        <v>0</v>
      </c>
      <c r="T27" s="22">
        <f ca="1">+GETPIVOTDATA("XSB4",'sonbinh (2016)'!$A$3,"MA_HT","SKS","MA_QH","CAN")</f>
        <v>0</v>
      </c>
      <c r="U27" s="22">
        <f ca="1">+GETPIVOTDATA("XSB4",'sonbinh (2016)'!$A$3,"MA_HT","SKS","MA_QH","SKK")</f>
        <v>0</v>
      </c>
      <c r="V27" s="22">
        <f ca="1">+GETPIVOTDATA("XSB4",'sonbinh (2016)'!$A$3,"MA_HT","SKS","MA_QH","SKT")</f>
        <v>0</v>
      </c>
      <c r="W27" s="22">
        <f ca="1">+GETPIVOTDATA("XSB4",'sonbinh (2016)'!$A$3,"MA_HT","SKS","MA_QH","SKN")</f>
        <v>0</v>
      </c>
      <c r="X27" s="22">
        <f ca="1">+GETPIVOTDATA("XSB4",'sonbinh (2016)'!$A$3,"MA_HT","SKS","MA_QH","TMD")</f>
        <v>0</v>
      </c>
      <c r="Y27" s="22">
        <f ca="1">+GETPIVOTDATA("XSB4",'sonbinh (2016)'!$A$3,"MA_HT","SKS","MA_QH","SKC")</f>
        <v>0</v>
      </c>
      <c r="Z27" s="43" t="e">
        <f ca="1">$D27-$BF27</f>
        <v>#REF!</v>
      </c>
      <c r="AA27" s="52">
        <f ca="1" t="shared" si="12"/>
        <v>0</v>
      </c>
      <c r="AB27" s="22">
        <f ca="1">+GETPIVOTDATA("XSB4",'sonbinh (2016)'!$A$3,"MA_HT","SKS","MA_QH","DGT")</f>
        <v>0</v>
      </c>
      <c r="AC27" s="22">
        <f ca="1">+GETPIVOTDATA("XSB4",'sonbinh (2016)'!$A$3,"MA_HT","SKS","MA_QH","DTL")</f>
        <v>0</v>
      </c>
      <c r="AD27" s="22">
        <f ca="1">+GETPIVOTDATA("XSB4",'sonbinh (2016)'!$A$3,"MA_HT","SKS","MA_QH","DNL")</f>
        <v>0</v>
      </c>
      <c r="AE27" s="22">
        <f ca="1">+GETPIVOTDATA("XSB4",'sonbinh (2016)'!$A$3,"MA_HT","SKS","MA_QH","DBV")</f>
        <v>0</v>
      </c>
      <c r="AF27" s="22">
        <f ca="1">+GETPIVOTDATA("XSB4",'sonbinh (2016)'!$A$3,"MA_HT","SKS","MA_QH","DVH")</f>
        <v>0</v>
      </c>
      <c r="AG27" s="22">
        <f ca="1">+GETPIVOTDATA("XSB4",'sonbinh (2016)'!$A$3,"MA_HT","SKS","MA_QH","DYT")</f>
        <v>0</v>
      </c>
      <c r="AH27" s="22">
        <f ca="1">+GETPIVOTDATA("XSB4",'sonbinh (2016)'!$A$3,"MA_HT","SKS","MA_QH","DGD")</f>
        <v>0</v>
      </c>
      <c r="AI27" s="22">
        <f ca="1">+GETPIVOTDATA("XSB4",'sonbinh (2016)'!$A$3,"MA_HT","SKS","MA_QH","DTT")</f>
        <v>0</v>
      </c>
      <c r="AJ27" s="22">
        <f ca="1">+GETPIVOTDATA("XSB4",'sonbinh (2016)'!$A$3,"MA_HT","SKS","MA_QH","NCK")</f>
        <v>0</v>
      </c>
      <c r="AK27" s="22">
        <f ca="1">+GETPIVOTDATA("XSB4",'sonbinh (2016)'!$A$3,"MA_HT","SKS","MA_QH","DXH")</f>
        <v>0</v>
      </c>
      <c r="AL27" s="22">
        <f ca="1">+GETPIVOTDATA("XSB4",'sonbinh (2016)'!$A$3,"MA_HT","SKS","MA_QH","DCH")</f>
        <v>0</v>
      </c>
      <c r="AM27" s="22">
        <f ca="1">+GETPIVOTDATA("XSB4",'sonbinh (2016)'!$A$3,"MA_HT","SKS","MA_QH","DKG")</f>
        <v>0</v>
      </c>
      <c r="AN27" s="22">
        <f ca="1">+GETPIVOTDATA("XSB4",'sonbinh (2016)'!$A$3,"MA_HT","SKS","MA_QH","DDT")</f>
        <v>0</v>
      </c>
      <c r="AO27" s="22">
        <f ca="1">+GETPIVOTDATA("XSB4",'sonbinh (2016)'!$A$3,"MA_HT","SKS","MA_QH","DDL")</f>
        <v>0</v>
      </c>
      <c r="AP27" s="22">
        <f ca="1">+GETPIVOTDATA("XSB4",'sonbinh (2016)'!$A$3,"MA_HT","SKS","MA_QH","DRA")</f>
        <v>0</v>
      </c>
      <c r="AQ27" s="22">
        <f ca="1">+GETPIVOTDATA("XSB4",'sonbinh (2016)'!$A$3,"MA_HT","SKS","MA_QH","ONT")</f>
        <v>0</v>
      </c>
      <c r="AR27" s="22">
        <f ca="1">+GETPIVOTDATA("XSB4",'sonbinh (2016)'!$A$3,"MA_HT","SKS","MA_QH","ODT")</f>
        <v>0</v>
      </c>
      <c r="AS27" s="22">
        <f ca="1">+GETPIVOTDATA("XSB4",'sonbinh (2016)'!$A$3,"MA_HT","SKS","MA_QH","TSC")</f>
        <v>0</v>
      </c>
      <c r="AT27" s="22">
        <f ca="1">+GETPIVOTDATA("XSB4",'sonbinh (2016)'!$A$3,"MA_HT","SKS","MA_QH","DTS")</f>
        <v>0</v>
      </c>
      <c r="AU27" s="22">
        <f ca="1">+GETPIVOTDATA("XSB4",'sonbinh (2016)'!$A$3,"MA_HT","SKS","MA_QH","DNG")</f>
        <v>0</v>
      </c>
      <c r="AV27" s="22">
        <f ca="1">+GETPIVOTDATA("XSB4",'sonbinh (2016)'!$A$3,"MA_HT","SKS","MA_QH","TON")</f>
        <v>0</v>
      </c>
      <c r="AW27" s="22">
        <f ca="1">+GETPIVOTDATA("XSB4",'sonbinh (2016)'!$A$3,"MA_HT","SKS","MA_QH","NTD")</f>
        <v>0</v>
      </c>
      <c r="AX27" s="22">
        <f ca="1">+GETPIVOTDATA("XSB4",'sonbinh (2016)'!$A$3,"MA_HT","SKS","MA_QH","SKX")</f>
        <v>0</v>
      </c>
      <c r="AY27" s="22">
        <f ca="1">+GETPIVOTDATA("XSB4",'sonbinh (2016)'!$A$3,"MA_HT","SKS","MA_QH","DSH")</f>
        <v>0</v>
      </c>
      <c r="AZ27" s="22">
        <f ca="1">+GETPIVOTDATA("XSB4",'sonbinh (2016)'!$A$3,"MA_HT","SKS","MA_QH","DKV")</f>
        <v>0</v>
      </c>
      <c r="BA27" s="89">
        <f ca="1">+GETPIVOTDATA("XSB4",'sonbinh (2016)'!$A$3,"MA_HT","SKS","MA_QH","TIN")</f>
        <v>0</v>
      </c>
      <c r="BB27" s="50">
        <f ca="1">+GETPIVOTDATA("XSB4",'sonbinh (2016)'!$A$3,"MA_HT","SKS","MA_QH","SON")</f>
        <v>0</v>
      </c>
      <c r="BC27" s="50">
        <f ca="1">+GETPIVOTDATA("XSB4",'sonbinh (2016)'!$A$3,"MA_HT","SKS","MA_QH","MNC")</f>
        <v>0</v>
      </c>
      <c r="BD27" s="22">
        <f ca="1">+GETPIVOTDATA("XSB4",'sonbinh (2016)'!$A$3,"MA_HT","SKS","MA_QH","PNK")</f>
        <v>0</v>
      </c>
      <c r="BE27" s="71">
        <f ca="1">+GETPIVOTDATA("XSB4",'sonbinh (2016)'!$A$3,"MA_HT","SKS","MA_QH","CSD")</f>
        <v>0</v>
      </c>
      <c r="BF27" s="74">
        <f ca="1" t="shared" si="13"/>
        <v>0</v>
      </c>
      <c r="BG27" s="101">
        <f ca="1">Z$59-$BF27</f>
        <v>0</v>
      </c>
      <c r="BH27" s="41" t="e">
        <f ca="1" t="shared" si="14"/>
        <v>#REF!</v>
      </c>
      <c r="BI27" s="98"/>
      <c r="BJ27" s="107" t="e">
        <f>#REF!</f>
        <v>#REF!</v>
      </c>
      <c r="BK27" s="107" t="e">
        <f ca="1">BH27-BJ27</f>
        <v>#REF!</v>
      </c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</row>
    <row r="28" s="2" customFormat="1" ht="15.75" customHeight="1" spans="1:79">
      <c r="A28" s="39" t="s">
        <v>8374</v>
      </c>
      <c r="B28" s="53" t="s">
        <v>8375</v>
      </c>
      <c r="C28" s="40" t="s">
        <v>8288</v>
      </c>
      <c r="D28" s="41" t="e">
        <f>+#REF!</f>
        <v>#REF!</v>
      </c>
      <c r="E28" s="42">
        <f ca="1" t="shared" si="15"/>
        <v>0</v>
      </c>
      <c r="F28" s="52">
        <f ca="1" t="shared" si="9"/>
        <v>0</v>
      </c>
      <c r="G28" s="44">
        <f ca="1">SUM(G29:G39)</f>
        <v>0</v>
      </c>
      <c r="H28" s="44">
        <f ca="1" t="shared" ref="H28:Q28" si="16">SUM(H29:H39)</f>
        <v>0</v>
      </c>
      <c r="I28" s="44">
        <f ca="1" t="shared" si="16"/>
        <v>0</v>
      </c>
      <c r="J28" s="44">
        <f ca="1" t="shared" si="16"/>
        <v>0</v>
      </c>
      <c r="K28" s="44">
        <f ca="1" t="shared" si="16"/>
        <v>0</v>
      </c>
      <c r="L28" s="44">
        <f ca="1" t="shared" si="16"/>
        <v>0</v>
      </c>
      <c r="M28" s="44">
        <f ca="1" t="shared" si="16"/>
        <v>0</v>
      </c>
      <c r="N28" s="44">
        <f ca="1" t="shared" si="16"/>
        <v>0</v>
      </c>
      <c r="O28" s="44">
        <f ca="1" t="shared" si="16"/>
        <v>0</v>
      </c>
      <c r="P28" s="44">
        <f ca="1" t="shared" si="16"/>
        <v>0</v>
      </c>
      <c r="Q28" s="44">
        <f ca="1" t="shared" si="16"/>
        <v>0</v>
      </c>
      <c r="R28" s="44">
        <f ca="1">SUM(S28:Z28,AN28:BD28)</f>
        <v>0</v>
      </c>
      <c r="S28" s="44">
        <f ca="1">SUM(S29:S39)</f>
        <v>0</v>
      </c>
      <c r="T28" s="44">
        <f ca="1" t="shared" ref="T28:Z28" si="17">SUM(T29:T39)</f>
        <v>0</v>
      </c>
      <c r="U28" s="44">
        <f ca="1" t="shared" si="17"/>
        <v>0</v>
      </c>
      <c r="V28" s="44">
        <f ca="1" t="shared" si="17"/>
        <v>0</v>
      </c>
      <c r="W28" s="44">
        <f ca="1" t="shared" si="17"/>
        <v>0</v>
      </c>
      <c r="X28" s="44">
        <f ca="1" t="shared" si="17"/>
        <v>0</v>
      </c>
      <c r="Y28" s="44">
        <f ca="1" t="shared" si="17"/>
        <v>0</v>
      </c>
      <c r="Z28" s="44">
        <f ca="1" t="shared" si="17"/>
        <v>0</v>
      </c>
      <c r="AA28" s="43" t="e">
        <f ca="1">$D28-$BF28</f>
        <v>#REF!</v>
      </c>
      <c r="AB28" s="44">
        <f ca="1">SUM(AB30:AB39)</f>
        <v>0</v>
      </c>
      <c r="AC28" s="44">
        <f ca="1">SUM(AC29,AC31:AC39)</f>
        <v>0</v>
      </c>
      <c r="AD28" s="44">
        <f ca="1">SUM(AD29:AD30,AD32:AD39)</f>
        <v>0</v>
      </c>
      <c r="AE28" s="44">
        <f ca="1">SUM(AE29:AE31,AE33:AE39)</f>
        <v>0</v>
      </c>
      <c r="AF28" s="44">
        <f ca="1">SUM(AF29:AF32,AF34:AF39)</f>
        <v>0</v>
      </c>
      <c r="AG28" s="44">
        <f ca="1">SUM(AG29:AG33,AG35:AG39)</f>
        <v>0</v>
      </c>
      <c r="AH28" s="44">
        <f ca="1">SUM(AH29:AH34,AH36:AH39)</f>
        <v>0</v>
      </c>
      <c r="AI28" s="44">
        <f ca="1">SUM(AI29:AI35,AI37:AI39)</f>
        <v>0</v>
      </c>
      <c r="AJ28" s="44">
        <f ca="1">SUM(AJ29:AJ36,AJ38:AJ39)</f>
        <v>0</v>
      </c>
      <c r="AK28" s="44">
        <f ca="1">SUM(AK29:AK37,AK39)</f>
        <v>0</v>
      </c>
      <c r="AL28" s="44">
        <f ca="1">SUM(AL29:AL38)</f>
        <v>0</v>
      </c>
      <c r="AM28" s="44">
        <f ca="1">SUM(AM29:AM38)</f>
        <v>0</v>
      </c>
      <c r="AN28" s="44">
        <f ca="1" t="shared" ref="AN28:BE28" si="18">SUM(AN29:AN39)</f>
        <v>0</v>
      </c>
      <c r="AO28" s="44">
        <f ca="1" t="shared" si="18"/>
        <v>0</v>
      </c>
      <c r="AP28" s="44">
        <f ca="1" t="shared" si="18"/>
        <v>0</v>
      </c>
      <c r="AQ28" s="44">
        <f ca="1" t="shared" si="18"/>
        <v>0</v>
      </c>
      <c r="AR28" s="44">
        <f ca="1" t="shared" si="18"/>
        <v>0</v>
      </c>
      <c r="AS28" s="44">
        <f ca="1" t="shared" si="18"/>
        <v>0</v>
      </c>
      <c r="AT28" s="44">
        <f ca="1" t="shared" si="18"/>
        <v>0</v>
      </c>
      <c r="AU28" s="44">
        <f ca="1" t="shared" si="18"/>
        <v>0</v>
      </c>
      <c r="AV28" s="44">
        <f ca="1" t="shared" si="18"/>
        <v>0</v>
      </c>
      <c r="AW28" s="44">
        <f ca="1" t="shared" si="18"/>
        <v>0</v>
      </c>
      <c r="AX28" s="44">
        <f ca="1" t="shared" si="18"/>
        <v>0</v>
      </c>
      <c r="AY28" s="44">
        <f ca="1" t="shared" si="18"/>
        <v>0</v>
      </c>
      <c r="AZ28" s="44">
        <f ca="1" t="shared" si="18"/>
        <v>0</v>
      </c>
      <c r="BA28" s="44">
        <f ca="1" t="shared" si="18"/>
        <v>0</v>
      </c>
      <c r="BB28" s="44">
        <f ca="1" t="shared" si="18"/>
        <v>0</v>
      </c>
      <c r="BC28" s="44">
        <f ca="1" t="shared" si="18"/>
        <v>0</v>
      </c>
      <c r="BD28" s="44">
        <f ca="1" t="shared" si="18"/>
        <v>0</v>
      </c>
      <c r="BE28" s="44">
        <f ca="1" t="shared" si="18"/>
        <v>0</v>
      </c>
      <c r="BF28" s="74">
        <f ca="1" t="shared" si="13"/>
        <v>0</v>
      </c>
      <c r="BG28" s="101">
        <f ca="1">AA$59-$BF28</f>
        <v>0</v>
      </c>
      <c r="BH28" s="41" t="e">
        <f ca="1" t="shared" si="14"/>
        <v>#REF!</v>
      </c>
      <c r="BI28" s="98"/>
      <c r="BJ28" s="107"/>
      <c r="BK28" s="107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</row>
    <row r="29" s="4" customFormat="1" ht="16.5" customHeight="1" spans="1:79">
      <c r="A29" s="45" t="s">
        <v>8376</v>
      </c>
      <c r="B29" s="45" t="s">
        <v>8377</v>
      </c>
      <c r="C29" s="46" t="s">
        <v>94</v>
      </c>
      <c r="D29" s="47" t="e">
        <f>+#REF!</f>
        <v>#REF!</v>
      </c>
      <c r="E29" s="42">
        <f ca="1" t="shared" si="15"/>
        <v>0</v>
      </c>
      <c r="F29" s="52">
        <f ca="1" t="shared" si="9"/>
        <v>0</v>
      </c>
      <c r="G29" s="50">
        <f ca="1">+GETPIVOTDATA("XSB4",'sonbinh (2016)'!$A$3,"MA_HT","DGT","MA_QH","LUC")</f>
        <v>0</v>
      </c>
      <c r="H29" s="50">
        <f ca="1">+GETPIVOTDATA("XSB4",'sonbinh (2016)'!$A$3,"MA_HT","DGT","MA_QH","LUK")</f>
        <v>0</v>
      </c>
      <c r="I29" s="50">
        <f ca="1">+GETPIVOTDATA("XSB4",'sonbinh (2016)'!$A$3,"MA_HT","DGT","MA_QH","LUN")</f>
        <v>0</v>
      </c>
      <c r="J29" s="50">
        <f ca="1">+GETPIVOTDATA("XSB4",'sonbinh (2016)'!$A$3,"MA_HT","DGT","MA_QH","HNK")</f>
        <v>0</v>
      </c>
      <c r="K29" s="50">
        <f ca="1">+GETPIVOTDATA("XSB4",'sonbinh (2016)'!$A$3,"MA_HT","DGT","MA_QH","CLN")</f>
        <v>0</v>
      </c>
      <c r="L29" s="50">
        <f ca="1">+GETPIVOTDATA("XSB4",'sonbinh (2016)'!$A$3,"MA_HT","DGT","MA_QH","RSX")</f>
        <v>0</v>
      </c>
      <c r="M29" s="50">
        <f ca="1">+GETPIVOTDATA("XSB4",'sonbinh (2016)'!$A$3,"MA_HT","DGT","MA_QH","RPH")</f>
        <v>0</v>
      </c>
      <c r="N29" s="50">
        <f ca="1">+GETPIVOTDATA("XSB4",'sonbinh (2016)'!$A$3,"MA_HT","DGT","MA_QH","RDD")</f>
        <v>0</v>
      </c>
      <c r="O29" s="50">
        <f ca="1">+GETPIVOTDATA("XSB4",'sonbinh (2016)'!$A$3,"MA_HT","DGT","MA_QH","NTS")</f>
        <v>0</v>
      </c>
      <c r="P29" s="50">
        <f ca="1">+GETPIVOTDATA("XSB4",'sonbinh (2016)'!$A$3,"MA_HT","DGT","MA_QH","LMU")</f>
        <v>0</v>
      </c>
      <c r="Q29" s="50">
        <f ca="1">+GETPIVOTDATA("XSB4",'sonbinh (2016)'!$A$3,"MA_HT","DGT","MA_QH","NKH")</f>
        <v>0</v>
      </c>
      <c r="R29" s="48">
        <f ca="1">SUM(S29:AA29,AN29:BD29)</f>
        <v>0</v>
      </c>
      <c r="S29" s="50">
        <f ca="1">+GETPIVOTDATA("XSB4",'sonbinh (2016)'!$A$3,"MA_HT","DGT","MA_QH","CQP")</f>
        <v>0</v>
      </c>
      <c r="T29" s="50">
        <f ca="1">+GETPIVOTDATA("XSB4",'sonbinh (2016)'!$A$3,"MA_HT","DGT","MA_QH","CAN")</f>
        <v>0</v>
      </c>
      <c r="U29" s="50">
        <f ca="1">+GETPIVOTDATA("XSB4",'sonbinh (2016)'!$A$3,"MA_HT","DGT","MA_QH","SKK")</f>
        <v>0</v>
      </c>
      <c r="V29" s="50">
        <f ca="1">+GETPIVOTDATA("XSB4",'sonbinh (2016)'!$A$3,"MA_HT","DGT","MA_QH","SKT")</f>
        <v>0</v>
      </c>
      <c r="W29" s="50">
        <f ca="1">+GETPIVOTDATA("XSB4",'sonbinh (2016)'!$A$3,"MA_HT","DGT","MA_QH","SKN")</f>
        <v>0</v>
      </c>
      <c r="X29" s="50">
        <f ca="1">+GETPIVOTDATA("XSB4",'sonbinh (2016)'!$A$3,"MA_HT","DGT","MA_QH","TMD")</f>
        <v>0</v>
      </c>
      <c r="Y29" s="50">
        <f ca="1">+GETPIVOTDATA("XSB4",'sonbinh (2016)'!$A$3,"MA_HT","DGT","MA_QH","SKC")</f>
        <v>0</v>
      </c>
      <c r="Z29" s="50">
        <f ca="1">+GETPIVOTDATA("XSB4",'sonbinh (2016)'!$A$3,"MA_HT","DGT","MA_QH","SKS")</f>
        <v>0</v>
      </c>
      <c r="AA29" s="52">
        <f ca="1">+SUM(AC29:AM29)</f>
        <v>0</v>
      </c>
      <c r="AB29" s="49" t="e">
        <f ca="1">$D29-$BF29</f>
        <v>#REF!</v>
      </c>
      <c r="AC29" s="50">
        <f ca="1">+GETPIVOTDATA("XSB4",'sonbinh (2016)'!$A$3,"MA_HT","DGT","MA_QH","DTL")</f>
        <v>0</v>
      </c>
      <c r="AD29" s="50">
        <f ca="1">+GETPIVOTDATA("XSB4",'sonbinh (2016)'!$A$3,"MA_HT","DGT","MA_QH","DNL")</f>
        <v>0</v>
      </c>
      <c r="AE29" s="50">
        <f ca="1">+GETPIVOTDATA("XSB4",'sonbinh (2016)'!$A$3,"MA_HT","DGT","MA_QH","DBV")</f>
        <v>0</v>
      </c>
      <c r="AF29" s="50">
        <f ca="1">+GETPIVOTDATA("XSB4",'sonbinh (2016)'!$A$3,"MA_HT","DGT","MA_QH","DVH")</f>
        <v>0</v>
      </c>
      <c r="AG29" s="50">
        <f ca="1">+GETPIVOTDATA("XSB4",'sonbinh (2016)'!$A$3,"MA_HT","DGT","MA_QH","DYT")</f>
        <v>0</v>
      </c>
      <c r="AH29" s="50">
        <f ca="1">+GETPIVOTDATA("XSB4",'sonbinh (2016)'!$A$3,"MA_HT","DGT","MA_QH","DGD")</f>
        <v>0</v>
      </c>
      <c r="AI29" s="50">
        <f ca="1">+GETPIVOTDATA("XSB4",'sonbinh (2016)'!$A$3,"MA_HT","DGT","MA_QH","DTT")</f>
        <v>0</v>
      </c>
      <c r="AJ29" s="50">
        <f ca="1">+GETPIVOTDATA("XSB4",'sonbinh (2016)'!$A$3,"MA_HT","DGT","MA_QH","NCK")</f>
        <v>0</v>
      </c>
      <c r="AK29" s="50">
        <f ca="1">+GETPIVOTDATA("XSB4",'sonbinh (2016)'!$A$3,"MA_HT","DGT","MA_QH","DXH")</f>
        <v>0</v>
      </c>
      <c r="AL29" s="50">
        <f ca="1">+GETPIVOTDATA("XSB4",'sonbinh (2016)'!$A$3,"MA_HT","DGT","MA_QH","DCH")</f>
        <v>0</v>
      </c>
      <c r="AM29" s="50">
        <f ca="1">+GETPIVOTDATA("XSB4",'sonbinh (2016)'!$A$3,"MA_HT","DGT","MA_QH","DKG")</f>
        <v>0</v>
      </c>
      <c r="AN29" s="50">
        <f ca="1">+GETPIVOTDATA("XSB4",'sonbinh (2016)'!$A$3,"MA_HT","DGT","MA_QH","DDT")</f>
        <v>0</v>
      </c>
      <c r="AO29" s="50">
        <f ca="1">+GETPIVOTDATA("XSB4",'sonbinh (2016)'!$A$3,"MA_HT","DGT","MA_QH","DDL")</f>
        <v>0</v>
      </c>
      <c r="AP29" s="50">
        <f ca="1">+GETPIVOTDATA("XSB4",'sonbinh (2016)'!$A$3,"MA_HT","DGT","MA_QH","DRA")</f>
        <v>0</v>
      </c>
      <c r="AQ29" s="50">
        <f ca="1">+GETPIVOTDATA("XSB4",'sonbinh (2016)'!$A$3,"MA_HT","DGT","MA_QH","ONT")</f>
        <v>0</v>
      </c>
      <c r="AR29" s="50">
        <f ca="1">+GETPIVOTDATA("XSB4",'sonbinh (2016)'!$A$3,"MA_HT","DGT","MA_QH","ODT")</f>
        <v>0</v>
      </c>
      <c r="AS29" s="50">
        <f ca="1">+GETPIVOTDATA("XSB4",'sonbinh (2016)'!$A$3,"MA_HT","DGT","MA_QH","TSC")</f>
        <v>0</v>
      </c>
      <c r="AT29" s="50">
        <f ca="1">+GETPIVOTDATA("XSB4",'sonbinh (2016)'!$A$3,"MA_HT","DGT","MA_QH","DTS")</f>
        <v>0</v>
      </c>
      <c r="AU29" s="50">
        <f ca="1">+GETPIVOTDATA("XSB4",'sonbinh (2016)'!$A$3,"MA_HT","DGT","MA_QH","DNG")</f>
        <v>0</v>
      </c>
      <c r="AV29" s="50">
        <f ca="1">+GETPIVOTDATA("XSB4",'sonbinh (2016)'!$A$3,"MA_HT","DGT","MA_QH","TON")</f>
        <v>0</v>
      </c>
      <c r="AW29" s="50">
        <f ca="1">+GETPIVOTDATA("XSB4",'sonbinh (2016)'!$A$3,"MA_HT","DGT","MA_QH","NTD")</f>
        <v>0</v>
      </c>
      <c r="AX29" s="50">
        <f ca="1">+GETPIVOTDATA("XSB4",'sonbinh (2016)'!$A$3,"MA_HT","DGT","MA_QH","SKX")</f>
        <v>0</v>
      </c>
      <c r="AY29" s="50">
        <f ca="1">+GETPIVOTDATA("XSB4",'sonbinh (2016)'!$A$3,"MA_HT","DGT","MA_QH","DSH")</f>
        <v>0</v>
      </c>
      <c r="AZ29" s="50">
        <f ca="1">+GETPIVOTDATA("XSB4",'sonbinh (2016)'!$A$3,"MA_HT","DGT","MA_QH","DKV")</f>
        <v>0</v>
      </c>
      <c r="BA29" s="88">
        <f ca="1">+GETPIVOTDATA("XSB4",'sonbinh (2016)'!$A$3,"MA_HT","DGT","MA_QH","TIN")</f>
        <v>0</v>
      </c>
      <c r="BB29" s="50">
        <f ca="1">+GETPIVOTDATA("XSB4",'sonbinh (2016)'!$A$3,"MA_HT","DGT","MA_QH","SON")</f>
        <v>0</v>
      </c>
      <c r="BC29" s="50">
        <f ca="1">+GETPIVOTDATA("XSB4",'sonbinh (2016)'!$A$3,"MA_HT","DGT","MA_QH","MNC")</f>
        <v>0</v>
      </c>
      <c r="BD29" s="50">
        <f ca="1">+GETPIVOTDATA("XSB4",'sonbinh (2016)'!$A$3,"MA_HT","DGT","MA_QH","PNK")</f>
        <v>0</v>
      </c>
      <c r="BE29" s="80">
        <f ca="1">+GETPIVOTDATA("XSB4",'sonbinh (2016)'!$A$3,"MA_HT","DGT","MA_QH","CSD")</f>
        <v>0</v>
      </c>
      <c r="BF29" s="103">
        <f ca="1" t="shared" si="13"/>
        <v>0</v>
      </c>
      <c r="BG29" s="104">
        <f ca="1">AB$59-$BF29</f>
        <v>0</v>
      </c>
      <c r="BH29" s="47" t="e">
        <f ca="1" t="shared" si="14"/>
        <v>#REF!</v>
      </c>
      <c r="BI29" s="105"/>
      <c r="BJ29" s="105" t="e">
        <f>#REF!</f>
        <v>#REF!</v>
      </c>
      <c r="BK29" s="108" t="e">
        <f ca="1" t="shared" ref="BK29:BK40" si="19">BH29-BJ29</f>
        <v>#REF!</v>
      </c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</row>
    <row r="30" s="4" customFormat="1" ht="16.5" customHeight="1" spans="1:79">
      <c r="A30" s="45" t="s">
        <v>8378</v>
      </c>
      <c r="B30" s="45" t="s">
        <v>8379</v>
      </c>
      <c r="C30" s="46" t="s">
        <v>216</v>
      </c>
      <c r="D30" s="47" t="e">
        <f>+#REF!</f>
        <v>#REF!</v>
      </c>
      <c r="E30" s="42">
        <f ca="1" t="shared" si="15"/>
        <v>0</v>
      </c>
      <c r="F30" s="52">
        <f ca="1" t="shared" si="9"/>
        <v>0</v>
      </c>
      <c r="G30" s="50">
        <f ca="1">+GETPIVOTDATA("XSB4",'sonbinh (2016)'!$A$3,"MA_HT","DTL","MA_QH","LUC")</f>
        <v>0</v>
      </c>
      <c r="H30" s="50">
        <f ca="1">+GETPIVOTDATA("XSB4",'sonbinh (2016)'!$A$3,"MA_HT","DTL","MA_QH","LUK")</f>
        <v>0</v>
      </c>
      <c r="I30" s="50">
        <f ca="1">+GETPIVOTDATA("XSB4",'sonbinh (2016)'!$A$3,"MA_HT","DTL","MA_QH","LUN")</f>
        <v>0</v>
      </c>
      <c r="J30" s="50">
        <f ca="1">+GETPIVOTDATA("XSB4",'sonbinh (2016)'!$A$3,"MA_HT","DTL","MA_QH","HNK")</f>
        <v>0</v>
      </c>
      <c r="K30" s="50">
        <f ca="1">+GETPIVOTDATA("XSB4",'sonbinh (2016)'!$A$3,"MA_HT","DTL","MA_QH","CLN")</f>
        <v>0</v>
      </c>
      <c r="L30" s="50">
        <f ca="1">+GETPIVOTDATA("XSB4",'sonbinh (2016)'!$A$3,"MA_HT","DTL","MA_QH","RSX")</f>
        <v>0</v>
      </c>
      <c r="M30" s="50">
        <f ca="1">+GETPIVOTDATA("XSB4",'sonbinh (2016)'!$A$3,"MA_HT","DTL","MA_QH","RPH")</f>
        <v>0</v>
      </c>
      <c r="N30" s="50">
        <f ca="1">+GETPIVOTDATA("XSB4",'sonbinh (2016)'!$A$3,"MA_HT","DTL","MA_QH","RDD")</f>
        <v>0</v>
      </c>
      <c r="O30" s="50">
        <f ca="1">+GETPIVOTDATA("XSB4",'sonbinh (2016)'!$A$3,"MA_HT","DTL","MA_QH","NTS")</f>
        <v>0</v>
      </c>
      <c r="P30" s="50">
        <f ca="1">+GETPIVOTDATA("XSB4",'sonbinh (2016)'!$A$3,"MA_HT","DTL","MA_QH","LMU")</f>
        <v>0</v>
      </c>
      <c r="Q30" s="50">
        <f ca="1">+GETPIVOTDATA("XSB4",'sonbinh (2016)'!$A$3,"MA_HT","DTL","MA_QH","NKH")</f>
        <v>0</v>
      </c>
      <c r="R30" s="48">
        <f ca="1" t="shared" ref="R30:R40" si="20">SUM(S30:AA30,AN30:BD30)</f>
        <v>0</v>
      </c>
      <c r="S30" s="50">
        <f ca="1">+GETPIVOTDATA("XSB4",'sonbinh (2016)'!$A$3,"MA_HT","DTL","MA_QH","CQP")</f>
        <v>0</v>
      </c>
      <c r="T30" s="50">
        <f ca="1">+GETPIVOTDATA("XSB4",'sonbinh (2016)'!$A$3,"MA_HT","DTL","MA_QH","CAN")</f>
        <v>0</v>
      </c>
      <c r="U30" s="50">
        <f ca="1">+GETPIVOTDATA("XSB4",'sonbinh (2016)'!$A$3,"MA_HT","DTL","MA_QH","SKK")</f>
        <v>0</v>
      </c>
      <c r="V30" s="50">
        <f ca="1">+GETPIVOTDATA("XSB4",'sonbinh (2016)'!$A$3,"MA_HT","DTL","MA_QH","SKT")</f>
        <v>0</v>
      </c>
      <c r="W30" s="50">
        <f ca="1">+GETPIVOTDATA("XSB4",'sonbinh (2016)'!$A$3,"MA_HT","DTL","MA_QH","SKN")</f>
        <v>0</v>
      </c>
      <c r="X30" s="50">
        <f ca="1">+GETPIVOTDATA("XSB4",'sonbinh (2016)'!$A$3,"MA_HT","DTL","MA_QH","TMD")</f>
        <v>0</v>
      </c>
      <c r="Y30" s="50">
        <f ca="1">+GETPIVOTDATA("XSB4",'sonbinh (2016)'!$A$3,"MA_HT","DTL","MA_QH","SKC")</f>
        <v>0</v>
      </c>
      <c r="Z30" s="50">
        <f ca="1">+GETPIVOTDATA("XSB4",'sonbinh (2016)'!$A$3,"MA_HT","DTL","MA_QH","SKS")</f>
        <v>0</v>
      </c>
      <c r="AA30" s="52">
        <f ca="1">+SUM(AB30,AD30:AM30)</f>
        <v>0</v>
      </c>
      <c r="AB30" s="50">
        <f ca="1">+GETPIVOTDATA("XSB4",'sonbinh (2016)'!$A$3,"MA_HT","DTL","MA_QH","DGT")</f>
        <v>0</v>
      </c>
      <c r="AC30" s="49" t="e">
        <f ca="1">$D30-$BF30</f>
        <v>#REF!</v>
      </c>
      <c r="AD30" s="50">
        <f ca="1">+GETPIVOTDATA("XSB4",'sonbinh (2016)'!$A$3,"MA_HT","DTL","MA_QH","DNL")</f>
        <v>0</v>
      </c>
      <c r="AE30" s="50">
        <f ca="1">+GETPIVOTDATA("XSB4",'sonbinh (2016)'!$A$3,"MA_HT","DTL","MA_QH","DBV")</f>
        <v>0</v>
      </c>
      <c r="AF30" s="50">
        <f ca="1">+GETPIVOTDATA("XSB4",'sonbinh (2016)'!$A$3,"MA_HT","DTL","MA_QH","DVH")</f>
        <v>0</v>
      </c>
      <c r="AG30" s="50">
        <f ca="1">+GETPIVOTDATA("XSB4",'sonbinh (2016)'!$A$3,"MA_HT","DTL","MA_QH","DYT")</f>
        <v>0</v>
      </c>
      <c r="AH30" s="50">
        <f ca="1">+GETPIVOTDATA("XSB4",'sonbinh (2016)'!$A$3,"MA_HT","DTL","MA_QH","DGD")</f>
        <v>0</v>
      </c>
      <c r="AI30" s="50">
        <f ca="1">+GETPIVOTDATA("XSB4",'sonbinh (2016)'!$A$3,"MA_HT","DTL","MA_QH","DTT")</f>
        <v>0</v>
      </c>
      <c r="AJ30" s="50">
        <f ca="1">+GETPIVOTDATA("XSB4",'sonbinh (2016)'!$A$3,"MA_HT","DTL","MA_QH","NCK")</f>
        <v>0</v>
      </c>
      <c r="AK30" s="50">
        <f ca="1">+GETPIVOTDATA("XSB4",'sonbinh (2016)'!$A$3,"MA_HT","DTL","MA_QH","DXH")</f>
        <v>0</v>
      </c>
      <c r="AL30" s="50">
        <f ca="1">+GETPIVOTDATA("XSB4",'sonbinh (2016)'!$A$3,"MA_HT","DTL","MA_QH","DCH")</f>
        <v>0</v>
      </c>
      <c r="AM30" s="50">
        <f ca="1">+GETPIVOTDATA("XSB4",'sonbinh (2016)'!$A$3,"MA_HT","DTL","MA_QH","DKG")</f>
        <v>0</v>
      </c>
      <c r="AN30" s="50">
        <f ca="1">+GETPIVOTDATA("XSB4",'sonbinh (2016)'!$A$3,"MA_HT","DTL","MA_QH","DDT")</f>
        <v>0</v>
      </c>
      <c r="AO30" s="50">
        <f ca="1">+GETPIVOTDATA("XSB4",'sonbinh (2016)'!$A$3,"MA_HT","DTL","MA_QH","DDL")</f>
        <v>0</v>
      </c>
      <c r="AP30" s="50">
        <f ca="1">+GETPIVOTDATA("XSB4",'sonbinh (2016)'!$A$3,"MA_HT","DTL","MA_QH","DRA")</f>
        <v>0</v>
      </c>
      <c r="AQ30" s="50">
        <f ca="1">+GETPIVOTDATA("XSB4",'sonbinh (2016)'!$A$3,"MA_HT","DTL","MA_QH","ONT")</f>
        <v>0</v>
      </c>
      <c r="AR30" s="50">
        <f ca="1">+GETPIVOTDATA("XSB4",'sonbinh (2016)'!$A$3,"MA_HT","DTL","MA_QH","ODT")</f>
        <v>0</v>
      </c>
      <c r="AS30" s="50">
        <f ca="1">+GETPIVOTDATA("XSB4",'sonbinh (2016)'!$A$3,"MA_HT","DTL","MA_QH","TSC")</f>
        <v>0</v>
      </c>
      <c r="AT30" s="50">
        <f ca="1">+GETPIVOTDATA("XSB4",'sonbinh (2016)'!$A$3,"MA_HT","DTL","MA_QH","DTS")</f>
        <v>0</v>
      </c>
      <c r="AU30" s="50">
        <f ca="1">+GETPIVOTDATA("XSB4",'sonbinh (2016)'!$A$3,"MA_HT","DTL","MA_QH","DNG")</f>
        <v>0</v>
      </c>
      <c r="AV30" s="50">
        <f ca="1">+GETPIVOTDATA("XSB4",'sonbinh (2016)'!$A$3,"MA_HT","DTL","MA_QH","TON")</f>
        <v>0</v>
      </c>
      <c r="AW30" s="50">
        <f ca="1">+GETPIVOTDATA("XSB4",'sonbinh (2016)'!$A$3,"MA_HT","DTL","MA_QH","NTD")</f>
        <v>0</v>
      </c>
      <c r="AX30" s="50">
        <f ca="1">+GETPIVOTDATA("XSB4",'sonbinh (2016)'!$A$3,"MA_HT","DTL","MA_QH","SKX")</f>
        <v>0</v>
      </c>
      <c r="AY30" s="50">
        <f ca="1">+GETPIVOTDATA("XSB4",'sonbinh (2016)'!$A$3,"MA_HT","DTL","MA_QH","DSH")</f>
        <v>0</v>
      </c>
      <c r="AZ30" s="50">
        <f ca="1">+GETPIVOTDATA("XSB4",'sonbinh (2016)'!$A$3,"MA_HT","DTL","MA_QH","DKV")</f>
        <v>0</v>
      </c>
      <c r="BA30" s="88">
        <f ca="1">+GETPIVOTDATA("XSB4",'sonbinh (2016)'!$A$3,"MA_HT","DTL","MA_QH","TIN")</f>
        <v>0</v>
      </c>
      <c r="BB30" s="50">
        <f ca="1">+GETPIVOTDATA("XSB4",'sonbinh (2016)'!$A$3,"MA_HT","DTL","MA_QH","SON")</f>
        <v>0</v>
      </c>
      <c r="BC30" s="50">
        <f ca="1">+GETPIVOTDATA("XSB4",'sonbinh (2016)'!$A$3,"MA_HT","DTL","MA_QH","MNC")</f>
        <v>0</v>
      </c>
      <c r="BD30" s="50">
        <f ca="1">+GETPIVOTDATA("XSB4",'sonbinh (2016)'!$A$3,"MA_HT","DTL","MA_QH","PNK")</f>
        <v>0</v>
      </c>
      <c r="BE30" s="80">
        <f ca="1">+GETPIVOTDATA("XSB4",'sonbinh (2016)'!$A$3,"MA_HT","DTL","MA_QH","CSD")</f>
        <v>0</v>
      </c>
      <c r="BF30" s="103">
        <f ca="1" t="shared" si="13"/>
        <v>0</v>
      </c>
      <c r="BG30" s="104">
        <f ca="1">AC$59-$BF30</f>
        <v>0</v>
      </c>
      <c r="BH30" s="47" t="e">
        <f ca="1" t="shared" si="14"/>
        <v>#REF!</v>
      </c>
      <c r="BI30" s="105"/>
      <c r="BJ30" s="105" t="e">
        <f>#REF!</f>
        <v>#REF!</v>
      </c>
      <c r="BK30" s="108" t="e">
        <f ca="1" t="shared" si="19"/>
        <v>#REF!</v>
      </c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</row>
    <row r="31" s="4" customFormat="1" ht="16.5" customHeight="1" spans="1:79">
      <c r="A31" s="45" t="s">
        <v>8380</v>
      </c>
      <c r="B31" s="45" t="s">
        <v>8381</v>
      </c>
      <c r="C31" s="46" t="s">
        <v>71</v>
      </c>
      <c r="D31" s="47" t="e">
        <f>+#REF!</f>
        <v>#REF!</v>
      </c>
      <c r="E31" s="42">
        <f ca="1" t="shared" si="15"/>
        <v>0</v>
      </c>
      <c r="F31" s="52">
        <f ca="1" t="shared" si="9"/>
        <v>0</v>
      </c>
      <c r="G31" s="50">
        <f ca="1">+GETPIVOTDATA("XSB4",'sonbinh (2016)'!$A$3,"MA_HT","DNL","MA_QH","LUC")</f>
        <v>0</v>
      </c>
      <c r="H31" s="50">
        <f ca="1">+GETPIVOTDATA("XSB4",'sonbinh (2016)'!$A$3,"MA_HT","DNL","MA_QH","LUK")</f>
        <v>0</v>
      </c>
      <c r="I31" s="50">
        <f ca="1">+GETPIVOTDATA("XSB4",'sonbinh (2016)'!$A$3,"MA_HT","DNL","MA_QH","LUN")</f>
        <v>0</v>
      </c>
      <c r="J31" s="50">
        <f ca="1">+GETPIVOTDATA("XSB4",'sonbinh (2016)'!$A$3,"MA_HT","DNL","MA_QH","HNK")</f>
        <v>0</v>
      </c>
      <c r="K31" s="50">
        <f ca="1">+GETPIVOTDATA("XSB4",'sonbinh (2016)'!$A$3,"MA_HT","DNL","MA_QH","CLN")</f>
        <v>0</v>
      </c>
      <c r="L31" s="50">
        <f ca="1">+GETPIVOTDATA("XSB4",'sonbinh (2016)'!$A$3,"MA_HT","DNL","MA_QH","RSX")</f>
        <v>0</v>
      </c>
      <c r="M31" s="50">
        <f ca="1">+GETPIVOTDATA("XSB4",'sonbinh (2016)'!$A$3,"MA_HT","DNL","MA_QH","RPH")</f>
        <v>0</v>
      </c>
      <c r="N31" s="50">
        <f ca="1">+GETPIVOTDATA("XSB4",'sonbinh (2016)'!$A$3,"MA_HT","DNL","MA_QH","RDD")</f>
        <v>0</v>
      </c>
      <c r="O31" s="50">
        <f ca="1">+GETPIVOTDATA("XSB4",'sonbinh (2016)'!$A$3,"MA_HT","DNL","MA_QH","NTS")</f>
        <v>0</v>
      </c>
      <c r="P31" s="50">
        <f ca="1">+GETPIVOTDATA("XSB4",'sonbinh (2016)'!$A$3,"MA_HT","DNL","MA_QH","LMU")</f>
        <v>0</v>
      </c>
      <c r="Q31" s="50">
        <f ca="1">+GETPIVOTDATA("XSB4",'sonbinh (2016)'!$A$3,"MA_HT","DNL","MA_QH","NKH")</f>
        <v>0</v>
      </c>
      <c r="R31" s="48">
        <f ca="1" t="shared" si="20"/>
        <v>0</v>
      </c>
      <c r="S31" s="50">
        <f ca="1">+GETPIVOTDATA("XSB4",'sonbinh (2016)'!$A$3,"MA_HT","DNL","MA_QH","CQP")</f>
        <v>0</v>
      </c>
      <c r="T31" s="50">
        <f ca="1">+GETPIVOTDATA("XSB4",'sonbinh (2016)'!$A$3,"MA_HT","DNL","MA_QH","CAN")</f>
        <v>0</v>
      </c>
      <c r="U31" s="50">
        <f ca="1">+GETPIVOTDATA("XSB4",'sonbinh (2016)'!$A$3,"MA_HT","DNL","MA_QH","SKK")</f>
        <v>0</v>
      </c>
      <c r="V31" s="50">
        <f ca="1">+GETPIVOTDATA("XSB4",'sonbinh (2016)'!$A$3,"MA_HT","DNL","MA_QH","SKT")</f>
        <v>0</v>
      </c>
      <c r="W31" s="50">
        <f ca="1">+GETPIVOTDATA("XSB4",'sonbinh (2016)'!$A$3,"MA_HT","DNL","MA_QH","SKN")</f>
        <v>0</v>
      </c>
      <c r="X31" s="50">
        <f ca="1">+GETPIVOTDATA("XSB4",'sonbinh (2016)'!$A$3,"MA_HT","DNL","MA_QH","TMD")</f>
        <v>0</v>
      </c>
      <c r="Y31" s="50">
        <f ca="1">+GETPIVOTDATA("XSB4",'sonbinh (2016)'!$A$3,"MA_HT","DNL","MA_QH","SKC")</f>
        <v>0</v>
      </c>
      <c r="Z31" s="50">
        <f ca="1">+GETPIVOTDATA("XSB4",'sonbinh (2016)'!$A$3,"MA_HT","DNL","MA_QH","SKS")</f>
        <v>0</v>
      </c>
      <c r="AA31" s="52">
        <f ca="1">+SUM(AB31:AC31,AE31:AM31)</f>
        <v>0</v>
      </c>
      <c r="AB31" s="50">
        <f ca="1">+GETPIVOTDATA("XSB4",'sonbinh (2016)'!$A$3,"MA_HT","DNL","MA_QH","DGT")</f>
        <v>0</v>
      </c>
      <c r="AC31" s="50">
        <f ca="1">+GETPIVOTDATA("XSB4",'sonbinh (2016)'!$A$3,"MA_HT","DNL","MA_QH","DTL")</f>
        <v>0</v>
      </c>
      <c r="AD31" s="49" t="e">
        <f ca="1">$D31-$BF31</f>
        <v>#REF!</v>
      </c>
      <c r="AE31" s="50">
        <f ca="1">+GETPIVOTDATA("XSB4",'sonbinh (2016)'!$A$3,"MA_HT","DNL","MA_QH","DBV")</f>
        <v>0</v>
      </c>
      <c r="AF31" s="50">
        <f ca="1">+GETPIVOTDATA("XSB4",'sonbinh (2016)'!$A$3,"MA_HT","DNL","MA_QH","DVH")</f>
        <v>0</v>
      </c>
      <c r="AG31" s="50">
        <f ca="1">+GETPIVOTDATA("XSB4",'sonbinh (2016)'!$A$3,"MA_HT","DNL","MA_QH","DYT")</f>
        <v>0</v>
      </c>
      <c r="AH31" s="50">
        <f ca="1">+GETPIVOTDATA("XSB4",'sonbinh (2016)'!$A$3,"MA_HT","DNL","MA_QH","DGD")</f>
        <v>0</v>
      </c>
      <c r="AI31" s="50">
        <f ca="1">+GETPIVOTDATA("XSB4",'sonbinh (2016)'!$A$3,"MA_HT","DNL","MA_QH","DTT")</f>
        <v>0</v>
      </c>
      <c r="AJ31" s="50">
        <f ca="1">+GETPIVOTDATA("XSB4",'sonbinh (2016)'!$A$3,"MA_HT","DNL","MA_QH","NCK")</f>
        <v>0</v>
      </c>
      <c r="AK31" s="50">
        <f ca="1">+GETPIVOTDATA("XSB4",'sonbinh (2016)'!$A$3,"MA_HT","DNL","MA_QH","DXH")</f>
        <v>0</v>
      </c>
      <c r="AL31" s="50">
        <f ca="1">+GETPIVOTDATA("XSB4",'sonbinh (2016)'!$A$3,"MA_HT","DNL","MA_QH","DCH")</f>
        <v>0</v>
      </c>
      <c r="AM31" s="50">
        <f ca="1">+GETPIVOTDATA("XSB4",'sonbinh (2016)'!$A$3,"MA_HT","DNL","MA_QH","DKG")</f>
        <v>0</v>
      </c>
      <c r="AN31" s="50">
        <f ca="1">+GETPIVOTDATA("XSB4",'sonbinh (2016)'!$A$3,"MA_HT","DNL","MA_QH","DDT")</f>
        <v>0</v>
      </c>
      <c r="AO31" s="50">
        <f ca="1">+GETPIVOTDATA("XSB4",'sonbinh (2016)'!$A$3,"MA_HT","DNL","MA_QH","DDL")</f>
        <v>0</v>
      </c>
      <c r="AP31" s="50">
        <f ca="1">+GETPIVOTDATA("XSB4",'sonbinh (2016)'!$A$3,"MA_HT","DNL","MA_QH","DRA")</f>
        <v>0</v>
      </c>
      <c r="AQ31" s="50">
        <f ca="1">+GETPIVOTDATA("XSB4",'sonbinh (2016)'!$A$3,"MA_HT","DNL","MA_QH","ONT")</f>
        <v>0</v>
      </c>
      <c r="AR31" s="50">
        <f ca="1">+GETPIVOTDATA("XSB4",'sonbinh (2016)'!$A$3,"MA_HT","DNL","MA_QH","ODT")</f>
        <v>0</v>
      </c>
      <c r="AS31" s="50">
        <f ca="1">+GETPIVOTDATA("XSB4",'sonbinh (2016)'!$A$3,"MA_HT","DNL","MA_QH","TSC")</f>
        <v>0</v>
      </c>
      <c r="AT31" s="50">
        <f ca="1">+GETPIVOTDATA("XSB4",'sonbinh (2016)'!$A$3,"MA_HT","DNL","MA_QH","DTS")</f>
        <v>0</v>
      </c>
      <c r="AU31" s="50">
        <f ca="1">+GETPIVOTDATA("XSB4",'sonbinh (2016)'!$A$3,"MA_HT","DNL","MA_QH","DNG")</f>
        <v>0</v>
      </c>
      <c r="AV31" s="50">
        <f ca="1">+GETPIVOTDATA("XSB4",'sonbinh (2016)'!$A$3,"MA_HT","DNL","MA_QH","TON")</f>
        <v>0</v>
      </c>
      <c r="AW31" s="50">
        <f ca="1">+GETPIVOTDATA("XSB4",'sonbinh (2016)'!$A$3,"MA_HT","DNL","MA_QH","NTD")</f>
        <v>0</v>
      </c>
      <c r="AX31" s="50">
        <f ca="1">+GETPIVOTDATA("XSB4",'sonbinh (2016)'!$A$3,"MA_HT","DNL","MA_QH","SKX")</f>
        <v>0</v>
      </c>
      <c r="AY31" s="50">
        <f ca="1">+GETPIVOTDATA("XSB4",'sonbinh (2016)'!$A$3,"MA_HT","DNL","MA_QH","DSH")</f>
        <v>0</v>
      </c>
      <c r="AZ31" s="50">
        <f ca="1">+GETPIVOTDATA("XSB4",'sonbinh (2016)'!$A$3,"MA_HT","DNL","MA_QH","DKV")</f>
        <v>0</v>
      </c>
      <c r="BA31" s="88">
        <f ca="1">+GETPIVOTDATA("XSB4",'sonbinh (2016)'!$A$3,"MA_HT","DNL","MA_QH","TIN")</f>
        <v>0</v>
      </c>
      <c r="BB31" s="50">
        <f ca="1">+GETPIVOTDATA("XSB4",'sonbinh (2016)'!$A$3,"MA_HT","DNL","MA_QH","SON")</f>
        <v>0</v>
      </c>
      <c r="BC31" s="50">
        <f ca="1">+GETPIVOTDATA("XSB4",'sonbinh (2016)'!$A$3,"MA_HT","DNL","MA_QH","MNC")</f>
        <v>0</v>
      </c>
      <c r="BD31" s="50">
        <f ca="1">+GETPIVOTDATA("XSB4",'sonbinh (2016)'!$A$3,"MA_HT","DNL","MA_QH","PNK")</f>
        <v>0</v>
      </c>
      <c r="BE31" s="80">
        <f ca="1">+GETPIVOTDATA("XSB4",'sonbinh (2016)'!$A$3,"MA_HT","DNL","MA_QH","CSD")</f>
        <v>0</v>
      </c>
      <c r="BF31" s="103">
        <f ca="1" t="shared" si="13"/>
        <v>0</v>
      </c>
      <c r="BG31" s="104">
        <f ca="1">AD$59-$BF31</f>
        <v>0</v>
      </c>
      <c r="BH31" s="47" t="e">
        <f ca="1" t="shared" si="14"/>
        <v>#REF!</v>
      </c>
      <c r="BI31" s="105"/>
      <c r="BJ31" s="105" t="e">
        <f>#REF!</f>
        <v>#REF!</v>
      </c>
      <c r="BK31" s="108" t="e">
        <f ca="1" t="shared" si="19"/>
        <v>#REF!</v>
      </c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</row>
    <row r="32" s="4" customFormat="1" ht="16.5" customHeight="1" spans="1:79">
      <c r="A32" s="45" t="s">
        <v>8382</v>
      </c>
      <c r="B32" s="45" t="s">
        <v>8383</v>
      </c>
      <c r="C32" s="46" t="s">
        <v>8285</v>
      </c>
      <c r="D32" s="47" t="e">
        <f>+#REF!</f>
        <v>#REF!</v>
      </c>
      <c r="E32" s="42">
        <f ca="1" t="shared" si="15"/>
        <v>0</v>
      </c>
      <c r="F32" s="52">
        <f ca="1" t="shared" si="9"/>
        <v>0</v>
      </c>
      <c r="G32" s="50">
        <f ca="1">+GETPIVOTDATA("XSB4",'sonbinh (2016)'!$A$3,"MA_HT","DBV","MA_QH","LUC")</f>
        <v>0</v>
      </c>
      <c r="H32" s="50">
        <f ca="1">+GETPIVOTDATA("XSB4",'sonbinh (2016)'!$A$3,"MA_HT","DBV","MA_QH","LUK")</f>
        <v>0</v>
      </c>
      <c r="I32" s="50">
        <f ca="1">+GETPIVOTDATA("XSB4",'sonbinh (2016)'!$A$3,"MA_HT","DBV","MA_QH","LUN")</f>
        <v>0</v>
      </c>
      <c r="J32" s="50">
        <f ca="1">+GETPIVOTDATA("XSB4",'sonbinh (2016)'!$A$3,"MA_HT","DBV","MA_QH","HNK")</f>
        <v>0</v>
      </c>
      <c r="K32" s="50">
        <f ca="1">+GETPIVOTDATA("XSB4",'sonbinh (2016)'!$A$3,"MA_HT","DBV","MA_QH","CLN")</f>
        <v>0</v>
      </c>
      <c r="L32" s="50">
        <f ca="1">+GETPIVOTDATA("XSB4",'sonbinh (2016)'!$A$3,"MA_HT","DBV","MA_QH","RSX")</f>
        <v>0</v>
      </c>
      <c r="M32" s="50">
        <f ca="1">+GETPIVOTDATA("XSB4",'sonbinh (2016)'!$A$3,"MA_HT","DBV","MA_QH","RPH")</f>
        <v>0</v>
      </c>
      <c r="N32" s="50">
        <f ca="1">+GETPIVOTDATA("XSB4",'sonbinh (2016)'!$A$3,"MA_HT","DBV","MA_QH","RDD")</f>
        <v>0</v>
      </c>
      <c r="O32" s="50">
        <f ca="1">+GETPIVOTDATA("XSB4",'sonbinh (2016)'!$A$3,"MA_HT","DBV","MA_QH","NTS")</f>
        <v>0</v>
      </c>
      <c r="P32" s="50">
        <f ca="1">+GETPIVOTDATA("XSB4",'sonbinh (2016)'!$A$3,"MA_HT","DBV","MA_QH","LMU")</f>
        <v>0</v>
      </c>
      <c r="Q32" s="50">
        <f ca="1">+GETPIVOTDATA("XSB4",'sonbinh (2016)'!$A$3,"MA_HT","DBV","MA_QH","NKH")</f>
        <v>0</v>
      </c>
      <c r="R32" s="48">
        <f ca="1" t="shared" si="20"/>
        <v>0</v>
      </c>
      <c r="S32" s="50">
        <f ca="1">+GETPIVOTDATA("XSB4",'sonbinh (2016)'!$A$3,"MA_HT","DBV","MA_QH","CQP")</f>
        <v>0</v>
      </c>
      <c r="T32" s="50">
        <f ca="1">+GETPIVOTDATA("XSB4",'sonbinh (2016)'!$A$3,"MA_HT","DBV","MA_QH","CAN")</f>
        <v>0</v>
      </c>
      <c r="U32" s="50">
        <f ca="1">+GETPIVOTDATA("XSB4",'sonbinh (2016)'!$A$3,"MA_HT","DBV","MA_QH","SKK")</f>
        <v>0</v>
      </c>
      <c r="V32" s="50">
        <f ca="1">+GETPIVOTDATA("XSB4",'sonbinh (2016)'!$A$3,"MA_HT","DBV","MA_QH","SKT")</f>
        <v>0</v>
      </c>
      <c r="W32" s="50">
        <f ca="1">+GETPIVOTDATA("XSB4",'sonbinh (2016)'!$A$3,"MA_HT","DBV","MA_QH","SKN")</f>
        <v>0</v>
      </c>
      <c r="X32" s="50">
        <f ca="1">+GETPIVOTDATA("XSB4",'sonbinh (2016)'!$A$3,"MA_HT","DBV","MA_QH","TMD")</f>
        <v>0</v>
      </c>
      <c r="Y32" s="50">
        <f ca="1">+GETPIVOTDATA("XSB4",'sonbinh (2016)'!$A$3,"MA_HT","DBV","MA_QH","SKC")</f>
        <v>0</v>
      </c>
      <c r="Z32" s="50">
        <f ca="1">+GETPIVOTDATA("XSB4",'sonbinh (2016)'!$A$3,"MA_HT","DBV","MA_QH","SKS")</f>
        <v>0</v>
      </c>
      <c r="AA32" s="52">
        <f ca="1">+SUM(AB32:AD32,AF32:AM32)</f>
        <v>0</v>
      </c>
      <c r="AB32" s="50">
        <f ca="1">+GETPIVOTDATA("XSB4",'sonbinh (2016)'!$A$3,"MA_HT","DBV","MA_QH","DGT")</f>
        <v>0</v>
      </c>
      <c r="AC32" s="50">
        <f ca="1">+GETPIVOTDATA("XSB4",'sonbinh (2016)'!$A$3,"MA_HT","DBV","MA_QH","DTL")</f>
        <v>0</v>
      </c>
      <c r="AD32" s="50">
        <f ca="1">+GETPIVOTDATA("XSB4",'sonbinh (2016)'!$A$3,"MA_HT","DBV","MA_QH","DNL")</f>
        <v>0</v>
      </c>
      <c r="AE32" s="49" t="e">
        <f ca="1">$D32-$BF32</f>
        <v>#REF!</v>
      </c>
      <c r="AF32" s="50">
        <f ca="1">+GETPIVOTDATA("XSB4",'sonbinh (2016)'!$A$3,"MA_HT","DBV","MA_QH","DVH")</f>
        <v>0</v>
      </c>
      <c r="AG32" s="50">
        <f ca="1">+GETPIVOTDATA("XSB4",'sonbinh (2016)'!$A$3,"MA_HT","DBV","MA_QH","DYT")</f>
        <v>0</v>
      </c>
      <c r="AH32" s="50">
        <f ca="1">+GETPIVOTDATA("XSB4",'sonbinh (2016)'!$A$3,"MA_HT","DBV","MA_QH","DGD")</f>
        <v>0</v>
      </c>
      <c r="AI32" s="50">
        <f ca="1">+GETPIVOTDATA("XSB4",'sonbinh (2016)'!$A$3,"MA_HT","DBV","MA_QH","DTT")</f>
        <v>0</v>
      </c>
      <c r="AJ32" s="50">
        <f ca="1">+GETPIVOTDATA("XSB4",'sonbinh (2016)'!$A$3,"MA_HT","DBV","MA_QH","NCK")</f>
        <v>0</v>
      </c>
      <c r="AK32" s="50">
        <f ca="1">+GETPIVOTDATA("XSB4",'sonbinh (2016)'!$A$3,"MA_HT","DBV","MA_QH","DXH")</f>
        <v>0</v>
      </c>
      <c r="AL32" s="50">
        <f ca="1">+GETPIVOTDATA("XSB4",'sonbinh (2016)'!$A$3,"MA_HT","DBV","MA_QH","DCH")</f>
        <v>0</v>
      </c>
      <c r="AM32" s="50">
        <f ca="1">+GETPIVOTDATA("XSB4",'sonbinh (2016)'!$A$3,"MA_HT","DBV","MA_QH","DKG")</f>
        <v>0</v>
      </c>
      <c r="AN32" s="50">
        <f ca="1">+GETPIVOTDATA("XSB4",'sonbinh (2016)'!$A$3,"MA_HT","DBV","MA_QH","DDT")</f>
        <v>0</v>
      </c>
      <c r="AO32" s="50">
        <f ca="1">+GETPIVOTDATA("XSB4",'sonbinh (2016)'!$A$3,"MA_HT","DBV","MA_QH","DDL")</f>
        <v>0</v>
      </c>
      <c r="AP32" s="50">
        <f ca="1">+GETPIVOTDATA("XSB4",'sonbinh (2016)'!$A$3,"MA_HT","DBV","MA_QH","DRA")</f>
        <v>0</v>
      </c>
      <c r="AQ32" s="50">
        <f ca="1">+GETPIVOTDATA("XSB4",'sonbinh (2016)'!$A$3,"MA_HT","DBV","MA_QH","ONT")</f>
        <v>0</v>
      </c>
      <c r="AR32" s="50">
        <f ca="1">+GETPIVOTDATA("XSB4",'sonbinh (2016)'!$A$3,"MA_HT","DBV","MA_QH","ODT")</f>
        <v>0</v>
      </c>
      <c r="AS32" s="50">
        <f ca="1">+GETPIVOTDATA("XSB4",'sonbinh (2016)'!$A$3,"MA_HT","DBV","MA_QH","TSC")</f>
        <v>0</v>
      </c>
      <c r="AT32" s="50">
        <f ca="1">+GETPIVOTDATA("XSB4",'sonbinh (2016)'!$A$3,"MA_HT","DBV","MA_QH","DTS")</f>
        <v>0</v>
      </c>
      <c r="AU32" s="50">
        <f ca="1">+GETPIVOTDATA("XSB4",'sonbinh (2016)'!$A$3,"MA_HT","DBV","MA_QH","DNG")</f>
        <v>0</v>
      </c>
      <c r="AV32" s="50">
        <f ca="1">+GETPIVOTDATA("XSB4",'sonbinh (2016)'!$A$3,"MA_HT","DBV","MA_QH","TON")</f>
        <v>0</v>
      </c>
      <c r="AW32" s="50">
        <f ca="1">+GETPIVOTDATA("XSB4",'sonbinh (2016)'!$A$3,"MA_HT","DBV","MA_QH","NTD")</f>
        <v>0</v>
      </c>
      <c r="AX32" s="50">
        <f ca="1">+GETPIVOTDATA("XSB4",'sonbinh (2016)'!$A$3,"MA_HT","DBV","MA_QH","SKX")</f>
        <v>0</v>
      </c>
      <c r="AY32" s="50">
        <f ca="1">+GETPIVOTDATA("XSB4",'sonbinh (2016)'!$A$3,"MA_HT","DBV","MA_QH","DSH")</f>
        <v>0</v>
      </c>
      <c r="AZ32" s="50">
        <f ca="1">+GETPIVOTDATA("XSB4",'sonbinh (2016)'!$A$3,"MA_HT","DBV","MA_QH","DKV")</f>
        <v>0</v>
      </c>
      <c r="BA32" s="88">
        <f ca="1">+GETPIVOTDATA("XSB4",'sonbinh (2016)'!$A$3,"MA_HT","DBV","MA_QH","TIN")</f>
        <v>0</v>
      </c>
      <c r="BB32" s="50">
        <f ca="1">+GETPIVOTDATA("XSB4",'sonbinh (2016)'!$A$3,"MA_HT","DBV","MA_QH","SON")</f>
        <v>0</v>
      </c>
      <c r="BC32" s="50">
        <f ca="1">+GETPIVOTDATA("XSB4",'sonbinh (2016)'!$A$3,"MA_HT","DBV","MA_QH","MNC")</f>
        <v>0</v>
      </c>
      <c r="BD32" s="50">
        <f ca="1">+GETPIVOTDATA("XSB4",'sonbinh (2016)'!$A$3,"MA_HT","DBV","MA_QH","PNK")</f>
        <v>0</v>
      </c>
      <c r="BE32" s="80">
        <f ca="1">+GETPIVOTDATA("XSB4",'sonbinh (2016)'!$A$3,"MA_HT","DBV","MA_QH","CSD")</f>
        <v>0</v>
      </c>
      <c r="BF32" s="103">
        <f ca="1" t="shared" si="13"/>
        <v>0</v>
      </c>
      <c r="BG32" s="104">
        <f ca="1">AE$59-$BF32</f>
        <v>0</v>
      </c>
      <c r="BH32" s="47" t="e">
        <f ca="1" t="shared" si="14"/>
        <v>#REF!</v>
      </c>
      <c r="BI32" s="105"/>
      <c r="BJ32" s="105" t="e">
        <f>#REF!</f>
        <v>#REF!</v>
      </c>
      <c r="BK32" s="108" t="e">
        <f ca="1" t="shared" si="19"/>
        <v>#REF!</v>
      </c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</row>
    <row r="33" s="4" customFormat="1" ht="16.5" customHeight="1" spans="1:79">
      <c r="A33" s="45" t="s">
        <v>8384</v>
      </c>
      <c r="B33" s="45" t="s">
        <v>8385</v>
      </c>
      <c r="C33" s="46" t="s">
        <v>212</v>
      </c>
      <c r="D33" s="47" t="e">
        <f>+#REF!</f>
        <v>#REF!</v>
      </c>
      <c r="E33" s="42">
        <f ca="1" t="shared" si="15"/>
        <v>0</v>
      </c>
      <c r="F33" s="52">
        <f ca="1" t="shared" si="9"/>
        <v>0</v>
      </c>
      <c r="G33" s="50">
        <f ca="1">+GETPIVOTDATA("XSB4",'sonbinh (2016)'!$A$3,"MA_HT","DVH","MA_QH","LUC")</f>
        <v>0</v>
      </c>
      <c r="H33" s="50">
        <f ca="1">+GETPIVOTDATA("XSB4",'sonbinh (2016)'!$A$3,"MA_HT","DVH","MA_QH","LUK")</f>
        <v>0</v>
      </c>
      <c r="I33" s="50">
        <f ca="1">+GETPIVOTDATA("XSB4",'sonbinh (2016)'!$A$3,"MA_HT","DVH","MA_QH","LUN")</f>
        <v>0</v>
      </c>
      <c r="J33" s="50">
        <f ca="1">+GETPIVOTDATA("XSB4",'sonbinh (2016)'!$A$3,"MA_HT","DVH","MA_QH","HNK")</f>
        <v>0</v>
      </c>
      <c r="K33" s="50">
        <f ca="1">+GETPIVOTDATA("XSB4",'sonbinh (2016)'!$A$3,"MA_HT","DVH","MA_QH","CLN")</f>
        <v>0</v>
      </c>
      <c r="L33" s="50">
        <f ca="1">+GETPIVOTDATA("XSB4",'sonbinh (2016)'!$A$3,"MA_HT","DVH","MA_QH","RSX")</f>
        <v>0</v>
      </c>
      <c r="M33" s="50">
        <f ca="1">+GETPIVOTDATA("XSB4",'sonbinh (2016)'!$A$3,"MA_HT","DVH","MA_QH","RPH")</f>
        <v>0</v>
      </c>
      <c r="N33" s="50">
        <f ca="1">+GETPIVOTDATA("XSB4",'sonbinh (2016)'!$A$3,"MA_HT","DVH","MA_QH","RDD")</f>
        <v>0</v>
      </c>
      <c r="O33" s="50">
        <f ca="1">+GETPIVOTDATA("XSB4",'sonbinh (2016)'!$A$3,"MA_HT","DVH","MA_QH","NTS")</f>
        <v>0</v>
      </c>
      <c r="P33" s="50">
        <f ca="1">+GETPIVOTDATA("XSB4",'sonbinh (2016)'!$A$3,"MA_HT","DVH","MA_QH","LMU")</f>
        <v>0</v>
      </c>
      <c r="Q33" s="50">
        <f ca="1">+GETPIVOTDATA("XSB4",'sonbinh (2016)'!$A$3,"MA_HT","DVH","MA_QH","NKH")</f>
        <v>0</v>
      </c>
      <c r="R33" s="48">
        <f ca="1" t="shared" si="20"/>
        <v>0</v>
      </c>
      <c r="S33" s="50">
        <f ca="1">+GETPIVOTDATA("XSB4",'sonbinh (2016)'!$A$3,"MA_HT","DVH","MA_QH","CQP")</f>
        <v>0</v>
      </c>
      <c r="T33" s="50">
        <f ca="1">+GETPIVOTDATA("XSB4",'sonbinh (2016)'!$A$3,"MA_HT","DVH","MA_QH","CAN")</f>
        <v>0</v>
      </c>
      <c r="U33" s="50">
        <f ca="1">+GETPIVOTDATA("XSB4",'sonbinh (2016)'!$A$3,"MA_HT","DVH","MA_QH","SKK")</f>
        <v>0</v>
      </c>
      <c r="V33" s="50">
        <f ca="1">+GETPIVOTDATA("XSB4",'sonbinh (2016)'!$A$3,"MA_HT","DVH","MA_QH","SKT")</f>
        <v>0</v>
      </c>
      <c r="W33" s="50">
        <f ca="1">+GETPIVOTDATA("XSB4",'sonbinh (2016)'!$A$3,"MA_HT","DVH","MA_QH","SKN")</f>
        <v>0</v>
      </c>
      <c r="X33" s="50">
        <f ca="1">+GETPIVOTDATA("XSB4",'sonbinh (2016)'!$A$3,"MA_HT","DVH","MA_QH","TMD")</f>
        <v>0</v>
      </c>
      <c r="Y33" s="50">
        <f ca="1">+GETPIVOTDATA("XSB4",'sonbinh (2016)'!$A$3,"MA_HT","DVH","MA_QH","SKC")</f>
        <v>0</v>
      </c>
      <c r="Z33" s="50">
        <f ca="1">+GETPIVOTDATA("XSB4",'sonbinh (2016)'!$A$3,"MA_HT","DVH","MA_QH","SKS")</f>
        <v>0</v>
      </c>
      <c r="AA33" s="52">
        <f ca="1">+SUM(AB33:AE33,AG33:AM33)</f>
        <v>0</v>
      </c>
      <c r="AB33" s="50">
        <f ca="1">+GETPIVOTDATA("XSB4",'sonbinh (2016)'!$A$3,"MA_HT","DVH","MA_QH","DGT")</f>
        <v>0</v>
      </c>
      <c r="AC33" s="50">
        <f ca="1">+GETPIVOTDATA("XSB4",'sonbinh (2016)'!$A$3,"MA_HT","DVH","MA_QH","DTL")</f>
        <v>0</v>
      </c>
      <c r="AD33" s="50">
        <f ca="1">+GETPIVOTDATA("XSB4",'sonbinh (2016)'!$A$3,"MA_HT","DVH","MA_QH","DNL")</f>
        <v>0</v>
      </c>
      <c r="AE33" s="50">
        <f ca="1">+GETPIVOTDATA("XSB4",'sonbinh (2016)'!$A$3,"MA_HT","DVH","MA_QH","DBV")</f>
        <v>0</v>
      </c>
      <c r="AF33" s="49" t="e">
        <f ca="1">$D33-$BF33</f>
        <v>#REF!</v>
      </c>
      <c r="AG33" s="50">
        <f ca="1">+GETPIVOTDATA("XSB4",'sonbinh (2016)'!$A$3,"MA_HT","DVH","MA_QH","DYT")</f>
        <v>0</v>
      </c>
      <c r="AH33" s="50">
        <f ca="1">+GETPIVOTDATA("XSB4",'sonbinh (2016)'!$A$3,"MA_HT","DVH","MA_QH","DGD")</f>
        <v>0</v>
      </c>
      <c r="AI33" s="50">
        <f ca="1">+GETPIVOTDATA("XSB4",'sonbinh (2016)'!$A$3,"MA_HT","DVH","MA_QH","DTT")</f>
        <v>0</v>
      </c>
      <c r="AJ33" s="50">
        <f ca="1">+GETPIVOTDATA("XSB4",'sonbinh (2016)'!$A$3,"MA_HT","DVH","MA_QH","NCK")</f>
        <v>0</v>
      </c>
      <c r="AK33" s="50">
        <f ca="1">+GETPIVOTDATA("XSB4",'sonbinh (2016)'!$A$3,"MA_HT","DVH","MA_QH","DXH")</f>
        <v>0</v>
      </c>
      <c r="AL33" s="50">
        <f ca="1">+GETPIVOTDATA("XSB4",'sonbinh (2016)'!$A$3,"MA_HT","DVH","MA_QH","DCH")</f>
        <v>0</v>
      </c>
      <c r="AM33" s="50">
        <f ca="1">+GETPIVOTDATA("XSB4",'sonbinh (2016)'!$A$3,"MA_HT","DVH","MA_QH","DKG")</f>
        <v>0</v>
      </c>
      <c r="AN33" s="50">
        <f ca="1">+GETPIVOTDATA("XSB4",'sonbinh (2016)'!$A$3,"MA_HT","DVH","MA_QH","DDT")</f>
        <v>0</v>
      </c>
      <c r="AO33" s="50">
        <f ca="1">+GETPIVOTDATA("XSB4",'sonbinh (2016)'!$A$3,"MA_HT","DVH","MA_QH","DDL")</f>
        <v>0</v>
      </c>
      <c r="AP33" s="50">
        <f ca="1">+GETPIVOTDATA("XSB4",'sonbinh (2016)'!$A$3,"MA_HT","DVH","MA_QH","DRA")</f>
        <v>0</v>
      </c>
      <c r="AQ33" s="50">
        <f ca="1">+GETPIVOTDATA("XSB4",'sonbinh (2016)'!$A$3,"MA_HT","DVH","MA_QH","ONT")</f>
        <v>0</v>
      </c>
      <c r="AR33" s="50">
        <f ca="1">+GETPIVOTDATA("XSB4",'sonbinh (2016)'!$A$3,"MA_HT","DVH","MA_QH","ODT")</f>
        <v>0</v>
      </c>
      <c r="AS33" s="50">
        <f ca="1">+GETPIVOTDATA("XSB4",'sonbinh (2016)'!$A$3,"MA_HT","DVH","MA_QH","TSC")</f>
        <v>0</v>
      </c>
      <c r="AT33" s="50">
        <f ca="1">+GETPIVOTDATA("XSB4",'sonbinh (2016)'!$A$3,"MA_HT","DVH","MA_QH","DTS")</f>
        <v>0</v>
      </c>
      <c r="AU33" s="50">
        <f ca="1">+GETPIVOTDATA("XSB4",'sonbinh (2016)'!$A$3,"MA_HT","DVH","MA_QH","DNG")</f>
        <v>0</v>
      </c>
      <c r="AV33" s="50">
        <f ca="1">+GETPIVOTDATA("XSB4",'sonbinh (2016)'!$A$3,"MA_HT","DVH","MA_QH","TON")</f>
        <v>0</v>
      </c>
      <c r="AW33" s="50">
        <f ca="1">+GETPIVOTDATA("XSB4",'sonbinh (2016)'!$A$3,"MA_HT","DVH","MA_QH","NTD")</f>
        <v>0</v>
      </c>
      <c r="AX33" s="50">
        <f ca="1">+GETPIVOTDATA("XSB4",'sonbinh (2016)'!$A$3,"MA_HT","DVH","MA_QH","SKX")</f>
        <v>0</v>
      </c>
      <c r="AY33" s="50">
        <f ca="1">+GETPIVOTDATA("XSB4",'sonbinh (2016)'!$A$3,"MA_HT","DVH","MA_QH","DSH")</f>
        <v>0</v>
      </c>
      <c r="AZ33" s="50">
        <f ca="1">+GETPIVOTDATA("XSB4",'sonbinh (2016)'!$A$3,"MA_HT","DVH","MA_QH","DKV")</f>
        <v>0</v>
      </c>
      <c r="BA33" s="88">
        <f ca="1">+GETPIVOTDATA("XSB4",'sonbinh (2016)'!$A$3,"MA_HT","DVH","MA_QH","TIN")</f>
        <v>0</v>
      </c>
      <c r="BB33" s="50">
        <f ca="1">+GETPIVOTDATA("XSB4",'sonbinh (2016)'!$A$3,"MA_HT","DVH","MA_QH","SON")</f>
        <v>0</v>
      </c>
      <c r="BC33" s="50">
        <f ca="1">+GETPIVOTDATA("XSB4",'sonbinh (2016)'!$A$3,"MA_HT","DVH","MA_QH","MNC")</f>
        <v>0</v>
      </c>
      <c r="BD33" s="50">
        <f ca="1">+GETPIVOTDATA("XSB4",'sonbinh (2016)'!$A$3,"MA_HT","DVH","MA_QH","PNK")</f>
        <v>0</v>
      </c>
      <c r="BE33" s="80">
        <f ca="1">+GETPIVOTDATA("XSB4",'sonbinh (2016)'!$A$3,"MA_HT","DVH","MA_QH","CSD")</f>
        <v>0</v>
      </c>
      <c r="BF33" s="103">
        <f ca="1" t="shared" si="13"/>
        <v>0</v>
      </c>
      <c r="BG33" s="104">
        <f ca="1">AF$59-$BF33</f>
        <v>0</v>
      </c>
      <c r="BH33" s="47" t="e">
        <f ca="1" t="shared" si="14"/>
        <v>#REF!</v>
      </c>
      <c r="BI33" s="105"/>
      <c r="BJ33" s="105" t="e">
        <f>#REF!</f>
        <v>#REF!</v>
      </c>
      <c r="BK33" s="108" t="e">
        <f ca="1" t="shared" si="19"/>
        <v>#REF!</v>
      </c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</row>
    <row r="34" s="4" customFormat="1" ht="16.5" customHeight="1" spans="1:79">
      <c r="A34" s="45" t="s">
        <v>8386</v>
      </c>
      <c r="B34" s="45" t="s">
        <v>8387</v>
      </c>
      <c r="C34" s="46" t="s">
        <v>8296</v>
      </c>
      <c r="D34" s="47" t="e">
        <f>+#REF!</f>
        <v>#REF!</v>
      </c>
      <c r="E34" s="42">
        <f ca="1" t="shared" si="15"/>
        <v>0</v>
      </c>
      <c r="F34" s="52">
        <f ca="1" t="shared" si="9"/>
        <v>0</v>
      </c>
      <c r="G34" s="50">
        <f ca="1">+GETPIVOTDATA("XSB4",'sonbinh (2016)'!$A$3,"MA_HT","DYT","MA_QH","LUC")</f>
        <v>0</v>
      </c>
      <c r="H34" s="50">
        <f ca="1">+GETPIVOTDATA("XSB4",'sonbinh (2016)'!$A$3,"MA_HT","DYT","MA_QH","LUK")</f>
        <v>0</v>
      </c>
      <c r="I34" s="50">
        <f ca="1">+GETPIVOTDATA("XSB4",'sonbinh (2016)'!$A$3,"MA_HT","DYT","MA_QH","LUN")</f>
        <v>0</v>
      </c>
      <c r="J34" s="50">
        <f ca="1">+GETPIVOTDATA("XSB4",'sonbinh (2016)'!$A$3,"MA_HT","DYT","MA_QH","HNK")</f>
        <v>0</v>
      </c>
      <c r="K34" s="50">
        <f ca="1">+GETPIVOTDATA("XSB4",'sonbinh (2016)'!$A$3,"MA_HT","DYT","MA_QH","CLN")</f>
        <v>0</v>
      </c>
      <c r="L34" s="50">
        <f ca="1">+GETPIVOTDATA("XSB4",'sonbinh (2016)'!$A$3,"MA_HT","DYT","MA_QH","RSX")</f>
        <v>0</v>
      </c>
      <c r="M34" s="50">
        <f ca="1">+GETPIVOTDATA("XSB4",'sonbinh (2016)'!$A$3,"MA_HT","DYT","MA_QH","RPH")</f>
        <v>0</v>
      </c>
      <c r="N34" s="50">
        <f ca="1">+GETPIVOTDATA("XSB4",'sonbinh (2016)'!$A$3,"MA_HT","DYT","MA_QH","RDD")</f>
        <v>0</v>
      </c>
      <c r="O34" s="50">
        <f ca="1">+GETPIVOTDATA("XSB4",'sonbinh (2016)'!$A$3,"MA_HT","DYT","MA_QH","NTS")</f>
        <v>0</v>
      </c>
      <c r="P34" s="50">
        <f ca="1">+GETPIVOTDATA("XSB4",'sonbinh (2016)'!$A$3,"MA_HT","DYT","MA_QH","LMU")</f>
        <v>0</v>
      </c>
      <c r="Q34" s="50">
        <f ca="1">+GETPIVOTDATA("XSB4",'sonbinh (2016)'!$A$3,"MA_HT","DYT","MA_QH","NKH")</f>
        <v>0</v>
      </c>
      <c r="R34" s="48">
        <f ca="1" t="shared" si="20"/>
        <v>0</v>
      </c>
      <c r="S34" s="50">
        <f ca="1">+GETPIVOTDATA("XSB4",'sonbinh (2016)'!$A$3,"MA_HT","DYT","MA_QH","CQP")</f>
        <v>0</v>
      </c>
      <c r="T34" s="50">
        <f ca="1">+GETPIVOTDATA("XSB4",'sonbinh (2016)'!$A$3,"MA_HT","DYT","MA_QH","CAN")</f>
        <v>0</v>
      </c>
      <c r="U34" s="50">
        <f ca="1">+GETPIVOTDATA("XSB4",'sonbinh (2016)'!$A$3,"MA_HT","DYT","MA_QH","SKK")</f>
        <v>0</v>
      </c>
      <c r="V34" s="50">
        <f ca="1">+GETPIVOTDATA("XSB4",'sonbinh (2016)'!$A$3,"MA_HT","DYT","MA_QH","SKT")</f>
        <v>0</v>
      </c>
      <c r="W34" s="50">
        <f ca="1">+GETPIVOTDATA("XSB4",'sonbinh (2016)'!$A$3,"MA_HT","DYT","MA_QH","SKN")</f>
        <v>0</v>
      </c>
      <c r="X34" s="50">
        <f ca="1">+GETPIVOTDATA("XSB4",'sonbinh (2016)'!$A$3,"MA_HT","DYT","MA_QH","TMD")</f>
        <v>0</v>
      </c>
      <c r="Y34" s="50">
        <f ca="1">+GETPIVOTDATA("XSB4",'sonbinh (2016)'!$A$3,"MA_HT","DYT","MA_QH","SKC")</f>
        <v>0</v>
      </c>
      <c r="Z34" s="50">
        <f ca="1">+GETPIVOTDATA("XSB4",'sonbinh (2016)'!$A$3,"MA_HT","DYT","MA_QH","SKS")</f>
        <v>0</v>
      </c>
      <c r="AA34" s="52">
        <f ca="1">+SUM(AB34:AF34,AH34:AM34)</f>
        <v>0</v>
      </c>
      <c r="AB34" s="50">
        <f ca="1">+GETPIVOTDATA("XSB4",'sonbinh (2016)'!$A$3,"MA_HT","DYT","MA_QH","DGT")</f>
        <v>0</v>
      </c>
      <c r="AC34" s="50">
        <f ca="1">+GETPIVOTDATA("XSB4",'sonbinh (2016)'!$A$3,"MA_HT","DYT","MA_QH","DTL")</f>
        <v>0</v>
      </c>
      <c r="AD34" s="50">
        <f ca="1">+GETPIVOTDATA("XSB4",'sonbinh (2016)'!$A$3,"MA_HT","DYT","MA_QH","DNL")</f>
        <v>0</v>
      </c>
      <c r="AE34" s="50">
        <f ca="1">+GETPIVOTDATA("XSB4",'sonbinh (2016)'!$A$3,"MA_HT","DYT","MA_QH","DBV")</f>
        <v>0</v>
      </c>
      <c r="AF34" s="50">
        <f ca="1">+GETPIVOTDATA("XSB4",'sonbinh (2016)'!$A$3,"MA_HT","DYT","MA_QH","DVH")</f>
        <v>0</v>
      </c>
      <c r="AG34" s="49" t="e">
        <f ca="1">$D34-$BF34</f>
        <v>#REF!</v>
      </c>
      <c r="AH34" s="50">
        <f ca="1">+GETPIVOTDATA("XSB4",'sonbinh (2016)'!$A$3,"MA_HT","DYT","MA_QH","DGD")</f>
        <v>0</v>
      </c>
      <c r="AI34" s="50">
        <f ca="1">+GETPIVOTDATA("XSB4",'sonbinh (2016)'!$A$3,"MA_HT","DYT","MA_QH","DTT")</f>
        <v>0</v>
      </c>
      <c r="AJ34" s="50">
        <f ca="1">+GETPIVOTDATA("XSB4",'sonbinh (2016)'!$A$3,"MA_HT","DYT","MA_QH","NCK")</f>
        <v>0</v>
      </c>
      <c r="AK34" s="50">
        <f ca="1">+GETPIVOTDATA("XSB4",'sonbinh (2016)'!$A$3,"MA_HT","DYT","MA_QH","DXH")</f>
        <v>0</v>
      </c>
      <c r="AL34" s="50">
        <f ca="1">+GETPIVOTDATA("XSB4",'sonbinh (2016)'!$A$3,"MA_HT","DYT","MA_QH","DCH")</f>
        <v>0</v>
      </c>
      <c r="AM34" s="50">
        <f ca="1">+GETPIVOTDATA("XSB4",'sonbinh (2016)'!$A$3,"MA_HT","DYT","MA_QH","DKG")</f>
        <v>0</v>
      </c>
      <c r="AN34" s="50">
        <f ca="1">+GETPIVOTDATA("XSB4",'sonbinh (2016)'!$A$3,"MA_HT","DYT","MA_QH","DDT")</f>
        <v>0</v>
      </c>
      <c r="AO34" s="50">
        <f ca="1">+GETPIVOTDATA("XSB4",'sonbinh (2016)'!$A$3,"MA_HT","DYT","MA_QH","DDL")</f>
        <v>0</v>
      </c>
      <c r="AP34" s="50">
        <f ca="1">+GETPIVOTDATA("XSB4",'sonbinh (2016)'!$A$3,"MA_HT","DYT","MA_QH","DRA")</f>
        <v>0</v>
      </c>
      <c r="AQ34" s="50">
        <f ca="1">+GETPIVOTDATA("XSB4",'sonbinh (2016)'!$A$3,"MA_HT","DYT","MA_QH","ONT")</f>
        <v>0</v>
      </c>
      <c r="AR34" s="50">
        <f ca="1">+GETPIVOTDATA("XSB4",'sonbinh (2016)'!$A$3,"MA_HT","DYT","MA_QH","ODT")</f>
        <v>0</v>
      </c>
      <c r="AS34" s="50">
        <f ca="1">+GETPIVOTDATA("XSB4",'sonbinh (2016)'!$A$3,"MA_HT","DYT","MA_QH","TSC")</f>
        <v>0</v>
      </c>
      <c r="AT34" s="50">
        <f ca="1">+GETPIVOTDATA("XSB4",'sonbinh (2016)'!$A$3,"MA_HT","DYT","MA_QH","DTS")</f>
        <v>0</v>
      </c>
      <c r="AU34" s="50">
        <f ca="1">+GETPIVOTDATA("XSB4",'sonbinh (2016)'!$A$3,"MA_HT","DYT","MA_QH","DNG")</f>
        <v>0</v>
      </c>
      <c r="AV34" s="50">
        <f ca="1">+GETPIVOTDATA("XSB4",'sonbinh (2016)'!$A$3,"MA_HT","DYT","MA_QH","TON")</f>
        <v>0</v>
      </c>
      <c r="AW34" s="50">
        <f ca="1">+GETPIVOTDATA("XSB4",'sonbinh (2016)'!$A$3,"MA_HT","DYT","MA_QH","NTD")</f>
        <v>0</v>
      </c>
      <c r="AX34" s="50">
        <f ca="1">+GETPIVOTDATA("XSB4",'sonbinh (2016)'!$A$3,"MA_HT","DYT","MA_QH","SKX")</f>
        <v>0</v>
      </c>
      <c r="AY34" s="50">
        <f ca="1">+GETPIVOTDATA("XSB4",'sonbinh (2016)'!$A$3,"MA_HT","DYT","MA_QH","DSH")</f>
        <v>0</v>
      </c>
      <c r="AZ34" s="50">
        <f ca="1">+GETPIVOTDATA("XSB4",'sonbinh (2016)'!$A$3,"MA_HT","DYT","MA_QH","DKV")</f>
        <v>0</v>
      </c>
      <c r="BA34" s="88">
        <f ca="1">+GETPIVOTDATA("XSB4",'sonbinh (2016)'!$A$3,"MA_HT","DYT","MA_QH","TIN")</f>
        <v>0</v>
      </c>
      <c r="BB34" s="50">
        <f ca="1">+GETPIVOTDATA("XSB4",'sonbinh (2016)'!$A$3,"MA_HT","DYT","MA_QH","SON")</f>
        <v>0</v>
      </c>
      <c r="BC34" s="50">
        <f ca="1">+GETPIVOTDATA("XSB4",'sonbinh (2016)'!$A$3,"MA_HT","DYT","MA_QH","MNC")</f>
        <v>0</v>
      </c>
      <c r="BD34" s="50">
        <f ca="1">+GETPIVOTDATA("XSB4",'sonbinh (2016)'!$A$3,"MA_HT","DYT","MA_QH","PNK")</f>
        <v>0</v>
      </c>
      <c r="BE34" s="80">
        <f ca="1">+GETPIVOTDATA("XSB4",'sonbinh (2016)'!$A$3,"MA_HT","DYT","MA_QH","CSD")</f>
        <v>0</v>
      </c>
      <c r="BF34" s="103">
        <f ca="1" t="shared" si="13"/>
        <v>0</v>
      </c>
      <c r="BG34" s="104">
        <f ca="1">AG$59-$BF34</f>
        <v>0</v>
      </c>
      <c r="BH34" s="47" t="e">
        <f ca="1" t="shared" si="14"/>
        <v>#REF!</v>
      </c>
      <c r="BI34" s="105"/>
      <c r="BJ34" s="105" t="e">
        <f>#REF!</f>
        <v>#REF!</v>
      </c>
      <c r="BK34" s="108" t="e">
        <f ca="1" t="shared" si="19"/>
        <v>#REF!</v>
      </c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</row>
    <row r="35" s="4" customFormat="1" ht="16.5" customHeight="1" spans="1:79">
      <c r="A35" s="45" t="s">
        <v>8388</v>
      </c>
      <c r="B35" s="45" t="s">
        <v>8389</v>
      </c>
      <c r="C35" s="46" t="s">
        <v>165</v>
      </c>
      <c r="D35" s="47" t="e">
        <f>+#REF!</f>
        <v>#REF!</v>
      </c>
      <c r="E35" s="42">
        <f ca="1" t="shared" si="15"/>
        <v>0</v>
      </c>
      <c r="F35" s="52">
        <f ca="1" t="shared" si="9"/>
        <v>0</v>
      </c>
      <c r="G35" s="50">
        <f ca="1">+GETPIVOTDATA("XSB4",'sonbinh (2016)'!$A$3,"MA_HT","DGD","MA_QH","LUC")</f>
        <v>0</v>
      </c>
      <c r="H35" s="50">
        <f ca="1">+GETPIVOTDATA("XSB4",'sonbinh (2016)'!$A$3,"MA_HT","DGD","MA_QH","LUK")</f>
        <v>0</v>
      </c>
      <c r="I35" s="50">
        <f ca="1">+GETPIVOTDATA("XSB4",'sonbinh (2016)'!$A$3,"MA_HT","DGD","MA_QH","LUN")</f>
        <v>0</v>
      </c>
      <c r="J35" s="50">
        <f ca="1">+GETPIVOTDATA("XSB4",'sonbinh (2016)'!$A$3,"MA_HT","DGD","MA_QH","HNK")</f>
        <v>0</v>
      </c>
      <c r="K35" s="50">
        <f ca="1">+GETPIVOTDATA("XSB4",'sonbinh (2016)'!$A$3,"MA_HT","DGD","MA_QH","CLN")</f>
        <v>0</v>
      </c>
      <c r="L35" s="50">
        <f ca="1">+GETPIVOTDATA("XSB4",'sonbinh (2016)'!$A$3,"MA_HT","DGD","MA_QH","RSX")</f>
        <v>0</v>
      </c>
      <c r="M35" s="50">
        <f ca="1">+GETPIVOTDATA("XSB4",'sonbinh (2016)'!$A$3,"MA_HT","DGD","MA_QH","RPH")</f>
        <v>0</v>
      </c>
      <c r="N35" s="50">
        <f ca="1">+GETPIVOTDATA("XSB4",'sonbinh (2016)'!$A$3,"MA_HT","DGD","MA_QH","RDD")</f>
        <v>0</v>
      </c>
      <c r="O35" s="50">
        <f ca="1">+GETPIVOTDATA("XSB4",'sonbinh (2016)'!$A$3,"MA_HT","DGD","MA_QH","NTS")</f>
        <v>0</v>
      </c>
      <c r="P35" s="50">
        <f ca="1">+GETPIVOTDATA("XSB4",'sonbinh (2016)'!$A$3,"MA_HT","DGD","MA_QH","LMU")</f>
        <v>0</v>
      </c>
      <c r="Q35" s="50">
        <f ca="1">+GETPIVOTDATA("XSB4",'sonbinh (2016)'!$A$3,"MA_HT","DGD","MA_QH","NKH")</f>
        <v>0</v>
      </c>
      <c r="R35" s="48">
        <f ca="1" t="shared" si="20"/>
        <v>0</v>
      </c>
      <c r="S35" s="50">
        <f ca="1">+GETPIVOTDATA("XSB4",'sonbinh (2016)'!$A$3,"MA_HT","DGD","MA_QH","CQP")</f>
        <v>0</v>
      </c>
      <c r="T35" s="50">
        <f ca="1">+GETPIVOTDATA("XSB4",'sonbinh (2016)'!$A$3,"MA_HT","DGD","MA_QH","CAN")</f>
        <v>0</v>
      </c>
      <c r="U35" s="50">
        <f ca="1">+GETPIVOTDATA("XSB4",'sonbinh (2016)'!$A$3,"MA_HT","DGD","MA_QH","SKK")</f>
        <v>0</v>
      </c>
      <c r="V35" s="50">
        <f ca="1">+GETPIVOTDATA("XSB4",'sonbinh (2016)'!$A$3,"MA_HT","DGD","MA_QH","SKT")</f>
        <v>0</v>
      </c>
      <c r="W35" s="50">
        <f ca="1">+GETPIVOTDATA("XSB4",'sonbinh (2016)'!$A$3,"MA_HT","DGD","MA_QH","SKN")</f>
        <v>0</v>
      </c>
      <c r="X35" s="50">
        <f ca="1">+GETPIVOTDATA("XSB4",'sonbinh (2016)'!$A$3,"MA_HT","DGD","MA_QH","TMD")</f>
        <v>0</v>
      </c>
      <c r="Y35" s="50">
        <f ca="1">+GETPIVOTDATA("XSB4",'sonbinh (2016)'!$A$3,"MA_HT","DGD","MA_QH","SKC")</f>
        <v>0</v>
      </c>
      <c r="Z35" s="50">
        <f ca="1">+GETPIVOTDATA("XSB4",'sonbinh (2016)'!$A$3,"MA_HT","DGD","MA_QH","SKS")</f>
        <v>0</v>
      </c>
      <c r="AA35" s="52">
        <f ca="1">+SUM(AB35:AG35,AI35:AM35)</f>
        <v>0</v>
      </c>
      <c r="AB35" s="50">
        <f ca="1">+GETPIVOTDATA("XSB4",'sonbinh (2016)'!$A$3,"MA_HT","DGD","MA_QH","DGT")</f>
        <v>0</v>
      </c>
      <c r="AC35" s="50">
        <f ca="1">+GETPIVOTDATA("XSB4",'sonbinh (2016)'!$A$3,"MA_HT","DGD","MA_QH","DTL")</f>
        <v>0</v>
      </c>
      <c r="AD35" s="50">
        <f ca="1">+GETPIVOTDATA("XSB4",'sonbinh (2016)'!$A$3,"MA_HT","DGD","MA_QH","DNL")</f>
        <v>0</v>
      </c>
      <c r="AE35" s="50">
        <f ca="1">+GETPIVOTDATA("XSB4",'sonbinh (2016)'!$A$3,"MA_HT","DGD","MA_QH","DBV")</f>
        <v>0</v>
      </c>
      <c r="AF35" s="50">
        <f ca="1">+GETPIVOTDATA("XSB4",'sonbinh (2016)'!$A$3,"MA_HT","DGD","MA_QH","DVH")</f>
        <v>0</v>
      </c>
      <c r="AG35" s="50">
        <f ca="1">+GETPIVOTDATA("XSB4",'sonbinh (2016)'!$A$3,"MA_HT","DGD","MA_QH","DYT")</f>
        <v>0</v>
      </c>
      <c r="AH35" s="49" t="e">
        <f ca="1">$D35-$BF35</f>
        <v>#REF!</v>
      </c>
      <c r="AI35" s="50">
        <f ca="1">+GETPIVOTDATA("XSB4",'sonbinh (2016)'!$A$3,"MA_HT","DGD","MA_QH","DTT")</f>
        <v>0</v>
      </c>
      <c r="AJ35" s="50">
        <f ca="1">+GETPIVOTDATA("XSB4",'sonbinh (2016)'!$A$3,"MA_HT","DGD","MA_QH","NCK")</f>
        <v>0</v>
      </c>
      <c r="AK35" s="50">
        <f ca="1">+GETPIVOTDATA("XSB4",'sonbinh (2016)'!$A$3,"MA_HT","DGD","MA_QH","DXH")</f>
        <v>0</v>
      </c>
      <c r="AL35" s="50">
        <f ca="1">+GETPIVOTDATA("XSB4",'sonbinh (2016)'!$A$3,"MA_HT","DGD","MA_QH","DCH")</f>
        <v>0</v>
      </c>
      <c r="AM35" s="50">
        <f ca="1">+GETPIVOTDATA("XSB4",'sonbinh (2016)'!$A$3,"MA_HT","DGD","MA_QH","DKG")</f>
        <v>0</v>
      </c>
      <c r="AN35" s="50">
        <f ca="1">+GETPIVOTDATA("XSB4",'sonbinh (2016)'!$A$3,"MA_HT","DGD","MA_QH","DDT")</f>
        <v>0</v>
      </c>
      <c r="AO35" s="50">
        <f ca="1">+GETPIVOTDATA("XSB4",'sonbinh (2016)'!$A$3,"MA_HT","DGD","MA_QH","DDL")</f>
        <v>0</v>
      </c>
      <c r="AP35" s="50">
        <f ca="1">+GETPIVOTDATA("XSB4",'sonbinh (2016)'!$A$3,"MA_HT","DGD","MA_QH","DRA")</f>
        <v>0</v>
      </c>
      <c r="AQ35" s="50">
        <f ca="1">+GETPIVOTDATA("XSB4",'sonbinh (2016)'!$A$3,"MA_HT","DGD","MA_QH","ONT")</f>
        <v>0</v>
      </c>
      <c r="AR35" s="50">
        <f ca="1">+GETPIVOTDATA("XSB4",'sonbinh (2016)'!$A$3,"MA_HT","DGD","MA_QH","ODT")</f>
        <v>0</v>
      </c>
      <c r="AS35" s="50">
        <f ca="1">+GETPIVOTDATA("XSB4",'sonbinh (2016)'!$A$3,"MA_HT","DGD","MA_QH","TSC")</f>
        <v>0</v>
      </c>
      <c r="AT35" s="50">
        <f ca="1">+GETPIVOTDATA("XSB4",'sonbinh (2016)'!$A$3,"MA_HT","DGD","MA_QH","DTS")</f>
        <v>0</v>
      </c>
      <c r="AU35" s="50">
        <f ca="1">+GETPIVOTDATA("XSB4",'sonbinh (2016)'!$A$3,"MA_HT","DGD","MA_QH","DNG")</f>
        <v>0</v>
      </c>
      <c r="AV35" s="50">
        <f ca="1">+GETPIVOTDATA("XSB4",'sonbinh (2016)'!$A$3,"MA_HT","DGD","MA_QH","TON")</f>
        <v>0</v>
      </c>
      <c r="AW35" s="50">
        <f ca="1">+GETPIVOTDATA("XSB4",'sonbinh (2016)'!$A$3,"MA_HT","DGD","MA_QH","NTD")</f>
        <v>0</v>
      </c>
      <c r="AX35" s="50">
        <f ca="1">+GETPIVOTDATA("XSB4",'sonbinh (2016)'!$A$3,"MA_HT","DGD","MA_QH","SKX")</f>
        <v>0</v>
      </c>
      <c r="AY35" s="50">
        <f ca="1">+GETPIVOTDATA("XSB4",'sonbinh (2016)'!$A$3,"MA_HT","DGD","MA_QH","DSH")</f>
        <v>0</v>
      </c>
      <c r="AZ35" s="50">
        <f ca="1">+GETPIVOTDATA("XSB4",'sonbinh (2016)'!$A$3,"MA_HT","DGD","MA_QH","DKV")</f>
        <v>0</v>
      </c>
      <c r="BA35" s="88">
        <f ca="1">+GETPIVOTDATA("XSB4",'sonbinh (2016)'!$A$3,"MA_HT","DGD","MA_QH","TIN")</f>
        <v>0</v>
      </c>
      <c r="BB35" s="50">
        <f ca="1">+GETPIVOTDATA("XSB4",'sonbinh (2016)'!$A$3,"MA_HT","DGD","MA_QH","SON")</f>
        <v>0</v>
      </c>
      <c r="BC35" s="50">
        <f ca="1">+GETPIVOTDATA("XSB4",'sonbinh (2016)'!$A$3,"MA_HT","DGD","MA_QH","MNC")</f>
        <v>0</v>
      </c>
      <c r="BD35" s="50">
        <f ca="1">+GETPIVOTDATA("XSB4",'sonbinh (2016)'!$A$3,"MA_HT","DGD","MA_QH","PNK")</f>
        <v>0</v>
      </c>
      <c r="BE35" s="80">
        <f ca="1">+GETPIVOTDATA("XSB4",'sonbinh (2016)'!$A$3,"MA_HT","DGD","MA_QH","CSD")</f>
        <v>0</v>
      </c>
      <c r="BF35" s="103">
        <f ca="1" t="shared" si="13"/>
        <v>0</v>
      </c>
      <c r="BG35" s="104">
        <f ca="1">AH$59-$BF35</f>
        <v>0</v>
      </c>
      <c r="BH35" s="47" t="e">
        <f ca="1" t="shared" si="14"/>
        <v>#REF!</v>
      </c>
      <c r="BI35" s="105"/>
      <c r="BJ35" s="105" t="e">
        <f>#REF!</f>
        <v>#REF!</v>
      </c>
      <c r="BK35" s="108" t="e">
        <f ca="1" t="shared" si="19"/>
        <v>#REF!</v>
      </c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</row>
    <row r="36" s="4" customFormat="1" ht="16.5" customHeight="1" spans="1:79">
      <c r="A36" s="45" t="s">
        <v>8390</v>
      </c>
      <c r="B36" s="45" t="s">
        <v>8391</v>
      </c>
      <c r="C36" s="46" t="s">
        <v>8294</v>
      </c>
      <c r="D36" s="47" t="e">
        <f>+#REF!</f>
        <v>#REF!</v>
      </c>
      <c r="E36" s="42">
        <f ca="1" t="shared" si="15"/>
        <v>0</v>
      </c>
      <c r="F36" s="52">
        <f ca="1" t="shared" si="9"/>
        <v>0</v>
      </c>
      <c r="G36" s="50">
        <f ca="1">+GETPIVOTDATA("XSB4",'sonbinh (2016)'!$A$3,"MA_HT","DTT","MA_QH","LUC")</f>
        <v>0</v>
      </c>
      <c r="H36" s="50">
        <f ca="1">+GETPIVOTDATA("XSB4",'sonbinh (2016)'!$A$3,"MA_HT","DTT","MA_QH","LUK")</f>
        <v>0</v>
      </c>
      <c r="I36" s="50">
        <f ca="1">+GETPIVOTDATA("XSB4",'sonbinh (2016)'!$A$3,"MA_HT","DTT","MA_QH","LUN")</f>
        <v>0</v>
      </c>
      <c r="J36" s="50">
        <f ca="1">+GETPIVOTDATA("XSB4",'sonbinh (2016)'!$A$3,"MA_HT","DTT","MA_QH","HNK")</f>
        <v>0</v>
      </c>
      <c r="K36" s="50">
        <f ca="1">+GETPIVOTDATA("XSB4",'sonbinh (2016)'!$A$3,"MA_HT","DTT","MA_QH","CLN")</f>
        <v>0</v>
      </c>
      <c r="L36" s="50">
        <f ca="1">+GETPIVOTDATA("XSB4",'sonbinh (2016)'!$A$3,"MA_HT","DTT","MA_QH","RSX")</f>
        <v>0</v>
      </c>
      <c r="M36" s="50">
        <f ca="1">+GETPIVOTDATA("XSB4",'sonbinh (2016)'!$A$3,"MA_HT","DTT","MA_QH","RPH")</f>
        <v>0</v>
      </c>
      <c r="N36" s="50">
        <f ca="1">+GETPIVOTDATA("XSB4",'sonbinh (2016)'!$A$3,"MA_HT","DTT","MA_QH","RDD")</f>
        <v>0</v>
      </c>
      <c r="O36" s="50">
        <f ca="1">+GETPIVOTDATA("XSB4",'sonbinh (2016)'!$A$3,"MA_HT","DTT","MA_QH","NTS")</f>
        <v>0</v>
      </c>
      <c r="P36" s="50">
        <f ca="1">+GETPIVOTDATA("XSB4",'sonbinh (2016)'!$A$3,"MA_HT","DTT","MA_QH","LMU")</f>
        <v>0</v>
      </c>
      <c r="Q36" s="50">
        <f ca="1">+GETPIVOTDATA("XSB4",'sonbinh (2016)'!$A$3,"MA_HT","DTT","MA_QH","NKH")</f>
        <v>0</v>
      </c>
      <c r="R36" s="48">
        <f ca="1" t="shared" si="20"/>
        <v>0</v>
      </c>
      <c r="S36" s="50">
        <f ca="1">+GETPIVOTDATA("XSB4",'sonbinh (2016)'!$A$3,"MA_HT","DTT","MA_QH","CQP")</f>
        <v>0</v>
      </c>
      <c r="T36" s="50">
        <f ca="1">+GETPIVOTDATA("XSB4",'sonbinh (2016)'!$A$3,"MA_HT","DTT","MA_QH","CAN")</f>
        <v>0</v>
      </c>
      <c r="U36" s="50">
        <f ca="1">+GETPIVOTDATA("XSB4",'sonbinh (2016)'!$A$3,"MA_HT","DTT","MA_QH","SKK")</f>
        <v>0</v>
      </c>
      <c r="V36" s="50">
        <f ca="1">+GETPIVOTDATA("XSB4",'sonbinh (2016)'!$A$3,"MA_HT","DTT","MA_QH","SKT")</f>
        <v>0</v>
      </c>
      <c r="W36" s="50">
        <f ca="1">+GETPIVOTDATA("XSB4",'sonbinh (2016)'!$A$3,"MA_HT","DTT","MA_QH","SKN")</f>
        <v>0</v>
      </c>
      <c r="X36" s="50">
        <f ca="1">+GETPIVOTDATA("XSB4",'sonbinh (2016)'!$A$3,"MA_HT","DTT","MA_QH","TMD")</f>
        <v>0</v>
      </c>
      <c r="Y36" s="50">
        <f ca="1">+GETPIVOTDATA("XSB4",'sonbinh (2016)'!$A$3,"MA_HT","DTT","MA_QH","SKC")</f>
        <v>0</v>
      </c>
      <c r="Z36" s="50">
        <f ca="1">+GETPIVOTDATA("XSB4",'sonbinh (2016)'!$A$3,"MA_HT","DTT","MA_QH","SKS")</f>
        <v>0</v>
      </c>
      <c r="AA36" s="52">
        <f ca="1">+SUM(AB36:AH36,AJ36:AM36)</f>
        <v>0</v>
      </c>
      <c r="AB36" s="50">
        <f ca="1">+GETPIVOTDATA("XSB4",'sonbinh (2016)'!$A$3,"MA_HT","DTT","MA_QH","DGT")</f>
        <v>0</v>
      </c>
      <c r="AC36" s="50">
        <f ca="1">+GETPIVOTDATA("XSB4",'sonbinh (2016)'!$A$3,"MA_HT","DTT","MA_QH","DTL")</f>
        <v>0</v>
      </c>
      <c r="AD36" s="50">
        <f ca="1">+GETPIVOTDATA("XSB4",'sonbinh (2016)'!$A$3,"MA_HT","DTT","MA_QH","DNL")</f>
        <v>0</v>
      </c>
      <c r="AE36" s="50">
        <f ca="1">+GETPIVOTDATA("XSB4",'sonbinh (2016)'!$A$3,"MA_HT","DTT","MA_QH","DBV")</f>
        <v>0</v>
      </c>
      <c r="AF36" s="50">
        <f ca="1">+GETPIVOTDATA("XSB4",'sonbinh (2016)'!$A$3,"MA_HT","DTT","MA_QH","DVH")</f>
        <v>0</v>
      </c>
      <c r="AG36" s="50">
        <f ca="1">+GETPIVOTDATA("XSB4",'sonbinh (2016)'!$A$3,"MA_HT","DTT","MA_QH","DYT")</f>
        <v>0</v>
      </c>
      <c r="AH36" s="50">
        <f ca="1">+GETPIVOTDATA("XSB4",'sonbinh (2016)'!$A$3,"MA_HT","DTT","MA_QH","DGD")</f>
        <v>0</v>
      </c>
      <c r="AI36" s="49" t="e">
        <f ca="1">$D36-$BF36</f>
        <v>#REF!</v>
      </c>
      <c r="AJ36" s="50">
        <f ca="1">+GETPIVOTDATA("XSB4",'sonbinh (2016)'!$A$3,"MA_HT","DTT","MA_QH","NCK")</f>
        <v>0</v>
      </c>
      <c r="AK36" s="50">
        <f ca="1">+GETPIVOTDATA("XSB4",'sonbinh (2016)'!$A$3,"MA_HT","DTT","MA_QH","DXH")</f>
        <v>0</v>
      </c>
      <c r="AL36" s="50">
        <f ca="1">+GETPIVOTDATA("XSB4",'sonbinh (2016)'!$A$3,"MA_HT","DTT","MA_QH","DCH")</f>
        <v>0</v>
      </c>
      <c r="AM36" s="50">
        <f ca="1">+GETPIVOTDATA("XSB4",'sonbinh (2016)'!$A$3,"MA_HT","DTT","MA_QH","DKG")</f>
        <v>0</v>
      </c>
      <c r="AN36" s="50">
        <f ca="1">+GETPIVOTDATA("XSB4",'sonbinh (2016)'!$A$3,"MA_HT","DTT","MA_QH","DDT")</f>
        <v>0</v>
      </c>
      <c r="AO36" s="50">
        <f ca="1">+GETPIVOTDATA("XSB4",'sonbinh (2016)'!$A$3,"MA_HT","DTT","MA_QH","DDL")</f>
        <v>0</v>
      </c>
      <c r="AP36" s="50">
        <f ca="1">+GETPIVOTDATA("XSB4",'sonbinh (2016)'!$A$3,"MA_HT","DTT","MA_QH","DRA")</f>
        <v>0</v>
      </c>
      <c r="AQ36" s="50">
        <f ca="1">+GETPIVOTDATA("XSB4",'sonbinh (2016)'!$A$3,"MA_HT","DTT","MA_QH","ONT")</f>
        <v>0</v>
      </c>
      <c r="AR36" s="50">
        <f ca="1">+GETPIVOTDATA("XSB4",'sonbinh (2016)'!$A$3,"MA_HT","DTT","MA_QH","ODT")</f>
        <v>0</v>
      </c>
      <c r="AS36" s="50">
        <f ca="1">+GETPIVOTDATA("XSB4",'sonbinh (2016)'!$A$3,"MA_HT","DTT","MA_QH","TSC")</f>
        <v>0</v>
      </c>
      <c r="AT36" s="50">
        <f ca="1">+GETPIVOTDATA("XSB4",'sonbinh (2016)'!$A$3,"MA_HT","DTT","MA_QH","DTS")</f>
        <v>0</v>
      </c>
      <c r="AU36" s="50">
        <f ca="1">+GETPIVOTDATA("XSB4",'sonbinh (2016)'!$A$3,"MA_HT","DTT","MA_QH","DNG")</f>
        <v>0</v>
      </c>
      <c r="AV36" s="50">
        <f ca="1">+GETPIVOTDATA("XSB4",'sonbinh (2016)'!$A$3,"MA_HT","DTT","MA_QH","TON")</f>
        <v>0</v>
      </c>
      <c r="AW36" s="50">
        <f ca="1">+GETPIVOTDATA("XSB4",'sonbinh (2016)'!$A$3,"MA_HT","DTT","MA_QH","NTD")</f>
        <v>0</v>
      </c>
      <c r="AX36" s="50">
        <f ca="1">+GETPIVOTDATA("XSB4",'sonbinh (2016)'!$A$3,"MA_HT","DTT","MA_QH","SKX")</f>
        <v>0</v>
      </c>
      <c r="AY36" s="50">
        <f ca="1">+GETPIVOTDATA("XSB4",'sonbinh (2016)'!$A$3,"MA_HT","DTT","MA_QH","DSH")</f>
        <v>0</v>
      </c>
      <c r="AZ36" s="50">
        <f ca="1">+GETPIVOTDATA("XSB4",'sonbinh (2016)'!$A$3,"MA_HT","DTT","MA_QH","DKV")</f>
        <v>0</v>
      </c>
      <c r="BA36" s="88">
        <f ca="1">+GETPIVOTDATA("XSB4",'sonbinh (2016)'!$A$3,"MA_HT","DTT","MA_QH","TIN")</f>
        <v>0</v>
      </c>
      <c r="BB36" s="50">
        <f ca="1">+GETPIVOTDATA("XSB4",'sonbinh (2016)'!$A$3,"MA_HT","DTT","MA_QH","SON")</f>
        <v>0</v>
      </c>
      <c r="BC36" s="50">
        <f ca="1">+GETPIVOTDATA("XSB4",'sonbinh (2016)'!$A$3,"MA_HT","DTT","MA_QH","MNC")</f>
        <v>0</v>
      </c>
      <c r="BD36" s="50">
        <f ca="1">+GETPIVOTDATA("XSB4",'sonbinh (2016)'!$A$3,"MA_HT","DTT","MA_QH","PNK")</f>
        <v>0</v>
      </c>
      <c r="BE36" s="80">
        <f ca="1">+GETPIVOTDATA("XSB4",'sonbinh (2016)'!$A$3,"MA_HT","DTT","MA_QH","CSD")</f>
        <v>0</v>
      </c>
      <c r="BF36" s="103">
        <f ca="1" t="shared" si="13"/>
        <v>0</v>
      </c>
      <c r="BG36" s="104">
        <f ca="1">AI$59-$BF36</f>
        <v>0</v>
      </c>
      <c r="BH36" s="47" t="e">
        <f ca="1" t="shared" si="14"/>
        <v>#REF!</v>
      </c>
      <c r="BI36" s="105"/>
      <c r="BJ36" s="105" t="e">
        <f>#REF!</f>
        <v>#REF!</v>
      </c>
      <c r="BK36" s="108" t="e">
        <f ca="1" t="shared" si="19"/>
        <v>#REF!</v>
      </c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</row>
    <row r="37" s="4" customFormat="1" ht="16.5" customHeight="1" spans="1:79">
      <c r="A37" s="45" t="s">
        <v>8392</v>
      </c>
      <c r="B37" s="45" t="s">
        <v>8393</v>
      </c>
      <c r="C37" s="46" t="s">
        <v>8302</v>
      </c>
      <c r="D37" s="47" t="e">
        <f>+#REF!</f>
        <v>#REF!</v>
      </c>
      <c r="E37" s="42">
        <f ca="1" t="shared" si="15"/>
        <v>0</v>
      </c>
      <c r="F37" s="52">
        <f ca="1" t="shared" si="9"/>
        <v>0</v>
      </c>
      <c r="G37" s="50">
        <f ca="1">+GETPIVOTDATA("XSB4",'sonbinh (2016)'!$A$3,"MA_HT","NCK","MA_QH","LUC")</f>
        <v>0</v>
      </c>
      <c r="H37" s="50">
        <f ca="1">+GETPIVOTDATA("XSB4",'sonbinh (2016)'!$A$3,"MA_HT","NCK","MA_QH","LUK")</f>
        <v>0</v>
      </c>
      <c r="I37" s="50">
        <f ca="1">+GETPIVOTDATA("XSB4",'sonbinh (2016)'!$A$3,"MA_HT","NCK","MA_QH","LUN")</f>
        <v>0</v>
      </c>
      <c r="J37" s="50">
        <f ca="1">+GETPIVOTDATA("XSB4",'sonbinh (2016)'!$A$3,"MA_HT","NCK","MA_QH","HNK")</f>
        <v>0</v>
      </c>
      <c r="K37" s="50">
        <f ca="1">+GETPIVOTDATA("XSB4",'sonbinh (2016)'!$A$3,"MA_HT","NCK","MA_QH","CLN")</f>
        <v>0</v>
      </c>
      <c r="L37" s="50">
        <f ca="1">+GETPIVOTDATA("XSB4",'sonbinh (2016)'!$A$3,"MA_HT","NCK","MA_QH","RSX")</f>
        <v>0</v>
      </c>
      <c r="M37" s="50">
        <f ca="1">+GETPIVOTDATA("XSB4",'sonbinh (2016)'!$A$3,"MA_HT","NCK","MA_QH","RPH")</f>
        <v>0</v>
      </c>
      <c r="N37" s="50">
        <f ca="1">+GETPIVOTDATA("XSB4",'sonbinh (2016)'!$A$3,"MA_HT","NCK","MA_QH","RDD")</f>
        <v>0</v>
      </c>
      <c r="O37" s="50">
        <f ca="1">+GETPIVOTDATA("XSB4",'sonbinh (2016)'!$A$3,"MA_HT","NCK","MA_QH","NTS")</f>
        <v>0</v>
      </c>
      <c r="P37" s="50">
        <f ca="1">+GETPIVOTDATA("XSB4",'sonbinh (2016)'!$A$3,"MA_HT","NCK","MA_QH","LMU")</f>
        <v>0</v>
      </c>
      <c r="Q37" s="50">
        <f ca="1">+GETPIVOTDATA("XSB4",'sonbinh (2016)'!$A$3,"MA_HT","NCK","MA_QH","NKH")</f>
        <v>0</v>
      </c>
      <c r="R37" s="48">
        <f ca="1" t="shared" si="20"/>
        <v>0</v>
      </c>
      <c r="S37" s="50">
        <f ca="1">+GETPIVOTDATA("XSB4",'sonbinh (2016)'!$A$3,"MA_HT","NCK","MA_QH","CQP")</f>
        <v>0</v>
      </c>
      <c r="T37" s="50">
        <f ca="1">+GETPIVOTDATA("XSB4",'sonbinh (2016)'!$A$3,"MA_HT","NCK","MA_QH","CAN")</f>
        <v>0</v>
      </c>
      <c r="U37" s="50">
        <f ca="1">+GETPIVOTDATA("XSB4",'sonbinh (2016)'!$A$3,"MA_HT","NCK","MA_QH","SKK")</f>
        <v>0</v>
      </c>
      <c r="V37" s="50">
        <f ca="1">+GETPIVOTDATA("XSB4",'sonbinh (2016)'!$A$3,"MA_HT","NCK","MA_QH","SKT")</f>
        <v>0</v>
      </c>
      <c r="W37" s="50">
        <f ca="1">+GETPIVOTDATA("XSB4",'sonbinh (2016)'!$A$3,"MA_HT","NCK","MA_QH","SKN")</f>
        <v>0</v>
      </c>
      <c r="X37" s="50">
        <f ca="1">+GETPIVOTDATA("XSB4",'sonbinh (2016)'!$A$3,"MA_HT","NCK","MA_QH","TMD")</f>
        <v>0</v>
      </c>
      <c r="Y37" s="50">
        <f ca="1">+GETPIVOTDATA("XSB4",'sonbinh (2016)'!$A$3,"MA_HT","NCK","MA_QH","SKC")</f>
        <v>0</v>
      </c>
      <c r="Z37" s="50">
        <f ca="1">+GETPIVOTDATA("XSB4",'sonbinh (2016)'!$A$3,"MA_HT","NCK","MA_QH","SKS")</f>
        <v>0</v>
      </c>
      <c r="AA37" s="52">
        <f ca="1">+SUM(AB37:AI37,AK37:AM37)</f>
        <v>0</v>
      </c>
      <c r="AB37" s="50">
        <f ca="1">+GETPIVOTDATA("XSB4",'sonbinh (2016)'!$A$3,"MA_HT","NCK","MA_QH","DGT")</f>
        <v>0</v>
      </c>
      <c r="AC37" s="50">
        <f ca="1">+GETPIVOTDATA("XSB4",'sonbinh (2016)'!$A$3,"MA_HT","NCK","MA_QH","DTL")</f>
        <v>0</v>
      </c>
      <c r="AD37" s="50">
        <f ca="1">+GETPIVOTDATA("XSB4",'sonbinh (2016)'!$A$3,"MA_HT","NCK","MA_QH","DNL")</f>
        <v>0</v>
      </c>
      <c r="AE37" s="50">
        <f ca="1">+GETPIVOTDATA("XSB4",'sonbinh (2016)'!$A$3,"MA_HT","NCK","MA_QH","DBV")</f>
        <v>0</v>
      </c>
      <c r="AF37" s="50">
        <f ca="1">+GETPIVOTDATA("XSB4",'sonbinh (2016)'!$A$3,"MA_HT","NCK","MA_QH","DVH")</f>
        <v>0</v>
      </c>
      <c r="AG37" s="50">
        <f ca="1">+GETPIVOTDATA("XSB4",'sonbinh (2016)'!$A$3,"MA_HT","NCK","MA_QH","DYT")</f>
        <v>0</v>
      </c>
      <c r="AH37" s="50">
        <f ca="1">+GETPIVOTDATA("XSB4",'sonbinh (2016)'!$A$3,"MA_HT","NCK","MA_QH","DGD")</f>
        <v>0</v>
      </c>
      <c r="AI37" s="50">
        <f ca="1">+GETPIVOTDATA("XSB4",'sonbinh (2016)'!$A$3,"MA_HT","NCK","MA_QH","DTT")</f>
        <v>0</v>
      </c>
      <c r="AJ37" s="49" t="e">
        <f ca="1">$D37-$BF37</f>
        <v>#REF!</v>
      </c>
      <c r="AK37" s="50">
        <f ca="1">+GETPIVOTDATA("XSB4",'sonbinh (2016)'!$A$3,"MA_HT","NCK","MA_QH","DXH")</f>
        <v>0</v>
      </c>
      <c r="AL37" s="50">
        <f ca="1">+GETPIVOTDATA("XSB4",'sonbinh (2016)'!$A$3,"MA_HT","NCK","MA_QH","DCH")</f>
        <v>0</v>
      </c>
      <c r="AM37" s="50">
        <f ca="1">+GETPIVOTDATA("XSB4",'sonbinh (2016)'!$A$3,"MA_HT","NCK","MA_QH","DKG")</f>
        <v>0</v>
      </c>
      <c r="AN37" s="50">
        <f ca="1">+GETPIVOTDATA("XSB4",'sonbinh (2016)'!$A$3,"MA_HT","NCK","MA_QH","DDT")</f>
        <v>0</v>
      </c>
      <c r="AO37" s="50">
        <f ca="1">+GETPIVOTDATA("XSB4",'sonbinh (2016)'!$A$3,"MA_HT","NCK","MA_QH","DDL")</f>
        <v>0</v>
      </c>
      <c r="AP37" s="50">
        <f ca="1">+GETPIVOTDATA("XSB4",'sonbinh (2016)'!$A$3,"MA_HT","NCK","MA_QH","DRA")</f>
        <v>0</v>
      </c>
      <c r="AQ37" s="50">
        <f ca="1">+GETPIVOTDATA("XSB4",'sonbinh (2016)'!$A$3,"MA_HT","NCK","MA_QH","ONT")</f>
        <v>0</v>
      </c>
      <c r="AR37" s="50">
        <f ca="1">+GETPIVOTDATA("XSB4",'sonbinh (2016)'!$A$3,"MA_HT","NCK","MA_QH","ODT")</f>
        <v>0</v>
      </c>
      <c r="AS37" s="50">
        <f ca="1">+GETPIVOTDATA("XSB4",'sonbinh (2016)'!$A$3,"MA_HT","NCK","MA_QH","TSC")</f>
        <v>0</v>
      </c>
      <c r="AT37" s="50">
        <f ca="1">+GETPIVOTDATA("XSB4",'sonbinh (2016)'!$A$3,"MA_HT","NCK","MA_QH","DTS")</f>
        <v>0</v>
      </c>
      <c r="AU37" s="50">
        <f ca="1">+GETPIVOTDATA("XSB4",'sonbinh (2016)'!$A$3,"MA_HT","NCK","MA_QH","DNG")</f>
        <v>0</v>
      </c>
      <c r="AV37" s="50">
        <f ca="1">+GETPIVOTDATA("XSB4",'sonbinh (2016)'!$A$3,"MA_HT","NCK","MA_QH","TON")</f>
        <v>0</v>
      </c>
      <c r="AW37" s="50">
        <f ca="1">+GETPIVOTDATA("XSB4",'sonbinh (2016)'!$A$3,"MA_HT","NCK","MA_QH","NTD")</f>
        <v>0</v>
      </c>
      <c r="AX37" s="50">
        <f ca="1">+GETPIVOTDATA("XSB4",'sonbinh (2016)'!$A$3,"MA_HT","NCK","MA_QH","SKX")</f>
        <v>0</v>
      </c>
      <c r="AY37" s="50">
        <f ca="1">+GETPIVOTDATA("XSB4",'sonbinh (2016)'!$A$3,"MA_HT","NCK","MA_QH","DSH")</f>
        <v>0</v>
      </c>
      <c r="AZ37" s="50">
        <f ca="1">+GETPIVOTDATA("XSB4",'sonbinh (2016)'!$A$3,"MA_HT","NCK","MA_QH","DKV")</f>
        <v>0</v>
      </c>
      <c r="BA37" s="88">
        <f ca="1">+GETPIVOTDATA("XSB4",'sonbinh (2016)'!$A$3,"MA_HT","NCK","MA_QH","TIN")</f>
        <v>0</v>
      </c>
      <c r="BB37" s="50">
        <f ca="1">+GETPIVOTDATA("XSB4",'sonbinh (2016)'!$A$3,"MA_HT","NCK","MA_QH","SON")</f>
        <v>0</v>
      </c>
      <c r="BC37" s="50">
        <f ca="1">+GETPIVOTDATA("XSB4",'sonbinh (2016)'!$A$3,"MA_HT","NCK","MA_QH","MNC")</f>
        <v>0</v>
      </c>
      <c r="BD37" s="50">
        <f ca="1">+GETPIVOTDATA("XSB4",'sonbinh (2016)'!$A$3,"MA_HT","NCK","MA_QH","PNK")</f>
        <v>0</v>
      </c>
      <c r="BE37" s="80">
        <f ca="1">+GETPIVOTDATA("XSB4",'sonbinh (2016)'!$A$3,"MA_HT","NCK","MA_QH","CSD")</f>
        <v>0</v>
      </c>
      <c r="BF37" s="103">
        <f ca="1" t="shared" si="13"/>
        <v>0</v>
      </c>
      <c r="BG37" s="104">
        <f ca="1">AJ$59-$BF37</f>
        <v>0</v>
      </c>
      <c r="BH37" s="47" t="e">
        <f ca="1" t="shared" si="14"/>
        <v>#REF!</v>
      </c>
      <c r="BI37" s="105"/>
      <c r="BJ37" s="105" t="e">
        <f>#REF!</f>
        <v>#REF!</v>
      </c>
      <c r="BK37" s="108" t="e">
        <f ca="1" t="shared" si="19"/>
        <v>#REF!</v>
      </c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</row>
    <row r="38" s="4" customFormat="1" ht="16.5" customHeight="1" spans="1:79">
      <c r="A38" s="45" t="s">
        <v>8394</v>
      </c>
      <c r="B38" s="45" t="s">
        <v>8395</v>
      </c>
      <c r="C38" s="46" t="s">
        <v>8295</v>
      </c>
      <c r="D38" s="47" t="e">
        <f>+#REF!</f>
        <v>#REF!</v>
      </c>
      <c r="E38" s="42">
        <f ca="1" t="shared" si="15"/>
        <v>0</v>
      </c>
      <c r="F38" s="52">
        <f ca="1" t="shared" si="9"/>
        <v>0</v>
      </c>
      <c r="G38" s="50">
        <f ca="1">+GETPIVOTDATA("XSB4",'sonbinh (2016)'!$A$3,"MA_HT","DXH","MA_QH","LUC")</f>
        <v>0</v>
      </c>
      <c r="H38" s="50">
        <f ca="1">+GETPIVOTDATA("XSB4",'sonbinh (2016)'!$A$3,"MA_HT","DXH","MA_QH","LUK")</f>
        <v>0</v>
      </c>
      <c r="I38" s="50">
        <f ca="1">+GETPIVOTDATA("XSB4",'sonbinh (2016)'!$A$3,"MA_HT","DXH","MA_QH","LUN")</f>
        <v>0</v>
      </c>
      <c r="J38" s="50">
        <f ca="1">+GETPIVOTDATA("XSB4",'sonbinh (2016)'!$A$3,"MA_HT","DXH","MA_QH","HNK")</f>
        <v>0</v>
      </c>
      <c r="K38" s="50">
        <f ca="1">+GETPIVOTDATA("XSB4",'sonbinh (2016)'!$A$3,"MA_HT","DXH","MA_QH","CLN")</f>
        <v>0</v>
      </c>
      <c r="L38" s="50">
        <f ca="1">+GETPIVOTDATA("XSB4",'sonbinh (2016)'!$A$3,"MA_HT","DXH","MA_QH","RSX")</f>
        <v>0</v>
      </c>
      <c r="M38" s="50">
        <f ca="1">+GETPIVOTDATA("XSB4",'sonbinh (2016)'!$A$3,"MA_HT","DXH","MA_QH","RPH")</f>
        <v>0</v>
      </c>
      <c r="N38" s="50">
        <f ca="1">+GETPIVOTDATA("XSB4",'sonbinh (2016)'!$A$3,"MA_HT","DXH","MA_QH","RDD")</f>
        <v>0</v>
      </c>
      <c r="O38" s="50">
        <f ca="1">+GETPIVOTDATA("XSB4",'sonbinh (2016)'!$A$3,"MA_HT","DXH","MA_QH","NTS")</f>
        <v>0</v>
      </c>
      <c r="P38" s="50">
        <f ca="1">+GETPIVOTDATA("XSB4",'sonbinh (2016)'!$A$3,"MA_HT","DXH","MA_QH","LMU")</f>
        <v>0</v>
      </c>
      <c r="Q38" s="50">
        <f ca="1">+GETPIVOTDATA("XSB4",'sonbinh (2016)'!$A$3,"MA_HT","DXH","MA_QH","NKH")</f>
        <v>0</v>
      </c>
      <c r="R38" s="48">
        <f ca="1" t="shared" si="20"/>
        <v>0</v>
      </c>
      <c r="S38" s="50">
        <f ca="1">+GETPIVOTDATA("XSB4",'sonbinh (2016)'!$A$3,"MA_HT","DXH","MA_QH","CQP")</f>
        <v>0</v>
      </c>
      <c r="T38" s="50">
        <f ca="1">+GETPIVOTDATA("XSB4",'sonbinh (2016)'!$A$3,"MA_HT","DXH","MA_QH","CAN")</f>
        <v>0</v>
      </c>
      <c r="U38" s="50">
        <f ca="1">+GETPIVOTDATA("XSB4",'sonbinh (2016)'!$A$3,"MA_HT","DXH","MA_QH","SKK")</f>
        <v>0</v>
      </c>
      <c r="V38" s="50">
        <f ca="1">+GETPIVOTDATA("XSB4",'sonbinh (2016)'!$A$3,"MA_HT","DXH","MA_QH","SKT")</f>
        <v>0</v>
      </c>
      <c r="W38" s="50">
        <f ca="1">+GETPIVOTDATA("XSB4",'sonbinh (2016)'!$A$3,"MA_HT","DXH","MA_QH","SKN")</f>
        <v>0</v>
      </c>
      <c r="X38" s="50">
        <f ca="1">+GETPIVOTDATA("XSB4",'sonbinh (2016)'!$A$3,"MA_HT","DXH","MA_QH","TMD")</f>
        <v>0</v>
      </c>
      <c r="Y38" s="50">
        <f ca="1">+GETPIVOTDATA("XSB4",'sonbinh (2016)'!$A$3,"MA_HT","DXH","MA_QH","SKC")</f>
        <v>0</v>
      </c>
      <c r="Z38" s="50">
        <f ca="1">+GETPIVOTDATA("XSB4",'sonbinh (2016)'!$A$3,"MA_HT","DXH","MA_QH","SKS")</f>
        <v>0</v>
      </c>
      <c r="AA38" s="52">
        <f ca="1">+SUM(AB38:AJ38,AL38:AM38)</f>
        <v>0</v>
      </c>
      <c r="AB38" s="50">
        <f ca="1">+GETPIVOTDATA("XSB4",'sonbinh (2016)'!$A$3,"MA_HT","DXH","MA_QH","DGT")</f>
        <v>0</v>
      </c>
      <c r="AC38" s="50">
        <f ca="1">+GETPIVOTDATA("XSB4",'sonbinh (2016)'!$A$3,"MA_HT","DXH","MA_QH","DTL")</f>
        <v>0</v>
      </c>
      <c r="AD38" s="50">
        <f ca="1">+GETPIVOTDATA("XSB4",'sonbinh (2016)'!$A$3,"MA_HT","DXH","MA_QH","DNL")</f>
        <v>0</v>
      </c>
      <c r="AE38" s="50">
        <f ca="1">+GETPIVOTDATA("XSB4",'sonbinh (2016)'!$A$3,"MA_HT","DXH","MA_QH","DBV")</f>
        <v>0</v>
      </c>
      <c r="AF38" s="50">
        <f ca="1">+GETPIVOTDATA("XSB4",'sonbinh (2016)'!$A$3,"MA_HT","DXH","MA_QH","DVH")</f>
        <v>0</v>
      </c>
      <c r="AG38" s="50">
        <f ca="1">+GETPIVOTDATA("XSB4",'sonbinh (2016)'!$A$3,"MA_HT","DXH","MA_QH","DYT")</f>
        <v>0</v>
      </c>
      <c r="AH38" s="50">
        <f ca="1">+GETPIVOTDATA("XSB4",'sonbinh (2016)'!$A$3,"MA_HT","DXH","MA_QH","DGD")</f>
        <v>0</v>
      </c>
      <c r="AI38" s="50">
        <f ca="1">+GETPIVOTDATA("XSB4",'sonbinh (2016)'!$A$3,"MA_HT","DXH","MA_QH","DTT")</f>
        <v>0</v>
      </c>
      <c r="AJ38" s="50">
        <f ca="1">+GETPIVOTDATA("XSB4",'sonbinh (2016)'!$A$3,"MA_HT","DXH","MA_QH","NCK")</f>
        <v>0</v>
      </c>
      <c r="AK38" s="49" t="e">
        <f ca="1">$D38-$BF38</f>
        <v>#REF!</v>
      </c>
      <c r="AL38" s="50">
        <f ca="1">+GETPIVOTDATA("XSB4",'sonbinh (2016)'!$A$3,"MA_HT","DXH","MA_QH","DCH")</f>
        <v>0</v>
      </c>
      <c r="AM38" s="50">
        <f ca="1">+GETPIVOTDATA("XSB4",'sonbinh (2016)'!$A$3,"MA_HT","DXH","MA_QH","DKG")</f>
        <v>0</v>
      </c>
      <c r="AN38" s="50">
        <f ca="1">+GETPIVOTDATA("XSB4",'sonbinh (2016)'!$A$3,"MA_HT","DXH","MA_QH","DDT")</f>
        <v>0</v>
      </c>
      <c r="AO38" s="50">
        <f ca="1">+GETPIVOTDATA("XSB4",'sonbinh (2016)'!$A$3,"MA_HT","DXH","MA_QH","DDL")</f>
        <v>0</v>
      </c>
      <c r="AP38" s="50">
        <f ca="1">+GETPIVOTDATA("XSB4",'sonbinh (2016)'!$A$3,"MA_HT","DXH","MA_QH","DRA")</f>
        <v>0</v>
      </c>
      <c r="AQ38" s="50">
        <f ca="1">+GETPIVOTDATA("XSB4",'sonbinh (2016)'!$A$3,"MA_HT","DXH","MA_QH","ONT")</f>
        <v>0</v>
      </c>
      <c r="AR38" s="50">
        <f ca="1">+GETPIVOTDATA("XSB4",'sonbinh (2016)'!$A$3,"MA_HT","DXH","MA_QH","ODT")</f>
        <v>0</v>
      </c>
      <c r="AS38" s="50">
        <f ca="1">+GETPIVOTDATA("XSB4",'sonbinh (2016)'!$A$3,"MA_HT","DXH","MA_QH","TSC")</f>
        <v>0</v>
      </c>
      <c r="AT38" s="50">
        <f ca="1">+GETPIVOTDATA("XSB4",'sonbinh (2016)'!$A$3,"MA_HT","DXH","MA_QH","DTS")</f>
        <v>0</v>
      </c>
      <c r="AU38" s="50">
        <f ca="1">+GETPIVOTDATA("XSB4",'sonbinh (2016)'!$A$3,"MA_HT","DXH","MA_QH","DNG")</f>
        <v>0</v>
      </c>
      <c r="AV38" s="50">
        <f ca="1">+GETPIVOTDATA("XSB4",'sonbinh (2016)'!$A$3,"MA_HT","DXH","MA_QH","TON")</f>
        <v>0</v>
      </c>
      <c r="AW38" s="50">
        <f ca="1">+GETPIVOTDATA("XSB4",'sonbinh (2016)'!$A$3,"MA_HT","DXH","MA_QH","NTD")</f>
        <v>0</v>
      </c>
      <c r="AX38" s="50">
        <f ca="1">+GETPIVOTDATA("XSB4",'sonbinh (2016)'!$A$3,"MA_HT","DXH","MA_QH","SKX")</f>
        <v>0</v>
      </c>
      <c r="AY38" s="50">
        <f ca="1">+GETPIVOTDATA("XSB4",'sonbinh (2016)'!$A$3,"MA_HT","DXH","MA_QH","DSH")</f>
        <v>0</v>
      </c>
      <c r="AZ38" s="50">
        <f ca="1">+GETPIVOTDATA("XSB4",'sonbinh (2016)'!$A$3,"MA_HT","DXH","MA_QH","DKV")</f>
        <v>0</v>
      </c>
      <c r="BA38" s="88">
        <f ca="1">+GETPIVOTDATA("XSB4",'sonbinh (2016)'!$A$3,"MA_HT","DXH","MA_QH","TIN")</f>
        <v>0</v>
      </c>
      <c r="BB38" s="50">
        <f ca="1">+GETPIVOTDATA("XSB4",'sonbinh (2016)'!$A$3,"MA_HT","DXH","MA_QH","SON")</f>
        <v>0</v>
      </c>
      <c r="BC38" s="50">
        <f ca="1">+GETPIVOTDATA("XSB4",'sonbinh (2016)'!$A$3,"MA_HT","DXH","MA_QH","MNC")</f>
        <v>0</v>
      </c>
      <c r="BD38" s="50">
        <f ca="1">+GETPIVOTDATA("XSB4",'sonbinh (2016)'!$A$3,"MA_HT","DXH","MA_QH","PNK")</f>
        <v>0</v>
      </c>
      <c r="BE38" s="80">
        <f ca="1">+GETPIVOTDATA("XSB4",'sonbinh (2016)'!$A$3,"MA_HT","DXH","MA_QH","CSD")</f>
        <v>0</v>
      </c>
      <c r="BF38" s="103">
        <f ca="1" t="shared" si="13"/>
        <v>0</v>
      </c>
      <c r="BG38" s="104">
        <f ca="1">AK$59-$BF38</f>
        <v>0</v>
      </c>
      <c r="BH38" s="47" t="e">
        <f ca="1" t="shared" si="14"/>
        <v>#REF!</v>
      </c>
      <c r="BI38" s="105"/>
      <c r="BJ38" s="105" t="e">
        <f>#REF!</f>
        <v>#REF!</v>
      </c>
      <c r="BK38" s="108" t="e">
        <f ca="1" t="shared" si="19"/>
        <v>#REF!</v>
      </c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</row>
    <row r="39" s="5" customFormat="1" ht="16.5" customHeight="1" spans="1:79">
      <c r="A39" s="45" t="s">
        <v>8396</v>
      </c>
      <c r="B39" s="45" t="s">
        <v>8397</v>
      </c>
      <c r="C39" s="46" t="s">
        <v>178</v>
      </c>
      <c r="D39" s="47" t="e">
        <f>+#REF!</f>
        <v>#REF!</v>
      </c>
      <c r="E39" s="42">
        <f ca="1" t="shared" si="15"/>
        <v>0</v>
      </c>
      <c r="F39" s="52">
        <f ca="1" t="shared" si="9"/>
        <v>0</v>
      </c>
      <c r="G39" s="50">
        <f ca="1">+GETPIVOTDATA("XSB4",'sonbinh (2016)'!$A$3,"MA_HT","DCH","MA_QH","LUC")</f>
        <v>0</v>
      </c>
      <c r="H39" s="50">
        <f ca="1">+GETPIVOTDATA("XSB4",'sonbinh (2016)'!$A$3,"MA_HT","DCH","MA_QH","LUK")</f>
        <v>0</v>
      </c>
      <c r="I39" s="50">
        <f ca="1">+GETPIVOTDATA("XSB4",'sonbinh (2016)'!$A$3,"MA_HT","DCH","MA_QH","LUN")</f>
        <v>0</v>
      </c>
      <c r="J39" s="50">
        <f ca="1">+GETPIVOTDATA("XSB4",'sonbinh (2016)'!$A$3,"MA_HT","DCH","MA_QH","HNK")</f>
        <v>0</v>
      </c>
      <c r="K39" s="50">
        <f ca="1">+GETPIVOTDATA("XSB4",'sonbinh (2016)'!$A$3,"MA_HT","DCH","MA_QH","CLN")</f>
        <v>0</v>
      </c>
      <c r="L39" s="50">
        <f ca="1">+GETPIVOTDATA("XSB4",'sonbinh (2016)'!$A$3,"MA_HT","DCH","MA_QH","RSX")</f>
        <v>0</v>
      </c>
      <c r="M39" s="50">
        <f ca="1">+GETPIVOTDATA("XSB4",'sonbinh (2016)'!$A$3,"MA_HT","DCH","MA_QH","RPH")</f>
        <v>0</v>
      </c>
      <c r="N39" s="50">
        <f ca="1">+GETPIVOTDATA("XSB4",'sonbinh (2016)'!$A$3,"MA_HT","DCH","MA_QH","RDD")</f>
        <v>0</v>
      </c>
      <c r="O39" s="50">
        <f ca="1">+GETPIVOTDATA("XSB4",'sonbinh (2016)'!$A$3,"MA_HT","DCH","MA_QH","NTS")</f>
        <v>0</v>
      </c>
      <c r="P39" s="50">
        <f ca="1">+GETPIVOTDATA("XSB4",'sonbinh (2016)'!$A$3,"MA_HT","DCH","MA_QH","LMU")</f>
        <v>0</v>
      </c>
      <c r="Q39" s="50">
        <f ca="1">+GETPIVOTDATA("XSB4",'sonbinh (2016)'!$A$3,"MA_HT","DCH","MA_QH","NKH")</f>
        <v>0</v>
      </c>
      <c r="R39" s="48">
        <f ca="1" t="shared" si="20"/>
        <v>0</v>
      </c>
      <c r="S39" s="50">
        <f ca="1">+GETPIVOTDATA("XSB4",'sonbinh (2016)'!$A$3,"MA_HT","DCH","MA_QH","CQP")</f>
        <v>0</v>
      </c>
      <c r="T39" s="50">
        <f ca="1">+GETPIVOTDATA("XSB4",'sonbinh (2016)'!$A$3,"MA_HT","DCH","MA_QH","CAN")</f>
        <v>0</v>
      </c>
      <c r="U39" s="50">
        <f ca="1">+GETPIVOTDATA("XSB4",'sonbinh (2016)'!$A$3,"MA_HT","DCH","MA_QH","SKK")</f>
        <v>0</v>
      </c>
      <c r="V39" s="50">
        <f ca="1">+GETPIVOTDATA("XSB4",'sonbinh (2016)'!$A$3,"MA_HT","DCH","MA_QH","SKT")</f>
        <v>0</v>
      </c>
      <c r="W39" s="50">
        <f ca="1">+GETPIVOTDATA("XSB4",'sonbinh (2016)'!$A$3,"MA_HT","DCH","MA_QH","SKN")</f>
        <v>0</v>
      </c>
      <c r="X39" s="50">
        <f ca="1">+GETPIVOTDATA("XSB4",'sonbinh (2016)'!$A$3,"MA_HT","DCH","MA_QH","TMD")</f>
        <v>0</v>
      </c>
      <c r="Y39" s="50">
        <f ca="1">+GETPIVOTDATA("XSB4",'sonbinh (2016)'!$A$3,"MA_HT","DCH","MA_QH","SKC")</f>
        <v>0</v>
      </c>
      <c r="Z39" s="50">
        <f ca="1">+GETPIVOTDATA("XSB4",'sonbinh (2016)'!$A$3,"MA_HT","DCH","MA_QH","SKS")</f>
        <v>0</v>
      </c>
      <c r="AA39" s="52">
        <f ca="1">+SUM(AB39:AK39,AM39)</f>
        <v>0</v>
      </c>
      <c r="AB39" s="50">
        <f ca="1">+GETPIVOTDATA("XSB4",'sonbinh (2016)'!$A$3,"MA_HT","DCH","MA_QH","DGT")</f>
        <v>0</v>
      </c>
      <c r="AC39" s="50">
        <f ca="1">+GETPIVOTDATA("XSB4",'sonbinh (2016)'!$A$3,"MA_HT","DCH","MA_QH","DTL")</f>
        <v>0</v>
      </c>
      <c r="AD39" s="50">
        <f ca="1">+GETPIVOTDATA("XSB4",'sonbinh (2016)'!$A$3,"MA_HT","DCH","MA_QH","DNL")</f>
        <v>0</v>
      </c>
      <c r="AE39" s="50">
        <f ca="1">+GETPIVOTDATA("XSB4",'sonbinh (2016)'!$A$3,"MA_HT","DCH","MA_QH","DBV")</f>
        <v>0</v>
      </c>
      <c r="AF39" s="50">
        <f ca="1">+GETPIVOTDATA("XSB4",'sonbinh (2016)'!$A$3,"MA_HT","DCH","MA_QH","DVH")</f>
        <v>0</v>
      </c>
      <c r="AG39" s="50">
        <f ca="1">+GETPIVOTDATA("XSB4",'sonbinh (2016)'!$A$3,"MA_HT","DCH","MA_QH","DYT")</f>
        <v>0</v>
      </c>
      <c r="AH39" s="50">
        <f ca="1">+GETPIVOTDATA("XSB4",'sonbinh (2016)'!$A$3,"MA_HT","DCH","MA_QH","DGD")</f>
        <v>0</v>
      </c>
      <c r="AI39" s="50">
        <f ca="1">+GETPIVOTDATA("XSB4",'sonbinh (2016)'!$A$3,"MA_HT","DCH","MA_QH","DTT")</f>
        <v>0</v>
      </c>
      <c r="AJ39" s="50">
        <f ca="1">+GETPIVOTDATA("XSB4",'sonbinh (2016)'!$A$3,"MA_HT","DCH","MA_QH","NCK")</f>
        <v>0</v>
      </c>
      <c r="AK39" s="50">
        <f ca="1">+GETPIVOTDATA("XSB4",'sonbinh (2016)'!$A$3,"MA_HT","DCH","MA_QH","DXH")</f>
        <v>0</v>
      </c>
      <c r="AL39" s="49" t="e">
        <f ca="1">$D39-$BF39</f>
        <v>#REF!</v>
      </c>
      <c r="AM39" s="50">
        <f ca="1">+GETPIVOTDATA("XSB4",'sonbinh (2016)'!$A$3,"MA_HT","DXH","MA_QH","DKG")</f>
        <v>0</v>
      </c>
      <c r="AN39" s="50">
        <f ca="1">+GETPIVOTDATA("XSB4",'sonbinh (2016)'!$A$3,"MA_HT","DCH","MA_QH","DDT")</f>
        <v>0</v>
      </c>
      <c r="AO39" s="50">
        <f ca="1">+GETPIVOTDATA("XSB4",'sonbinh (2016)'!$A$3,"MA_HT","DCH","MA_QH","DDL")</f>
        <v>0</v>
      </c>
      <c r="AP39" s="50">
        <f ca="1">+GETPIVOTDATA("XSB4",'sonbinh (2016)'!$A$3,"MA_HT","DCH","MA_QH","DRA")</f>
        <v>0</v>
      </c>
      <c r="AQ39" s="50">
        <f ca="1">+GETPIVOTDATA("XSB4",'sonbinh (2016)'!$A$3,"MA_HT","DCH","MA_QH","ONT")</f>
        <v>0</v>
      </c>
      <c r="AR39" s="50">
        <f ca="1">+GETPIVOTDATA("XSB4",'sonbinh (2016)'!$A$3,"MA_HT","DCH","MA_QH","ODT")</f>
        <v>0</v>
      </c>
      <c r="AS39" s="50">
        <f ca="1">+GETPIVOTDATA("XSB4",'sonbinh (2016)'!$A$3,"MA_HT","DCH","MA_QH","TSC")</f>
        <v>0</v>
      </c>
      <c r="AT39" s="50">
        <f ca="1">+GETPIVOTDATA("XSB4",'sonbinh (2016)'!$A$3,"MA_HT","DCH","MA_QH","DTS")</f>
        <v>0</v>
      </c>
      <c r="AU39" s="50">
        <f ca="1">+GETPIVOTDATA("XSB4",'sonbinh (2016)'!$A$3,"MA_HT","DCH","MA_QH","DNG")</f>
        <v>0</v>
      </c>
      <c r="AV39" s="50">
        <f ca="1">+GETPIVOTDATA("XSB4",'sonbinh (2016)'!$A$3,"MA_HT","DCH","MA_QH","TON")</f>
        <v>0</v>
      </c>
      <c r="AW39" s="50">
        <f ca="1">+GETPIVOTDATA("XSB4",'sonbinh (2016)'!$A$3,"MA_HT","DCH","MA_QH","NTD")</f>
        <v>0</v>
      </c>
      <c r="AX39" s="50">
        <f ca="1">+GETPIVOTDATA("XSB4",'sonbinh (2016)'!$A$3,"MA_HT","DCH","MA_QH","SKX")</f>
        <v>0</v>
      </c>
      <c r="AY39" s="50">
        <f ca="1">+GETPIVOTDATA("XSB4",'sonbinh (2016)'!$A$3,"MA_HT","DCH","MA_QH","DSH")</f>
        <v>0</v>
      </c>
      <c r="AZ39" s="50">
        <f ca="1">+GETPIVOTDATA("XSB4",'sonbinh (2016)'!$A$3,"MA_HT","DCH","MA_QH","DKV")</f>
        <v>0</v>
      </c>
      <c r="BA39" s="88">
        <f ca="1">+GETPIVOTDATA("XSB4",'sonbinh (2016)'!$A$3,"MA_HT","DCH","MA_QH","TIN")</f>
        <v>0</v>
      </c>
      <c r="BB39" s="50">
        <f ca="1">+GETPIVOTDATA("XSB4",'sonbinh (2016)'!$A$3,"MA_HT","DCH","MA_QH","SON")</f>
        <v>0</v>
      </c>
      <c r="BC39" s="50">
        <f ca="1">+GETPIVOTDATA("XSB4",'sonbinh (2016)'!$A$3,"MA_HT","DCH","MA_QH","MNC")</f>
        <v>0</v>
      </c>
      <c r="BD39" s="50">
        <f ca="1">+GETPIVOTDATA("XSB4",'sonbinh (2016)'!$A$3,"MA_HT","DCH","MA_QH","PNK")</f>
        <v>0</v>
      </c>
      <c r="BE39" s="80">
        <f ca="1">+GETPIVOTDATA("XSB4",'sonbinh (2016)'!$A$3,"MA_HT","DCH","MA_QH","CSD")</f>
        <v>0</v>
      </c>
      <c r="BF39" s="103">
        <f ca="1" t="shared" si="13"/>
        <v>0</v>
      </c>
      <c r="BG39" s="104">
        <f ca="1">AL$59-$BF39</f>
        <v>0</v>
      </c>
      <c r="BH39" s="47" t="e">
        <f ca="1" t="shared" si="14"/>
        <v>#REF!</v>
      </c>
      <c r="BI39" s="109"/>
      <c r="BJ39" s="109" t="e">
        <f>#REF!</f>
        <v>#REF!</v>
      </c>
      <c r="BK39" s="110" t="e">
        <f ca="1" t="shared" si="19"/>
        <v>#REF!</v>
      </c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</row>
    <row r="40" s="5" customFormat="1" ht="16.5" customHeight="1" spans="1:79">
      <c r="A40" s="45" t="s">
        <v>8398</v>
      </c>
      <c r="B40" s="45" t="s">
        <v>8399</v>
      </c>
      <c r="C40" s="46" t="s">
        <v>8312</v>
      </c>
      <c r="D40" s="47" t="e">
        <f>+#REF!</f>
        <v>#REF!</v>
      </c>
      <c r="E40" s="42">
        <f ca="1" t="shared" si="15"/>
        <v>0</v>
      </c>
      <c r="F40" s="52">
        <f ca="1" t="shared" si="9"/>
        <v>0</v>
      </c>
      <c r="G40" s="50">
        <f ca="1">+GETPIVOTDATA("XSB4",'sonbinh (2016)'!$A$3,"MA_HT","DKG","MA_QH","LUC")</f>
        <v>0</v>
      </c>
      <c r="H40" s="50">
        <f ca="1">+GETPIVOTDATA("XSB4",'sonbinh (2016)'!$A$3,"MA_HT","DKG","MA_QH","LUK")</f>
        <v>0</v>
      </c>
      <c r="I40" s="50">
        <f ca="1">+GETPIVOTDATA("XSB4",'sonbinh (2016)'!$A$3,"MA_HT","DKG","MA_QH","LUN")</f>
        <v>0</v>
      </c>
      <c r="J40" s="50">
        <f ca="1">+GETPIVOTDATA("XSB4",'sonbinh (2016)'!$A$3,"MA_HT","DKG","MA_QH","HNK")</f>
        <v>0</v>
      </c>
      <c r="K40" s="50">
        <f ca="1">+GETPIVOTDATA("XSB4",'sonbinh (2016)'!$A$3,"MA_HT","DKG","MA_QH","CLN")</f>
        <v>0</v>
      </c>
      <c r="L40" s="50">
        <f ca="1">+GETPIVOTDATA("XSB4",'sonbinh (2016)'!$A$3,"MA_HT","DKG","MA_QH","RSX")</f>
        <v>0</v>
      </c>
      <c r="M40" s="50">
        <f ca="1">+GETPIVOTDATA("XSB4",'sonbinh (2016)'!$A$3,"MA_HT","DKG","MA_QH","RPH")</f>
        <v>0</v>
      </c>
      <c r="N40" s="50">
        <f ca="1">+GETPIVOTDATA("XSB4",'sonbinh (2016)'!$A$3,"MA_HT","DKG","MA_QH","RDD")</f>
        <v>0</v>
      </c>
      <c r="O40" s="50">
        <f ca="1">+GETPIVOTDATA("XSB4",'sonbinh (2016)'!$A$3,"MA_HT","DKG","MA_QH","NTS")</f>
        <v>0</v>
      </c>
      <c r="P40" s="50">
        <f ca="1">+GETPIVOTDATA("XSB4",'sonbinh (2016)'!$A$3,"MA_HT","DKG","MA_QH","LMU")</f>
        <v>0</v>
      </c>
      <c r="Q40" s="50">
        <f ca="1">+GETPIVOTDATA("XSB4",'sonbinh (2016)'!$A$3,"MA_HT","DKG","MA_QH","NKH")</f>
        <v>0</v>
      </c>
      <c r="R40" s="48">
        <f ca="1" t="shared" si="20"/>
        <v>0</v>
      </c>
      <c r="S40" s="50">
        <f ca="1">+GETPIVOTDATA("XSB4",'sonbinh (2016)'!$A$3,"MA_HT","DKG","MA_QH","CQP")</f>
        <v>0</v>
      </c>
      <c r="T40" s="50">
        <f ca="1">+GETPIVOTDATA("XSB4",'sonbinh (2016)'!$A$3,"MA_HT","DKG","MA_QH","CAN")</f>
        <v>0</v>
      </c>
      <c r="U40" s="50">
        <f ca="1">+GETPIVOTDATA("XSB4",'sonbinh (2016)'!$A$3,"MA_HT","DKG","MA_QH","SKK")</f>
        <v>0</v>
      </c>
      <c r="V40" s="50">
        <f ca="1">+GETPIVOTDATA("XSB4",'sonbinh (2016)'!$A$3,"MA_HT","DKG","MA_QH","SKT")</f>
        <v>0</v>
      </c>
      <c r="W40" s="50">
        <f ca="1">+GETPIVOTDATA("XSB4",'sonbinh (2016)'!$A$3,"MA_HT","DKG","MA_QH","SKN")</f>
        <v>0</v>
      </c>
      <c r="X40" s="50">
        <f ca="1">+GETPIVOTDATA("XSB4",'sonbinh (2016)'!$A$3,"MA_HT","DKG","MA_QH","TMD")</f>
        <v>0</v>
      </c>
      <c r="Y40" s="50">
        <f ca="1">+GETPIVOTDATA("XSB4",'sonbinh (2016)'!$A$3,"MA_HT","DKG","MA_QH","SKC")</f>
        <v>0</v>
      </c>
      <c r="Z40" s="50">
        <f ca="1">+GETPIVOTDATA("XSB4",'sonbinh (2016)'!$A$3,"MA_HT","DKG","MA_QH","SKS")</f>
        <v>0</v>
      </c>
      <c r="AA40" s="52">
        <f ca="1">+SUM(AB40:AL40)</f>
        <v>0</v>
      </c>
      <c r="AB40" s="50">
        <f ca="1">+GETPIVOTDATA("XSB4",'sonbinh (2016)'!$A$3,"MA_HT","DKG","MA_QH","DGT")</f>
        <v>0</v>
      </c>
      <c r="AC40" s="50">
        <f ca="1">+GETPIVOTDATA("XSB4",'sonbinh (2016)'!$A$3,"MA_HT","DKG","MA_QH","DTL")</f>
        <v>0</v>
      </c>
      <c r="AD40" s="50">
        <f ca="1">+GETPIVOTDATA("XSB4",'sonbinh (2016)'!$A$3,"MA_HT","DKG","MA_QH","DNL")</f>
        <v>0</v>
      </c>
      <c r="AE40" s="50">
        <f ca="1">+GETPIVOTDATA("XSB4",'sonbinh (2016)'!$A$3,"MA_HT","DKG","MA_QH","DBV")</f>
        <v>0</v>
      </c>
      <c r="AF40" s="50">
        <f ca="1">+GETPIVOTDATA("XSB4",'sonbinh (2016)'!$A$3,"MA_HT","DKG","MA_QH","DVH")</f>
        <v>0</v>
      </c>
      <c r="AG40" s="50">
        <f ca="1">+GETPIVOTDATA("XSB4",'sonbinh (2016)'!$A$3,"MA_HT","DKG","MA_QH","DYT")</f>
        <v>0</v>
      </c>
      <c r="AH40" s="50">
        <f ca="1">+GETPIVOTDATA("XSB4",'sonbinh (2016)'!$A$3,"MA_HT","DKG","MA_QH","DGD")</f>
        <v>0</v>
      </c>
      <c r="AI40" s="50">
        <f ca="1">+GETPIVOTDATA("XSB4",'sonbinh (2016)'!$A$3,"MA_HT","DKG","MA_QH","DTT")</f>
        <v>0</v>
      </c>
      <c r="AJ40" s="50">
        <f ca="1">+GETPIVOTDATA("XSB4",'sonbinh (2016)'!$A$3,"MA_HT","DKG","MA_QH","NCK")</f>
        <v>0</v>
      </c>
      <c r="AK40" s="50">
        <f ca="1">+GETPIVOTDATA("XSB4",'sonbinh (2016)'!$A$3,"MA_HT","DKG","MA_QH","DXH")</f>
        <v>0</v>
      </c>
      <c r="AL40" s="60">
        <f ca="1">+GETPIVOTDATA("XSB4",'sonbinh (2016)'!$A$3,"MA_HT","DDT","MA_QH","DKG")</f>
        <v>0</v>
      </c>
      <c r="AM40" s="49" t="e">
        <f ca="1">$D40-$BF40</f>
        <v>#REF!</v>
      </c>
      <c r="AN40" s="50">
        <f ca="1">+GETPIVOTDATA("XSB4",'sonbinh (2016)'!$A$3,"MA_HT","DKG","MA_QH","DDT")</f>
        <v>0</v>
      </c>
      <c r="AO40" s="50">
        <f ca="1">+GETPIVOTDATA("XSB4",'sonbinh (2016)'!$A$3,"MA_HT","DKG","MA_QH","DDL")</f>
        <v>0</v>
      </c>
      <c r="AP40" s="50">
        <f ca="1">+GETPIVOTDATA("XSB4",'sonbinh (2016)'!$A$3,"MA_HT","DKG","MA_QH","DRA")</f>
        <v>0</v>
      </c>
      <c r="AQ40" s="50">
        <f ca="1">+GETPIVOTDATA("XSB4",'sonbinh (2016)'!$A$3,"MA_HT","DKG","MA_QH","ONT")</f>
        <v>0</v>
      </c>
      <c r="AR40" s="50">
        <f ca="1">+GETPIVOTDATA("XSB4",'sonbinh (2016)'!$A$3,"MA_HT","DKG","MA_QH","ODT")</f>
        <v>0</v>
      </c>
      <c r="AS40" s="50">
        <f ca="1">+GETPIVOTDATA("XSB4",'sonbinh (2016)'!$A$3,"MA_HT","DKG","MA_QH","TSC")</f>
        <v>0</v>
      </c>
      <c r="AT40" s="50">
        <f ca="1">+GETPIVOTDATA("XSB4",'sonbinh (2016)'!$A$3,"MA_HT","DKG","MA_QH","DTS")</f>
        <v>0</v>
      </c>
      <c r="AU40" s="50">
        <f ca="1">+GETPIVOTDATA("XSB4",'sonbinh (2016)'!$A$3,"MA_HT","DKG","MA_QH","DNG")</f>
        <v>0</v>
      </c>
      <c r="AV40" s="50">
        <f ca="1">+GETPIVOTDATA("XSB4",'sonbinh (2016)'!$A$3,"MA_HT","DKG","MA_QH","TON")</f>
        <v>0</v>
      </c>
      <c r="AW40" s="50">
        <f ca="1">+GETPIVOTDATA("XSB4",'sonbinh (2016)'!$A$3,"MA_HT","DKG","MA_QH","NTD")</f>
        <v>0</v>
      </c>
      <c r="AX40" s="50">
        <f ca="1">+GETPIVOTDATA("XSB4",'sonbinh (2016)'!$A$3,"MA_HT","DKG","MA_QH","SKX")</f>
        <v>0</v>
      </c>
      <c r="AY40" s="50">
        <f ca="1">+GETPIVOTDATA("XSB4",'sonbinh (2016)'!$A$3,"MA_HT","DKG","MA_QH","DSH")</f>
        <v>0</v>
      </c>
      <c r="AZ40" s="50">
        <f ca="1">+GETPIVOTDATA("XSB4",'sonbinh (2016)'!$A$3,"MA_HT","DKG","MA_QH","DKV")</f>
        <v>0</v>
      </c>
      <c r="BA40" s="88">
        <f ca="1">+GETPIVOTDATA("XSB4",'sonbinh (2016)'!$A$3,"MA_HT","DKG","MA_QH","TIN")</f>
        <v>0</v>
      </c>
      <c r="BB40" s="50">
        <f ca="1">+GETPIVOTDATA("XSB4",'sonbinh (2016)'!$A$3,"MA_HT","DKG","MA_QH","SON")</f>
        <v>0</v>
      </c>
      <c r="BC40" s="50">
        <f ca="1">+GETPIVOTDATA("XSB4",'sonbinh (2016)'!$A$3,"MA_HT","DKG","MA_QH","MNC")</f>
        <v>0</v>
      </c>
      <c r="BD40" s="50">
        <f ca="1">+GETPIVOTDATA("XSB4",'sonbinh (2016)'!$A$3,"MA_HT","DKG","MA_QH","PNK")</f>
        <v>0</v>
      </c>
      <c r="BE40" s="80">
        <f ca="1">+GETPIVOTDATA("XSB4",'sonbinh (2016)'!$A$3,"MA_HT","DKG","MA_QH","CSD")</f>
        <v>0</v>
      </c>
      <c r="BF40" s="103">
        <f ca="1" t="shared" si="13"/>
        <v>0</v>
      </c>
      <c r="BG40" s="104">
        <f ca="1">AM$59-$BF40</f>
        <v>0</v>
      </c>
      <c r="BH40" s="47" t="e">
        <f ca="1" t="shared" si="14"/>
        <v>#REF!</v>
      </c>
      <c r="BI40" s="109"/>
      <c r="BJ40" s="109" t="e">
        <f>#REF!</f>
        <v>#REF!</v>
      </c>
      <c r="BK40" s="110" t="e">
        <f ca="1" t="shared" si="19"/>
        <v>#REF!</v>
      </c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</row>
    <row r="41" s="6" customFormat="1" ht="15.75" customHeight="1" spans="1:79">
      <c r="A41" s="54" t="s">
        <v>8400</v>
      </c>
      <c r="B41" s="55" t="s">
        <v>8401</v>
      </c>
      <c r="C41" s="56" t="s">
        <v>8287</v>
      </c>
      <c r="D41" s="57" t="e">
        <f>+#REF!</f>
        <v>#REF!</v>
      </c>
      <c r="E41" s="58">
        <f ca="1" t="shared" si="15"/>
        <v>0</v>
      </c>
      <c r="F41" s="59">
        <f ca="1" t="shared" si="9"/>
        <v>0</v>
      </c>
      <c r="G41" s="60">
        <f ca="1">+GETPIVOTDATA("XSB4",'sonbinh (2016)'!$A$3,"MA_HT","DDT","MA_QH","LUC")</f>
        <v>0</v>
      </c>
      <c r="H41" s="60">
        <f ca="1">+GETPIVOTDATA("XSB4",'sonbinh (2016)'!$A$3,"MA_HT","DDT","MA_QH","LUK")</f>
        <v>0</v>
      </c>
      <c r="I41" s="60">
        <f ca="1">+GETPIVOTDATA("XSB4",'sonbinh (2016)'!$A$3,"MA_HT","DDT","MA_QH","LUN")</f>
        <v>0</v>
      </c>
      <c r="J41" s="60">
        <f ca="1">+GETPIVOTDATA("XSB4",'sonbinh (2016)'!$A$3,"MA_HT","DDT","MA_QH","HNK")</f>
        <v>0</v>
      </c>
      <c r="K41" s="60">
        <f ca="1">+GETPIVOTDATA("XSB4",'sonbinh (2016)'!$A$3,"MA_HT","DDT","MA_QH","CLN")</f>
        <v>0</v>
      </c>
      <c r="L41" s="60">
        <f ca="1">+GETPIVOTDATA("XSB4",'sonbinh (2016)'!$A$3,"MA_HT","DDT","MA_QH","RSX")</f>
        <v>0</v>
      </c>
      <c r="M41" s="60">
        <f ca="1">+GETPIVOTDATA("XSB4",'sonbinh (2016)'!$A$3,"MA_HT","DDT","MA_QH","RPH")</f>
        <v>0</v>
      </c>
      <c r="N41" s="60">
        <f ca="1">+GETPIVOTDATA("XSB4",'sonbinh (2016)'!$A$3,"MA_HT","DDT","MA_QH","RDD")</f>
        <v>0</v>
      </c>
      <c r="O41" s="60">
        <f ca="1">+GETPIVOTDATA("XSB4",'sonbinh (2016)'!$A$3,"MA_HT","DDT","MA_QH","NTS")</f>
        <v>0</v>
      </c>
      <c r="P41" s="60">
        <f ca="1">+GETPIVOTDATA("XSB4",'sonbinh (2016)'!$A$3,"MA_HT","DDT","MA_QH","LMU")</f>
        <v>0</v>
      </c>
      <c r="Q41" s="60">
        <f ca="1">+GETPIVOTDATA("XSB4",'sonbinh (2016)'!$A$3,"MA_HT","DDT","MA_QH","NKH")</f>
        <v>0</v>
      </c>
      <c r="R41" s="78">
        <f ca="1">SUM(S41:AA41,AO41:BD41)</f>
        <v>0</v>
      </c>
      <c r="S41" s="60">
        <f ca="1">+GETPIVOTDATA("XSB4",'sonbinh (2016)'!$A$3,"MA_HT","DDT","MA_QH","CQP")</f>
        <v>0</v>
      </c>
      <c r="T41" s="60">
        <f ca="1">+GETPIVOTDATA("XSB4",'sonbinh (2016)'!$A$3,"MA_HT","DDT","MA_QH","CAN")</f>
        <v>0</v>
      </c>
      <c r="U41" s="60">
        <f ca="1">+GETPIVOTDATA("XSB4",'sonbinh (2016)'!$A$3,"MA_HT","DDT","MA_QH","SKK")</f>
        <v>0</v>
      </c>
      <c r="V41" s="60">
        <f ca="1">+GETPIVOTDATA("XSB4",'sonbinh (2016)'!$A$3,"MA_HT","DDT","MA_QH","SKT")</f>
        <v>0</v>
      </c>
      <c r="W41" s="60">
        <f ca="1">+GETPIVOTDATA("XSB4",'sonbinh (2016)'!$A$3,"MA_HT","DDT","MA_QH","SKN")</f>
        <v>0</v>
      </c>
      <c r="X41" s="60">
        <f ca="1">+GETPIVOTDATA("XSB4",'sonbinh (2016)'!$A$3,"MA_HT","DDT","MA_QH","TMD")</f>
        <v>0</v>
      </c>
      <c r="Y41" s="60">
        <f ca="1">+GETPIVOTDATA("XSB4",'sonbinh (2016)'!$A$3,"MA_HT","DDT","MA_QH","SKC")</f>
        <v>0</v>
      </c>
      <c r="Z41" s="60">
        <f ca="1">+GETPIVOTDATA("XSB4",'sonbinh (2016)'!$A$3,"MA_HT","DDT","MA_QH","SKS")</f>
        <v>0</v>
      </c>
      <c r="AA41" s="59">
        <f ca="1" t="shared" ref="AA41:AA58" si="21">+SUM(AB41:AM41)</f>
        <v>0</v>
      </c>
      <c r="AB41" s="60">
        <f ca="1">+GETPIVOTDATA("XSB4",'sonbinh (2016)'!$A$3,"MA_HT","DDT","MA_QH","DGT")</f>
        <v>0</v>
      </c>
      <c r="AC41" s="60">
        <f ca="1">+GETPIVOTDATA("XSB4",'sonbinh (2016)'!$A$3,"MA_HT","DDT","MA_QH","DTL")</f>
        <v>0</v>
      </c>
      <c r="AD41" s="60">
        <f ca="1">+GETPIVOTDATA("XSB4",'sonbinh (2016)'!$A$3,"MA_HT","DDT","MA_QH","DNL")</f>
        <v>0</v>
      </c>
      <c r="AE41" s="60">
        <f ca="1">+GETPIVOTDATA("XSB4",'sonbinh (2016)'!$A$3,"MA_HT","DDT","MA_QH","DBV")</f>
        <v>0</v>
      </c>
      <c r="AF41" s="60">
        <f ca="1">+GETPIVOTDATA("XSB4",'sonbinh (2016)'!$A$3,"MA_HT","DDT","MA_QH","DVH")</f>
        <v>0</v>
      </c>
      <c r="AG41" s="60">
        <f ca="1">+GETPIVOTDATA("XSB4",'sonbinh (2016)'!$A$3,"MA_HT","DDT","MA_QH","DYT")</f>
        <v>0</v>
      </c>
      <c r="AH41" s="60">
        <f ca="1">+GETPIVOTDATA("XSB4",'sonbinh (2016)'!$A$3,"MA_HT","DDT","MA_QH","DGD")</f>
        <v>0</v>
      </c>
      <c r="AI41" s="60">
        <f ca="1">+GETPIVOTDATA("XSB4",'sonbinh (2016)'!$A$3,"MA_HT","DDT","MA_QH","DTT")</f>
        <v>0</v>
      </c>
      <c r="AJ41" s="60">
        <f ca="1">+GETPIVOTDATA("XSB4",'sonbinh (2016)'!$A$3,"MA_HT","DDT","MA_QH","NCK")</f>
        <v>0</v>
      </c>
      <c r="AK41" s="60">
        <f ca="1">+GETPIVOTDATA("XSB4",'sonbinh (2016)'!$A$3,"MA_HT","DDT","MA_QH","DXH")</f>
        <v>0</v>
      </c>
      <c r="AL41" s="60">
        <f ca="1">+GETPIVOTDATA("XSB4",'sonbinh (2016)'!$A$3,"MA_HT","DDT","MA_QH","DCH")</f>
        <v>0</v>
      </c>
      <c r="AM41" s="60">
        <f ca="1">+GETPIVOTDATA("XSB4",'sonbinh (2016)'!$A$3,"MA_HT","DDT","MA_QH","DKG")</f>
        <v>0</v>
      </c>
      <c r="AN41" s="81" t="e">
        <f ca="1">$D41-$BF41</f>
        <v>#REF!</v>
      </c>
      <c r="AO41" s="60">
        <f ca="1">+GETPIVOTDATA("XSB4",'sonbinh (2016)'!$A$3,"MA_HT","DDT","MA_QH","DDL")</f>
        <v>0</v>
      </c>
      <c r="AP41" s="60">
        <f ca="1">+GETPIVOTDATA("XSB4",'sonbinh (2016)'!$A$3,"MA_HT","DDT","MA_QH","DRA")</f>
        <v>0</v>
      </c>
      <c r="AQ41" s="60">
        <f ca="1">+GETPIVOTDATA("XSB4",'sonbinh (2016)'!$A$3,"MA_HT","DDT","MA_QH","ONT")</f>
        <v>0</v>
      </c>
      <c r="AR41" s="60">
        <f ca="1">+GETPIVOTDATA("XSB4",'sonbinh (2016)'!$A$3,"MA_HT","DDT","MA_QH","ODT")</f>
        <v>0</v>
      </c>
      <c r="AS41" s="60">
        <f ca="1">+GETPIVOTDATA("XSB4",'sonbinh (2016)'!$A$3,"MA_HT","DDT","MA_QH","TSC")</f>
        <v>0</v>
      </c>
      <c r="AT41" s="60">
        <f ca="1">+GETPIVOTDATA("XSB4",'sonbinh (2016)'!$A$3,"MA_HT","DDT","MA_QH","DTS")</f>
        <v>0</v>
      </c>
      <c r="AU41" s="60">
        <f ca="1">+GETPIVOTDATA("XSB4",'sonbinh (2016)'!$A$3,"MA_HT","DDT","MA_QH","DNG")</f>
        <v>0</v>
      </c>
      <c r="AV41" s="60">
        <f ca="1">+GETPIVOTDATA("XSB4",'sonbinh (2016)'!$A$3,"MA_HT","DDT","MA_QH","TON")</f>
        <v>0</v>
      </c>
      <c r="AW41" s="60">
        <f ca="1">+GETPIVOTDATA("XSB4",'sonbinh (2016)'!$A$3,"MA_HT","DDT","MA_QH","NTD")</f>
        <v>0</v>
      </c>
      <c r="AX41" s="60">
        <f ca="1">+GETPIVOTDATA("XSB4",'sonbinh (2016)'!$A$3,"MA_HT","DDT","MA_QH","SKX")</f>
        <v>0</v>
      </c>
      <c r="AY41" s="60">
        <f ca="1">+GETPIVOTDATA("XSB4",'sonbinh (2016)'!$A$3,"MA_HT","DDT","MA_QH","DSH")</f>
        <v>0</v>
      </c>
      <c r="AZ41" s="60">
        <f ca="1">+GETPIVOTDATA("XSB4",'sonbinh (2016)'!$A$3,"MA_HT","DDT","MA_QH","DKV")</f>
        <v>0</v>
      </c>
      <c r="BA41" s="90">
        <f ca="1">+GETPIVOTDATA("XSB4",'sonbinh (2016)'!$A$3,"MA_HT","DDT","MA_QH","TIN")</f>
        <v>0</v>
      </c>
      <c r="BB41" s="91">
        <f ca="1">+GETPIVOTDATA("XSB4",'sonbinh (2016)'!$A$3,"MA_HT","DDT","MA_QH","SON")</f>
        <v>0</v>
      </c>
      <c r="BC41" s="91">
        <f ca="1">+GETPIVOTDATA("XSB4",'sonbinh (2016)'!$A$3,"MA_HT","DDT","MA_QH","MNC")</f>
        <v>0</v>
      </c>
      <c r="BD41" s="60">
        <f ca="1">+GETPIVOTDATA("XSB4",'sonbinh (2016)'!$A$3,"MA_HT","DDT","MA_QH","PNK")</f>
        <v>0</v>
      </c>
      <c r="BE41" s="111">
        <f ca="1">+GETPIVOTDATA("XSB4",'sonbinh (2016)'!$A$3,"MA_HT","DDT","MA_QH","CSD")</f>
        <v>0</v>
      </c>
      <c r="BF41" s="112">
        <f ca="1" t="shared" si="13"/>
        <v>0</v>
      </c>
      <c r="BG41" s="113">
        <f ca="1">AN$59-$BF41</f>
        <v>0</v>
      </c>
      <c r="BH41" s="57" t="e">
        <f ca="1" t="shared" si="14"/>
        <v>#REF!</v>
      </c>
      <c r="BI41" s="114"/>
      <c r="BJ41" s="115"/>
      <c r="BK41" s="115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</row>
    <row r="42" s="2" customFormat="1" ht="15.75" customHeight="1" spans="1:79">
      <c r="A42" s="39" t="s">
        <v>8402</v>
      </c>
      <c r="B42" s="53" t="s">
        <v>8403</v>
      </c>
      <c r="C42" s="40" t="s">
        <v>8286</v>
      </c>
      <c r="D42" s="41" t="e">
        <f>+#REF!</f>
        <v>#REF!</v>
      </c>
      <c r="E42" s="42">
        <f ca="1" t="shared" si="15"/>
        <v>0</v>
      </c>
      <c r="F42" s="52">
        <f ca="1" t="shared" si="9"/>
        <v>0</v>
      </c>
      <c r="G42" s="22">
        <f ca="1">+GETPIVOTDATA("XSB4",'sonbinh (2016)'!$A$3,"MA_HT","DDL","MA_QH","LUC")</f>
        <v>0</v>
      </c>
      <c r="H42" s="22">
        <f ca="1">+GETPIVOTDATA("XSB4",'sonbinh (2016)'!$A$3,"MA_HT","DDL","MA_QH","LUK")</f>
        <v>0</v>
      </c>
      <c r="I42" s="22">
        <f ca="1">+GETPIVOTDATA("XSB4",'sonbinh (2016)'!$A$3,"MA_HT","DDL","MA_QH","LUN")</f>
        <v>0</v>
      </c>
      <c r="J42" s="22">
        <f ca="1">+GETPIVOTDATA("XSB4",'sonbinh (2016)'!$A$3,"MA_HT","DDL","MA_QH","HNK")</f>
        <v>0</v>
      </c>
      <c r="K42" s="22">
        <f ca="1">+GETPIVOTDATA("XSB4",'sonbinh (2016)'!$A$3,"MA_HT","DDL","MA_QH","CLN")</f>
        <v>0</v>
      </c>
      <c r="L42" s="22">
        <f ca="1">+GETPIVOTDATA("XSB4",'sonbinh (2016)'!$A$3,"MA_HT","DDL","MA_QH","RSX")</f>
        <v>0</v>
      </c>
      <c r="M42" s="22">
        <f ca="1">+GETPIVOTDATA("XSB4",'sonbinh (2016)'!$A$3,"MA_HT","DDL","MA_QH","RPH")</f>
        <v>0</v>
      </c>
      <c r="N42" s="22">
        <f ca="1">+GETPIVOTDATA("XSB4",'sonbinh (2016)'!$A$3,"MA_HT","DDL","MA_QH","RDD")</f>
        <v>0</v>
      </c>
      <c r="O42" s="22">
        <f ca="1">+GETPIVOTDATA("XSB4",'sonbinh (2016)'!$A$3,"MA_HT","DDL","MA_QH","NTS")</f>
        <v>0</v>
      </c>
      <c r="P42" s="22">
        <f ca="1">+GETPIVOTDATA("XSB4",'sonbinh (2016)'!$A$3,"MA_HT","DDL","MA_QH","LMU")</f>
        <v>0</v>
      </c>
      <c r="Q42" s="22">
        <f ca="1">+GETPIVOTDATA("XSB4",'sonbinh (2016)'!$A$3,"MA_HT","DDL","MA_QH","NKH")</f>
        <v>0</v>
      </c>
      <c r="R42" s="79">
        <f ca="1">SUM(S42:AA42,AN42,AP42:BD42)</f>
        <v>0</v>
      </c>
      <c r="S42" s="22">
        <f ca="1">+GETPIVOTDATA("XSB4",'sonbinh (2016)'!$A$3,"MA_HT","DDL","MA_QH","CQP")</f>
        <v>0</v>
      </c>
      <c r="T42" s="22">
        <f ca="1">+GETPIVOTDATA("XSB4",'sonbinh (2016)'!$A$3,"MA_HT","DDL","MA_QH","CAN")</f>
        <v>0</v>
      </c>
      <c r="U42" s="22">
        <f ca="1">+GETPIVOTDATA("XSB4",'sonbinh (2016)'!$A$3,"MA_HT","DDL","MA_QH","SKK")</f>
        <v>0</v>
      </c>
      <c r="V42" s="22">
        <f ca="1">+GETPIVOTDATA("XSB4",'sonbinh (2016)'!$A$3,"MA_HT","DDL","MA_QH","SKT")</f>
        <v>0</v>
      </c>
      <c r="W42" s="22">
        <f ca="1">+GETPIVOTDATA("XSB4",'sonbinh (2016)'!$A$3,"MA_HT","DDL","MA_QH","SKN")</f>
        <v>0</v>
      </c>
      <c r="X42" s="22">
        <f ca="1">+GETPIVOTDATA("XSB4",'sonbinh (2016)'!$A$3,"MA_HT","DDL","MA_QH","TMD")</f>
        <v>0</v>
      </c>
      <c r="Y42" s="22">
        <f ca="1">+GETPIVOTDATA("XSB4",'sonbinh (2016)'!$A$3,"MA_HT","DDL","MA_QH","SKC")</f>
        <v>0</v>
      </c>
      <c r="Z42" s="22">
        <f ca="1">+GETPIVOTDATA("XSB4",'sonbinh (2016)'!$A$3,"MA_HT","DDL","MA_QH","SKS")</f>
        <v>0</v>
      </c>
      <c r="AA42" s="52">
        <f ca="1" t="shared" si="21"/>
        <v>0</v>
      </c>
      <c r="AB42" s="22">
        <f ca="1">+GETPIVOTDATA("XSB4",'sonbinh (2016)'!$A$3,"MA_HT","DDL","MA_QH","DGT")</f>
        <v>0</v>
      </c>
      <c r="AC42" s="22">
        <f ca="1">+GETPIVOTDATA("XSB4",'sonbinh (2016)'!$A$3,"MA_HT","DDL","MA_QH","DTL")</f>
        <v>0</v>
      </c>
      <c r="AD42" s="22">
        <f ca="1">+GETPIVOTDATA("XSB4",'sonbinh (2016)'!$A$3,"MA_HT","DDL","MA_QH","DNL")</f>
        <v>0</v>
      </c>
      <c r="AE42" s="22">
        <f ca="1">+GETPIVOTDATA("XSB4",'sonbinh (2016)'!$A$3,"MA_HT","DDL","MA_QH","DBV")</f>
        <v>0</v>
      </c>
      <c r="AF42" s="22">
        <f ca="1">+GETPIVOTDATA("XSB4",'sonbinh (2016)'!$A$3,"MA_HT","DDL","MA_QH","DVH")</f>
        <v>0</v>
      </c>
      <c r="AG42" s="22">
        <f ca="1">+GETPIVOTDATA("XSB4",'sonbinh (2016)'!$A$3,"MA_HT","DDL","MA_QH","DYT")</f>
        <v>0</v>
      </c>
      <c r="AH42" s="22">
        <f ca="1">+GETPIVOTDATA("XSB4",'sonbinh (2016)'!$A$3,"MA_HT","DDL","MA_QH","DGD")</f>
        <v>0</v>
      </c>
      <c r="AI42" s="22">
        <f ca="1">+GETPIVOTDATA("XSB4",'sonbinh (2016)'!$A$3,"MA_HT","DDL","MA_QH","DTT")</f>
        <v>0</v>
      </c>
      <c r="AJ42" s="22">
        <f ca="1">+GETPIVOTDATA("XSB4",'sonbinh (2016)'!$A$3,"MA_HT","DDL","MA_QH","NCK")</f>
        <v>0</v>
      </c>
      <c r="AK42" s="22">
        <f ca="1">+GETPIVOTDATA("XSB4",'sonbinh (2016)'!$A$3,"MA_HT","DDL","MA_QH","DXH")</f>
        <v>0</v>
      </c>
      <c r="AL42" s="22">
        <f ca="1">+GETPIVOTDATA("XSB4",'sonbinh (2016)'!$A$3,"MA_HT","DDL","MA_QH","DCH")</f>
        <v>0</v>
      </c>
      <c r="AM42" s="22">
        <f ca="1">+GETPIVOTDATA("XSB4",'sonbinh (2016)'!$A$3,"MA_HT","DDL","MA_QH","DKG")</f>
        <v>0</v>
      </c>
      <c r="AN42" s="22">
        <f ca="1">+GETPIVOTDATA("XSB4",'sonbinh (2016)'!$A$3,"MA_HT","DDL","MA_QH","DDT")</f>
        <v>0</v>
      </c>
      <c r="AO42" s="43" t="e">
        <f ca="1">$D42-$BF42</f>
        <v>#REF!</v>
      </c>
      <c r="AP42" s="22">
        <f ca="1">+GETPIVOTDATA("XSB4",'sonbinh (2016)'!$A$3,"MA_HT","DDL","MA_QH","DRA")</f>
        <v>0</v>
      </c>
      <c r="AQ42" s="22">
        <f ca="1">+GETPIVOTDATA("XSB4",'sonbinh (2016)'!$A$3,"MA_HT","DDL","MA_QH","ONT")</f>
        <v>0</v>
      </c>
      <c r="AR42" s="22">
        <f ca="1">+GETPIVOTDATA("XSB4",'sonbinh (2016)'!$A$3,"MA_HT","DDL","MA_QH","ODT")</f>
        <v>0</v>
      </c>
      <c r="AS42" s="22">
        <f ca="1">+GETPIVOTDATA("XSB4",'sonbinh (2016)'!$A$3,"MA_HT","DDL","MA_QH","TSC")</f>
        <v>0</v>
      </c>
      <c r="AT42" s="22">
        <f ca="1">+GETPIVOTDATA("XSB4",'sonbinh (2016)'!$A$3,"MA_HT","DDL","MA_QH","DTS")</f>
        <v>0</v>
      </c>
      <c r="AU42" s="22">
        <f ca="1">+GETPIVOTDATA("XSB4",'sonbinh (2016)'!$A$3,"MA_HT","DDL","MA_QH","DNG")</f>
        <v>0</v>
      </c>
      <c r="AV42" s="22">
        <f ca="1">+GETPIVOTDATA("XSB4",'sonbinh (2016)'!$A$3,"MA_HT","DDL","MA_QH","TON")</f>
        <v>0</v>
      </c>
      <c r="AW42" s="22">
        <f ca="1">+GETPIVOTDATA("XSB4",'sonbinh (2016)'!$A$3,"MA_HT","DDL","MA_QH","NTD")</f>
        <v>0</v>
      </c>
      <c r="AX42" s="22">
        <f ca="1">+GETPIVOTDATA("XSB4",'sonbinh (2016)'!$A$3,"MA_HT","DDL","MA_QH","SKX")</f>
        <v>0</v>
      </c>
      <c r="AY42" s="22">
        <f ca="1">+GETPIVOTDATA("XSB4",'sonbinh (2016)'!$A$3,"MA_HT","DDL","MA_QH","DSH")</f>
        <v>0</v>
      </c>
      <c r="AZ42" s="22">
        <f ca="1">+GETPIVOTDATA("XSB4",'sonbinh (2016)'!$A$3,"MA_HT","DDL","MA_QH","DKV")</f>
        <v>0</v>
      </c>
      <c r="BA42" s="89">
        <f ca="1">+GETPIVOTDATA("XSB4",'sonbinh (2016)'!$A$3,"MA_HT","DDL","MA_QH","TIN")</f>
        <v>0</v>
      </c>
      <c r="BB42" s="50">
        <f ca="1">+GETPIVOTDATA("XSB4",'sonbinh (2016)'!$A$3,"MA_HT","DDL","MA_QH","SON")</f>
        <v>0</v>
      </c>
      <c r="BC42" s="50">
        <f ca="1">+GETPIVOTDATA("XSB4",'sonbinh (2016)'!$A$3,"MA_HT","DDL","MA_QH","MNC")</f>
        <v>0</v>
      </c>
      <c r="BD42" s="22">
        <f ca="1">+GETPIVOTDATA("XSB4",'sonbinh (2016)'!$A$3,"MA_HT","DDL","MA_QH","PNK")</f>
        <v>0</v>
      </c>
      <c r="BE42" s="71">
        <f ca="1">+GETPIVOTDATA("XSB4",'sonbinh (2016)'!$A$3,"MA_HT","DDL","MA_QH","CSD")</f>
        <v>0</v>
      </c>
      <c r="BF42" s="74">
        <f ca="1" t="shared" si="13"/>
        <v>0</v>
      </c>
      <c r="BG42" s="101">
        <f ca="1">AO$59-$BF42</f>
        <v>0</v>
      </c>
      <c r="BH42" s="41" t="e">
        <f ca="1" t="shared" si="14"/>
        <v>#REF!</v>
      </c>
      <c r="BI42" s="98"/>
      <c r="BJ42" s="107"/>
      <c r="BK42" s="10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</row>
    <row r="43" s="2" customFormat="1" ht="15.75" customHeight="1" spans="1:79">
      <c r="A43" s="39" t="s">
        <v>8404</v>
      </c>
      <c r="B43" s="53" t="s">
        <v>8405</v>
      </c>
      <c r="C43" s="40" t="s">
        <v>8291</v>
      </c>
      <c r="D43" s="41" t="e">
        <f>+#REF!</f>
        <v>#REF!</v>
      </c>
      <c r="E43" s="42">
        <f ca="1" t="shared" si="15"/>
        <v>0</v>
      </c>
      <c r="F43" s="52">
        <f ca="1" t="shared" si="9"/>
        <v>0</v>
      </c>
      <c r="G43" s="22">
        <f ca="1">+GETPIVOTDATA("XSB4",'sonbinh (2016)'!$A$3,"MA_HT","DRA","MA_QH","LUC")</f>
        <v>0</v>
      </c>
      <c r="H43" s="22">
        <f ca="1">+GETPIVOTDATA("XSB4",'sonbinh (2016)'!$A$3,"MA_HT","DRA","MA_QH","LUK")</f>
        <v>0</v>
      </c>
      <c r="I43" s="22">
        <f ca="1">+GETPIVOTDATA("XSB4",'sonbinh (2016)'!$A$3,"MA_HT","DRA","MA_QH","LUN")</f>
        <v>0</v>
      </c>
      <c r="J43" s="22">
        <f ca="1">+GETPIVOTDATA("XSB4",'sonbinh (2016)'!$A$3,"MA_HT","DRA","MA_QH","HNK")</f>
        <v>0</v>
      </c>
      <c r="K43" s="22">
        <f ca="1">+GETPIVOTDATA("XSB4",'sonbinh (2016)'!$A$3,"MA_HT","DRA","MA_QH","CLN")</f>
        <v>0</v>
      </c>
      <c r="L43" s="22">
        <f ca="1">+GETPIVOTDATA("XSB4",'sonbinh (2016)'!$A$3,"MA_HT","DRA","MA_QH","RSX")</f>
        <v>0</v>
      </c>
      <c r="M43" s="22">
        <f ca="1">+GETPIVOTDATA("XSB4",'sonbinh (2016)'!$A$3,"MA_HT","DRA","MA_QH","RPH")</f>
        <v>0</v>
      </c>
      <c r="N43" s="22">
        <f ca="1">+GETPIVOTDATA("XSB4",'sonbinh (2016)'!$A$3,"MA_HT","DRA","MA_QH","RDD")</f>
        <v>0</v>
      </c>
      <c r="O43" s="22">
        <f ca="1">+GETPIVOTDATA("XSB4",'sonbinh (2016)'!$A$3,"MA_HT","DRA","MA_QH","NTS")</f>
        <v>0</v>
      </c>
      <c r="P43" s="22">
        <f ca="1">+GETPIVOTDATA("XSB4",'sonbinh (2016)'!$A$3,"MA_HT","DRA","MA_QH","LMU")</f>
        <v>0</v>
      </c>
      <c r="Q43" s="22">
        <f ca="1">+GETPIVOTDATA("XSB4",'sonbinh (2016)'!$A$3,"MA_HT","DRA","MA_QH","NKH")</f>
        <v>0</v>
      </c>
      <c r="R43" s="79">
        <f ca="1">SUM(S43:AA43,AN43:AO43,AQ43:BD43)</f>
        <v>0</v>
      </c>
      <c r="S43" s="22">
        <f ca="1">+GETPIVOTDATA("XSB4",'sonbinh (2016)'!$A$3,"MA_HT","DRA","MA_QH","CQP")</f>
        <v>0</v>
      </c>
      <c r="T43" s="22">
        <f ca="1">+GETPIVOTDATA("XSB4",'sonbinh (2016)'!$A$3,"MA_HT","DRA","MA_QH","CAN")</f>
        <v>0</v>
      </c>
      <c r="U43" s="22">
        <f ca="1">+GETPIVOTDATA("XSB4",'sonbinh (2016)'!$A$3,"MA_HT","DRA","MA_QH","SKK")</f>
        <v>0</v>
      </c>
      <c r="V43" s="22">
        <f ca="1">+GETPIVOTDATA("XSB4",'sonbinh (2016)'!$A$3,"MA_HT","DRA","MA_QH","SKT")</f>
        <v>0</v>
      </c>
      <c r="W43" s="22">
        <f ca="1">+GETPIVOTDATA("XSB4",'sonbinh (2016)'!$A$3,"MA_HT","DRA","MA_QH","SKN")</f>
        <v>0</v>
      </c>
      <c r="X43" s="22">
        <f ca="1">+GETPIVOTDATA("XSB4",'sonbinh (2016)'!$A$3,"MA_HT","DRA","MA_QH","TMD")</f>
        <v>0</v>
      </c>
      <c r="Y43" s="22">
        <f ca="1">+GETPIVOTDATA("XSB4",'sonbinh (2016)'!$A$3,"MA_HT","DRA","MA_QH","SKC")</f>
        <v>0</v>
      </c>
      <c r="Z43" s="22">
        <f ca="1">+GETPIVOTDATA("XSB4",'sonbinh (2016)'!$A$3,"MA_HT","DRA","MA_QH","SKS")</f>
        <v>0</v>
      </c>
      <c r="AA43" s="52">
        <f ca="1" t="shared" si="21"/>
        <v>0</v>
      </c>
      <c r="AB43" s="22">
        <f ca="1">+GETPIVOTDATA("XSB4",'sonbinh (2016)'!$A$3,"MA_HT","DRA","MA_QH","DGT")</f>
        <v>0</v>
      </c>
      <c r="AC43" s="22">
        <f ca="1">+GETPIVOTDATA("XSB4",'sonbinh (2016)'!$A$3,"MA_HT","DRA","MA_QH","DTL")</f>
        <v>0</v>
      </c>
      <c r="AD43" s="22">
        <f ca="1">+GETPIVOTDATA("XSB4",'sonbinh (2016)'!$A$3,"MA_HT","DRA","MA_QH","DNL")</f>
        <v>0</v>
      </c>
      <c r="AE43" s="22">
        <f ca="1">+GETPIVOTDATA("XSB4",'sonbinh (2016)'!$A$3,"MA_HT","DRA","MA_QH","DBV")</f>
        <v>0</v>
      </c>
      <c r="AF43" s="22">
        <f ca="1">+GETPIVOTDATA("XSB4",'sonbinh (2016)'!$A$3,"MA_HT","DRA","MA_QH","DVH")</f>
        <v>0</v>
      </c>
      <c r="AG43" s="22">
        <f ca="1">+GETPIVOTDATA("XSB4",'sonbinh (2016)'!$A$3,"MA_HT","DRA","MA_QH","DYT")</f>
        <v>0</v>
      </c>
      <c r="AH43" s="22">
        <f ca="1">+GETPIVOTDATA("XSB4",'sonbinh (2016)'!$A$3,"MA_HT","DRA","MA_QH","DGD")</f>
        <v>0</v>
      </c>
      <c r="AI43" s="22">
        <f ca="1">+GETPIVOTDATA("XSB4",'sonbinh (2016)'!$A$3,"MA_HT","DRA","MA_QH","DTT")</f>
        <v>0</v>
      </c>
      <c r="AJ43" s="22">
        <f ca="1">+GETPIVOTDATA("XSB4",'sonbinh (2016)'!$A$3,"MA_HT","DRA","MA_QH","NCK")</f>
        <v>0</v>
      </c>
      <c r="AK43" s="22">
        <f ca="1">+GETPIVOTDATA("XSB4",'sonbinh (2016)'!$A$3,"MA_HT","DRA","MA_QH","DXH")</f>
        <v>0</v>
      </c>
      <c r="AL43" s="22">
        <f ca="1">+GETPIVOTDATA("XSB4",'sonbinh (2016)'!$A$3,"MA_HT","DRA","MA_QH","DCH")</f>
        <v>0</v>
      </c>
      <c r="AM43" s="22">
        <f ca="1">+GETPIVOTDATA("XSB4",'sonbinh (2016)'!$A$3,"MA_HT","DRA","MA_QH","DKG")</f>
        <v>0</v>
      </c>
      <c r="AN43" s="22">
        <f ca="1">+GETPIVOTDATA("XSB4",'sonbinh (2016)'!$A$3,"MA_HT","DRA","MA_QH","DDT")</f>
        <v>0</v>
      </c>
      <c r="AO43" s="22">
        <f ca="1">+GETPIVOTDATA("XSB4",'sonbinh (2016)'!$A$3,"MA_HT","DRA","MA_QH","DDL")</f>
        <v>0</v>
      </c>
      <c r="AP43" s="43" t="e">
        <f ca="1">$D43-$BF43</f>
        <v>#REF!</v>
      </c>
      <c r="AQ43" s="22">
        <f ca="1">+GETPIVOTDATA("XSB4",'sonbinh (2016)'!$A$3,"MA_HT","DRA","MA_QH","ONT")</f>
        <v>0</v>
      </c>
      <c r="AR43" s="22">
        <f ca="1">+GETPIVOTDATA("XSB4",'sonbinh (2016)'!$A$3,"MA_HT","DRA","MA_QH","ODT")</f>
        <v>0</v>
      </c>
      <c r="AS43" s="22">
        <f ca="1">+GETPIVOTDATA("XSB4",'sonbinh (2016)'!$A$3,"MA_HT","DRA","MA_QH","TSC")</f>
        <v>0</v>
      </c>
      <c r="AT43" s="22">
        <f ca="1">+GETPIVOTDATA("XSB4",'sonbinh (2016)'!$A$3,"MA_HT","DRA","MA_QH","DTS")</f>
        <v>0</v>
      </c>
      <c r="AU43" s="22">
        <f ca="1">+GETPIVOTDATA("XSB4",'sonbinh (2016)'!$A$3,"MA_HT","DRA","MA_QH","DNG")</f>
        <v>0</v>
      </c>
      <c r="AV43" s="22">
        <f ca="1">+GETPIVOTDATA("XSB4",'sonbinh (2016)'!$A$3,"MA_HT","DRA","MA_QH","TON")</f>
        <v>0</v>
      </c>
      <c r="AW43" s="22">
        <f ca="1">+GETPIVOTDATA("XSB4",'sonbinh (2016)'!$A$3,"MA_HT","DRA","MA_QH","NTD")</f>
        <v>0</v>
      </c>
      <c r="AX43" s="22">
        <f ca="1">+GETPIVOTDATA("XSB4",'sonbinh (2016)'!$A$3,"MA_HT","DRA","MA_QH","SKX")</f>
        <v>0</v>
      </c>
      <c r="AY43" s="22">
        <f ca="1">+GETPIVOTDATA("XSB4",'sonbinh (2016)'!$A$3,"MA_HT","DRA","MA_QH","DSH")</f>
        <v>0</v>
      </c>
      <c r="AZ43" s="22">
        <f ca="1">+GETPIVOTDATA("XSB4",'sonbinh (2016)'!$A$3,"MA_HT","DRA","MA_QH","DKV")</f>
        <v>0</v>
      </c>
      <c r="BA43" s="89">
        <f ca="1">+GETPIVOTDATA("XSB4",'sonbinh (2016)'!$A$3,"MA_HT","DRA","MA_QH","TIN")</f>
        <v>0</v>
      </c>
      <c r="BB43" s="50">
        <f ca="1">+GETPIVOTDATA("XSB4",'sonbinh (2016)'!$A$3,"MA_HT","DRA","MA_QH","SON")</f>
        <v>0</v>
      </c>
      <c r="BC43" s="50">
        <f ca="1">+GETPIVOTDATA("XSB4",'sonbinh (2016)'!$A$3,"MA_HT","DRA","MA_QH","MNC")</f>
        <v>0</v>
      </c>
      <c r="BD43" s="22">
        <f ca="1">+GETPIVOTDATA("XSB4",'sonbinh (2016)'!$A$3,"MA_HT","DRA","MA_QH","PNK")</f>
        <v>0</v>
      </c>
      <c r="BE43" s="71">
        <f ca="1">+GETPIVOTDATA("XSB4",'sonbinh (2016)'!$A$3,"MA_HT","DRA","MA_QH","CSD")</f>
        <v>0</v>
      </c>
      <c r="BF43" s="74">
        <f ca="1" t="shared" si="13"/>
        <v>0</v>
      </c>
      <c r="BG43" s="101">
        <f ca="1">AP$59-$BF43</f>
        <v>0</v>
      </c>
      <c r="BH43" s="41" t="e">
        <f ca="1" t="shared" si="14"/>
        <v>#REF!</v>
      </c>
      <c r="BI43" s="98"/>
      <c r="BJ43" s="107" t="e">
        <f>#REF!</f>
        <v>#REF!</v>
      </c>
      <c r="BK43" s="107" t="e">
        <f ca="1">BH43-BJ43</f>
        <v>#REF!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</row>
    <row r="44" s="2" customFormat="1" ht="15.75" customHeight="1" spans="1:79">
      <c r="A44" s="39" t="s">
        <v>8406</v>
      </c>
      <c r="B44" s="53" t="s">
        <v>8407</v>
      </c>
      <c r="C44" s="40" t="s">
        <v>188</v>
      </c>
      <c r="D44" s="41" t="e">
        <f>+#REF!</f>
        <v>#REF!</v>
      </c>
      <c r="E44" s="42">
        <f ca="1" t="shared" si="15"/>
        <v>0</v>
      </c>
      <c r="F44" s="52">
        <f ca="1" t="shared" si="9"/>
        <v>0</v>
      </c>
      <c r="G44" s="22">
        <f ca="1">+GETPIVOTDATA("XSB4",'sonbinh (2016)'!$A$3,"MA_HT","ONT","MA_QH","LUC")</f>
        <v>0</v>
      </c>
      <c r="H44" s="22">
        <f ca="1">+GETPIVOTDATA("XSB4",'sonbinh (2016)'!$A$3,"MA_HT","ONT","MA_QH","LUK")</f>
        <v>0</v>
      </c>
      <c r="I44" s="22">
        <f ca="1">+GETPIVOTDATA("XSB4",'sonbinh (2016)'!$A$3,"MA_HT","ONT","MA_QH","LUN")</f>
        <v>0</v>
      </c>
      <c r="J44" s="22">
        <f ca="1">+GETPIVOTDATA("XSB4",'sonbinh (2016)'!$A$3,"MA_HT","ONT","MA_QH","HNK")</f>
        <v>0</v>
      </c>
      <c r="K44" s="22">
        <f ca="1">+GETPIVOTDATA("XSB4",'sonbinh (2016)'!$A$3,"MA_HT","ONT","MA_QH","CLN")</f>
        <v>0</v>
      </c>
      <c r="L44" s="22">
        <f ca="1">+GETPIVOTDATA("XSB4",'sonbinh (2016)'!$A$3,"MA_HT","ONT","MA_QH","RSX")</f>
        <v>0</v>
      </c>
      <c r="M44" s="22">
        <f ca="1">+GETPIVOTDATA("XSB4",'sonbinh (2016)'!$A$3,"MA_HT","ONT","MA_QH","RPH")</f>
        <v>0</v>
      </c>
      <c r="N44" s="22">
        <f ca="1">+GETPIVOTDATA("XSB4",'sonbinh (2016)'!$A$3,"MA_HT","ONT","MA_QH","RDD")</f>
        <v>0</v>
      </c>
      <c r="O44" s="22">
        <f ca="1">+GETPIVOTDATA("XSB4",'sonbinh (2016)'!$A$3,"MA_HT","ONT","MA_QH","NTS")</f>
        <v>0</v>
      </c>
      <c r="P44" s="22">
        <f ca="1">+GETPIVOTDATA("XSB4",'sonbinh (2016)'!$A$3,"MA_HT","ONT","MA_QH","LMU")</f>
        <v>0</v>
      </c>
      <c r="Q44" s="22">
        <f ca="1">+GETPIVOTDATA("XSB4",'sonbinh (2016)'!$A$3,"MA_HT","ONT","MA_QH","NKH")</f>
        <v>0</v>
      </c>
      <c r="R44" s="79">
        <f ca="1">SUM(S44:AA44,AN44:AP44,AR44:BD44)</f>
        <v>0</v>
      </c>
      <c r="S44" s="22">
        <f ca="1">+GETPIVOTDATA("XSB4",'sonbinh (2016)'!$A$3,"MA_HT","ONT","MA_QH","CQP")</f>
        <v>0</v>
      </c>
      <c r="T44" s="22">
        <f ca="1">+GETPIVOTDATA("XSB4",'sonbinh (2016)'!$A$3,"MA_HT","ONT","MA_QH","CAN")</f>
        <v>0</v>
      </c>
      <c r="U44" s="22">
        <f ca="1">+GETPIVOTDATA("XSB4",'sonbinh (2016)'!$A$3,"MA_HT","ONT","MA_QH","SKK")</f>
        <v>0</v>
      </c>
      <c r="V44" s="22">
        <f ca="1">+GETPIVOTDATA("XSB4",'sonbinh (2016)'!$A$3,"MA_HT","ONT","MA_QH","SKT")</f>
        <v>0</v>
      </c>
      <c r="W44" s="22">
        <f ca="1">+GETPIVOTDATA("XSB4",'sonbinh (2016)'!$A$3,"MA_HT","ONT","MA_QH","SKN")</f>
        <v>0</v>
      </c>
      <c r="X44" s="22">
        <f ca="1">+GETPIVOTDATA("XSB4",'sonbinh (2016)'!$A$3,"MA_HT","ONT","MA_QH","TMD")</f>
        <v>0</v>
      </c>
      <c r="Y44" s="22">
        <f ca="1">+GETPIVOTDATA("XSB4",'sonbinh (2016)'!$A$3,"MA_HT","ONT","MA_QH","SKC")</f>
        <v>0</v>
      </c>
      <c r="Z44" s="22">
        <f ca="1">+GETPIVOTDATA("XSB4",'sonbinh (2016)'!$A$3,"MA_HT","ONT","MA_QH","SKS")</f>
        <v>0</v>
      </c>
      <c r="AA44" s="52">
        <f ca="1" t="shared" si="21"/>
        <v>0</v>
      </c>
      <c r="AB44" s="22">
        <f ca="1">+GETPIVOTDATA("XSB4",'sonbinh (2016)'!$A$3,"MA_HT","ONT","MA_QH","DGT")</f>
        <v>0</v>
      </c>
      <c r="AC44" s="22">
        <f ca="1">+GETPIVOTDATA("XSB4",'sonbinh (2016)'!$A$3,"MA_HT","ONT","MA_QH","DTL")</f>
        <v>0</v>
      </c>
      <c r="AD44" s="22">
        <f ca="1">+GETPIVOTDATA("XSB4",'sonbinh (2016)'!$A$3,"MA_HT","ONT","MA_QH","DNL")</f>
        <v>0</v>
      </c>
      <c r="AE44" s="22">
        <f ca="1">+GETPIVOTDATA("XSB4",'sonbinh (2016)'!$A$3,"MA_HT","ONT","MA_QH","DBV")</f>
        <v>0</v>
      </c>
      <c r="AF44" s="22">
        <f ca="1">+GETPIVOTDATA("XSB4",'sonbinh (2016)'!$A$3,"MA_HT","ONT","MA_QH","DVH")</f>
        <v>0</v>
      </c>
      <c r="AG44" s="22">
        <f ca="1">+GETPIVOTDATA("XSB4",'sonbinh (2016)'!$A$3,"MA_HT","ONT","MA_QH","DYT")</f>
        <v>0</v>
      </c>
      <c r="AH44" s="22">
        <f ca="1">+GETPIVOTDATA("XSB4",'sonbinh (2016)'!$A$3,"MA_HT","ONT","MA_QH","DGD")</f>
        <v>0</v>
      </c>
      <c r="AI44" s="22">
        <f ca="1">+GETPIVOTDATA("XSB4",'sonbinh (2016)'!$A$3,"MA_HT","ONT","MA_QH","DTT")</f>
        <v>0</v>
      </c>
      <c r="AJ44" s="22">
        <f ca="1">+GETPIVOTDATA("XSB4",'sonbinh (2016)'!$A$3,"MA_HT","ONT","MA_QH","NCK")</f>
        <v>0</v>
      </c>
      <c r="AK44" s="22">
        <f ca="1">+GETPIVOTDATA("XSB4",'sonbinh (2016)'!$A$3,"MA_HT","ONT","MA_QH","DXH")</f>
        <v>0</v>
      </c>
      <c r="AL44" s="22">
        <f ca="1">+GETPIVOTDATA("XSB4",'sonbinh (2016)'!$A$3,"MA_HT","ONT","MA_QH","DCH")</f>
        <v>0</v>
      </c>
      <c r="AM44" s="22">
        <f ca="1">+GETPIVOTDATA("XSB4",'sonbinh (2016)'!$A$3,"MA_HT","ONT","MA_QH","DKG")</f>
        <v>0</v>
      </c>
      <c r="AN44" s="22">
        <f ca="1">+GETPIVOTDATA("XSB4",'sonbinh (2016)'!$A$3,"MA_HT","ONT","MA_QH","DDT")</f>
        <v>0</v>
      </c>
      <c r="AO44" s="22">
        <f ca="1">+GETPIVOTDATA("XSB4",'sonbinh (2016)'!$A$3,"MA_HT","ONT","MA_QH","DDL")</f>
        <v>0</v>
      </c>
      <c r="AP44" s="22">
        <f ca="1">+GETPIVOTDATA("XSB4",'sonbinh (2016)'!$A$3,"MA_HT","ONT","MA_QH","DRA")</f>
        <v>0</v>
      </c>
      <c r="AQ44" s="43" t="e">
        <f ca="1">$D44-$BF44</f>
        <v>#REF!</v>
      </c>
      <c r="AR44" s="22">
        <f ca="1">+GETPIVOTDATA("XSB4",'sonbinh (2016)'!$A$3,"MA_HT","ONT","MA_QH","ODT")</f>
        <v>0</v>
      </c>
      <c r="AS44" s="22">
        <f ca="1">+GETPIVOTDATA("XSB4",'sonbinh (2016)'!$A$3,"MA_HT","ONT","MA_QH","TSC")</f>
        <v>0</v>
      </c>
      <c r="AT44" s="22">
        <f ca="1">+GETPIVOTDATA("XSB4",'sonbinh (2016)'!$A$3,"MA_HT","ONT","MA_QH","DTS")</f>
        <v>0</v>
      </c>
      <c r="AU44" s="22">
        <f ca="1">+GETPIVOTDATA("XSB4",'sonbinh (2016)'!$A$3,"MA_HT","ONT","MA_QH","DNG")</f>
        <v>0</v>
      </c>
      <c r="AV44" s="22">
        <f ca="1">+GETPIVOTDATA("XSB4",'sonbinh (2016)'!$A$3,"MA_HT","ONT","MA_QH","TON")</f>
        <v>0</v>
      </c>
      <c r="AW44" s="22">
        <f ca="1">+GETPIVOTDATA("XSB4",'sonbinh (2016)'!$A$3,"MA_HT","ONT","MA_QH","NTD")</f>
        <v>0</v>
      </c>
      <c r="AX44" s="22">
        <f ca="1">+GETPIVOTDATA("XSB4",'sonbinh (2016)'!$A$3,"MA_HT","ONT","MA_QH","SKX")</f>
        <v>0</v>
      </c>
      <c r="AY44" s="22">
        <f ca="1">+GETPIVOTDATA("XSB4",'sonbinh (2016)'!$A$3,"MA_HT","ONT","MA_QH","DSH")</f>
        <v>0</v>
      </c>
      <c r="AZ44" s="22">
        <f ca="1">+GETPIVOTDATA("XSB4",'sonbinh (2016)'!$A$3,"MA_HT","ONT","MA_QH","DKV")</f>
        <v>0</v>
      </c>
      <c r="BA44" s="89">
        <f ca="1">+GETPIVOTDATA("XSB4",'sonbinh (2016)'!$A$3,"MA_HT","ONT","MA_QH","TIN")</f>
        <v>0</v>
      </c>
      <c r="BB44" s="50">
        <f ca="1">+GETPIVOTDATA("XSB4",'sonbinh (2016)'!$A$3,"MA_HT","ONT","MA_QH","SON")</f>
        <v>0</v>
      </c>
      <c r="BC44" s="50">
        <f ca="1">+GETPIVOTDATA("XSB4",'sonbinh (2016)'!$A$3,"MA_HT","ONT","MA_QH","MNC")</f>
        <v>0</v>
      </c>
      <c r="BD44" s="22">
        <f ca="1">+GETPIVOTDATA("XSB4",'sonbinh (2016)'!$A$3,"MA_HT","ONT","MA_QH","PNK")</f>
        <v>0</v>
      </c>
      <c r="BE44" s="71">
        <f ca="1">+GETPIVOTDATA("XSB4",'sonbinh (2016)'!$A$3,"MA_HT","ONT","MA_QH","CSD")</f>
        <v>0</v>
      </c>
      <c r="BF44" s="74">
        <f ca="1" t="shared" si="13"/>
        <v>0</v>
      </c>
      <c r="BG44" s="101">
        <f ca="1">AQ$59-$BF44</f>
        <v>0</v>
      </c>
      <c r="BH44" s="41" t="e">
        <f ca="1" t="shared" si="14"/>
        <v>#REF!</v>
      </c>
      <c r="BI44" s="98"/>
      <c r="BJ44" s="107" t="e">
        <f>#REF!</f>
        <v>#REF!</v>
      </c>
      <c r="BK44" s="107" t="e">
        <f ca="1">BH44-BJ44</f>
        <v>#REF!</v>
      </c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</row>
    <row r="45" s="2" customFormat="1" ht="15.75" customHeight="1" spans="1:79">
      <c r="A45" s="61" t="s">
        <v>8408</v>
      </c>
      <c r="B45" s="62" t="s">
        <v>8409</v>
      </c>
      <c r="C45" s="63" t="s">
        <v>201</v>
      </c>
      <c r="D45" s="64" t="e">
        <f>+#REF!</f>
        <v>#REF!</v>
      </c>
      <c r="E45" s="65">
        <f ca="1" t="shared" si="15"/>
        <v>0</v>
      </c>
      <c r="F45" s="66">
        <f ca="1" t="shared" si="9"/>
        <v>0</v>
      </c>
      <c r="G45" s="67">
        <f ca="1">+GETPIVOTDATA("XSB4",'sonbinh (2016)'!$A$3,"MA_HT","ODT","MA_QH","LUC")</f>
        <v>0</v>
      </c>
      <c r="H45" s="67">
        <f ca="1">+GETPIVOTDATA("XSB4",'sonbinh (2016)'!$A$3,"MA_HT","ODT","MA_QH","LUK")</f>
        <v>0</v>
      </c>
      <c r="I45" s="67">
        <f ca="1">+GETPIVOTDATA("XSB4",'sonbinh (2016)'!$A$3,"MA_HT","ODT","MA_QH","LUN")</f>
        <v>0</v>
      </c>
      <c r="J45" s="67">
        <f ca="1">+GETPIVOTDATA("XSB4",'sonbinh (2016)'!$A$3,"MA_HT","ODT","MA_QH","HNK")</f>
        <v>0</v>
      </c>
      <c r="K45" s="67">
        <f ca="1">+GETPIVOTDATA("XSB4",'sonbinh (2016)'!$A$3,"MA_HT","ODT","MA_QH","CLN")</f>
        <v>0</v>
      </c>
      <c r="L45" s="67">
        <f ca="1">+GETPIVOTDATA("XSB4",'sonbinh (2016)'!$A$3,"MA_HT","ODT","MA_QH","RSX")</f>
        <v>0</v>
      </c>
      <c r="M45" s="67">
        <f ca="1">+GETPIVOTDATA("XSB4",'sonbinh (2016)'!$A$3,"MA_HT","ODT","MA_QH","RPH")</f>
        <v>0</v>
      </c>
      <c r="N45" s="67">
        <f ca="1">+GETPIVOTDATA("XSB4",'sonbinh (2016)'!$A$3,"MA_HT","ODT","MA_QH","RDD")</f>
        <v>0</v>
      </c>
      <c r="O45" s="67">
        <f ca="1">+GETPIVOTDATA("XSB4",'sonbinh (2016)'!$A$3,"MA_HT","ODT","MA_QH","NTS")</f>
        <v>0</v>
      </c>
      <c r="P45" s="67">
        <f ca="1">+GETPIVOTDATA("XSB4",'sonbinh (2016)'!$A$3,"MA_HT","ODT","MA_QH","LMU")</f>
        <v>0</v>
      </c>
      <c r="Q45" s="67">
        <f ca="1">+GETPIVOTDATA("XSB4",'sonbinh (2016)'!$A$3,"MA_HT","ODT","MA_QH","NKH")</f>
        <v>0</v>
      </c>
      <c r="R45" s="79">
        <f ca="1">SUM(S45:AA45,AN45:AQ45,AS45:BD45)</f>
        <v>0</v>
      </c>
      <c r="S45" s="67">
        <f ca="1">+GETPIVOTDATA("XSB4",'sonbinh (2016)'!$A$3,"MA_HT","ODT","MA_QH","CQP")</f>
        <v>0</v>
      </c>
      <c r="T45" s="67">
        <f ca="1">+GETPIVOTDATA("XSB4",'sonbinh (2016)'!$A$3,"MA_HT","ODT","MA_QH","CAN")</f>
        <v>0</v>
      </c>
      <c r="U45" s="67">
        <f ca="1">+GETPIVOTDATA("XSB4",'sonbinh (2016)'!$A$3,"MA_HT","ODT","MA_QH","SKK")</f>
        <v>0</v>
      </c>
      <c r="V45" s="67">
        <f ca="1">+GETPIVOTDATA("XSB4",'sonbinh (2016)'!$A$3,"MA_HT","ODT","MA_QH","SKT")</f>
        <v>0</v>
      </c>
      <c r="W45" s="67">
        <f ca="1">+GETPIVOTDATA("XSB4",'sonbinh (2016)'!$A$3,"MA_HT","ODT","MA_QH","SKN")</f>
        <v>0</v>
      </c>
      <c r="X45" s="67">
        <f ca="1">+GETPIVOTDATA("XSB4",'sonbinh (2016)'!$A$3,"MA_HT","ODT","MA_QH","TMD")</f>
        <v>0</v>
      </c>
      <c r="Y45" s="67">
        <f ca="1">+GETPIVOTDATA("XSB4",'sonbinh (2016)'!$A$3,"MA_HT","ODT","MA_QH","SKC")</f>
        <v>0</v>
      </c>
      <c r="Z45" s="67">
        <f ca="1">+GETPIVOTDATA("XSB4",'sonbinh (2016)'!$A$3,"MA_HT","ODT","MA_QH","SKS")</f>
        <v>0</v>
      </c>
      <c r="AA45" s="66">
        <f ca="1" t="shared" si="21"/>
        <v>0</v>
      </c>
      <c r="AB45" s="67">
        <f ca="1">+GETPIVOTDATA("XSB4",'sonbinh (2016)'!$A$3,"MA_HT","ODT","MA_QH","DGT")</f>
        <v>0</v>
      </c>
      <c r="AC45" s="67">
        <f ca="1">+GETPIVOTDATA("XSB4",'sonbinh (2016)'!$A$3,"MA_HT","ODT","MA_QH","DTL")</f>
        <v>0</v>
      </c>
      <c r="AD45" s="67">
        <f ca="1">+GETPIVOTDATA("XSB4",'sonbinh (2016)'!$A$3,"MA_HT","ODT","MA_QH","DNL")</f>
        <v>0</v>
      </c>
      <c r="AE45" s="67">
        <f ca="1">+GETPIVOTDATA("XSB4",'sonbinh (2016)'!$A$3,"MA_HT","ODT","MA_QH","DBV")</f>
        <v>0</v>
      </c>
      <c r="AF45" s="67">
        <f ca="1">+GETPIVOTDATA("XSB4",'sonbinh (2016)'!$A$3,"MA_HT","ODT","MA_QH","DVH")</f>
        <v>0</v>
      </c>
      <c r="AG45" s="67">
        <f ca="1">+GETPIVOTDATA("XSB4",'sonbinh (2016)'!$A$3,"MA_HT","ODT","MA_QH","DYT")</f>
        <v>0</v>
      </c>
      <c r="AH45" s="67">
        <f ca="1">+GETPIVOTDATA("XSB4",'sonbinh (2016)'!$A$3,"MA_HT","ODT","MA_QH","DGD")</f>
        <v>0</v>
      </c>
      <c r="AI45" s="67">
        <f ca="1">+GETPIVOTDATA("XSB4",'sonbinh (2016)'!$A$3,"MA_HT","ODT","MA_QH","DTT")</f>
        <v>0</v>
      </c>
      <c r="AJ45" s="67">
        <f ca="1">+GETPIVOTDATA("XSB4",'sonbinh (2016)'!$A$3,"MA_HT","ODT","MA_QH","NCK")</f>
        <v>0</v>
      </c>
      <c r="AK45" s="67">
        <f ca="1">+GETPIVOTDATA("XSB4",'sonbinh (2016)'!$A$3,"MA_HT","ODT","MA_QH","DXH")</f>
        <v>0</v>
      </c>
      <c r="AL45" s="67">
        <f ca="1">+GETPIVOTDATA("XSB4",'sonbinh (2016)'!$A$3,"MA_HT","ODT","MA_QH","DCH")</f>
        <v>0</v>
      </c>
      <c r="AM45" s="67">
        <f ca="1">+GETPIVOTDATA("XSB4",'sonbinh (2016)'!$A$3,"MA_HT","ODT","MA_QH","DKG")</f>
        <v>0</v>
      </c>
      <c r="AN45" s="67">
        <f ca="1">+GETPIVOTDATA("XSB4",'sonbinh (2016)'!$A$3,"MA_HT","ODT","MA_QH","DDT")</f>
        <v>0</v>
      </c>
      <c r="AO45" s="67">
        <f ca="1">+GETPIVOTDATA("XSB4",'sonbinh (2016)'!$A$3,"MA_HT","ODT","MA_QH","DDL")</f>
        <v>0</v>
      </c>
      <c r="AP45" s="67">
        <f ca="1">+GETPIVOTDATA("XSB4",'sonbinh (2016)'!$A$3,"MA_HT","ODT","MA_QH","DRA")</f>
        <v>0</v>
      </c>
      <c r="AQ45" s="67">
        <f ca="1">+GETPIVOTDATA("XSB4",'sonbinh (2016)'!$A$3,"MA_HT","ODT","MA_QH","ONT")</f>
        <v>0</v>
      </c>
      <c r="AR45" s="82" t="e">
        <f ca="1">$D45-$BF45</f>
        <v>#REF!</v>
      </c>
      <c r="AS45" s="67">
        <f ca="1">+GETPIVOTDATA("XSB4",'sonbinh (2016)'!$A$3,"MA_HT","ODT","MA_QH","TSC")</f>
        <v>0</v>
      </c>
      <c r="AT45" s="67">
        <f ca="1">+GETPIVOTDATA("XSB4",'sonbinh (2016)'!$A$3,"MA_HT","ODT","MA_QH","DTS")</f>
        <v>0</v>
      </c>
      <c r="AU45" s="67">
        <f ca="1">+GETPIVOTDATA("XSB4",'sonbinh (2016)'!$A$3,"MA_HT","ODT","MA_QH","DNG")</f>
        <v>0</v>
      </c>
      <c r="AV45" s="67">
        <f ca="1">+GETPIVOTDATA("XSB4",'sonbinh (2016)'!$A$3,"MA_HT","ODT","MA_QH","TON")</f>
        <v>0</v>
      </c>
      <c r="AW45" s="67">
        <f ca="1">+GETPIVOTDATA("XSB4",'sonbinh (2016)'!$A$3,"MA_HT","ODT","MA_QH","NTD")</f>
        <v>0</v>
      </c>
      <c r="AX45" s="67">
        <f ca="1">+GETPIVOTDATA("XSB4",'sonbinh (2016)'!$A$3,"MA_HT","ODT","MA_QH","SKX")</f>
        <v>0</v>
      </c>
      <c r="AY45" s="67">
        <f ca="1">+GETPIVOTDATA("XSB4",'sonbinh (2016)'!$A$3,"MA_HT","ODT","MA_QH","DSH")</f>
        <v>0</v>
      </c>
      <c r="AZ45" s="67">
        <f ca="1">+GETPIVOTDATA("XSB4",'sonbinh (2016)'!$A$3,"MA_HT","ODT","MA_QH","DKV")</f>
        <v>0</v>
      </c>
      <c r="BA45" s="92">
        <f ca="1">+GETPIVOTDATA("XSB4",'sonbinh (2016)'!$A$3,"MA_HT","ODT","MA_QH","TIN")</f>
        <v>0</v>
      </c>
      <c r="BB45" s="93">
        <f ca="1">+GETPIVOTDATA("XSB4",'sonbinh (2016)'!$A$3,"MA_HT","ODT","MA_QH","SON")</f>
        <v>0</v>
      </c>
      <c r="BC45" s="93">
        <f ca="1">+GETPIVOTDATA("XSB4",'sonbinh (2016)'!$A$3,"MA_HT","ODT","MA_QH","MNC")</f>
        <v>0</v>
      </c>
      <c r="BD45" s="67">
        <f ca="1">+GETPIVOTDATA("XSB4",'sonbinh (2016)'!$A$3,"MA_HT","ODT","MA_QH","PNK")</f>
        <v>0</v>
      </c>
      <c r="BE45" s="116">
        <f ca="1">+GETPIVOTDATA("XSB4",'sonbinh (2016)'!$A$3,"MA_HT","ODT","MA_QH","CSD")</f>
        <v>0</v>
      </c>
      <c r="BF45" s="117">
        <f ca="1" t="shared" si="13"/>
        <v>0</v>
      </c>
      <c r="BG45" s="118">
        <f ca="1">AR$59-$BF45</f>
        <v>0</v>
      </c>
      <c r="BH45" s="64" t="e">
        <f ca="1" t="shared" si="14"/>
        <v>#REF!</v>
      </c>
      <c r="BI45" s="98"/>
      <c r="BJ45" s="107" t="e">
        <f>#REF!</f>
        <v>#REF!</v>
      </c>
      <c r="BK45" s="107" t="e">
        <f ca="1">BH45-BJ45</f>
        <v>#REF!</v>
      </c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</row>
    <row r="46" s="6" customFormat="1" ht="15.75" customHeight="1" spans="1:79">
      <c r="A46" s="39" t="s">
        <v>8410</v>
      </c>
      <c r="B46" s="53" t="s">
        <v>8411</v>
      </c>
      <c r="C46" s="40" t="s">
        <v>336</v>
      </c>
      <c r="D46" s="41" t="e">
        <f>+#REF!</f>
        <v>#REF!</v>
      </c>
      <c r="E46" s="42">
        <f ca="1" t="shared" si="15"/>
        <v>0</v>
      </c>
      <c r="F46" s="52">
        <f ca="1" t="shared" si="9"/>
        <v>0</v>
      </c>
      <c r="G46" s="22">
        <f ca="1">+GETPIVOTDATA("XSB4",'sonbinh (2016)'!$A$3,"MA_HT","TSC","MA_QH","LUC")</f>
        <v>0</v>
      </c>
      <c r="H46" s="22">
        <f ca="1">+GETPIVOTDATA("XSB4",'sonbinh (2016)'!$A$3,"MA_HT","TSC","MA_QH","LUK")</f>
        <v>0</v>
      </c>
      <c r="I46" s="22">
        <f ca="1">+GETPIVOTDATA("XSB4",'sonbinh (2016)'!$A$3,"MA_HT","TSC","MA_QH","LUN")</f>
        <v>0</v>
      </c>
      <c r="J46" s="22">
        <f ca="1">+GETPIVOTDATA("XSB4",'sonbinh (2016)'!$A$3,"MA_HT","TSC","MA_QH","HNK")</f>
        <v>0</v>
      </c>
      <c r="K46" s="22">
        <f ca="1">+GETPIVOTDATA("XSB4",'sonbinh (2016)'!$A$3,"MA_HT","TSC","MA_QH","CLN")</f>
        <v>0</v>
      </c>
      <c r="L46" s="22">
        <f ca="1">+GETPIVOTDATA("XSB4",'sonbinh (2016)'!$A$3,"MA_HT","TSC","MA_QH","RSX")</f>
        <v>0</v>
      </c>
      <c r="M46" s="22">
        <f ca="1">+GETPIVOTDATA("XSB4",'sonbinh (2016)'!$A$3,"MA_HT","TSC","MA_QH","RPH")</f>
        <v>0</v>
      </c>
      <c r="N46" s="22">
        <f ca="1">+GETPIVOTDATA("XSB4",'sonbinh (2016)'!$A$3,"MA_HT","TSC","MA_QH","RDD")</f>
        <v>0</v>
      </c>
      <c r="O46" s="22">
        <f ca="1">+GETPIVOTDATA("XSB4",'sonbinh (2016)'!$A$3,"MA_HT","TSC","MA_QH","NTS")</f>
        <v>0</v>
      </c>
      <c r="P46" s="22">
        <f ca="1">+GETPIVOTDATA("XSB4",'sonbinh (2016)'!$A$3,"MA_HT","TSC","MA_QH","LMU")</f>
        <v>0</v>
      </c>
      <c r="Q46" s="22">
        <f ca="1">+GETPIVOTDATA("XSB4",'sonbinh (2016)'!$A$3,"MA_HT","TSC","MA_QH","NKH")</f>
        <v>0</v>
      </c>
      <c r="R46" s="48">
        <f ca="1">SUM(S46:AA46,AN46:AR46,AT46:BD46)</f>
        <v>0</v>
      </c>
      <c r="S46" s="22">
        <f ca="1">+GETPIVOTDATA("XSB4",'sonbinh (2016)'!$A$3,"MA_HT","TSC","MA_QH","CQP")</f>
        <v>0</v>
      </c>
      <c r="T46" s="22">
        <f ca="1">+GETPIVOTDATA("XSB4",'sonbinh (2016)'!$A$3,"MA_HT","TSC","MA_QH","CAN")</f>
        <v>0</v>
      </c>
      <c r="U46" s="22">
        <f ca="1">+GETPIVOTDATA("XSB4",'sonbinh (2016)'!$A$3,"MA_HT","TSC","MA_QH","SKK")</f>
        <v>0</v>
      </c>
      <c r="V46" s="22">
        <f ca="1">+GETPIVOTDATA("XSB4",'sonbinh (2016)'!$A$3,"MA_HT","TSC","MA_QH","SKT")</f>
        <v>0</v>
      </c>
      <c r="W46" s="22">
        <f ca="1">+GETPIVOTDATA("XSB4",'sonbinh (2016)'!$A$3,"MA_HT","TSC","MA_QH","SKN")</f>
        <v>0</v>
      </c>
      <c r="X46" s="22">
        <f ca="1">+GETPIVOTDATA("XSB4",'sonbinh (2016)'!$A$3,"MA_HT","TSC","MA_QH","TMD")</f>
        <v>0</v>
      </c>
      <c r="Y46" s="22">
        <f ca="1">+GETPIVOTDATA("XSB4",'sonbinh (2016)'!$A$3,"MA_HT","TSC","MA_QH","SKC")</f>
        <v>0</v>
      </c>
      <c r="Z46" s="22">
        <f ca="1">+GETPIVOTDATA("XSB4",'sonbinh (2016)'!$A$3,"MA_HT","TSC","MA_QH","SKS")</f>
        <v>0</v>
      </c>
      <c r="AA46" s="52">
        <f ca="1" t="shared" si="21"/>
        <v>0</v>
      </c>
      <c r="AB46" s="22">
        <f ca="1">+GETPIVOTDATA("XSB4",'sonbinh (2016)'!$A$3,"MA_HT","TSC","MA_QH","DGT")</f>
        <v>0</v>
      </c>
      <c r="AC46" s="22">
        <f ca="1">+GETPIVOTDATA("XSB4",'sonbinh (2016)'!$A$3,"MA_HT","TSC","MA_QH","DTL")</f>
        <v>0</v>
      </c>
      <c r="AD46" s="22">
        <f ca="1">+GETPIVOTDATA("XSB4",'sonbinh (2016)'!$A$3,"MA_HT","TSC","MA_QH","DNL")</f>
        <v>0</v>
      </c>
      <c r="AE46" s="22">
        <f ca="1">+GETPIVOTDATA("XSB4",'sonbinh (2016)'!$A$3,"MA_HT","TSC","MA_QH","DBV")</f>
        <v>0</v>
      </c>
      <c r="AF46" s="22">
        <f ca="1">+GETPIVOTDATA("XSB4",'sonbinh (2016)'!$A$3,"MA_HT","TSC","MA_QH","DVH")</f>
        <v>0</v>
      </c>
      <c r="AG46" s="22">
        <f ca="1">+GETPIVOTDATA("XSB4",'sonbinh (2016)'!$A$3,"MA_HT","TSC","MA_QH","DYT")</f>
        <v>0</v>
      </c>
      <c r="AH46" s="22">
        <f ca="1">+GETPIVOTDATA("XSB4",'sonbinh (2016)'!$A$3,"MA_HT","TSC","MA_QH","DGD")</f>
        <v>0</v>
      </c>
      <c r="AI46" s="22">
        <f ca="1">+GETPIVOTDATA("XSB4",'sonbinh (2016)'!$A$3,"MA_HT","TSC","MA_QH","DTT")</f>
        <v>0</v>
      </c>
      <c r="AJ46" s="22">
        <f ca="1">+GETPIVOTDATA("XSB4",'sonbinh (2016)'!$A$3,"MA_HT","TSC","MA_QH","NCK")</f>
        <v>0</v>
      </c>
      <c r="AK46" s="22">
        <f ca="1">+GETPIVOTDATA("XSB4",'sonbinh (2016)'!$A$3,"MA_HT","TSC","MA_QH","DXH")</f>
        <v>0</v>
      </c>
      <c r="AL46" s="22">
        <f ca="1">+GETPIVOTDATA("XSB4",'sonbinh (2016)'!$A$3,"MA_HT","TSC","MA_QH","DCH")</f>
        <v>0</v>
      </c>
      <c r="AM46" s="22">
        <f ca="1">+GETPIVOTDATA("XSB4",'sonbinh (2016)'!$A$3,"MA_HT","TSC","MA_QH","DKG")</f>
        <v>0</v>
      </c>
      <c r="AN46" s="22">
        <f ca="1">+GETPIVOTDATA("XSB4",'sonbinh (2016)'!$A$3,"MA_HT","TSC","MA_QH","DDT")</f>
        <v>0</v>
      </c>
      <c r="AO46" s="22">
        <f ca="1">+GETPIVOTDATA("XSB4",'sonbinh (2016)'!$A$3,"MA_HT","TSC","MA_QH","DDL")</f>
        <v>0</v>
      </c>
      <c r="AP46" s="22">
        <f ca="1">+GETPIVOTDATA("XSB4",'sonbinh (2016)'!$A$3,"MA_HT","TSC","MA_QH","DRA")</f>
        <v>0</v>
      </c>
      <c r="AQ46" s="22">
        <f ca="1">+GETPIVOTDATA("XSB4",'sonbinh (2016)'!$A$3,"MA_HT","TSC","MA_QH","ONT")</f>
        <v>0</v>
      </c>
      <c r="AR46" s="22">
        <f ca="1">+GETPIVOTDATA("XSB4",'sonbinh (2016)'!$A$3,"MA_HT","TSC","MA_QH","ODT")</f>
        <v>0</v>
      </c>
      <c r="AS46" s="43" t="e">
        <f ca="1">$D46-$BF46</f>
        <v>#REF!</v>
      </c>
      <c r="AT46" s="22">
        <f ca="1">+GETPIVOTDATA("XSB4",'sonbinh (2016)'!$A$3,"MA_HT","TSC","MA_QH","DTS")</f>
        <v>0</v>
      </c>
      <c r="AU46" s="22">
        <f ca="1">+GETPIVOTDATA("XSB4",'sonbinh (2016)'!$A$3,"MA_HT","TSC","MA_QH","DNG")</f>
        <v>0</v>
      </c>
      <c r="AV46" s="22">
        <f ca="1">+GETPIVOTDATA("XSB4",'sonbinh (2016)'!$A$3,"MA_HT","TSC","MA_QH","TON")</f>
        <v>0</v>
      </c>
      <c r="AW46" s="22">
        <f ca="1">+GETPIVOTDATA("XSB4",'sonbinh (2016)'!$A$3,"MA_HT","TSC","MA_QH","NTD")</f>
        <v>0</v>
      </c>
      <c r="AX46" s="22">
        <f ca="1">+GETPIVOTDATA("XSB4",'sonbinh (2016)'!$A$3,"MA_HT","TSC","MA_QH","SKX")</f>
        <v>0</v>
      </c>
      <c r="AY46" s="22">
        <f ca="1">+GETPIVOTDATA("XSB4",'sonbinh (2016)'!$A$3,"MA_HT","TSC","MA_QH","DSH")</f>
        <v>0</v>
      </c>
      <c r="AZ46" s="22">
        <f ca="1">+GETPIVOTDATA("XSB4",'sonbinh (2016)'!$A$3,"MA_HT","TSC","MA_QH","DKV")</f>
        <v>0</v>
      </c>
      <c r="BA46" s="89">
        <f ca="1">+GETPIVOTDATA("XSB4",'sonbinh (2016)'!$A$3,"MA_HT","TSC","MA_QH","TIN")</f>
        <v>0</v>
      </c>
      <c r="BB46" s="50">
        <f ca="1">+GETPIVOTDATA("XSB4",'sonbinh (2016)'!$A$3,"MA_HT","TSC","MA_QH","SON")</f>
        <v>0</v>
      </c>
      <c r="BC46" s="50">
        <f ca="1">+GETPIVOTDATA("XSB4",'sonbinh (2016)'!$A$3,"MA_HT","TSC","MA_QH","MNC")</f>
        <v>0</v>
      </c>
      <c r="BD46" s="22">
        <f ca="1">+GETPIVOTDATA("XSB4",'sonbinh (2016)'!$A$3,"MA_HT","TSC","MA_QH","PNK")</f>
        <v>0</v>
      </c>
      <c r="BE46" s="71">
        <f ca="1">+GETPIVOTDATA("XSB4",'sonbinh (2016)'!$A$3,"MA_HT","TSC","MA_QH","CSD")</f>
        <v>0</v>
      </c>
      <c r="BF46" s="74">
        <f ca="1" t="shared" si="13"/>
        <v>0</v>
      </c>
      <c r="BG46" s="101">
        <f ca="1">AS$59-$BF46</f>
        <v>0</v>
      </c>
      <c r="BH46" s="41" t="e">
        <f ca="1" t="shared" si="14"/>
        <v>#REF!</v>
      </c>
      <c r="BI46" s="114"/>
      <c r="BJ46" s="114" t="e">
        <f>#REF!</f>
        <v>#REF!</v>
      </c>
      <c r="BK46" s="115" t="e">
        <f ca="1">BH46-BJ46</f>
        <v>#REF!</v>
      </c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</row>
    <row r="47" s="2" customFormat="1" ht="15.75" customHeight="1" spans="1:79">
      <c r="A47" s="54" t="s">
        <v>8412</v>
      </c>
      <c r="B47" s="55" t="s">
        <v>8413</v>
      </c>
      <c r="C47" s="56" t="s">
        <v>8293</v>
      </c>
      <c r="D47" s="57" t="e">
        <f>+#REF!</f>
        <v>#REF!</v>
      </c>
      <c r="E47" s="58">
        <f ca="1" t="shared" si="15"/>
        <v>0</v>
      </c>
      <c r="F47" s="59">
        <f ca="1" t="shared" si="9"/>
        <v>0</v>
      </c>
      <c r="G47" s="60">
        <f ca="1">+GETPIVOTDATA("XSB4",'sonbinh (2016)'!$A$3,"MA_HT","DTS","MA_QH","LUC")</f>
        <v>0</v>
      </c>
      <c r="H47" s="60">
        <f ca="1">+GETPIVOTDATA("XSB4",'sonbinh (2016)'!$A$3,"MA_HT","DTS","MA_QH","LUK")</f>
        <v>0</v>
      </c>
      <c r="I47" s="60">
        <f ca="1">+GETPIVOTDATA("XSB4",'sonbinh (2016)'!$A$3,"MA_HT","DTS","MA_QH","LUN")</f>
        <v>0</v>
      </c>
      <c r="J47" s="60">
        <f ca="1">+GETPIVOTDATA("XSB4",'sonbinh (2016)'!$A$3,"MA_HT","DTS","MA_QH","HNK")</f>
        <v>0</v>
      </c>
      <c r="K47" s="60">
        <f ca="1">+GETPIVOTDATA("XSB4",'sonbinh (2016)'!$A$3,"MA_HT","DTS","MA_QH","CLN")</f>
        <v>0</v>
      </c>
      <c r="L47" s="60">
        <f ca="1">+GETPIVOTDATA("XSB4",'sonbinh (2016)'!$A$3,"MA_HT","DTS","MA_QH","RSX")</f>
        <v>0</v>
      </c>
      <c r="M47" s="60">
        <f ca="1">+GETPIVOTDATA("XSB4",'sonbinh (2016)'!$A$3,"MA_HT","DTS","MA_QH","RPH")</f>
        <v>0</v>
      </c>
      <c r="N47" s="60">
        <f ca="1">+GETPIVOTDATA("XSB4",'sonbinh (2016)'!$A$3,"MA_HT","DTS","MA_QH","RDD")</f>
        <v>0</v>
      </c>
      <c r="O47" s="60">
        <f ca="1">+GETPIVOTDATA("XSB4",'sonbinh (2016)'!$A$3,"MA_HT","DTS","MA_QH","NTS")</f>
        <v>0</v>
      </c>
      <c r="P47" s="60">
        <f ca="1">+GETPIVOTDATA("XSB4",'sonbinh (2016)'!$A$3,"MA_HT","DTS","MA_QH","LMU")</f>
        <v>0</v>
      </c>
      <c r="Q47" s="60">
        <f ca="1">+GETPIVOTDATA("XSB4",'sonbinh (2016)'!$A$3,"MA_HT","DTS","MA_QH","NKH")</f>
        <v>0</v>
      </c>
      <c r="R47" s="78">
        <f ca="1">SUM(S47:AA47,AN47:AS47,AU47:BD47)</f>
        <v>0</v>
      </c>
      <c r="S47" s="60">
        <f ca="1">+GETPIVOTDATA("XSB4",'sonbinh (2016)'!$A$3,"MA_HT","DTS","MA_QH","CQP")</f>
        <v>0</v>
      </c>
      <c r="T47" s="60">
        <f ca="1">+GETPIVOTDATA("XSB4",'sonbinh (2016)'!$A$3,"MA_HT","DTS","MA_QH","CAN")</f>
        <v>0</v>
      </c>
      <c r="U47" s="60">
        <f ca="1">+GETPIVOTDATA("XSB4",'sonbinh (2016)'!$A$3,"MA_HT","DTS","MA_QH","SKK")</f>
        <v>0</v>
      </c>
      <c r="V47" s="60">
        <f ca="1">+GETPIVOTDATA("XSB4",'sonbinh (2016)'!$A$3,"MA_HT","DTS","MA_QH","SKT")</f>
        <v>0</v>
      </c>
      <c r="W47" s="60">
        <f ca="1">+GETPIVOTDATA("XSB4",'sonbinh (2016)'!$A$3,"MA_HT","DTS","MA_QH","SKN")</f>
        <v>0</v>
      </c>
      <c r="X47" s="60">
        <f ca="1">+GETPIVOTDATA("XSB4",'sonbinh (2016)'!$A$3,"MA_HT","DTS","MA_QH","TMD")</f>
        <v>0</v>
      </c>
      <c r="Y47" s="60">
        <f ca="1">+GETPIVOTDATA("XSB4",'sonbinh (2016)'!$A$3,"MA_HT","DTS","MA_QH","SKC")</f>
        <v>0</v>
      </c>
      <c r="Z47" s="60">
        <f ca="1">+GETPIVOTDATA("XSB4",'sonbinh (2016)'!$A$3,"MA_HT","DTS","MA_QH","SKS")</f>
        <v>0</v>
      </c>
      <c r="AA47" s="59">
        <f ca="1" t="shared" si="21"/>
        <v>0</v>
      </c>
      <c r="AB47" s="60">
        <f ca="1">+GETPIVOTDATA("XSB4",'sonbinh (2016)'!$A$3,"MA_HT","DTS","MA_QH","DGT")</f>
        <v>0</v>
      </c>
      <c r="AC47" s="60">
        <f ca="1">+GETPIVOTDATA("XSB4",'sonbinh (2016)'!$A$3,"MA_HT","DTS","MA_QH","DTL")</f>
        <v>0</v>
      </c>
      <c r="AD47" s="60">
        <f ca="1">+GETPIVOTDATA("XSB4",'sonbinh (2016)'!$A$3,"MA_HT","DTS","MA_QH","DNL")</f>
        <v>0</v>
      </c>
      <c r="AE47" s="60">
        <f ca="1">+GETPIVOTDATA("XSB4",'sonbinh (2016)'!$A$3,"MA_HT","DTS","MA_QH","DBV")</f>
        <v>0</v>
      </c>
      <c r="AF47" s="60">
        <f ca="1">+GETPIVOTDATA("XSB4",'sonbinh (2016)'!$A$3,"MA_HT","DTS","MA_QH","DVH")</f>
        <v>0</v>
      </c>
      <c r="AG47" s="60">
        <f ca="1">+GETPIVOTDATA("XSB4",'sonbinh (2016)'!$A$3,"MA_HT","DTS","MA_QH","DYT")</f>
        <v>0</v>
      </c>
      <c r="AH47" s="60">
        <f ca="1">+GETPIVOTDATA("XSB4",'sonbinh (2016)'!$A$3,"MA_HT","DTS","MA_QH","DGD")</f>
        <v>0</v>
      </c>
      <c r="AI47" s="60">
        <f ca="1">+GETPIVOTDATA("XSB4",'sonbinh (2016)'!$A$3,"MA_HT","DTS","MA_QH","DTT")</f>
        <v>0</v>
      </c>
      <c r="AJ47" s="60">
        <f ca="1">+GETPIVOTDATA("XSB4",'sonbinh (2016)'!$A$3,"MA_HT","DTS","MA_QH","NCK")</f>
        <v>0</v>
      </c>
      <c r="AK47" s="60">
        <f ca="1">+GETPIVOTDATA("XSB4",'sonbinh (2016)'!$A$3,"MA_HT","DTS","MA_QH","DXH")</f>
        <v>0</v>
      </c>
      <c r="AL47" s="60">
        <f ca="1">+GETPIVOTDATA("XSB4",'sonbinh (2016)'!$A$3,"MA_HT","DTS","MA_QH","DCH")</f>
        <v>0</v>
      </c>
      <c r="AM47" s="60">
        <f ca="1">+GETPIVOTDATA("XSB4",'sonbinh (2016)'!$A$3,"MA_HT","DTS","MA_QH","DKG")</f>
        <v>0</v>
      </c>
      <c r="AN47" s="60">
        <f ca="1">+GETPIVOTDATA("XSB4",'sonbinh (2016)'!$A$3,"MA_HT","DTS","MA_QH","DDT")</f>
        <v>0</v>
      </c>
      <c r="AO47" s="60">
        <f ca="1">+GETPIVOTDATA("XSB4",'sonbinh (2016)'!$A$3,"MA_HT","DTS","MA_QH","DDL")</f>
        <v>0</v>
      </c>
      <c r="AP47" s="60">
        <f ca="1">+GETPIVOTDATA("XSB4",'sonbinh (2016)'!$A$3,"MA_HT","DTS","MA_QH","DRA")</f>
        <v>0</v>
      </c>
      <c r="AQ47" s="60">
        <f ca="1">+GETPIVOTDATA("XSB4",'sonbinh (2016)'!$A$3,"MA_HT","DTS","MA_QH","ONT")</f>
        <v>0</v>
      </c>
      <c r="AR47" s="60">
        <f ca="1">+GETPIVOTDATA("XSB4",'sonbinh (2016)'!$A$3,"MA_HT","DTS","MA_QH","ODT")</f>
        <v>0</v>
      </c>
      <c r="AS47" s="60">
        <f ca="1">+GETPIVOTDATA("XSB4",'sonbinh (2016)'!$A$3,"MA_HT","DTS","MA_QH","TSC")</f>
        <v>0</v>
      </c>
      <c r="AT47" s="81" t="e">
        <f ca="1">$D47-$BF47</f>
        <v>#REF!</v>
      </c>
      <c r="AU47" s="60">
        <f ca="1">+GETPIVOTDATA("XSB4",'sonbinh (2016)'!$A$3,"MA_HT","DTS","MA_QH","DNG")</f>
        <v>0</v>
      </c>
      <c r="AV47" s="60">
        <f ca="1">+GETPIVOTDATA("XSB4",'sonbinh (2016)'!$A$3,"MA_HT","DTS","MA_QH","TON")</f>
        <v>0</v>
      </c>
      <c r="AW47" s="60">
        <f ca="1">+GETPIVOTDATA("XSB4",'sonbinh (2016)'!$A$3,"MA_HT","DTS","MA_QH","NTD")</f>
        <v>0</v>
      </c>
      <c r="AX47" s="60">
        <f ca="1">+GETPIVOTDATA("XSB4",'sonbinh (2016)'!$A$3,"MA_HT","DTS","MA_QH","SKX")</f>
        <v>0</v>
      </c>
      <c r="AY47" s="60">
        <f ca="1">+GETPIVOTDATA("XSB4",'sonbinh (2016)'!$A$3,"MA_HT","DTS","MA_QH","DSH")</f>
        <v>0</v>
      </c>
      <c r="AZ47" s="60">
        <f ca="1">+GETPIVOTDATA("XSB4",'sonbinh (2016)'!$A$3,"MA_HT","DTS","MA_QH","DKV")</f>
        <v>0</v>
      </c>
      <c r="BA47" s="90">
        <f ca="1">+GETPIVOTDATA("XSB4",'sonbinh (2016)'!$A$3,"MA_HT","DTS","MA_QH","TIN")</f>
        <v>0</v>
      </c>
      <c r="BB47" s="91">
        <f ca="1">+GETPIVOTDATA("XSB4",'sonbinh (2016)'!$A$3,"MA_HT","DTS","MA_QH","SON")</f>
        <v>0</v>
      </c>
      <c r="BC47" s="91">
        <f ca="1">+GETPIVOTDATA("XSB4",'sonbinh (2016)'!$A$3,"MA_HT","DTS","MA_QH","MNC")</f>
        <v>0</v>
      </c>
      <c r="BD47" s="60">
        <f ca="1">+GETPIVOTDATA("XSB4",'sonbinh (2016)'!$A$3,"MA_HT","DTS","MA_QH","PNK")</f>
        <v>0</v>
      </c>
      <c r="BE47" s="111">
        <f ca="1">+GETPIVOTDATA("XSB4",'sonbinh (2016)'!$A$3,"MA_HT","DTS","MA_QH","CSD")</f>
        <v>0</v>
      </c>
      <c r="BF47" s="112">
        <f ca="1" t="shared" si="13"/>
        <v>0</v>
      </c>
      <c r="BG47" s="113">
        <f ca="1">AT$59-$BF47</f>
        <v>0</v>
      </c>
      <c r="BH47" s="57" t="e">
        <f ca="1" t="shared" si="14"/>
        <v>#REF!</v>
      </c>
      <c r="BI47" s="98"/>
      <c r="BJ47" s="98"/>
      <c r="BK47" s="107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</row>
    <row r="48" s="2" customFormat="1" ht="15.75" customHeight="1" spans="1:79">
      <c r="A48" s="39" t="s">
        <v>8414</v>
      </c>
      <c r="B48" s="53" t="s">
        <v>8415</v>
      </c>
      <c r="C48" s="40" t="s">
        <v>8290</v>
      </c>
      <c r="D48" s="41" t="e">
        <f>+#REF!</f>
        <v>#REF!</v>
      </c>
      <c r="E48" s="42">
        <f ca="1" t="shared" si="15"/>
        <v>0</v>
      </c>
      <c r="F48" s="52">
        <f ca="1" t="shared" si="9"/>
        <v>0</v>
      </c>
      <c r="G48" s="22">
        <f ca="1">+GETPIVOTDATA("XSB4",'sonbinh (2016)'!$A$3,"MA_HT","DNG","MA_QH","LUC")</f>
        <v>0</v>
      </c>
      <c r="H48" s="22">
        <f ca="1">+GETPIVOTDATA("XSB4",'sonbinh (2016)'!$A$3,"MA_HT","DNG","MA_QH","LUK")</f>
        <v>0</v>
      </c>
      <c r="I48" s="22">
        <f ca="1">+GETPIVOTDATA("XSB4",'sonbinh (2016)'!$A$3,"MA_HT","DNG","MA_QH","LUN")</f>
        <v>0</v>
      </c>
      <c r="J48" s="22">
        <f ca="1">+GETPIVOTDATA("XSB4",'sonbinh (2016)'!$A$3,"MA_HT","DNG","MA_QH","HNK")</f>
        <v>0</v>
      </c>
      <c r="K48" s="22">
        <f ca="1">+GETPIVOTDATA("XSB4",'sonbinh (2016)'!$A$3,"MA_HT","DNG","MA_QH","CLN")</f>
        <v>0</v>
      </c>
      <c r="L48" s="22">
        <f ca="1">+GETPIVOTDATA("XSB4",'sonbinh (2016)'!$A$3,"MA_HT","DNG","MA_QH","RSX")</f>
        <v>0</v>
      </c>
      <c r="M48" s="22">
        <f ca="1">+GETPIVOTDATA("XSB4",'sonbinh (2016)'!$A$3,"MA_HT","DNG","MA_QH","RPH")</f>
        <v>0</v>
      </c>
      <c r="N48" s="22">
        <f ca="1">+GETPIVOTDATA("XSB4",'sonbinh (2016)'!$A$3,"MA_HT","DNG","MA_QH","RDD")</f>
        <v>0</v>
      </c>
      <c r="O48" s="22">
        <f ca="1">+GETPIVOTDATA("XSB4",'sonbinh (2016)'!$A$3,"MA_HT","DNG","MA_QH","NTS")</f>
        <v>0</v>
      </c>
      <c r="P48" s="22">
        <f ca="1">+GETPIVOTDATA("XSB4",'sonbinh (2016)'!$A$3,"MA_HT","DNG","MA_QH","LMU")</f>
        <v>0</v>
      </c>
      <c r="Q48" s="22">
        <f ca="1">+GETPIVOTDATA("XSB4",'sonbinh (2016)'!$A$3,"MA_HT","DNG","MA_QH","NKH")</f>
        <v>0</v>
      </c>
      <c r="R48" s="79">
        <f ca="1">SUM(S48:AA48,AN48:AT48,AV48:BD48)</f>
        <v>0</v>
      </c>
      <c r="S48" s="22">
        <f ca="1">+GETPIVOTDATA("XSB4",'sonbinh (2016)'!$A$3,"MA_HT","DNG","MA_QH","CQP")</f>
        <v>0</v>
      </c>
      <c r="T48" s="22">
        <f ca="1">+GETPIVOTDATA("XSB4",'sonbinh (2016)'!$A$3,"MA_HT","DNG","MA_QH","CAN")</f>
        <v>0</v>
      </c>
      <c r="U48" s="22">
        <f ca="1">+GETPIVOTDATA("XSB4",'sonbinh (2016)'!$A$3,"MA_HT","DNG","MA_QH","SKK")</f>
        <v>0</v>
      </c>
      <c r="V48" s="22">
        <f ca="1">+GETPIVOTDATA("XSB4",'sonbinh (2016)'!$A$3,"MA_HT","DNG","MA_QH","SKT")</f>
        <v>0</v>
      </c>
      <c r="W48" s="22">
        <f ca="1">+GETPIVOTDATA("XSB4",'sonbinh (2016)'!$A$3,"MA_HT","DNG","MA_QH","SKN")</f>
        <v>0</v>
      </c>
      <c r="X48" s="22">
        <f ca="1">+GETPIVOTDATA("XSB4",'sonbinh (2016)'!$A$3,"MA_HT","DNG","MA_QH","TMD")</f>
        <v>0</v>
      </c>
      <c r="Y48" s="22">
        <f ca="1">+GETPIVOTDATA("XSB4",'sonbinh (2016)'!$A$3,"MA_HT","DNG","MA_QH","SKC")</f>
        <v>0</v>
      </c>
      <c r="Z48" s="22">
        <f ca="1">+GETPIVOTDATA("XSB4",'sonbinh (2016)'!$A$3,"MA_HT","DNG","MA_QH","SKS")</f>
        <v>0</v>
      </c>
      <c r="AA48" s="52">
        <f ca="1" t="shared" si="21"/>
        <v>0</v>
      </c>
      <c r="AB48" s="22">
        <f ca="1">+GETPIVOTDATA("XSB4",'sonbinh (2016)'!$A$3,"MA_HT","DNG","MA_QH","DGT")</f>
        <v>0</v>
      </c>
      <c r="AC48" s="22">
        <f ca="1">+GETPIVOTDATA("XSB4",'sonbinh (2016)'!$A$3,"MA_HT","DNG","MA_QH","DTL")</f>
        <v>0</v>
      </c>
      <c r="AD48" s="22">
        <f ca="1">+GETPIVOTDATA("XSB4",'sonbinh (2016)'!$A$3,"MA_HT","DNG","MA_QH","DNL")</f>
        <v>0</v>
      </c>
      <c r="AE48" s="22">
        <f ca="1">+GETPIVOTDATA("XSB4",'sonbinh (2016)'!$A$3,"MA_HT","DNG","MA_QH","DBV")</f>
        <v>0</v>
      </c>
      <c r="AF48" s="22">
        <f ca="1">+GETPIVOTDATA("XSB4",'sonbinh (2016)'!$A$3,"MA_HT","DNG","MA_QH","DVH")</f>
        <v>0</v>
      </c>
      <c r="AG48" s="22">
        <f ca="1">+GETPIVOTDATA("XSB4",'sonbinh (2016)'!$A$3,"MA_HT","DNG","MA_QH","DYT")</f>
        <v>0</v>
      </c>
      <c r="AH48" s="22">
        <f ca="1">+GETPIVOTDATA("XSB4",'sonbinh (2016)'!$A$3,"MA_HT","DNG","MA_QH","DGD")</f>
        <v>0</v>
      </c>
      <c r="AI48" s="22">
        <f ca="1">+GETPIVOTDATA("XSB4",'sonbinh (2016)'!$A$3,"MA_HT","DNG","MA_QH","DTT")</f>
        <v>0</v>
      </c>
      <c r="AJ48" s="22">
        <f ca="1">+GETPIVOTDATA("XSB4",'sonbinh (2016)'!$A$3,"MA_HT","DNG","MA_QH","NCK")</f>
        <v>0</v>
      </c>
      <c r="AK48" s="22">
        <f ca="1">+GETPIVOTDATA("XSB4",'sonbinh (2016)'!$A$3,"MA_HT","DNG","MA_QH","DXH")</f>
        <v>0</v>
      </c>
      <c r="AL48" s="22">
        <f ca="1">+GETPIVOTDATA("XSB4",'sonbinh (2016)'!$A$3,"MA_HT","DNG","MA_QH","DCH")</f>
        <v>0</v>
      </c>
      <c r="AM48" s="22">
        <f ca="1">+GETPIVOTDATA("XSB4",'sonbinh (2016)'!$A$3,"MA_HT","DNG","MA_QH","DKG")</f>
        <v>0</v>
      </c>
      <c r="AN48" s="22">
        <f ca="1">+GETPIVOTDATA("XSB4",'sonbinh (2016)'!$A$3,"MA_HT","DNG","MA_QH","DDT")</f>
        <v>0</v>
      </c>
      <c r="AO48" s="22">
        <f ca="1">+GETPIVOTDATA("XSB4",'sonbinh (2016)'!$A$3,"MA_HT","DNG","MA_QH","DDL")</f>
        <v>0</v>
      </c>
      <c r="AP48" s="22">
        <f ca="1">+GETPIVOTDATA("XSB4",'sonbinh (2016)'!$A$3,"MA_HT","DNG","MA_QH","DRA")</f>
        <v>0</v>
      </c>
      <c r="AQ48" s="22">
        <f ca="1">+GETPIVOTDATA("XSB4",'sonbinh (2016)'!$A$3,"MA_HT","DNG","MA_QH","ONT")</f>
        <v>0</v>
      </c>
      <c r="AR48" s="22">
        <f ca="1">+GETPIVOTDATA("XSB4",'sonbinh (2016)'!$A$3,"MA_HT","DNG","MA_QH","ODT")</f>
        <v>0</v>
      </c>
      <c r="AS48" s="22">
        <f ca="1">+GETPIVOTDATA("XSB4",'sonbinh (2016)'!$A$3,"MA_HT","DNG","MA_QH","TSC")</f>
        <v>0</v>
      </c>
      <c r="AT48" s="22">
        <f ca="1">+GETPIVOTDATA("XSB4",'sonbinh (2016)'!$A$3,"MA_HT","DNG","MA_QH","DTS")</f>
        <v>0</v>
      </c>
      <c r="AU48" s="43" t="e">
        <f ca="1">$D48-$BF48</f>
        <v>#REF!</v>
      </c>
      <c r="AV48" s="22">
        <f ca="1">+GETPIVOTDATA("XSB4",'sonbinh (2016)'!$A$3,"MA_HT","DNG","MA_QH","TON")</f>
        <v>0</v>
      </c>
      <c r="AW48" s="22">
        <f ca="1">+GETPIVOTDATA("XSB4",'sonbinh (2016)'!$A$3,"MA_HT","DNG","MA_QH","NTD")</f>
        <v>0</v>
      </c>
      <c r="AX48" s="22">
        <f ca="1">+GETPIVOTDATA("XSB4",'sonbinh (2016)'!$A$3,"MA_HT","DNG","MA_QH","SKX")</f>
        <v>0</v>
      </c>
      <c r="AY48" s="22">
        <f ca="1">+GETPIVOTDATA("XSB4",'sonbinh (2016)'!$A$3,"MA_HT","DNG","MA_QH","DSH")</f>
        <v>0</v>
      </c>
      <c r="AZ48" s="22">
        <f ca="1">+GETPIVOTDATA("XSB4",'sonbinh (2016)'!$A$3,"MA_HT","DNG","MA_QH","DKV")</f>
        <v>0</v>
      </c>
      <c r="BA48" s="89">
        <f ca="1">+GETPIVOTDATA("XSB4",'sonbinh (2016)'!$A$3,"MA_HT","DNG","MA_QH","TIN")</f>
        <v>0</v>
      </c>
      <c r="BB48" s="50">
        <f ca="1">+GETPIVOTDATA("XSB4",'sonbinh (2016)'!$A$3,"MA_HT","DNG","MA_QH","SON")</f>
        <v>0</v>
      </c>
      <c r="BC48" s="50">
        <f ca="1">+GETPIVOTDATA("XSB4",'sonbinh (2016)'!$A$3,"MA_HT","DNG","MA_QH","MNC")</f>
        <v>0</v>
      </c>
      <c r="BD48" s="22">
        <f ca="1">+GETPIVOTDATA("XSB4",'sonbinh (2016)'!$A$3,"MA_HT","DNG","MA_QH","PNK")</f>
        <v>0</v>
      </c>
      <c r="BE48" s="71">
        <f ca="1">+GETPIVOTDATA("XSB4",'sonbinh (2016)'!$A$3,"MA_HT","DNG","MA_QH","CSD")</f>
        <v>0</v>
      </c>
      <c r="BF48" s="74">
        <f ca="1" t="shared" si="13"/>
        <v>0</v>
      </c>
      <c r="BG48" s="101">
        <f ca="1">AU$59-$BF48</f>
        <v>0</v>
      </c>
      <c r="BH48" s="41" t="e">
        <f ca="1" t="shared" si="14"/>
        <v>#REF!</v>
      </c>
      <c r="BI48" s="98"/>
      <c r="BJ48" s="98" t="e">
        <f>#REF!</f>
        <v>#REF!</v>
      </c>
      <c r="BK48" s="107" t="e">
        <f ca="1">BH48-BJ48</f>
        <v>#REF!</v>
      </c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</row>
    <row r="49" s="2" customFormat="1" ht="15.75" customHeight="1" spans="1:79">
      <c r="A49" s="39" t="s">
        <v>8416</v>
      </c>
      <c r="B49" s="53" t="s">
        <v>8417</v>
      </c>
      <c r="C49" s="40" t="s">
        <v>324</v>
      </c>
      <c r="D49" s="41" t="e">
        <f>+#REF!</f>
        <v>#REF!</v>
      </c>
      <c r="E49" s="42">
        <f ca="1" t="shared" si="15"/>
        <v>0</v>
      </c>
      <c r="F49" s="52">
        <f ca="1" t="shared" si="9"/>
        <v>0</v>
      </c>
      <c r="G49" s="22">
        <f ca="1">+GETPIVOTDATA("XSB4",'sonbinh (2016)'!$A$3,"MA_HT","TON","MA_QH","LUC")</f>
        <v>0</v>
      </c>
      <c r="H49" s="22">
        <f ca="1">+GETPIVOTDATA("XSB4",'sonbinh (2016)'!$A$3,"MA_HT","TON","MA_QH","LUK")</f>
        <v>0</v>
      </c>
      <c r="I49" s="22">
        <f ca="1">+GETPIVOTDATA("XSB4",'sonbinh (2016)'!$A$3,"MA_HT","TON","MA_QH","LUN")</f>
        <v>0</v>
      </c>
      <c r="J49" s="22">
        <f ca="1">+GETPIVOTDATA("XSB4",'sonbinh (2016)'!$A$3,"MA_HT","TON","MA_QH","HNK")</f>
        <v>0</v>
      </c>
      <c r="K49" s="22">
        <f ca="1">+GETPIVOTDATA("XSB4",'sonbinh (2016)'!$A$3,"MA_HT","TON","MA_QH","CLN")</f>
        <v>0</v>
      </c>
      <c r="L49" s="22">
        <f ca="1">+GETPIVOTDATA("XSB4",'sonbinh (2016)'!$A$3,"MA_HT","TON","MA_QH","RSX")</f>
        <v>0</v>
      </c>
      <c r="M49" s="22">
        <f ca="1">+GETPIVOTDATA("XSB4",'sonbinh (2016)'!$A$3,"MA_HT","TON","MA_QH","RPH")</f>
        <v>0</v>
      </c>
      <c r="N49" s="22">
        <f ca="1">+GETPIVOTDATA("XSB4",'sonbinh (2016)'!$A$3,"MA_HT","TON","MA_QH","RDD")</f>
        <v>0</v>
      </c>
      <c r="O49" s="22">
        <f ca="1">+GETPIVOTDATA("XSB4",'sonbinh (2016)'!$A$3,"MA_HT","TON","MA_QH","NTS")</f>
        <v>0</v>
      </c>
      <c r="P49" s="22">
        <f ca="1">+GETPIVOTDATA("XSB4",'sonbinh (2016)'!$A$3,"MA_HT","TON","MA_QH","LMU")</f>
        <v>0</v>
      </c>
      <c r="Q49" s="22">
        <f ca="1">+GETPIVOTDATA("XSB4",'sonbinh (2016)'!$A$3,"MA_HT","TON","MA_QH","NKH")</f>
        <v>0</v>
      </c>
      <c r="R49" s="79">
        <f ca="1">SUM(S49:AA49,AN49:AU49,AW49:BD49)</f>
        <v>0</v>
      </c>
      <c r="S49" s="22">
        <f ca="1">+GETPIVOTDATA("XSB4",'sonbinh (2016)'!$A$3,"MA_HT","TON","MA_QH","CQP")</f>
        <v>0</v>
      </c>
      <c r="T49" s="22">
        <f ca="1">+GETPIVOTDATA("XSB4",'sonbinh (2016)'!$A$3,"MA_HT","TON","MA_QH","CAN")</f>
        <v>0</v>
      </c>
      <c r="U49" s="22">
        <f ca="1">+GETPIVOTDATA("XSB4",'sonbinh (2016)'!$A$3,"MA_HT","TON","MA_QH","SKK")</f>
        <v>0</v>
      </c>
      <c r="V49" s="22">
        <f ca="1">+GETPIVOTDATA("XSB4",'sonbinh (2016)'!$A$3,"MA_HT","TON","MA_QH","SKT")</f>
        <v>0</v>
      </c>
      <c r="W49" s="22">
        <f ca="1">+GETPIVOTDATA("XSB4",'sonbinh (2016)'!$A$3,"MA_HT","TON","MA_QH","SKN")</f>
        <v>0</v>
      </c>
      <c r="X49" s="22">
        <f ca="1">+GETPIVOTDATA("XSB4",'sonbinh (2016)'!$A$3,"MA_HT","TON","MA_QH","TMD")</f>
        <v>0</v>
      </c>
      <c r="Y49" s="22">
        <f ca="1">+GETPIVOTDATA("XSB4",'sonbinh (2016)'!$A$3,"MA_HT","TON","MA_QH","SKC")</f>
        <v>0</v>
      </c>
      <c r="Z49" s="22">
        <f ca="1">+GETPIVOTDATA("XSB4",'sonbinh (2016)'!$A$3,"MA_HT","TON","MA_QH","SKS")</f>
        <v>0</v>
      </c>
      <c r="AA49" s="52">
        <f ca="1" t="shared" si="21"/>
        <v>0</v>
      </c>
      <c r="AB49" s="22">
        <f ca="1">+GETPIVOTDATA("XSB4",'sonbinh (2016)'!$A$3,"MA_HT","TON","MA_QH","DGT")</f>
        <v>0</v>
      </c>
      <c r="AC49" s="22">
        <f ca="1">+GETPIVOTDATA("XSB4",'sonbinh (2016)'!$A$3,"MA_HT","TON","MA_QH","DTL")</f>
        <v>0</v>
      </c>
      <c r="AD49" s="22">
        <f ca="1">+GETPIVOTDATA("XSB4",'sonbinh (2016)'!$A$3,"MA_HT","TON","MA_QH","DNL")</f>
        <v>0</v>
      </c>
      <c r="AE49" s="22">
        <f ca="1">+GETPIVOTDATA("XSB4",'sonbinh (2016)'!$A$3,"MA_HT","TON","MA_QH","DBV")</f>
        <v>0</v>
      </c>
      <c r="AF49" s="22">
        <f ca="1">+GETPIVOTDATA("XSB4",'sonbinh (2016)'!$A$3,"MA_HT","TON","MA_QH","DVH")</f>
        <v>0</v>
      </c>
      <c r="AG49" s="22">
        <f ca="1">+GETPIVOTDATA("XSB4",'sonbinh (2016)'!$A$3,"MA_HT","TON","MA_QH","DYT")</f>
        <v>0</v>
      </c>
      <c r="AH49" s="22">
        <f ca="1">+GETPIVOTDATA("XSB4",'sonbinh (2016)'!$A$3,"MA_HT","TON","MA_QH","DGD")</f>
        <v>0</v>
      </c>
      <c r="AI49" s="22">
        <f ca="1">+GETPIVOTDATA("XSB4",'sonbinh (2016)'!$A$3,"MA_HT","TON","MA_QH","DTT")</f>
        <v>0</v>
      </c>
      <c r="AJ49" s="22">
        <f ca="1">+GETPIVOTDATA("XSB4",'sonbinh (2016)'!$A$3,"MA_HT","TON","MA_QH","NCK")</f>
        <v>0</v>
      </c>
      <c r="AK49" s="22">
        <f ca="1">+GETPIVOTDATA("XSB4",'sonbinh (2016)'!$A$3,"MA_HT","TON","MA_QH","DXH")</f>
        <v>0</v>
      </c>
      <c r="AL49" s="22">
        <f ca="1">+GETPIVOTDATA("XSB4",'sonbinh (2016)'!$A$3,"MA_HT","TON","MA_QH","DCH")</f>
        <v>0</v>
      </c>
      <c r="AM49" s="22">
        <f ca="1">+GETPIVOTDATA("XSB4",'sonbinh (2016)'!$A$3,"MA_HT","TON","MA_QH","DKG")</f>
        <v>0</v>
      </c>
      <c r="AN49" s="22">
        <f ca="1">+GETPIVOTDATA("XSB4",'sonbinh (2016)'!$A$3,"MA_HT","TON","MA_QH","DDT")</f>
        <v>0</v>
      </c>
      <c r="AO49" s="22">
        <f ca="1">+GETPIVOTDATA("XSB4",'sonbinh (2016)'!$A$3,"MA_HT","TON","MA_QH","DDL")</f>
        <v>0</v>
      </c>
      <c r="AP49" s="22">
        <f ca="1">+GETPIVOTDATA("XSB4",'sonbinh (2016)'!$A$3,"MA_HT","TON","MA_QH","DRA")</f>
        <v>0</v>
      </c>
      <c r="AQ49" s="22">
        <f ca="1">+GETPIVOTDATA("XSB4",'sonbinh (2016)'!$A$3,"MA_HT","TON","MA_QH","ONT")</f>
        <v>0</v>
      </c>
      <c r="AR49" s="22">
        <f ca="1">+GETPIVOTDATA("XSB4",'sonbinh (2016)'!$A$3,"MA_HT","TON","MA_QH","ODT")</f>
        <v>0</v>
      </c>
      <c r="AS49" s="22">
        <f ca="1">+GETPIVOTDATA("XSB4",'sonbinh (2016)'!$A$3,"MA_HT","TON","MA_QH","TSC")</f>
        <v>0</v>
      </c>
      <c r="AT49" s="22">
        <f ca="1">+GETPIVOTDATA("XSB4",'sonbinh (2016)'!$A$3,"MA_HT","TON","MA_QH","DTS")</f>
        <v>0</v>
      </c>
      <c r="AU49" s="22">
        <f ca="1">+GETPIVOTDATA("XSB4",'sonbinh (2016)'!$A$3,"MA_HT","TON","MA_QH","DNG")</f>
        <v>0</v>
      </c>
      <c r="AV49" s="43" t="e">
        <f ca="1">$D49-$BF49</f>
        <v>#REF!</v>
      </c>
      <c r="AW49" s="22">
        <f ca="1">+GETPIVOTDATA("XSB4",'sonbinh (2016)'!$A$3,"MA_HT","TON","MA_QH","NTD")</f>
        <v>0</v>
      </c>
      <c r="AX49" s="22">
        <f ca="1">+GETPIVOTDATA("XSB4",'sonbinh (2016)'!$A$3,"MA_HT","TON","MA_QH","SKX")</f>
        <v>0</v>
      </c>
      <c r="AY49" s="22">
        <f ca="1">+GETPIVOTDATA("XSB4",'sonbinh (2016)'!$A$3,"MA_HT","TON","MA_QH","DSH")</f>
        <v>0</v>
      </c>
      <c r="AZ49" s="22">
        <f ca="1">+GETPIVOTDATA("XSB4",'sonbinh (2016)'!$A$3,"MA_HT","TON","MA_QH","DKV")</f>
        <v>0</v>
      </c>
      <c r="BA49" s="89">
        <f ca="1">+GETPIVOTDATA("XSB4",'sonbinh (2016)'!$A$3,"MA_HT","TON","MA_QH","TIN")</f>
        <v>0</v>
      </c>
      <c r="BB49" s="50">
        <f ca="1">+GETPIVOTDATA("XSB4",'sonbinh (2016)'!$A$3,"MA_HT","TON","MA_QH","SON")</f>
        <v>0</v>
      </c>
      <c r="BC49" s="50">
        <f ca="1">+GETPIVOTDATA("XSB4",'sonbinh (2016)'!$A$3,"MA_HT","TON","MA_QH","MNC")</f>
        <v>0</v>
      </c>
      <c r="BD49" s="22">
        <f ca="1">+GETPIVOTDATA("XSB4",'sonbinh (2016)'!$A$3,"MA_HT","TON","MA_QH","PNK")</f>
        <v>0</v>
      </c>
      <c r="BE49" s="71">
        <f ca="1">+GETPIVOTDATA("XSB4",'sonbinh (2016)'!$A$3,"MA_HT","TON","MA_QH","CSD")</f>
        <v>0</v>
      </c>
      <c r="BF49" s="74">
        <f ca="1" t="shared" si="13"/>
        <v>0</v>
      </c>
      <c r="BG49" s="101">
        <f ca="1">AV$59-$BF49</f>
        <v>0</v>
      </c>
      <c r="BH49" s="41" t="e">
        <f ca="1" t="shared" si="14"/>
        <v>#REF!</v>
      </c>
      <c r="BI49" s="98"/>
      <c r="BJ49" s="98" t="e">
        <f>#REF!</f>
        <v>#REF!</v>
      </c>
      <c r="BK49" s="107" t="e">
        <f ca="1">BH49-BJ49</f>
        <v>#REF!</v>
      </c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</row>
    <row r="50" s="2" customFormat="1" ht="15.75" customHeight="1" spans="1:79">
      <c r="A50" s="39" t="s">
        <v>8418</v>
      </c>
      <c r="B50" s="53" t="s">
        <v>8419</v>
      </c>
      <c r="C50" s="40" t="s">
        <v>182</v>
      </c>
      <c r="D50" s="41" t="e">
        <f>+#REF!</f>
        <v>#REF!</v>
      </c>
      <c r="E50" s="42">
        <f ca="1" t="shared" si="15"/>
        <v>0</v>
      </c>
      <c r="F50" s="52">
        <f ca="1" t="shared" si="9"/>
        <v>0</v>
      </c>
      <c r="G50" s="22">
        <f ca="1">+GETPIVOTDATA("XSB4",'sonbinh (2016)'!$A$3,"MA_HT","NTD","MA_QH","LUC")</f>
        <v>0</v>
      </c>
      <c r="H50" s="22">
        <f ca="1">+GETPIVOTDATA("XSB4",'sonbinh (2016)'!$A$3,"MA_HT","NTD","MA_QH","LUK")</f>
        <v>0</v>
      </c>
      <c r="I50" s="22">
        <f ca="1">+GETPIVOTDATA("XSB4",'sonbinh (2016)'!$A$3,"MA_HT","NTD","MA_QH","LUN")</f>
        <v>0</v>
      </c>
      <c r="J50" s="22">
        <f ca="1">+GETPIVOTDATA("XSB4",'sonbinh (2016)'!$A$3,"MA_HT","NTD","MA_QH","HNK")</f>
        <v>0</v>
      </c>
      <c r="K50" s="22">
        <f ca="1">+GETPIVOTDATA("XSB4",'sonbinh (2016)'!$A$3,"MA_HT","NTD","MA_QH","CLN")</f>
        <v>0</v>
      </c>
      <c r="L50" s="22">
        <f ca="1">+GETPIVOTDATA("XSB4",'sonbinh (2016)'!$A$3,"MA_HT","NTD","MA_QH","RSX")</f>
        <v>0</v>
      </c>
      <c r="M50" s="22">
        <f ca="1">+GETPIVOTDATA("XSB4",'sonbinh (2016)'!$A$3,"MA_HT","NTD","MA_QH","RPH")</f>
        <v>0</v>
      </c>
      <c r="N50" s="22">
        <f ca="1">+GETPIVOTDATA("XSB4",'sonbinh (2016)'!$A$3,"MA_HT","NTD","MA_QH","RDD")</f>
        <v>0</v>
      </c>
      <c r="O50" s="22">
        <f ca="1">+GETPIVOTDATA("XSB4",'sonbinh (2016)'!$A$3,"MA_HT","NTD","MA_QH","NTS")</f>
        <v>0</v>
      </c>
      <c r="P50" s="22">
        <f ca="1">+GETPIVOTDATA("XSB4",'sonbinh (2016)'!$A$3,"MA_HT","NTD","MA_QH","LMU")</f>
        <v>0</v>
      </c>
      <c r="Q50" s="22">
        <f ca="1">+GETPIVOTDATA("XSB4",'sonbinh (2016)'!$A$3,"MA_HT","NTD","MA_QH","NKH")</f>
        <v>0</v>
      </c>
      <c r="R50" s="79">
        <f ca="1">SUM(S50:AA50,AN50:AV50,AX50:BD50)</f>
        <v>0</v>
      </c>
      <c r="S50" s="22">
        <f ca="1">+GETPIVOTDATA("XSB4",'sonbinh (2016)'!$A$3,"MA_HT","NTD","MA_QH","CQP")</f>
        <v>0</v>
      </c>
      <c r="T50" s="22">
        <f ca="1">+GETPIVOTDATA("XSB4",'sonbinh (2016)'!$A$3,"MA_HT","NTD","MA_QH","CAN")</f>
        <v>0</v>
      </c>
      <c r="U50" s="22">
        <f ca="1">+GETPIVOTDATA("XSB4",'sonbinh (2016)'!$A$3,"MA_HT","NTD","MA_QH","SKK")</f>
        <v>0</v>
      </c>
      <c r="V50" s="22">
        <f ca="1">+GETPIVOTDATA("XSB4",'sonbinh (2016)'!$A$3,"MA_HT","NTD","MA_QH","SKT")</f>
        <v>0</v>
      </c>
      <c r="W50" s="22">
        <f ca="1">+GETPIVOTDATA("XSB4",'sonbinh (2016)'!$A$3,"MA_HT","NTD","MA_QH","SKN")</f>
        <v>0</v>
      </c>
      <c r="X50" s="22">
        <f ca="1">+GETPIVOTDATA("XSB4",'sonbinh (2016)'!$A$3,"MA_HT","NTD","MA_QH","TMD")</f>
        <v>0</v>
      </c>
      <c r="Y50" s="22">
        <f ca="1">+GETPIVOTDATA("XSB4",'sonbinh (2016)'!$A$3,"MA_HT","NTD","MA_QH","SKC")</f>
        <v>0</v>
      </c>
      <c r="Z50" s="22">
        <f ca="1">+GETPIVOTDATA("XSB4",'sonbinh (2016)'!$A$3,"MA_HT","NTD","MA_QH","SKS")</f>
        <v>0</v>
      </c>
      <c r="AA50" s="52">
        <f ca="1" t="shared" si="21"/>
        <v>0</v>
      </c>
      <c r="AB50" s="22">
        <f ca="1">+GETPIVOTDATA("XSB4",'sonbinh (2016)'!$A$3,"MA_HT","NTD","MA_QH","DGT")</f>
        <v>0</v>
      </c>
      <c r="AC50" s="22">
        <f ca="1">+GETPIVOTDATA("XSB4",'sonbinh (2016)'!$A$3,"MA_HT","NTD","MA_QH","DTL")</f>
        <v>0</v>
      </c>
      <c r="AD50" s="22">
        <f ca="1">+GETPIVOTDATA("XSB4",'sonbinh (2016)'!$A$3,"MA_HT","NTD","MA_QH","DNL")</f>
        <v>0</v>
      </c>
      <c r="AE50" s="22">
        <f ca="1">+GETPIVOTDATA("XSB4",'sonbinh (2016)'!$A$3,"MA_HT","NTD","MA_QH","DBV")</f>
        <v>0</v>
      </c>
      <c r="AF50" s="22">
        <f ca="1">+GETPIVOTDATA("XSB4",'sonbinh (2016)'!$A$3,"MA_HT","NTD","MA_QH","DVH")</f>
        <v>0</v>
      </c>
      <c r="AG50" s="22">
        <f ca="1">+GETPIVOTDATA("XSB4",'sonbinh (2016)'!$A$3,"MA_HT","NTD","MA_QH","DYT")</f>
        <v>0</v>
      </c>
      <c r="AH50" s="22">
        <f ca="1">+GETPIVOTDATA("XSB4",'sonbinh (2016)'!$A$3,"MA_HT","NTD","MA_QH","DGD")</f>
        <v>0</v>
      </c>
      <c r="AI50" s="22">
        <f ca="1">+GETPIVOTDATA("XSB4",'sonbinh (2016)'!$A$3,"MA_HT","NTD","MA_QH","DTT")</f>
        <v>0</v>
      </c>
      <c r="AJ50" s="22">
        <f ca="1">+GETPIVOTDATA("XSB4",'sonbinh (2016)'!$A$3,"MA_HT","NTD","MA_QH","NCK")</f>
        <v>0</v>
      </c>
      <c r="AK50" s="22">
        <f ca="1">+GETPIVOTDATA("XSB4",'sonbinh (2016)'!$A$3,"MA_HT","NTD","MA_QH","DXH")</f>
        <v>0</v>
      </c>
      <c r="AL50" s="22">
        <f ca="1">+GETPIVOTDATA("XSB4",'sonbinh (2016)'!$A$3,"MA_HT","NTD","MA_QH","DCH")</f>
        <v>0</v>
      </c>
      <c r="AM50" s="22">
        <f ca="1">+GETPIVOTDATA("XSB4",'sonbinh (2016)'!$A$3,"MA_HT","NTD","MA_QH","DKG")</f>
        <v>0</v>
      </c>
      <c r="AN50" s="22">
        <f ca="1">+GETPIVOTDATA("XSB4",'sonbinh (2016)'!$A$3,"MA_HT","NTD","MA_QH","DDT")</f>
        <v>0</v>
      </c>
      <c r="AO50" s="22">
        <f ca="1">+GETPIVOTDATA("XSB4",'sonbinh (2016)'!$A$3,"MA_HT","NTD","MA_QH","DDL")</f>
        <v>0</v>
      </c>
      <c r="AP50" s="22">
        <f ca="1">+GETPIVOTDATA("XSB4",'sonbinh (2016)'!$A$3,"MA_HT","NTD","MA_QH","DRA")</f>
        <v>0</v>
      </c>
      <c r="AQ50" s="22">
        <f ca="1">+GETPIVOTDATA("XSB4",'sonbinh (2016)'!$A$3,"MA_HT","NTD","MA_QH","ONT")</f>
        <v>0</v>
      </c>
      <c r="AR50" s="22">
        <f ca="1">+GETPIVOTDATA("XSB4",'sonbinh (2016)'!$A$3,"MA_HT","NTD","MA_QH","ODT")</f>
        <v>0</v>
      </c>
      <c r="AS50" s="22">
        <f ca="1">+GETPIVOTDATA("XSB4",'sonbinh (2016)'!$A$3,"MA_HT","NTD","MA_QH","TSC")</f>
        <v>0</v>
      </c>
      <c r="AT50" s="22">
        <f ca="1">+GETPIVOTDATA("XSB4",'sonbinh (2016)'!$A$3,"MA_HT","NTD","MA_QH","DTS")</f>
        <v>0</v>
      </c>
      <c r="AU50" s="22">
        <f ca="1">+GETPIVOTDATA("XSB4",'sonbinh (2016)'!$A$3,"MA_HT","NTD","MA_QH","DNG")</f>
        <v>0</v>
      </c>
      <c r="AV50" s="22">
        <f ca="1">+GETPIVOTDATA("XSB4",'sonbinh (2016)'!$A$3,"MA_HT","NTD","MA_QH","TON")</f>
        <v>0</v>
      </c>
      <c r="AW50" s="43" t="e">
        <f ca="1">$D50-$BF50</f>
        <v>#REF!</v>
      </c>
      <c r="AX50" s="22">
        <f ca="1">+GETPIVOTDATA("XSB4",'sonbinh (2016)'!$A$3,"MA_HT","NTD","MA_QH","SKX")</f>
        <v>0</v>
      </c>
      <c r="AY50" s="22">
        <f ca="1">+GETPIVOTDATA("XSB4",'sonbinh (2016)'!$A$3,"MA_HT","NTD","MA_QH","DSH")</f>
        <v>0</v>
      </c>
      <c r="AZ50" s="22">
        <f ca="1">+GETPIVOTDATA("XSB4",'sonbinh (2016)'!$A$3,"MA_HT","NTD","MA_QH","DKV")</f>
        <v>0</v>
      </c>
      <c r="BA50" s="89">
        <f ca="1">+GETPIVOTDATA("XSB4",'sonbinh (2016)'!$A$3,"MA_HT","NTD","MA_QH","TIN")</f>
        <v>0</v>
      </c>
      <c r="BB50" s="50">
        <f ca="1">+GETPIVOTDATA("XSB4",'sonbinh (2016)'!$A$3,"MA_HT","NTD","MA_QH","SON")</f>
        <v>0</v>
      </c>
      <c r="BC50" s="50">
        <f ca="1">+GETPIVOTDATA("XSB4",'sonbinh (2016)'!$A$3,"MA_HT","NTD","MA_QH","MNC")</f>
        <v>0</v>
      </c>
      <c r="BD50" s="22">
        <f ca="1">+GETPIVOTDATA("XSB4",'sonbinh (2016)'!$A$3,"MA_HT","NTD","MA_QH","PNK")</f>
        <v>0</v>
      </c>
      <c r="BE50" s="71">
        <f ca="1">+GETPIVOTDATA("XSB4",'sonbinh (2016)'!$A$3,"MA_HT","NTD","MA_QH","CSD")</f>
        <v>0</v>
      </c>
      <c r="BF50" s="74">
        <f ca="1" t="shared" si="13"/>
        <v>0</v>
      </c>
      <c r="BG50" s="101">
        <f ca="1">AW$59-$BF50</f>
        <v>0</v>
      </c>
      <c r="BH50" s="41" t="e">
        <f ca="1" t="shared" si="14"/>
        <v>#REF!</v>
      </c>
      <c r="BI50" s="98"/>
      <c r="BJ50" s="98"/>
      <c r="BK50" s="107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</row>
    <row r="51" s="2" customFormat="1" ht="15.75" customHeight="1" spans="1:79">
      <c r="A51" s="39" t="s">
        <v>8420</v>
      </c>
      <c r="B51" s="39" t="s">
        <v>8421</v>
      </c>
      <c r="C51" s="40" t="s">
        <v>236</v>
      </c>
      <c r="D51" s="41" t="e">
        <f>+#REF!</f>
        <v>#REF!</v>
      </c>
      <c r="E51" s="42">
        <f ca="1" t="shared" si="15"/>
        <v>0</v>
      </c>
      <c r="F51" s="52">
        <f ca="1" t="shared" si="9"/>
        <v>0</v>
      </c>
      <c r="G51" s="22">
        <f ca="1">+GETPIVOTDATA("XSB4",'sonbinh (2016)'!$A$3,"MA_HT","SKX","MA_QH","LUC")</f>
        <v>0</v>
      </c>
      <c r="H51" s="22">
        <f ca="1">+GETPIVOTDATA("XSB4",'sonbinh (2016)'!$A$3,"MA_HT","SKX","MA_QH","LUK")</f>
        <v>0</v>
      </c>
      <c r="I51" s="22">
        <f ca="1">+GETPIVOTDATA("XSB4",'sonbinh (2016)'!$A$3,"MA_HT","SKX","MA_QH","LUN")</f>
        <v>0</v>
      </c>
      <c r="J51" s="22">
        <f ca="1">+GETPIVOTDATA("XSB4",'sonbinh (2016)'!$A$3,"MA_HT","SKX","MA_QH","HNK")</f>
        <v>0</v>
      </c>
      <c r="K51" s="22">
        <f ca="1">+GETPIVOTDATA("XSB4",'sonbinh (2016)'!$A$3,"MA_HT","SKX","MA_QH","CLN")</f>
        <v>0</v>
      </c>
      <c r="L51" s="22">
        <f ca="1">+GETPIVOTDATA("XSB4",'sonbinh (2016)'!$A$3,"MA_HT","SKX","MA_QH","RSX")</f>
        <v>0</v>
      </c>
      <c r="M51" s="22">
        <f ca="1">+GETPIVOTDATA("XSB4",'sonbinh (2016)'!$A$3,"MA_HT","SKX","MA_QH","RPH")</f>
        <v>0</v>
      </c>
      <c r="N51" s="22">
        <f ca="1">+GETPIVOTDATA("XSB4",'sonbinh (2016)'!$A$3,"MA_HT","SKX","MA_QH","RDD")</f>
        <v>0</v>
      </c>
      <c r="O51" s="22">
        <f ca="1">+GETPIVOTDATA("XSB4",'sonbinh (2016)'!$A$3,"MA_HT","SKX","MA_QH","NTS")</f>
        <v>0</v>
      </c>
      <c r="P51" s="22">
        <f ca="1">+GETPIVOTDATA("XSB4",'sonbinh (2016)'!$A$3,"MA_HT","SKX","MA_QH","LMU")</f>
        <v>0</v>
      </c>
      <c r="Q51" s="22">
        <f ca="1">+GETPIVOTDATA("XSB4",'sonbinh (2016)'!$A$3,"MA_HT","SKX","MA_QH","NKH")</f>
        <v>0</v>
      </c>
      <c r="R51" s="79">
        <f ca="1">SUM(S51:AA51,AN51:AW51,AY51:BD51)</f>
        <v>0</v>
      </c>
      <c r="S51" s="22">
        <f ca="1">+GETPIVOTDATA("XSB4",'sonbinh (2016)'!$A$3,"MA_HT","SKX","MA_QH","CQP")</f>
        <v>0</v>
      </c>
      <c r="T51" s="22">
        <f ca="1">+GETPIVOTDATA("XSB4",'sonbinh (2016)'!$A$3,"MA_HT","SKX","MA_QH","CAN")</f>
        <v>0</v>
      </c>
      <c r="U51" s="22">
        <f ca="1">+GETPIVOTDATA("XSB4",'sonbinh (2016)'!$A$3,"MA_HT","SKX","MA_QH","SKK")</f>
        <v>0</v>
      </c>
      <c r="V51" s="22">
        <f ca="1">+GETPIVOTDATA("XSB4",'sonbinh (2016)'!$A$3,"MA_HT","SKX","MA_QH","SKT")</f>
        <v>0</v>
      </c>
      <c r="W51" s="22">
        <f ca="1">+GETPIVOTDATA("XSB4",'sonbinh (2016)'!$A$3,"MA_HT","SKX","MA_QH","SKN")</f>
        <v>0</v>
      </c>
      <c r="X51" s="22">
        <f ca="1">+GETPIVOTDATA("XSB4",'sonbinh (2016)'!$A$3,"MA_HT","SKX","MA_QH","TMD")</f>
        <v>0</v>
      </c>
      <c r="Y51" s="22">
        <f ca="1">+GETPIVOTDATA("XSB4",'sonbinh (2016)'!$A$3,"MA_HT","SKX","MA_QH","SKC")</f>
        <v>0</v>
      </c>
      <c r="Z51" s="22">
        <f ca="1">+GETPIVOTDATA("XSB4",'sonbinh (2016)'!$A$3,"MA_HT","SKX","MA_QH","SKS")</f>
        <v>0</v>
      </c>
      <c r="AA51" s="52">
        <f ca="1" t="shared" si="21"/>
        <v>0</v>
      </c>
      <c r="AB51" s="22">
        <f ca="1">+GETPIVOTDATA("XSB4",'sonbinh (2016)'!$A$3,"MA_HT","SKX","MA_QH","DGT")</f>
        <v>0</v>
      </c>
      <c r="AC51" s="22">
        <f ca="1">+GETPIVOTDATA("XSB4",'sonbinh (2016)'!$A$3,"MA_HT","SKX","MA_QH","DTL")</f>
        <v>0</v>
      </c>
      <c r="AD51" s="22">
        <f ca="1">+GETPIVOTDATA("XSB4",'sonbinh (2016)'!$A$3,"MA_HT","SKX","MA_QH","DNL")</f>
        <v>0</v>
      </c>
      <c r="AE51" s="22">
        <f ca="1">+GETPIVOTDATA("XSB4",'sonbinh (2016)'!$A$3,"MA_HT","SKX","MA_QH","DBV")</f>
        <v>0</v>
      </c>
      <c r="AF51" s="22">
        <f ca="1">+GETPIVOTDATA("XSB4",'sonbinh (2016)'!$A$3,"MA_HT","SKX","MA_QH","DVH")</f>
        <v>0</v>
      </c>
      <c r="AG51" s="22">
        <f ca="1">+GETPIVOTDATA("XSB4",'sonbinh (2016)'!$A$3,"MA_HT","SKX","MA_QH","DYT")</f>
        <v>0</v>
      </c>
      <c r="AH51" s="22">
        <f ca="1">+GETPIVOTDATA("XSB4",'sonbinh (2016)'!$A$3,"MA_HT","SKX","MA_QH","DGD")</f>
        <v>0</v>
      </c>
      <c r="AI51" s="22">
        <f ca="1">+GETPIVOTDATA("XSB4",'sonbinh (2016)'!$A$3,"MA_HT","SKX","MA_QH","DTT")</f>
        <v>0</v>
      </c>
      <c r="AJ51" s="22">
        <f ca="1">+GETPIVOTDATA("XSB4",'sonbinh (2016)'!$A$3,"MA_HT","SKX","MA_QH","NCK")</f>
        <v>0</v>
      </c>
      <c r="AK51" s="22">
        <f ca="1">+GETPIVOTDATA("XSB4",'sonbinh (2016)'!$A$3,"MA_HT","SKX","MA_QH","DXH")</f>
        <v>0</v>
      </c>
      <c r="AL51" s="22">
        <f ca="1">+GETPIVOTDATA("XSB4",'sonbinh (2016)'!$A$3,"MA_HT","SKX","MA_QH","DCH")</f>
        <v>0</v>
      </c>
      <c r="AM51" s="22">
        <f ca="1">+GETPIVOTDATA("XSB4",'sonbinh (2016)'!$A$3,"MA_HT","SKX","MA_QH","DKG")</f>
        <v>0</v>
      </c>
      <c r="AN51" s="22">
        <f ca="1">+GETPIVOTDATA("XSB4",'sonbinh (2016)'!$A$3,"MA_HT","SKX","MA_QH","DDT")</f>
        <v>0</v>
      </c>
      <c r="AO51" s="22">
        <f ca="1">+GETPIVOTDATA("XSB4",'sonbinh (2016)'!$A$3,"MA_HT","SKX","MA_QH","DDL")</f>
        <v>0</v>
      </c>
      <c r="AP51" s="22">
        <f ca="1">+GETPIVOTDATA("XSB4",'sonbinh (2016)'!$A$3,"MA_HT","SKX","MA_QH","DRA")</f>
        <v>0</v>
      </c>
      <c r="AQ51" s="22">
        <f ca="1">+GETPIVOTDATA("XSB4",'sonbinh (2016)'!$A$3,"MA_HT","SKX","MA_QH","ONT")</f>
        <v>0</v>
      </c>
      <c r="AR51" s="22">
        <f ca="1">+GETPIVOTDATA("XSB4",'sonbinh (2016)'!$A$3,"MA_HT","SKX","MA_QH","ODT")</f>
        <v>0</v>
      </c>
      <c r="AS51" s="22">
        <f ca="1">+GETPIVOTDATA("XSB4",'sonbinh (2016)'!$A$3,"MA_HT","SKX","MA_QH","TSC")</f>
        <v>0</v>
      </c>
      <c r="AT51" s="22">
        <f ca="1">+GETPIVOTDATA("XSB4",'sonbinh (2016)'!$A$3,"MA_HT","SKX","MA_QH","DTS")</f>
        <v>0</v>
      </c>
      <c r="AU51" s="22">
        <f ca="1">+GETPIVOTDATA("XSB4",'sonbinh (2016)'!$A$3,"MA_HT","SKX","MA_QH","DNG")</f>
        <v>0</v>
      </c>
      <c r="AV51" s="22">
        <f ca="1">+GETPIVOTDATA("XSB4",'sonbinh (2016)'!$A$3,"MA_HT","SKX","MA_QH","TON")</f>
        <v>0</v>
      </c>
      <c r="AW51" s="22">
        <f ca="1">+GETPIVOTDATA("XSB4",'sonbinh (2016)'!$A$3,"MA_HT","SKX","MA_QH","NTD")</f>
        <v>0</v>
      </c>
      <c r="AX51" s="43" t="e">
        <f ca="1">$D51-$BF51</f>
        <v>#REF!</v>
      </c>
      <c r="AY51" s="22">
        <f ca="1">+GETPIVOTDATA("XSB4",'sonbinh (2016)'!$A$3,"MA_HT","SKX","MA_QH","DSH")</f>
        <v>0</v>
      </c>
      <c r="AZ51" s="22">
        <f ca="1">+GETPIVOTDATA("XSB4",'sonbinh (2016)'!$A$3,"MA_HT","SKX","MA_QH","DKV")</f>
        <v>0</v>
      </c>
      <c r="BA51" s="89">
        <f ca="1">+GETPIVOTDATA("XSB4",'sonbinh (2016)'!$A$3,"MA_HT","SKX","MA_QH","TIN")</f>
        <v>0</v>
      </c>
      <c r="BB51" s="50">
        <f ca="1">+GETPIVOTDATA("XSB4",'sonbinh (2016)'!$A$3,"MA_HT","SKX","MA_QH","SON")</f>
        <v>0</v>
      </c>
      <c r="BC51" s="50">
        <f ca="1">+GETPIVOTDATA("XSB4",'sonbinh (2016)'!$A$3,"MA_HT","SKX","MA_QH","MNC")</f>
        <v>0</v>
      </c>
      <c r="BD51" s="22">
        <f ca="1">+GETPIVOTDATA("XSB4",'sonbinh (2016)'!$A$3,"MA_HT","SKX","MA_QH","PNK")</f>
        <v>0</v>
      </c>
      <c r="BE51" s="71">
        <f ca="1">+GETPIVOTDATA("XSB4",'sonbinh (2016)'!$A$3,"MA_HT","SKX","MA_QH","CSD")</f>
        <v>0</v>
      </c>
      <c r="BF51" s="74">
        <f ca="1" t="shared" si="13"/>
        <v>0</v>
      </c>
      <c r="BG51" s="101">
        <f ca="1">AX$59-$BF51</f>
        <v>0</v>
      </c>
      <c r="BH51" s="41" t="e">
        <f ca="1" t="shared" si="14"/>
        <v>#REF!</v>
      </c>
      <c r="BI51" s="98"/>
      <c r="BJ51" s="98" t="e">
        <f>#REF!</f>
        <v>#REF!</v>
      </c>
      <c r="BK51" s="107" t="e">
        <f ca="1">BH51-BJ51</f>
        <v>#REF!</v>
      </c>
      <c r="BL51" s="98"/>
      <c r="BM51" s="122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</row>
    <row r="52" s="2" customFormat="1" ht="15.75" customHeight="1" spans="1:79">
      <c r="A52" s="39" t="s">
        <v>8422</v>
      </c>
      <c r="B52" s="39" t="s">
        <v>8423</v>
      </c>
      <c r="C52" s="40" t="s">
        <v>8292</v>
      </c>
      <c r="D52" s="41" t="e">
        <f>+#REF!</f>
        <v>#REF!</v>
      </c>
      <c r="E52" s="42">
        <f ca="1" t="shared" si="15"/>
        <v>0</v>
      </c>
      <c r="F52" s="52">
        <f ca="1" t="shared" si="9"/>
        <v>0</v>
      </c>
      <c r="G52" s="22">
        <f ca="1">+GETPIVOTDATA("XSB4",'sonbinh (2016)'!$A$3,"MA_HT","DSH","MA_QH","LUC")</f>
        <v>0</v>
      </c>
      <c r="H52" s="22">
        <f ca="1">+GETPIVOTDATA("XSB4",'sonbinh (2016)'!$A$3,"MA_HT","DSH","MA_QH","LUK")</f>
        <v>0</v>
      </c>
      <c r="I52" s="22">
        <f ca="1">+GETPIVOTDATA("XSB4",'sonbinh (2016)'!$A$3,"MA_HT","DSH","MA_QH","LUN")</f>
        <v>0</v>
      </c>
      <c r="J52" s="22">
        <f ca="1">+GETPIVOTDATA("XSB4",'sonbinh (2016)'!$A$3,"MA_HT","DSH","MA_QH","HNK")</f>
        <v>0</v>
      </c>
      <c r="K52" s="22">
        <f ca="1">+GETPIVOTDATA("XSB4",'sonbinh (2016)'!$A$3,"MA_HT","DSH","MA_QH","CLN")</f>
        <v>0</v>
      </c>
      <c r="L52" s="22">
        <f ca="1">+GETPIVOTDATA("XSB4",'sonbinh (2016)'!$A$3,"MA_HT","DSH","MA_QH","RSX")</f>
        <v>0</v>
      </c>
      <c r="M52" s="22">
        <f ca="1">+GETPIVOTDATA("XSB4",'sonbinh (2016)'!$A$3,"MA_HT","DSH","MA_QH","RPH")</f>
        <v>0</v>
      </c>
      <c r="N52" s="22">
        <f ca="1">+GETPIVOTDATA("XSB4",'sonbinh (2016)'!$A$3,"MA_HT","DSH","MA_QH","RDD")</f>
        <v>0</v>
      </c>
      <c r="O52" s="22">
        <f ca="1">+GETPIVOTDATA("XSB4",'sonbinh (2016)'!$A$3,"MA_HT","DSH","MA_QH","NTS")</f>
        <v>0</v>
      </c>
      <c r="P52" s="22">
        <f ca="1">+GETPIVOTDATA("XSB4",'sonbinh (2016)'!$A$3,"MA_HT","DSH","MA_QH","LMU")</f>
        <v>0</v>
      </c>
      <c r="Q52" s="22">
        <f ca="1">+GETPIVOTDATA("XSB4",'sonbinh (2016)'!$A$3,"MA_HT","DSH","MA_QH","NKH")</f>
        <v>0</v>
      </c>
      <c r="R52" s="79">
        <f ca="1">SUM(S52:AA52,AN52:AX52,AZ52:BD52)</f>
        <v>0</v>
      </c>
      <c r="S52" s="22">
        <f ca="1">+GETPIVOTDATA("XSB4",'sonbinh (2016)'!$A$3,"MA_HT","DSH","MA_QH","CQP")</f>
        <v>0</v>
      </c>
      <c r="T52" s="22">
        <f ca="1">+GETPIVOTDATA("XSB4",'sonbinh (2016)'!$A$3,"MA_HT","DSH","MA_QH","CAN")</f>
        <v>0</v>
      </c>
      <c r="U52" s="22">
        <f ca="1">+GETPIVOTDATA("XSB4",'sonbinh (2016)'!$A$3,"MA_HT","DSH","MA_QH","SKK")</f>
        <v>0</v>
      </c>
      <c r="V52" s="22">
        <f ca="1">+GETPIVOTDATA("XSB4",'sonbinh (2016)'!$A$3,"MA_HT","DSH","MA_QH","SKT")</f>
        <v>0</v>
      </c>
      <c r="W52" s="22">
        <f ca="1">+GETPIVOTDATA("XSB4",'sonbinh (2016)'!$A$3,"MA_HT","DSH","MA_QH","SKN")</f>
        <v>0</v>
      </c>
      <c r="X52" s="22">
        <f ca="1">+GETPIVOTDATA("XSB4",'sonbinh (2016)'!$A$3,"MA_HT","DSH","MA_QH","TMD")</f>
        <v>0</v>
      </c>
      <c r="Y52" s="22">
        <f ca="1">+GETPIVOTDATA("XSB4",'sonbinh (2016)'!$A$3,"MA_HT","DSH","MA_QH","SKC")</f>
        <v>0</v>
      </c>
      <c r="Z52" s="22">
        <f ca="1">+GETPIVOTDATA("XSB4",'sonbinh (2016)'!$A$3,"MA_HT","DSH","MA_QH","SKS")</f>
        <v>0</v>
      </c>
      <c r="AA52" s="52">
        <f ca="1" t="shared" si="21"/>
        <v>0</v>
      </c>
      <c r="AB52" s="22">
        <f ca="1">+GETPIVOTDATA("XSB4",'sonbinh (2016)'!$A$3,"MA_HT","DSH","MA_QH","DGT")</f>
        <v>0</v>
      </c>
      <c r="AC52" s="22">
        <f ca="1">+GETPIVOTDATA("XSB4",'sonbinh (2016)'!$A$3,"MA_HT","DSH","MA_QH","DTL")</f>
        <v>0</v>
      </c>
      <c r="AD52" s="22">
        <f ca="1">+GETPIVOTDATA("XSB4",'sonbinh (2016)'!$A$3,"MA_HT","DSH","MA_QH","DNL")</f>
        <v>0</v>
      </c>
      <c r="AE52" s="22">
        <f ca="1">+GETPIVOTDATA("XSB4",'sonbinh (2016)'!$A$3,"MA_HT","DSH","MA_QH","DBV")</f>
        <v>0</v>
      </c>
      <c r="AF52" s="22">
        <f ca="1">+GETPIVOTDATA("XSB4",'sonbinh (2016)'!$A$3,"MA_HT","DSH","MA_QH","DVH")</f>
        <v>0</v>
      </c>
      <c r="AG52" s="22">
        <f ca="1">+GETPIVOTDATA("XSB4",'sonbinh (2016)'!$A$3,"MA_HT","DSH","MA_QH","DYT")</f>
        <v>0</v>
      </c>
      <c r="AH52" s="22">
        <f ca="1">+GETPIVOTDATA("XSB4",'sonbinh (2016)'!$A$3,"MA_HT","DSH","MA_QH","DGD")</f>
        <v>0</v>
      </c>
      <c r="AI52" s="22">
        <f ca="1">+GETPIVOTDATA("XSB4",'sonbinh (2016)'!$A$3,"MA_HT","DSH","MA_QH","DTT")</f>
        <v>0</v>
      </c>
      <c r="AJ52" s="22">
        <f ca="1">+GETPIVOTDATA("XSB4",'sonbinh (2016)'!$A$3,"MA_HT","DSH","MA_QH","NCK")</f>
        <v>0</v>
      </c>
      <c r="AK52" s="22">
        <f ca="1">+GETPIVOTDATA("XSB4",'sonbinh (2016)'!$A$3,"MA_HT","DSH","MA_QH","DXH")</f>
        <v>0</v>
      </c>
      <c r="AL52" s="22">
        <f ca="1">+GETPIVOTDATA("XSB4",'sonbinh (2016)'!$A$3,"MA_HT","DSH","MA_QH","DCH")</f>
        <v>0</v>
      </c>
      <c r="AM52" s="22">
        <f ca="1">+GETPIVOTDATA("XSB4",'sonbinh (2016)'!$A$3,"MA_HT","DSH","MA_QH","DKG")</f>
        <v>0</v>
      </c>
      <c r="AN52" s="22">
        <f ca="1">+GETPIVOTDATA("XSB4",'sonbinh (2016)'!$A$3,"MA_HT","DSH","MA_QH","DDT")</f>
        <v>0</v>
      </c>
      <c r="AO52" s="22">
        <f ca="1">+GETPIVOTDATA("XSB4",'sonbinh (2016)'!$A$3,"MA_HT","DSH","MA_QH","DDL")</f>
        <v>0</v>
      </c>
      <c r="AP52" s="22">
        <f ca="1">+GETPIVOTDATA("XSB4",'sonbinh (2016)'!$A$3,"MA_HT","DSH","MA_QH","DRA")</f>
        <v>0</v>
      </c>
      <c r="AQ52" s="22">
        <f ca="1">+GETPIVOTDATA("XSB4",'sonbinh (2016)'!$A$3,"MA_HT","DSH","MA_QH","ONT")</f>
        <v>0</v>
      </c>
      <c r="AR52" s="22">
        <f ca="1">+GETPIVOTDATA("XSB4",'sonbinh (2016)'!$A$3,"MA_HT","DSH","MA_QH","ODT")</f>
        <v>0</v>
      </c>
      <c r="AS52" s="22">
        <f ca="1">+GETPIVOTDATA("XSB4",'sonbinh (2016)'!$A$3,"MA_HT","DSH","MA_QH","TSC")</f>
        <v>0</v>
      </c>
      <c r="AT52" s="22">
        <f ca="1">+GETPIVOTDATA("XSB4",'sonbinh (2016)'!$A$3,"MA_HT","DSH","MA_QH","DTS")</f>
        <v>0</v>
      </c>
      <c r="AU52" s="22">
        <f ca="1">+GETPIVOTDATA("XSB4",'sonbinh (2016)'!$A$3,"MA_HT","DSH","MA_QH","DNG")</f>
        <v>0</v>
      </c>
      <c r="AV52" s="22">
        <f ca="1">+GETPIVOTDATA("XSB4",'sonbinh (2016)'!$A$3,"MA_HT","DSH","MA_QH","TON")</f>
        <v>0</v>
      </c>
      <c r="AW52" s="22">
        <f ca="1">+GETPIVOTDATA("XSB4",'sonbinh (2016)'!$A$3,"MA_HT","DSH","MA_QH","NTD")</f>
        <v>0</v>
      </c>
      <c r="AX52" s="22">
        <f ca="1">+GETPIVOTDATA("XSB4",'sonbinh (2016)'!$A$3,"MA_HT","DSH","MA_QH","SKX")</f>
        <v>0</v>
      </c>
      <c r="AY52" s="43" t="e">
        <f ca="1">$D52-$BF52</f>
        <v>#REF!</v>
      </c>
      <c r="AZ52" s="22">
        <f ca="1">+GETPIVOTDATA("XSB4",'sonbinh (2016)'!$A$3,"MA_HT","DSH","MA_QH","DKV")</f>
        <v>0</v>
      </c>
      <c r="BA52" s="89">
        <f ca="1">+GETPIVOTDATA("XSB4",'sonbinh (2016)'!$A$3,"MA_HT","DSH","MA_QH","TIN")</f>
        <v>0</v>
      </c>
      <c r="BB52" s="50">
        <f ca="1">+GETPIVOTDATA("XSB4",'sonbinh (2016)'!$A$3,"MA_HT","DSH","MA_QH","SON")</f>
        <v>0</v>
      </c>
      <c r="BC52" s="50">
        <f ca="1">+GETPIVOTDATA("XSB4",'sonbinh (2016)'!$A$3,"MA_HT","DSH","MA_QH","MNC")</f>
        <v>0</v>
      </c>
      <c r="BD52" s="22">
        <f ca="1">+GETPIVOTDATA("XSB4",'sonbinh (2016)'!$A$3,"MA_HT","DSH","MA_QH","PNK")</f>
        <v>0</v>
      </c>
      <c r="BE52" s="71">
        <f ca="1">+GETPIVOTDATA("XSB4",'sonbinh (2016)'!$A$3,"MA_HT","DSH","MA_QH","CSD")</f>
        <v>0</v>
      </c>
      <c r="BF52" s="74">
        <f ca="1" t="shared" si="13"/>
        <v>0</v>
      </c>
      <c r="BG52" s="101">
        <f ca="1">AY$59-$BF52</f>
        <v>0</v>
      </c>
      <c r="BH52" s="41" t="e">
        <f ca="1" t="shared" si="14"/>
        <v>#REF!</v>
      </c>
      <c r="BI52" s="98"/>
      <c r="BJ52" s="98" t="e">
        <f>#REF!</f>
        <v>#REF!</v>
      </c>
      <c r="BK52" s="107" t="e">
        <f ca="1">BH52-BJ52</f>
        <v>#REF!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</row>
    <row r="53" s="2" customFormat="1" ht="15.75" customHeight="1" spans="1:79">
      <c r="A53" s="39" t="s">
        <v>8424</v>
      </c>
      <c r="B53" s="39" t="s">
        <v>8425</v>
      </c>
      <c r="C53" s="40" t="s">
        <v>8289</v>
      </c>
      <c r="D53" s="41" t="e">
        <f>+#REF!</f>
        <v>#REF!</v>
      </c>
      <c r="E53" s="42">
        <f ca="1" t="shared" si="15"/>
        <v>0</v>
      </c>
      <c r="F53" s="52">
        <f ca="1" t="shared" si="9"/>
        <v>0</v>
      </c>
      <c r="G53" s="22">
        <f ca="1">+GETPIVOTDATA("XSB4",'sonbinh (2016)'!$A$3,"MA_HT","DKV","MA_QH","LUC")</f>
        <v>0</v>
      </c>
      <c r="H53" s="22">
        <f ca="1">+GETPIVOTDATA("XSB4",'sonbinh (2016)'!$A$3,"MA_HT","DKV","MA_QH","LUK")</f>
        <v>0</v>
      </c>
      <c r="I53" s="22">
        <f ca="1">+GETPIVOTDATA("XSB4",'sonbinh (2016)'!$A$3,"MA_HT","DKV","MA_QH","LUN")</f>
        <v>0</v>
      </c>
      <c r="J53" s="22">
        <f ca="1">+GETPIVOTDATA("XSB4",'sonbinh (2016)'!$A$3,"MA_HT","DKV","MA_QH","HNK")</f>
        <v>0</v>
      </c>
      <c r="K53" s="22">
        <f ca="1">+GETPIVOTDATA("XSB4",'sonbinh (2016)'!$A$3,"MA_HT","DKV","MA_QH","CLN")</f>
        <v>0</v>
      </c>
      <c r="L53" s="22">
        <f ca="1">+GETPIVOTDATA("XSB4",'sonbinh (2016)'!$A$3,"MA_HT","DKV","MA_QH","RSX")</f>
        <v>0</v>
      </c>
      <c r="M53" s="22">
        <f ca="1">+GETPIVOTDATA("XSB4",'sonbinh (2016)'!$A$3,"MA_HT","DKV","MA_QH","RPH")</f>
        <v>0</v>
      </c>
      <c r="N53" s="22">
        <f ca="1">+GETPIVOTDATA("XSB4",'sonbinh (2016)'!$A$3,"MA_HT","DKV","MA_QH","RDD")</f>
        <v>0</v>
      </c>
      <c r="O53" s="22">
        <f ca="1">+GETPIVOTDATA("XSB4",'sonbinh (2016)'!$A$3,"MA_HT","DKV","MA_QH","NTS")</f>
        <v>0</v>
      </c>
      <c r="P53" s="22">
        <f ca="1">+GETPIVOTDATA("XSB4",'sonbinh (2016)'!$A$3,"MA_HT","DKV","MA_QH","LMU")</f>
        <v>0</v>
      </c>
      <c r="Q53" s="22">
        <f ca="1">+GETPIVOTDATA("XSB4",'sonbinh (2016)'!$A$3,"MA_HT","DKV","MA_QH","NKH")</f>
        <v>0</v>
      </c>
      <c r="R53" s="79">
        <f ca="1">SUM(S53:AA53,AN53:AY53,BB53:BD53)</f>
        <v>0</v>
      </c>
      <c r="S53" s="22">
        <f ca="1">+GETPIVOTDATA("XSB4",'sonbinh (2016)'!$A$3,"MA_HT","DKV","MA_QH","CQP")</f>
        <v>0</v>
      </c>
      <c r="T53" s="22">
        <f ca="1">+GETPIVOTDATA("XSB4",'sonbinh (2016)'!$A$3,"MA_HT","DKV","MA_QH","CAN")</f>
        <v>0</v>
      </c>
      <c r="U53" s="22">
        <f ca="1">+GETPIVOTDATA("XSB4",'sonbinh (2016)'!$A$3,"MA_HT","DKV","MA_QH","SKK")</f>
        <v>0</v>
      </c>
      <c r="V53" s="22">
        <f ca="1">+GETPIVOTDATA("XSB4",'sonbinh (2016)'!$A$3,"MA_HT","DKV","MA_QH","SKT")</f>
        <v>0</v>
      </c>
      <c r="W53" s="22">
        <f ca="1">+GETPIVOTDATA("XSB4",'sonbinh (2016)'!$A$3,"MA_HT","DKV","MA_QH","SKN")</f>
        <v>0</v>
      </c>
      <c r="X53" s="22">
        <f ca="1">+GETPIVOTDATA("XSB4",'sonbinh (2016)'!$A$3,"MA_HT","DKV","MA_QH","TMD")</f>
        <v>0</v>
      </c>
      <c r="Y53" s="22">
        <f ca="1">+GETPIVOTDATA("XSB4",'sonbinh (2016)'!$A$3,"MA_HT","DKV","MA_QH","SKC")</f>
        <v>0</v>
      </c>
      <c r="Z53" s="22">
        <f ca="1">+GETPIVOTDATA("XSB4",'sonbinh (2016)'!$A$3,"MA_HT","DKV","MA_QH","SKS")</f>
        <v>0</v>
      </c>
      <c r="AA53" s="52">
        <f ca="1" t="shared" si="21"/>
        <v>0</v>
      </c>
      <c r="AB53" s="22">
        <f ca="1">+GETPIVOTDATA("XSB4",'sonbinh (2016)'!$A$3,"MA_HT","DKV","MA_QH","DGT")</f>
        <v>0</v>
      </c>
      <c r="AC53" s="22">
        <f ca="1">+GETPIVOTDATA("XSB4",'sonbinh (2016)'!$A$3,"MA_HT","DKV","MA_QH","DTL")</f>
        <v>0</v>
      </c>
      <c r="AD53" s="22">
        <f ca="1">+GETPIVOTDATA("XSB4",'sonbinh (2016)'!$A$3,"MA_HT","DKV","MA_QH","DNL")</f>
        <v>0</v>
      </c>
      <c r="AE53" s="22">
        <f ca="1">+GETPIVOTDATA("XSB4",'sonbinh (2016)'!$A$3,"MA_HT","DKV","MA_QH","DBV")</f>
        <v>0</v>
      </c>
      <c r="AF53" s="22">
        <f ca="1">+GETPIVOTDATA("XSB4",'sonbinh (2016)'!$A$3,"MA_HT","DKV","MA_QH","DVH")</f>
        <v>0</v>
      </c>
      <c r="AG53" s="22">
        <f ca="1">+GETPIVOTDATA("XSB4",'sonbinh (2016)'!$A$3,"MA_HT","DKV","MA_QH","DYT")</f>
        <v>0</v>
      </c>
      <c r="AH53" s="22">
        <f ca="1">+GETPIVOTDATA("XSB4",'sonbinh (2016)'!$A$3,"MA_HT","DKV","MA_QH","DGD")</f>
        <v>0</v>
      </c>
      <c r="AI53" s="22">
        <f ca="1">+GETPIVOTDATA("XSB4",'sonbinh (2016)'!$A$3,"MA_HT","DKV","MA_QH","DTT")</f>
        <v>0</v>
      </c>
      <c r="AJ53" s="22">
        <f ca="1">+GETPIVOTDATA("XSB4",'sonbinh (2016)'!$A$3,"MA_HT","DKV","MA_QH","NCK")</f>
        <v>0</v>
      </c>
      <c r="AK53" s="22">
        <f ca="1">+GETPIVOTDATA("XSB4",'sonbinh (2016)'!$A$3,"MA_HT","DKV","MA_QH","DXH")</f>
        <v>0</v>
      </c>
      <c r="AL53" s="22">
        <f ca="1">+GETPIVOTDATA("XSB4",'sonbinh (2016)'!$A$3,"MA_HT","DKV","MA_QH","DCH")</f>
        <v>0</v>
      </c>
      <c r="AM53" s="22">
        <f ca="1">+GETPIVOTDATA("XSB4",'sonbinh (2016)'!$A$3,"MA_HT","DKV","MA_QH","DKG")</f>
        <v>0</v>
      </c>
      <c r="AN53" s="22">
        <f ca="1">+GETPIVOTDATA("XSB4",'sonbinh (2016)'!$A$3,"MA_HT","DKV","MA_QH","DDT")</f>
        <v>0</v>
      </c>
      <c r="AO53" s="22">
        <f ca="1">+GETPIVOTDATA("XSB4",'sonbinh (2016)'!$A$3,"MA_HT","DKV","MA_QH","DDL")</f>
        <v>0</v>
      </c>
      <c r="AP53" s="22">
        <f ca="1">+GETPIVOTDATA("XSB4",'sonbinh (2016)'!$A$3,"MA_HT","DKV","MA_QH","DRA")</f>
        <v>0</v>
      </c>
      <c r="AQ53" s="22">
        <f ca="1">+GETPIVOTDATA("XSB4",'sonbinh (2016)'!$A$3,"MA_HT","DKV","MA_QH","ONT")</f>
        <v>0</v>
      </c>
      <c r="AR53" s="22">
        <f ca="1">+GETPIVOTDATA("XSB4",'sonbinh (2016)'!$A$3,"MA_HT","DKV","MA_QH","ODT")</f>
        <v>0</v>
      </c>
      <c r="AS53" s="22">
        <f ca="1">+GETPIVOTDATA("XSB4",'sonbinh (2016)'!$A$3,"MA_HT","DKV","MA_QH","TSC")</f>
        <v>0</v>
      </c>
      <c r="AT53" s="22">
        <f ca="1">+GETPIVOTDATA("XSB4",'sonbinh (2016)'!$A$3,"MA_HT","DKV","MA_QH","DTS")</f>
        <v>0</v>
      </c>
      <c r="AU53" s="22">
        <f ca="1">+GETPIVOTDATA("XSB4",'sonbinh (2016)'!$A$3,"MA_HT","DKV","MA_QH","DNG")</f>
        <v>0</v>
      </c>
      <c r="AV53" s="22">
        <f ca="1">+GETPIVOTDATA("XSB4",'sonbinh (2016)'!$A$3,"MA_HT","DKV","MA_QH","TON")</f>
        <v>0</v>
      </c>
      <c r="AW53" s="22">
        <f ca="1">+GETPIVOTDATA("XSB4",'sonbinh (2016)'!$A$3,"MA_HT","DKV","MA_QH","NTD")</f>
        <v>0</v>
      </c>
      <c r="AX53" s="22">
        <f ca="1">+GETPIVOTDATA("XSB4",'sonbinh (2016)'!$A$3,"MA_HT","DKV","MA_QH","SKX")</f>
        <v>0</v>
      </c>
      <c r="AY53" s="22">
        <f ca="1">+GETPIVOTDATA("XSB4",'sonbinh (2016)'!$A$3,"MA_HT","DKV","MA_QH","DSH")</f>
        <v>0</v>
      </c>
      <c r="AZ53" s="43" t="e">
        <f ca="1">$D53-$BF53</f>
        <v>#REF!</v>
      </c>
      <c r="BA53" s="89">
        <f ca="1">+GETPIVOTDATA("XSB4",'sonbinh (2016)'!$A$3,"MA_HT","DKV","MA_QH","TIN")</f>
        <v>0</v>
      </c>
      <c r="BB53" s="50">
        <f ca="1">+GETPIVOTDATA("XSB4",'sonbinh (2016)'!$A$3,"MA_HT","DKV","MA_QH","SON")</f>
        <v>0</v>
      </c>
      <c r="BC53" s="50">
        <f ca="1">+GETPIVOTDATA("XSB4",'sonbinh (2016)'!$A$3,"MA_HT","DKV","MA_QH","MNC")</f>
        <v>0</v>
      </c>
      <c r="BD53" s="22">
        <f ca="1">+GETPIVOTDATA("XSB4",'sonbinh (2016)'!$A$3,"MA_HT","DKV","MA_QH","PNK")</f>
        <v>0</v>
      </c>
      <c r="BE53" s="71">
        <f ca="1">+GETPIVOTDATA("XSB4",'sonbinh (2016)'!$A$3,"MA_HT","DKV","MA_QH","CSD")</f>
        <v>0</v>
      </c>
      <c r="BF53" s="74">
        <f ca="1" t="shared" si="13"/>
        <v>0</v>
      </c>
      <c r="BG53" s="101">
        <f ca="1">AZ$59-$BF53</f>
        <v>0</v>
      </c>
      <c r="BH53" s="41" t="e">
        <f ca="1" t="shared" si="14"/>
        <v>#REF!</v>
      </c>
      <c r="BI53" s="98"/>
      <c r="BJ53" s="98" t="e">
        <f>#REF!</f>
        <v>#REF!</v>
      </c>
      <c r="BK53" s="107" t="e">
        <f ca="1">BH53-BJ53</f>
        <v>#REF!</v>
      </c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</row>
    <row r="54" s="2" customFormat="1" ht="15.75" customHeight="1" spans="1:75">
      <c r="A54" s="39" t="s">
        <v>8426</v>
      </c>
      <c r="B54" s="39" t="s">
        <v>8427</v>
      </c>
      <c r="C54" s="40" t="s">
        <v>8310</v>
      </c>
      <c r="D54" s="41" t="e">
        <f>+#REF!</f>
        <v>#REF!</v>
      </c>
      <c r="E54" s="33">
        <f ca="1" t="shared" si="15"/>
        <v>0</v>
      </c>
      <c r="F54" s="52">
        <f ca="1">SUM(F29:F39)</f>
        <v>0</v>
      </c>
      <c r="G54" s="22">
        <f ca="1">+GETPIVOTDATA("XSB4",'sonbinh (2016)'!$A$3,"MA_HT","TIN","MA_QH","LUC")</f>
        <v>0</v>
      </c>
      <c r="H54" s="22">
        <f ca="1">+GETPIVOTDATA("XSB4",'sonbinh (2016)'!$A$3,"MA_HT","TIN","MA_QH","LUK")</f>
        <v>0</v>
      </c>
      <c r="I54" s="22">
        <f ca="1">+GETPIVOTDATA("XSB4",'sonbinh (2016)'!$A$3,"MA_HT","TIN","MA_QH","LUN")</f>
        <v>0</v>
      </c>
      <c r="J54" s="22">
        <f ca="1">+GETPIVOTDATA("XSB4",'sonbinh (2016)'!$A$3,"MA_HT","TIN","MA_QH","HNK")</f>
        <v>0</v>
      </c>
      <c r="K54" s="22">
        <f ca="1">+GETPIVOTDATA("XSB4",'sonbinh (2016)'!$A$3,"MA_HT","TIN","MA_QH","CLN")</f>
        <v>0</v>
      </c>
      <c r="L54" s="22">
        <f ca="1">+GETPIVOTDATA("XSB4",'sonbinh (2016)'!$A$3,"MA_HT","TIN","MA_QH","RSX")</f>
        <v>0</v>
      </c>
      <c r="M54" s="22">
        <f ca="1">+GETPIVOTDATA("XSB4",'sonbinh (2016)'!$A$3,"MA_HT","TIN","MA_QH","RPH")</f>
        <v>0</v>
      </c>
      <c r="N54" s="22">
        <f ca="1">+GETPIVOTDATA("XSB4",'sonbinh (2016)'!$A$3,"MA_HT","TIN","MA_QH","RDD")</f>
        <v>0</v>
      </c>
      <c r="O54" s="22">
        <f ca="1">+GETPIVOTDATA("XSB4",'sonbinh (2016)'!$A$3,"MA_HT","TIN","MA_QH","NTS")</f>
        <v>0</v>
      </c>
      <c r="P54" s="22">
        <f ca="1">+GETPIVOTDATA("XSB4",'sonbinh (2016)'!$A$3,"MA_HT","TIN","MA_QH","LMU")</f>
        <v>0</v>
      </c>
      <c r="Q54" s="22">
        <f ca="1">+GETPIVOTDATA("XSB4",'sonbinh (2016)'!$A$3,"MA_HT","TIN","MA_QH","NKH")</f>
        <v>0</v>
      </c>
      <c r="R54" s="79">
        <f ca="1">SUM(S54:AA54,AN54:AZ54,BB54:BD54)</f>
        <v>0</v>
      </c>
      <c r="S54" s="22">
        <f ca="1">+GETPIVOTDATA("XSB4",'sonbinh (2016)'!$A$3,"MA_HT","TIN","MA_QH","CQP")</f>
        <v>0</v>
      </c>
      <c r="T54" s="22">
        <f ca="1">+GETPIVOTDATA("XSB4",'sonbinh (2016)'!$A$3,"MA_HT","TIN","MA_QH","CAN")</f>
        <v>0</v>
      </c>
      <c r="U54" s="22">
        <f ca="1">+GETPIVOTDATA("XSB4",'sonbinh (2016)'!$A$3,"MA_HT","TIN","MA_QH","SKK")</f>
        <v>0</v>
      </c>
      <c r="V54" s="22">
        <f ca="1">+GETPIVOTDATA("XSB4",'sonbinh (2016)'!$A$3,"MA_HT","TIN","MA_QH","SKT")</f>
        <v>0</v>
      </c>
      <c r="W54" s="22">
        <f ca="1">+GETPIVOTDATA("XSB4",'sonbinh (2016)'!$A$3,"MA_HT","TIN","MA_QH","SKN")</f>
        <v>0</v>
      </c>
      <c r="X54" s="22">
        <f ca="1">+GETPIVOTDATA("XSB4",'sonbinh (2016)'!$A$3,"MA_HT","TIN","MA_QH","TMD")</f>
        <v>0</v>
      </c>
      <c r="Y54" s="22">
        <f ca="1">+GETPIVOTDATA("XSB4",'sonbinh (2016)'!$A$3,"MA_HT","TIN","MA_QH","SKC")</f>
        <v>0</v>
      </c>
      <c r="Z54" s="22">
        <f ca="1">+GETPIVOTDATA("XSB4",'sonbinh (2016)'!$A$3,"MA_HT","TIN","MA_QH","SKS")</f>
        <v>0</v>
      </c>
      <c r="AA54" s="52">
        <f ca="1" t="shared" si="21"/>
        <v>0</v>
      </c>
      <c r="AB54" s="22">
        <f ca="1">+GETPIVOTDATA("XSB4",'sonbinh (2016)'!$A$3,"MA_HT","TIN","MA_QH","DGT")</f>
        <v>0</v>
      </c>
      <c r="AC54" s="22">
        <f ca="1">+GETPIVOTDATA("XSB4",'sonbinh (2016)'!$A$3,"MA_HT","TIN","MA_QH","DTL")</f>
        <v>0</v>
      </c>
      <c r="AD54" s="22">
        <f ca="1">+GETPIVOTDATA("XSB4",'sonbinh (2016)'!$A$3,"MA_HT","TIN","MA_QH","DNL")</f>
        <v>0</v>
      </c>
      <c r="AE54" s="22">
        <f ca="1">+GETPIVOTDATA("XSB4",'sonbinh (2016)'!$A$3,"MA_HT","TIN","MA_QH","DBV")</f>
        <v>0</v>
      </c>
      <c r="AF54" s="22">
        <f ca="1">+GETPIVOTDATA("XSB4",'sonbinh (2016)'!$A$3,"MA_HT","TIN","MA_QH","DVH")</f>
        <v>0</v>
      </c>
      <c r="AG54" s="22">
        <f ca="1">+GETPIVOTDATA("XSB4",'sonbinh (2016)'!$A$3,"MA_HT","TIN","MA_QH","DYT")</f>
        <v>0</v>
      </c>
      <c r="AH54" s="22">
        <f ca="1">+GETPIVOTDATA("XSB4",'sonbinh (2016)'!$A$3,"MA_HT","TIN","MA_QH","DGD")</f>
        <v>0</v>
      </c>
      <c r="AI54" s="22">
        <f ca="1">+GETPIVOTDATA("XSB4",'sonbinh (2016)'!$A$3,"MA_HT","TIN","MA_QH","DTT")</f>
        <v>0</v>
      </c>
      <c r="AJ54" s="22">
        <f ca="1">+GETPIVOTDATA("XSB4",'sonbinh (2016)'!$A$3,"MA_HT","TIN","MA_QH","NCK")</f>
        <v>0</v>
      </c>
      <c r="AK54" s="22">
        <f ca="1">+GETPIVOTDATA("XSB4",'sonbinh (2016)'!$A$3,"MA_HT","TIN","MA_QH","DXH")</f>
        <v>0</v>
      </c>
      <c r="AL54" s="22">
        <f ca="1">+GETPIVOTDATA("XSB4",'sonbinh (2016)'!$A$3,"MA_HT","TIN","MA_QH","DCH")</f>
        <v>0</v>
      </c>
      <c r="AM54" s="22">
        <f ca="1">+GETPIVOTDATA("XSB4",'sonbinh (2016)'!$A$3,"MA_HT","TIN","MA_QH","DKG")</f>
        <v>0</v>
      </c>
      <c r="AN54" s="22">
        <f ca="1">+GETPIVOTDATA("XSB4",'sonbinh (2016)'!$A$3,"MA_HT","TIN","MA_QH","DDT")</f>
        <v>0</v>
      </c>
      <c r="AO54" s="22">
        <f ca="1">+GETPIVOTDATA("XSB4",'sonbinh (2016)'!$A$3,"MA_HT","TIN","MA_QH","DDL")</f>
        <v>0</v>
      </c>
      <c r="AP54" s="22">
        <f ca="1">+GETPIVOTDATA("XSB4",'sonbinh (2016)'!$A$3,"MA_HT","TIN","MA_QH","DRA")</f>
        <v>0</v>
      </c>
      <c r="AQ54" s="22">
        <f ca="1">+GETPIVOTDATA("XSB4",'sonbinh (2016)'!$A$3,"MA_HT","TIN","MA_QH","ONT")</f>
        <v>0</v>
      </c>
      <c r="AR54" s="22">
        <f ca="1">+GETPIVOTDATA("XSB4",'sonbinh (2016)'!$A$3,"MA_HT","TIN","MA_QH","ODT")</f>
        <v>0</v>
      </c>
      <c r="AS54" s="22">
        <f ca="1">+GETPIVOTDATA("XSB4",'sonbinh (2016)'!$A$3,"MA_HT","TIN","MA_QH","TSC")</f>
        <v>0</v>
      </c>
      <c r="AT54" s="22">
        <f ca="1">+GETPIVOTDATA("XSB4",'sonbinh (2016)'!$A$3,"MA_HT","TIN","MA_QH","DTS")</f>
        <v>0</v>
      </c>
      <c r="AU54" s="22">
        <f ca="1">+GETPIVOTDATA("XSB4",'sonbinh (2016)'!$A$3,"MA_HT","TIN","MA_QH","DNG")</f>
        <v>0</v>
      </c>
      <c r="AV54" s="22">
        <f ca="1">+GETPIVOTDATA("XSB4",'sonbinh (2016)'!$A$3,"MA_HT","TIN","MA_QH","TON")</f>
        <v>0</v>
      </c>
      <c r="AW54" s="22">
        <f ca="1">+GETPIVOTDATA("XSB4",'sonbinh (2016)'!$A$3,"MA_HT","TIN","MA_QH","NTD")</f>
        <v>0</v>
      </c>
      <c r="AX54" s="22">
        <f ca="1">+GETPIVOTDATA("XSB4",'sonbinh (2016)'!$A$3,"MA_HT","TIN","MA_QH","SKX")</f>
        <v>0</v>
      </c>
      <c r="AY54" s="22">
        <f ca="1">+GETPIVOTDATA("XSB4",'sonbinh (2016)'!$A$3,"MA_HT","TIN","MA_QH","DSH")</f>
        <v>0</v>
      </c>
      <c r="AZ54" s="22">
        <f ca="1">+GETPIVOTDATA("XSB4",'sonbinh (2016)'!$A$3,"MA_HT","TIN","MA_QH","DKV")</f>
        <v>0</v>
      </c>
      <c r="BA54" s="43" t="e">
        <f ca="1">$D54-$BF54</f>
        <v>#REF!</v>
      </c>
      <c r="BB54" s="22">
        <f ca="1">+GETPIVOTDATA("XSB4",'sonbinh (2016)'!$A$3,"MA_HT","TIN","MA_QH","SON")</f>
        <v>0</v>
      </c>
      <c r="BC54" s="22">
        <f ca="1">+GETPIVOTDATA("XSB4",'sonbinh (2016)'!$A$3,"MA_HT","TIN","MA_QH","MNC")</f>
        <v>0</v>
      </c>
      <c r="BD54" s="22">
        <f ca="1">+GETPIVOTDATA("XSB4",'sonbinh (2016)'!$A$3,"MA_HT","TIN","MA_QH","PNK")</f>
        <v>0</v>
      </c>
      <c r="BE54" s="71">
        <f ca="1">+GETPIVOTDATA("XSB4",'sonbinh (2016)'!$A$3,"MA_HT","TIN","MA_QH","CSD")</f>
        <v>0</v>
      </c>
      <c r="BF54" s="74">
        <f ca="1" t="shared" si="13"/>
        <v>0</v>
      </c>
      <c r="BG54" s="101">
        <f ca="1">BA59-BF54</f>
        <v>0</v>
      </c>
      <c r="BH54" s="41" t="e">
        <f ca="1" t="shared" si="14"/>
        <v>#REF!</v>
      </c>
      <c r="BI54" s="98"/>
      <c r="BJ54" s="39" t="e">
        <f>SUM(BJ29:BJ39)</f>
        <v>#REF!</v>
      </c>
      <c r="BK54" s="107" t="e">
        <f ca="1">BH54-BJ54</f>
        <v>#REF!</v>
      </c>
      <c r="BL54" s="107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</row>
    <row r="55" s="2" customFormat="1" ht="15.75" customHeight="1" spans="1:79">
      <c r="A55" s="68" t="s">
        <v>8428</v>
      </c>
      <c r="B55" s="69" t="s">
        <v>8429</v>
      </c>
      <c r="C55" s="40" t="s">
        <v>8309</v>
      </c>
      <c r="D55" s="41" t="e">
        <f>+#REF!</f>
        <v>#REF!</v>
      </c>
      <c r="E55" s="42">
        <f ca="1" t="shared" si="15"/>
        <v>0</v>
      </c>
      <c r="F55" s="52">
        <f ca="1" t="shared" si="9"/>
        <v>0</v>
      </c>
      <c r="G55" s="22">
        <f ca="1">+GETPIVOTDATA("XSB4",'sonbinh (2016)'!$A$3,"MA_HT","SON","MA_QH","LUC")</f>
        <v>0</v>
      </c>
      <c r="H55" s="22">
        <f ca="1">+GETPIVOTDATA("XSB4",'sonbinh (2016)'!$A$3,"MA_HT","SON","MA_QH","LUK")</f>
        <v>0</v>
      </c>
      <c r="I55" s="22">
        <f ca="1">+GETPIVOTDATA("XSB4",'sonbinh (2016)'!$A$3,"MA_HT","SON","MA_QH","LUN")</f>
        <v>0</v>
      </c>
      <c r="J55" s="22">
        <f ca="1">+GETPIVOTDATA("XSB4",'sonbinh (2016)'!$A$3,"MA_HT","SON","MA_QH","HNK")</f>
        <v>0</v>
      </c>
      <c r="K55" s="22">
        <f ca="1">+GETPIVOTDATA("XSB4",'sonbinh (2016)'!$A$3,"MA_HT","SON","MA_QH","CLN")</f>
        <v>0</v>
      </c>
      <c r="L55" s="22">
        <f ca="1">+GETPIVOTDATA("XSB4",'sonbinh (2016)'!$A$3,"MA_HT","SON","MA_QH","RSX")</f>
        <v>0</v>
      </c>
      <c r="M55" s="22">
        <f ca="1">+GETPIVOTDATA("XSB4",'sonbinh (2016)'!$A$3,"MA_HT","SON","MA_QH","RPH")</f>
        <v>0</v>
      </c>
      <c r="N55" s="22">
        <f ca="1">+GETPIVOTDATA("XSB4",'sonbinh (2016)'!$A$3,"MA_HT","SON","MA_QH","RDD")</f>
        <v>0</v>
      </c>
      <c r="O55" s="22">
        <f ca="1">+GETPIVOTDATA("XSB4",'sonbinh (2016)'!$A$3,"MA_HT","SON","MA_QH","NTS")</f>
        <v>0</v>
      </c>
      <c r="P55" s="22">
        <f ca="1">+GETPIVOTDATA("XSB4",'sonbinh (2016)'!$A$3,"MA_HT","SON","MA_QH","LMU")</f>
        <v>0</v>
      </c>
      <c r="Q55" s="22">
        <f ca="1">+GETPIVOTDATA("XSB4",'sonbinh (2016)'!$A$3,"MA_HT","SON","MA_QH","NKH")</f>
        <v>0</v>
      </c>
      <c r="R55" s="79">
        <f ca="1">SUM(S55:AA55,AN55:AZ55,BC55:BD55)</f>
        <v>0</v>
      </c>
      <c r="S55" s="22">
        <f ca="1">+GETPIVOTDATA("XSB4",'sonbinh (2016)'!$A$3,"MA_HT","SON","MA_QH","CQP")</f>
        <v>0</v>
      </c>
      <c r="T55" s="22">
        <f ca="1">+GETPIVOTDATA("XSB4",'sonbinh (2016)'!$A$3,"MA_HT","SON","MA_QH","CAN")</f>
        <v>0</v>
      </c>
      <c r="U55" s="22">
        <f ca="1">+GETPIVOTDATA("XSB4",'sonbinh (2016)'!$A$3,"MA_HT","SON","MA_QH","SKK")</f>
        <v>0</v>
      </c>
      <c r="V55" s="22">
        <f ca="1">+GETPIVOTDATA("XSB4",'sonbinh (2016)'!$A$3,"MA_HT","SON","MA_QH","SKT")</f>
        <v>0</v>
      </c>
      <c r="W55" s="22">
        <f ca="1">+GETPIVOTDATA("XSB4",'sonbinh (2016)'!$A$3,"MA_HT","SON","MA_QH","SKN")</f>
        <v>0</v>
      </c>
      <c r="X55" s="22">
        <f ca="1">+GETPIVOTDATA("XSB4",'sonbinh (2016)'!$A$3,"MA_HT","SON","MA_QH","TMD")</f>
        <v>0</v>
      </c>
      <c r="Y55" s="22">
        <f ca="1">+GETPIVOTDATA("XSB4",'sonbinh (2016)'!$A$3,"MA_HT","SON","MA_QH","SKC")</f>
        <v>0</v>
      </c>
      <c r="Z55" s="22">
        <f ca="1">+GETPIVOTDATA("XSB4",'sonbinh (2016)'!$A$3,"MA_HT","SON","MA_QH","SKS")</f>
        <v>0</v>
      </c>
      <c r="AA55" s="52">
        <f ca="1" t="shared" si="21"/>
        <v>0</v>
      </c>
      <c r="AB55" s="22">
        <f ca="1">+GETPIVOTDATA("XSB4",'sonbinh (2016)'!$A$3,"MA_HT","SON","MA_QH","DGT")</f>
        <v>0</v>
      </c>
      <c r="AC55" s="22">
        <f ca="1">+GETPIVOTDATA("XSB4",'sonbinh (2016)'!$A$3,"MA_HT","SON","MA_QH","DTL")</f>
        <v>0</v>
      </c>
      <c r="AD55" s="22">
        <f ca="1">+GETPIVOTDATA("XSB4",'sonbinh (2016)'!$A$3,"MA_HT","SON","MA_QH","DNL")</f>
        <v>0</v>
      </c>
      <c r="AE55" s="22">
        <f ca="1">+GETPIVOTDATA("XSB4",'sonbinh (2016)'!$A$3,"MA_HT","SON","MA_QH","DBV")</f>
        <v>0</v>
      </c>
      <c r="AF55" s="22">
        <f ca="1">+GETPIVOTDATA("XSB4",'sonbinh (2016)'!$A$3,"MA_HT","SON","MA_QH","DVH")</f>
        <v>0</v>
      </c>
      <c r="AG55" s="22">
        <f ca="1">+GETPIVOTDATA("XSB4",'sonbinh (2016)'!$A$3,"MA_HT","SON","MA_QH","DYT")</f>
        <v>0</v>
      </c>
      <c r="AH55" s="22">
        <f ca="1">+GETPIVOTDATA("XSB4",'sonbinh (2016)'!$A$3,"MA_HT","SON","MA_QH","DGD")</f>
        <v>0</v>
      </c>
      <c r="AI55" s="22">
        <f ca="1">+GETPIVOTDATA("XSB4",'sonbinh (2016)'!$A$3,"MA_HT","SON","MA_QH","DTT")</f>
        <v>0</v>
      </c>
      <c r="AJ55" s="22">
        <f ca="1">+GETPIVOTDATA("XSB4",'sonbinh (2016)'!$A$3,"MA_HT","SON","MA_QH","NCK")</f>
        <v>0</v>
      </c>
      <c r="AK55" s="22">
        <f ca="1">+GETPIVOTDATA("XSB4",'sonbinh (2016)'!$A$3,"MA_HT","SON","MA_QH","DXH")</f>
        <v>0</v>
      </c>
      <c r="AL55" s="22">
        <f ca="1">+GETPIVOTDATA("XSB4",'sonbinh (2016)'!$A$3,"MA_HT","SON","MA_QH","DCH")</f>
        <v>0</v>
      </c>
      <c r="AM55" s="22">
        <f ca="1">+GETPIVOTDATA("XSB4",'sonbinh (2016)'!$A$3,"MA_HT","SON","MA_QH","DKG")</f>
        <v>0</v>
      </c>
      <c r="AN55" s="22">
        <f ca="1">+GETPIVOTDATA("XSB4",'sonbinh (2016)'!$A$3,"MA_HT","SON","MA_QH","DDT")</f>
        <v>0</v>
      </c>
      <c r="AO55" s="22">
        <f ca="1">+GETPIVOTDATA("XSB4",'sonbinh (2016)'!$A$3,"MA_HT","SON","MA_QH","DDL")</f>
        <v>0</v>
      </c>
      <c r="AP55" s="22">
        <f ca="1">+GETPIVOTDATA("XSB4",'sonbinh (2016)'!$A$3,"MA_HT","SON","MA_QH","DRA")</f>
        <v>0</v>
      </c>
      <c r="AQ55" s="22">
        <f ca="1">+GETPIVOTDATA("XSB4",'sonbinh (2016)'!$A$3,"MA_HT","SON","MA_QH","ONT")</f>
        <v>0</v>
      </c>
      <c r="AR55" s="22">
        <f ca="1">+GETPIVOTDATA("XSB4",'sonbinh (2016)'!$A$3,"MA_HT","SON","MA_QH","ODT")</f>
        <v>0</v>
      </c>
      <c r="AS55" s="22">
        <f ca="1">+GETPIVOTDATA("XSB4",'sonbinh (2016)'!$A$3,"MA_HT","SON","MA_QH","TSC")</f>
        <v>0</v>
      </c>
      <c r="AT55" s="22">
        <f ca="1">+GETPIVOTDATA("XSB4",'sonbinh (2016)'!$A$3,"MA_HT","SON","MA_QH","DTS")</f>
        <v>0</v>
      </c>
      <c r="AU55" s="22">
        <f ca="1">+GETPIVOTDATA("XSB4",'sonbinh (2016)'!$A$3,"MA_HT","SON","MA_QH","DNG")</f>
        <v>0</v>
      </c>
      <c r="AV55" s="22">
        <f ca="1">+GETPIVOTDATA("XSB4",'sonbinh (2016)'!$A$3,"MA_HT","SON","MA_QH","TON")</f>
        <v>0</v>
      </c>
      <c r="AW55" s="22">
        <f ca="1">+GETPIVOTDATA("XSB4",'sonbinh (2016)'!$A$3,"MA_HT","SON","MA_QH","NTD")</f>
        <v>0</v>
      </c>
      <c r="AX55" s="22">
        <f ca="1">+GETPIVOTDATA("XSB4",'sonbinh (2016)'!$A$3,"MA_HT","SON","MA_QH","SKX")</f>
        <v>0</v>
      </c>
      <c r="AY55" s="22">
        <f ca="1">+GETPIVOTDATA("XSB4",'sonbinh (2016)'!$A$3,"MA_HT","SON","MA_QH","DSH")</f>
        <v>0</v>
      </c>
      <c r="AZ55" s="22">
        <f ca="1">+GETPIVOTDATA("XSB4",'sonbinh (2016)'!$A$3,"MA_HT","SON","MA_QH","DKV")</f>
        <v>0</v>
      </c>
      <c r="BA55" s="89">
        <f ca="1">+GETPIVOTDATA("XSB4",'sonbinh (2016)'!$A$3,"MA_HT","SON","MA_QH","TIN")</f>
        <v>0</v>
      </c>
      <c r="BB55" s="43" t="e">
        <f ca="1">$D55-$BF55</f>
        <v>#REF!</v>
      </c>
      <c r="BC55" s="50">
        <f ca="1">+GETPIVOTDATA("XSB4",'sonbinh (2016)'!$A$3,"MA_HT","SON","MA_QH","MNC")</f>
        <v>0</v>
      </c>
      <c r="BD55" s="22">
        <f ca="1">+GETPIVOTDATA("XSB4",'sonbinh (2016)'!$A$3,"MA_HT","SON","MA_QH","PNK")</f>
        <v>0</v>
      </c>
      <c r="BE55" s="71">
        <f ca="1">+GETPIVOTDATA("XSB4",'sonbinh (2016)'!$A$3,"MA_HT","SON","MA_QH","CSD")</f>
        <v>0</v>
      </c>
      <c r="BF55" s="74">
        <f ca="1" t="shared" si="13"/>
        <v>0</v>
      </c>
      <c r="BG55" s="101">
        <f ca="1">BB$59-$BF55</f>
        <v>0</v>
      </c>
      <c r="BH55" s="41" t="e">
        <f ca="1" t="shared" si="14"/>
        <v>#REF!</v>
      </c>
      <c r="BI55" s="98"/>
      <c r="BJ55" s="98"/>
      <c r="BK55" s="107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</row>
    <row r="56" s="2" customFormat="1" ht="15.75" customHeight="1" spans="1:79">
      <c r="A56" s="68" t="s">
        <v>8430</v>
      </c>
      <c r="B56" s="69" t="s">
        <v>8431</v>
      </c>
      <c r="C56" s="40" t="s">
        <v>8301</v>
      </c>
      <c r="D56" s="41" t="e">
        <f>+#REF!</f>
        <v>#REF!</v>
      </c>
      <c r="E56" s="42">
        <f ca="1" t="shared" si="15"/>
        <v>0</v>
      </c>
      <c r="F56" s="52">
        <f ca="1" t="shared" si="9"/>
        <v>0</v>
      </c>
      <c r="G56" s="22">
        <f ca="1">+GETPIVOTDATA("XSB4",'sonbinh (2016)'!$A$3,"MA_HT","MNC","MA_QH","LUC")</f>
        <v>0</v>
      </c>
      <c r="H56" s="22">
        <f ca="1">+GETPIVOTDATA("XSB4",'sonbinh (2016)'!$A$3,"MA_HT","MNC","MA_QH","LUK")</f>
        <v>0</v>
      </c>
      <c r="I56" s="22">
        <f ca="1">+GETPIVOTDATA("XSB4",'sonbinh (2016)'!$A$3,"MA_HT","MNC","MA_QH","LUN")</f>
        <v>0</v>
      </c>
      <c r="J56" s="22">
        <f ca="1">+GETPIVOTDATA("XSB4",'sonbinh (2016)'!$A$3,"MA_HT","MNC","MA_QH","HNK")</f>
        <v>0</v>
      </c>
      <c r="K56" s="22">
        <f ca="1">+GETPIVOTDATA("XSB4",'sonbinh (2016)'!$A$3,"MA_HT","MNC","MA_QH","CLN")</f>
        <v>0</v>
      </c>
      <c r="L56" s="22">
        <f ca="1">+GETPIVOTDATA("XSB4",'sonbinh (2016)'!$A$3,"MA_HT","MNC","MA_QH","RSX")</f>
        <v>0</v>
      </c>
      <c r="M56" s="22">
        <f ca="1">+GETPIVOTDATA("XSB4",'sonbinh (2016)'!$A$3,"MA_HT","MNC","MA_QH","RPH")</f>
        <v>0</v>
      </c>
      <c r="N56" s="22">
        <f ca="1">+GETPIVOTDATA("XSB4",'sonbinh (2016)'!$A$3,"MA_HT","MNC","MA_QH","RDD")</f>
        <v>0</v>
      </c>
      <c r="O56" s="22">
        <f ca="1">+GETPIVOTDATA("XSB4",'sonbinh (2016)'!$A$3,"MA_HT","MNC","MA_QH","NTS")</f>
        <v>0</v>
      </c>
      <c r="P56" s="22">
        <f ca="1">+GETPIVOTDATA("XSB4",'sonbinh (2016)'!$A$3,"MA_HT","MNC","MA_QH","LMU")</f>
        <v>0</v>
      </c>
      <c r="Q56" s="22">
        <f ca="1">+GETPIVOTDATA("XSB4",'sonbinh (2016)'!$A$3,"MA_HT","MNC","MA_QH","NKH")</f>
        <v>0</v>
      </c>
      <c r="R56" s="79">
        <f ca="1">SUM(S56:AA56,AN56:BB56,BD56)</f>
        <v>0</v>
      </c>
      <c r="S56" s="22">
        <f ca="1">+GETPIVOTDATA("XSB4",'sonbinh (2016)'!$A$3,"MA_HT","MNC","MA_QH","CQP")</f>
        <v>0</v>
      </c>
      <c r="T56" s="22">
        <f ca="1">+GETPIVOTDATA("XSB4",'sonbinh (2016)'!$A$3,"MA_HT","MNC","MA_QH","CAN")</f>
        <v>0</v>
      </c>
      <c r="U56" s="22">
        <f ca="1">+GETPIVOTDATA("XSB4",'sonbinh (2016)'!$A$3,"MA_HT","MNC","MA_QH","SKK")</f>
        <v>0</v>
      </c>
      <c r="V56" s="22">
        <f ca="1">+GETPIVOTDATA("XSB4",'sonbinh (2016)'!$A$3,"MA_HT","MNC","MA_QH","SKT")</f>
        <v>0</v>
      </c>
      <c r="W56" s="22">
        <f ca="1">+GETPIVOTDATA("XSB4",'sonbinh (2016)'!$A$3,"MA_HT","MNC","MA_QH","SKN")</f>
        <v>0</v>
      </c>
      <c r="X56" s="22">
        <f ca="1">+GETPIVOTDATA("XSB4",'sonbinh (2016)'!$A$3,"MA_HT","MNC","MA_QH","TMD")</f>
        <v>0</v>
      </c>
      <c r="Y56" s="22">
        <f ca="1">+GETPIVOTDATA("XSB4",'sonbinh (2016)'!$A$3,"MA_HT","MNC","MA_QH","SKC")</f>
        <v>0</v>
      </c>
      <c r="Z56" s="22">
        <f ca="1">+GETPIVOTDATA("XSB4",'sonbinh (2016)'!$A$3,"MA_HT","MNC","MA_QH","SKS")</f>
        <v>0</v>
      </c>
      <c r="AA56" s="52">
        <f ca="1" t="shared" si="21"/>
        <v>0</v>
      </c>
      <c r="AB56" s="22">
        <f ca="1">+GETPIVOTDATA("XSB4",'sonbinh (2016)'!$A$3,"MA_HT","MNC","MA_QH","DGT")</f>
        <v>0</v>
      </c>
      <c r="AC56" s="22">
        <f ca="1">+GETPIVOTDATA("XSB4",'sonbinh (2016)'!$A$3,"MA_HT","MNC","MA_QH","DTL")</f>
        <v>0</v>
      </c>
      <c r="AD56" s="22">
        <f ca="1">+GETPIVOTDATA("XSB4",'sonbinh (2016)'!$A$3,"MA_HT","MNC","MA_QH","DNL")</f>
        <v>0</v>
      </c>
      <c r="AE56" s="22">
        <f ca="1">+GETPIVOTDATA("XSB4",'sonbinh (2016)'!$A$3,"MA_HT","MNC","MA_QH","DBV")</f>
        <v>0</v>
      </c>
      <c r="AF56" s="22">
        <f ca="1">+GETPIVOTDATA("XSB4",'sonbinh (2016)'!$A$3,"MA_HT","MNC","MA_QH","DVH")</f>
        <v>0</v>
      </c>
      <c r="AG56" s="22">
        <f ca="1">+GETPIVOTDATA("XSB4",'sonbinh (2016)'!$A$3,"MA_HT","MNC","MA_QH","DYT")</f>
        <v>0</v>
      </c>
      <c r="AH56" s="22">
        <f ca="1">+GETPIVOTDATA("XSB4",'sonbinh (2016)'!$A$3,"MA_HT","MNC","MA_QH","DGD")</f>
        <v>0</v>
      </c>
      <c r="AI56" s="22">
        <f ca="1">+GETPIVOTDATA("XSB4",'sonbinh (2016)'!$A$3,"MA_HT","MNC","MA_QH","DTT")</f>
        <v>0</v>
      </c>
      <c r="AJ56" s="22">
        <f ca="1">+GETPIVOTDATA("XSB4",'sonbinh (2016)'!$A$3,"MA_HT","MNC","MA_QH","NCK")</f>
        <v>0</v>
      </c>
      <c r="AK56" s="22">
        <f ca="1">+GETPIVOTDATA("XSB4",'sonbinh (2016)'!$A$3,"MA_HT","MNC","MA_QH","DXH")</f>
        <v>0</v>
      </c>
      <c r="AL56" s="22">
        <f ca="1">+GETPIVOTDATA("XSB4",'sonbinh (2016)'!$A$3,"MA_HT","MNC","MA_QH","DCH")</f>
        <v>0</v>
      </c>
      <c r="AM56" s="22">
        <f ca="1">+GETPIVOTDATA("XSB4",'sonbinh (2016)'!$A$3,"MA_HT","MNC","MA_QH","DKG")</f>
        <v>0</v>
      </c>
      <c r="AN56" s="22">
        <f ca="1">+GETPIVOTDATA("XSB4",'sonbinh (2016)'!$A$3,"MA_HT","MNC","MA_QH","DDT")</f>
        <v>0</v>
      </c>
      <c r="AO56" s="22">
        <f ca="1">+GETPIVOTDATA("XSB4",'sonbinh (2016)'!$A$3,"MA_HT","MNC","MA_QH","DDL")</f>
        <v>0</v>
      </c>
      <c r="AP56" s="22">
        <f ca="1">+GETPIVOTDATA("XSB4",'sonbinh (2016)'!$A$3,"MA_HT","MNC","MA_QH","DRA")</f>
        <v>0</v>
      </c>
      <c r="AQ56" s="22">
        <f ca="1">+GETPIVOTDATA("XSB4",'sonbinh (2016)'!$A$3,"MA_HT","MNC","MA_QH","ONT")</f>
        <v>0</v>
      </c>
      <c r="AR56" s="22">
        <f ca="1">+GETPIVOTDATA("XSB4",'sonbinh (2016)'!$A$3,"MA_HT","MNC","MA_QH","ODT")</f>
        <v>0</v>
      </c>
      <c r="AS56" s="22">
        <f ca="1">+GETPIVOTDATA("XSB4",'sonbinh (2016)'!$A$3,"MA_HT","MNC","MA_QH","TSC")</f>
        <v>0</v>
      </c>
      <c r="AT56" s="22">
        <f ca="1">+GETPIVOTDATA("XSB4",'sonbinh (2016)'!$A$3,"MA_HT","MNC","MA_QH","DTS")</f>
        <v>0</v>
      </c>
      <c r="AU56" s="22">
        <f ca="1">+GETPIVOTDATA("XSB4",'sonbinh (2016)'!$A$3,"MA_HT","MNC","MA_QH","DNG")</f>
        <v>0</v>
      </c>
      <c r="AV56" s="22">
        <f ca="1">+GETPIVOTDATA("XSB4",'sonbinh (2016)'!$A$3,"MA_HT","MNC","MA_QH","TON")</f>
        <v>0</v>
      </c>
      <c r="AW56" s="22">
        <f ca="1">+GETPIVOTDATA("XSB4",'sonbinh (2016)'!$A$3,"MA_HT","MNC","MA_QH","NTD")</f>
        <v>0</v>
      </c>
      <c r="AX56" s="22">
        <f ca="1">+GETPIVOTDATA("XSB4",'sonbinh (2016)'!$A$3,"MA_HT","MNC","MA_QH","SKX")</f>
        <v>0</v>
      </c>
      <c r="AY56" s="22">
        <f ca="1">+GETPIVOTDATA("XSB4",'sonbinh (2016)'!$A$3,"MA_HT","MNC","MA_QH","DSH")</f>
        <v>0</v>
      </c>
      <c r="AZ56" s="22">
        <f ca="1">+GETPIVOTDATA("XSB4",'sonbinh (2016)'!$A$3,"MA_HT","MNC","MA_QH","DKV")</f>
        <v>0</v>
      </c>
      <c r="BA56" s="89">
        <f ca="1">+GETPIVOTDATA("XSB4",'sonbinh (2016)'!$A$3,"MA_HT","MNC","MA_QH","TIN")</f>
        <v>0</v>
      </c>
      <c r="BB56" s="50">
        <f ca="1">+GETPIVOTDATA("XSB4",'sonbinh (2016)'!$A$3,"MA_HT","MNC","MA_QH","SON")</f>
        <v>0</v>
      </c>
      <c r="BC56" s="43" t="e">
        <f ca="1">$D56-$BF56</f>
        <v>#REF!</v>
      </c>
      <c r="BD56" s="22">
        <f ca="1">+GETPIVOTDATA("XSB4",'sonbinh (2016)'!$A$3,"MA_HT","MNC","MA_QH","PNK")</f>
        <v>0</v>
      </c>
      <c r="BE56" s="71">
        <f ca="1">+GETPIVOTDATA("XSB4",'sonbinh (2016)'!$A$3,"MA_HT","MNC","MA_QH","CSD")</f>
        <v>0</v>
      </c>
      <c r="BF56" s="74">
        <f ca="1" t="shared" si="13"/>
        <v>0</v>
      </c>
      <c r="BG56" s="101">
        <f ca="1">BC$59-$BF56</f>
        <v>0</v>
      </c>
      <c r="BH56" s="41" t="e">
        <f ca="1" t="shared" si="14"/>
        <v>#REF!</v>
      </c>
      <c r="BI56" s="98"/>
      <c r="BJ56" s="98"/>
      <c r="BK56" s="107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</row>
    <row r="57" s="2" customFormat="1" ht="15.75" customHeight="1" spans="1:79">
      <c r="A57" s="68" t="s">
        <v>8432</v>
      </c>
      <c r="B57" s="69" t="s">
        <v>8433</v>
      </c>
      <c r="C57" s="40" t="s">
        <v>59</v>
      </c>
      <c r="D57" s="41" t="e">
        <f>+#REF!</f>
        <v>#REF!</v>
      </c>
      <c r="E57" s="42">
        <f ca="1" t="shared" si="15"/>
        <v>0</v>
      </c>
      <c r="F57" s="52">
        <f ca="1" t="shared" si="9"/>
        <v>0</v>
      </c>
      <c r="G57" s="22">
        <f ca="1">+GETPIVOTDATA("XSB4",'sonbinh (2016)'!$A$3,"MA_HT","PNK","MA_QH","LUC")</f>
        <v>0</v>
      </c>
      <c r="H57" s="22">
        <f ca="1">+GETPIVOTDATA("XSB4",'sonbinh (2016)'!$A$3,"MA_HT","PNK","MA_QH","LUK")</f>
        <v>0</v>
      </c>
      <c r="I57" s="22">
        <f ca="1">+GETPIVOTDATA("XSB4",'sonbinh (2016)'!$A$3,"MA_HT","PNK","MA_QH","LUN")</f>
        <v>0</v>
      </c>
      <c r="J57" s="22">
        <f ca="1">+GETPIVOTDATA("XSB4",'sonbinh (2016)'!$A$3,"MA_HT","PNK","MA_QH","HNK")</f>
        <v>0</v>
      </c>
      <c r="K57" s="22">
        <f ca="1">+GETPIVOTDATA("XSB4",'sonbinh (2016)'!$A$3,"MA_HT","PNK","MA_QH","CLN")</f>
        <v>0</v>
      </c>
      <c r="L57" s="22">
        <f ca="1">+GETPIVOTDATA("XSB4",'sonbinh (2016)'!$A$3,"MA_HT","PNK","MA_QH","RSX")</f>
        <v>0</v>
      </c>
      <c r="M57" s="22">
        <f ca="1">+GETPIVOTDATA("XSB4",'sonbinh (2016)'!$A$3,"MA_HT","PNK","MA_QH","RPH")</f>
        <v>0</v>
      </c>
      <c r="N57" s="22">
        <f ca="1">+GETPIVOTDATA("XSB4",'sonbinh (2016)'!$A$3,"MA_HT","PNK","MA_QH","RDD")</f>
        <v>0</v>
      </c>
      <c r="O57" s="22">
        <f ca="1">+GETPIVOTDATA("XSB4",'sonbinh (2016)'!$A$3,"MA_HT","PNK","MA_QH","NTS")</f>
        <v>0</v>
      </c>
      <c r="P57" s="22">
        <f ca="1">+GETPIVOTDATA("XSB4",'sonbinh (2016)'!$A$3,"MA_HT","PNK","MA_QH","LMU")</f>
        <v>0</v>
      </c>
      <c r="Q57" s="22">
        <f ca="1">+GETPIVOTDATA("XSB4",'sonbinh (2016)'!$A$3,"MA_HT","PNK","MA_QH","NKH")</f>
        <v>0</v>
      </c>
      <c r="R57" s="79">
        <f ca="1">SUM(S57:AA57,AN57:BC57)</f>
        <v>0</v>
      </c>
      <c r="S57" s="22">
        <f ca="1">+GETPIVOTDATA("XSB4",'sonbinh (2016)'!$A$3,"MA_HT","PNK","MA_QH","CQP")</f>
        <v>0</v>
      </c>
      <c r="T57" s="22">
        <f ca="1">+GETPIVOTDATA("XSB4",'sonbinh (2016)'!$A$3,"MA_HT","PNK","MA_QH","CAN")</f>
        <v>0</v>
      </c>
      <c r="U57" s="22">
        <f ca="1">+GETPIVOTDATA("XSB4",'sonbinh (2016)'!$A$3,"MA_HT","PNK","MA_QH","SKK")</f>
        <v>0</v>
      </c>
      <c r="V57" s="22">
        <f ca="1">+GETPIVOTDATA("XSB4",'sonbinh (2016)'!$A$3,"MA_HT","PNK","MA_QH","SKT")</f>
        <v>0</v>
      </c>
      <c r="W57" s="22">
        <f ca="1">+GETPIVOTDATA("XSB4",'sonbinh (2016)'!$A$3,"MA_HT","PNK","MA_QH","SKN")</f>
        <v>0</v>
      </c>
      <c r="X57" s="22">
        <f ca="1">+GETPIVOTDATA("XSB4",'sonbinh (2016)'!$A$3,"MA_HT","PNK","MA_QH","TMD")</f>
        <v>0</v>
      </c>
      <c r="Y57" s="22">
        <f ca="1">+GETPIVOTDATA("XSB4",'sonbinh (2016)'!$A$3,"MA_HT","PNK","MA_QH","SKC")</f>
        <v>0</v>
      </c>
      <c r="Z57" s="22">
        <f ca="1">+GETPIVOTDATA("XSB4",'sonbinh (2016)'!$A$3,"MA_HT","PNK","MA_QH","SKS")</f>
        <v>0</v>
      </c>
      <c r="AA57" s="52">
        <f ca="1" t="shared" si="21"/>
        <v>0</v>
      </c>
      <c r="AB57" s="22">
        <f ca="1">+GETPIVOTDATA("XSB4",'sonbinh (2016)'!$A$3,"MA_HT","PNK","MA_QH","DGT")</f>
        <v>0</v>
      </c>
      <c r="AC57" s="22">
        <f ca="1">+GETPIVOTDATA("XSB4",'sonbinh (2016)'!$A$3,"MA_HT","PNK","MA_QH","DTL")</f>
        <v>0</v>
      </c>
      <c r="AD57" s="22">
        <f ca="1">+GETPIVOTDATA("XSB4",'sonbinh (2016)'!$A$3,"MA_HT","PNK","MA_QH","DNL")</f>
        <v>0</v>
      </c>
      <c r="AE57" s="22">
        <f ca="1">+GETPIVOTDATA("XSB4",'sonbinh (2016)'!$A$3,"MA_HT","PNK","MA_QH","DBV")</f>
        <v>0</v>
      </c>
      <c r="AF57" s="22">
        <f ca="1">+GETPIVOTDATA("XSB4",'sonbinh (2016)'!$A$3,"MA_HT","PNK","MA_QH","DVH")</f>
        <v>0</v>
      </c>
      <c r="AG57" s="22">
        <f ca="1">+GETPIVOTDATA("XSB4",'sonbinh (2016)'!$A$3,"MA_HT","PNK","MA_QH","DYT")</f>
        <v>0</v>
      </c>
      <c r="AH57" s="22">
        <f ca="1">+GETPIVOTDATA("XSB4",'sonbinh (2016)'!$A$3,"MA_HT","PNK","MA_QH","DGD")</f>
        <v>0</v>
      </c>
      <c r="AI57" s="22">
        <f ca="1">+GETPIVOTDATA("XSB4",'sonbinh (2016)'!$A$3,"MA_HT","PNK","MA_QH","DTT")</f>
        <v>0</v>
      </c>
      <c r="AJ57" s="22">
        <f ca="1">+GETPIVOTDATA("XSB4",'sonbinh (2016)'!$A$3,"MA_HT","PNK","MA_QH","NCK")</f>
        <v>0</v>
      </c>
      <c r="AK57" s="22">
        <f ca="1">+GETPIVOTDATA("XSB4",'sonbinh (2016)'!$A$3,"MA_HT","PNK","MA_QH","DXH")</f>
        <v>0</v>
      </c>
      <c r="AL57" s="22">
        <f ca="1">+GETPIVOTDATA("XSB4",'sonbinh (2016)'!$A$3,"MA_HT","PNK","MA_QH","DCH")</f>
        <v>0</v>
      </c>
      <c r="AM57" s="22">
        <f ca="1">+GETPIVOTDATA("XSB4",'sonbinh (2016)'!$A$3,"MA_HT","PNK","MA_QH","DKG")</f>
        <v>0</v>
      </c>
      <c r="AN57" s="22">
        <f ca="1">+GETPIVOTDATA("XSB4",'sonbinh (2016)'!$A$3,"MA_HT","PNK","MA_QH","DDT")</f>
        <v>0</v>
      </c>
      <c r="AO57" s="22">
        <f ca="1">+GETPIVOTDATA("XSB4",'sonbinh (2016)'!$A$3,"MA_HT","PNK","MA_QH","DDL")</f>
        <v>0</v>
      </c>
      <c r="AP57" s="22">
        <f ca="1">+GETPIVOTDATA("XSB4",'sonbinh (2016)'!$A$3,"MA_HT","PNK","MA_QH","DRA")</f>
        <v>0</v>
      </c>
      <c r="AQ57" s="22">
        <f ca="1">+GETPIVOTDATA("XSB4",'sonbinh (2016)'!$A$3,"MA_HT","PNK","MA_QH","ONT")</f>
        <v>0</v>
      </c>
      <c r="AR57" s="22">
        <f ca="1">+GETPIVOTDATA("XSB4",'sonbinh (2016)'!$A$3,"MA_HT","PNK","MA_QH","ODT")</f>
        <v>0</v>
      </c>
      <c r="AS57" s="22">
        <f ca="1">+GETPIVOTDATA("XSB4",'sonbinh (2016)'!$A$3,"MA_HT","PNK","MA_QH","TSC")</f>
        <v>0</v>
      </c>
      <c r="AT57" s="22">
        <f ca="1">+GETPIVOTDATA("XSB4",'sonbinh (2016)'!$A$3,"MA_HT","PNK","MA_QH","DTS")</f>
        <v>0</v>
      </c>
      <c r="AU57" s="22">
        <f ca="1">+GETPIVOTDATA("XSB4",'sonbinh (2016)'!$A$3,"MA_HT","PNK","MA_QH","DNG")</f>
        <v>0</v>
      </c>
      <c r="AV57" s="22">
        <f ca="1">+GETPIVOTDATA("XSB4",'sonbinh (2016)'!$A$3,"MA_HT","PNK","MA_QH","TON")</f>
        <v>0</v>
      </c>
      <c r="AW57" s="22">
        <f ca="1">+GETPIVOTDATA("XSB4",'sonbinh (2016)'!$A$3,"MA_HT","PNK","MA_QH","NTD")</f>
        <v>0</v>
      </c>
      <c r="AX57" s="22">
        <f ca="1">+GETPIVOTDATA("XSB4",'sonbinh (2016)'!$A$3,"MA_HT","PNK","MA_QH","SKX")</f>
        <v>0</v>
      </c>
      <c r="AY57" s="22">
        <f ca="1">+GETPIVOTDATA("XSB4",'sonbinh (2016)'!$A$3,"MA_HT","PNK","MA_QH","DSH")</f>
        <v>0</v>
      </c>
      <c r="AZ57" s="22">
        <f ca="1">+GETPIVOTDATA("XSB4",'sonbinh (2016)'!$A$3,"MA_HT","PNK","MA_QH","DKV")</f>
        <v>0</v>
      </c>
      <c r="BA57" s="89">
        <f ca="1">+GETPIVOTDATA("XSB4",'sonbinh (2016)'!$A$3,"MA_HT","PNK","MA_QH","TIN")</f>
        <v>0</v>
      </c>
      <c r="BB57" s="50">
        <f ca="1">+GETPIVOTDATA("XSB4",'sonbinh (2016)'!$A$3,"MA_HT","PNK","MA_QH","SON")</f>
        <v>0</v>
      </c>
      <c r="BC57" s="50">
        <f ca="1">+GETPIVOTDATA("XSB4",'sonbinh (2016)'!$A$3,"MA_HT","PNK","MA_QH","MNC")</f>
        <v>0</v>
      </c>
      <c r="BD57" s="43" t="e">
        <f ca="1">$D57-$BF57</f>
        <v>#REF!</v>
      </c>
      <c r="BE57" s="71">
        <f ca="1">+GETPIVOTDATA("XSB4",'sonbinh (2016)'!$A$3,"MA_HT","PNK","MA_QH","CSD")</f>
        <v>0</v>
      </c>
      <c r="BF57" s="74">
        <f ca="1" t="shared" si="13"/>
        <v>0</v>
      </c>
      <c r="BG57" s="101">
        <f ca="1">BD$59-$BF57</f>
        <v>0</v>
      </c>
      <c r="BH57" s="41" t="e">
        <f ca="1" t="shared" si="14"/>
        <v>#REF!</v>
      </c>
      <c r="BI57" s="98"/>
      <c r="BJ57" s="98" t="e">
        <f>#REF!</f>
        <v>#REF!</v>
      </c>
      <c r="BK57" s="107" t="e">
        <f ca="1">BH57-BJ57</f>
        <v>#REF!</v>
      </c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</row>
    <row r="58" s="3" customFormat="1" ht="15.75" customHeight="1" spans="1:79">
      <c r="A58" s="70" t="s">
        <v>8434</v>
      </c>
      <c r="B58" s="36" t="s">
        <v>8435</v>
      </c>
      <c r="C58" s="37" t="s">
        <v>8284</v>
      </c>
      <c r="D58" s="32" t="e">
        <f>+#REF!</f>
        <v>#REF!</v>
      </c>
      <c r="E58" s="42">
        <f ca="1" t="shared" si="15"/>
        <v>0</v>
      </c>
      <c r="F58" s="33">
        <f ca="1" t="shared" si="9"/>
        <v>0</v>
      </c>
      <c r="G58" s="71">
        <f ca="1">+GETPIVOTDATA("XSB4",'sonbinh (2016)'!$A$3,"MA_HT","CSD","MA_QH","LUC")</f>
        <v>0</v>
      </c>
      <c r="H58" s="71">
        <f ca="1">+GETPIVOTDATA("XSB4",'sonbinh (2016)'!$A$3,"MA_HT","CSD","MA_QH","LUK")</f>
        <v>0</v>
      </c>
      <c r="I58" s="71">
        <f ca="1">+GETPIVOTDATA("XSB4",'sonbinh (2016)'!$A$3,"MA_HT","CSD","MA_QH","LUN")</f>
        <v>0</v>
      </c>
      <c r="J58" s="71">
        <f ca="1">+GETPIVOTDATA("XSB4",'sonbinh (2016)'!$A$3,"MA_HT","CSD","MA_QH","HNK")</f>
        <v>0</v>
      </c>
      <c r="K58" s="71">
        <f ca="1">+GETPIVOTDATA("XSB4",'sonbinh (2016)'!$A$3,"MA_HT","CSD","MA_QH","CLN")</f>
        <v>0</v>
      </c>
      <c r="L58" s="71">
        <f ca="1">+GETPIVOTDATA("XSB4",'sonbinh (2016)'!$A$3,"MA_HT","CSD","MA_QH","RSX")</f>
        <v>0</v>
      </c>
      <c r="M58" s="71">
        <f ca="1">+GETPIVOTDATA("XSB4",'sonbinh (2016)'!$A$3,"MA_HT","CSD","MA_QH","RPH")</f>
        <v>0</v>
      </c>
      <c r="N58" s="71">
        <f ca="1">+GETPIVOTDATA("XSB4",'sonbinh (2016)'!$A$3,"MA_HT","CSD","MA_QH","RDD")</f>
        <v>0</v>
      </c>
      <c r="O58" s="71">
        <f ca="1">+GETPIVOTDATA("XSB4",'sonbinh (2016)'!$A$3,"MA_HT","CSD","MA_QH","NTS")</f>
        <v>0</v>
      </c>
      <c r="P58" s="71">
        <f ca="1">+GETPIVOTDATA("XSB4",'sonbinh (2016)'!$A$3,"MA_HT","CSD","MA_QH","LMU")</f>
        <v>0</v>
      </c>
      <c r="Q58" s="71">
        <f ca="1">+GETPIVOTDATA("XSB4",'sonbinh (2016)'!$A$3,"MA_HT","CSD","MA_QH","NKH")</f>
        <v>0</v>
      </c>
      <c r="R58" s="79">
        <f ca="1">SUM(S58:AA58,AN58:BD58)</f>
        <v>0</v>
      </c>
      <c r="S58" s="80">
        <f ca="1">+GETPIVOTDATA("XSB4",'sonbinh (2016)'!$A$3,"MA_HT","CSD","MA_QH","CQP")</f>
        <v>0</v>
      </c>
      <c r="T58" s="80">
        <f ca="1">+GETPIVOTDATA("XSB4",'sonbinh (2016)'!$A$3,"MA_HT","CSD","MA_QH","CAN")</f>
        <v>0</v>
      </c>
      <c r="U58" s="71">
        <f ca="1">+GETPIVOTDATA("XSB4",'sonbinh (2016)'!$A$3,"MA_HT","CSD","MA_QH","SKK")</f>
        <v>0</v>
      </c>
      <c r="V58" s="71">
        <f ca="1">+GETPIVOTDATA("XSB4",'sonbinh (2016)'!$A$3,"MA_HT","CSD","MA_QH","SKT")</f>
        <v>0</v>
      </c>
      <c r="W58" s="71">
        <f ca="1">+GETPIVOTDATA("XSB4",'sonbinh (2016)'!$A$3,"MA_HT","CSD","MA_QH","SKN")</f>
        <v>0</v>
      </c>
      <c r="X58" s="71">
        <f ca="1">+GETPIVOTDATA("XSB4",'sonbinh (2016)'!$A$3,"MA_HT","CSD","MA_QH","TMD")</f>
        <v>0</v>
      </c>
      <c r="Y58" s="71">
        <f ca="1">+GETPIVOTDATA("XSB4",'sonbinh (2016)'!$A$3,"MA_HT","CSD","MA_QH","SKC")</f>
        <v>0</v>
      </c>
      <c r="Z58" s="71">
        <f ca="1">+GETPIVOTDATA("XSB4",'sonbinh (2016)'!$A$3,"MA_HT","CSD","MA_QH","SKS")</f>
        <v>0</v>
      </c>
      <c r="AA58" s="52">
        <f ca="1" t="shared" si="21"/>
        <v>0</v>
      </c>
      <c r="AB58" s="80">
        <f ca="1">+GETPIVOTDATA("XSB4",'sonbinh (2016)'!$A$3,"MA_HT","CSD","MA_QH","DGT")</f>
        <v>0</v>
      </c>
      <c r="AC58" s="80">
        <f ca="1">+GETPIVOTDATA("XSB4",'sonbinh (2016)'!$A$3,"MA_HT","CSD","MA_QH","DTL")</f>
        <v>0</v>
      </c>
      <c r="AD58" s="80">
        <f ca="1">+GETPIVOTDATA("XSB4",'sonbinh (2016)'!$A$3,"MA_HT","CSD","MA_QH","DNL")</f>
        <v>0</v>
      </c>
      <c r="AE58" s="80">
        <f ca="1">+GETPIVOTDATA("XSB4",'sonbinh (2016)'!$A$3,"MA_HT","CSD","MA_QH","DBV")</f>
        <v>0</v>
      </c>
      <c r="AF58" s="80">
        <f ca="1">+GETPIVOTDATA("XSB4",'sonbinh (2016)'!$A$3,"MA_HT","CSD","MA_QH","DVH")</f>
        <v>0</v>
      </c>
      <c r="AG58" s="80">
        <f ca="1">+GETPIVOTDATA("XSB4",'sonbinh (2016)'!$A$3,"MA_HT","CSD","MA_QH","DYT")</f>
        <v>0</v>
      </c>
      <c r="AH58" s="80">
        <f ca="1">+GETPIVOTDATA("XSB4",'sonbinh (2016)'!$A$3,"MA_HT","CSD","MA_QH","DGD")</f>
        <v>0</v>
      </c>
      <c r="AI58" s="80">
        <f ca="1">+GETPIVOTDATA("XSB4",'sonbinh (2016)'!$A$3,"MA_HT","CSD","MA_QH","DTT")</f>
        <v>0</v>
      </c>
      <c r="AJ58" s="80">
        <f ca="1">+GETPIVOTDATA("XSB4",'sonbinh (2016)'!$A$3,"MA_HT","CSD","MA_QH","NCK")</f>
        <v>0</v>
      </c>
      <c r="AK58" s="80">
        <f ca="1">+GETPIVOTDATA("XSB4",'sonbinh (2016)'!$A$3,"MA_HT","CSD","MA_QH","DXH")</f>
        <v>0</v>
      </c>
      <c r="AL58" s="80">
        <f ca="1">+GETPIVOTDATA("XSB4",'sonbinh (2016)'!$A$3,"MA_HT","CSD","MA_QH","DCH")</f>
        <v>0</v>
      </c>
      <c r="AM58" s="80">
        <f ca="1">+GETPIVOTDATA("XSB4",'sonbinh (2016)'!$A$3,"MA_HT","CSD","MA_QH","DKG")</f>
        <v>0</v>
      </c>
      <c r="AN58" s="71">
        <f ca="1">+GETPIVOTDATA("XSB4",'sonbinh (2016)'!$A$3,"MA_HT","CSD","MA_QH","DDT")</f>
        <v>0</v>
      </c>
      <c r="AO58" s="71">
        <f ca="1">+GETPIVOTDATA("XSB4",'sonbinh (2016)'!$A$3,"MA_HT","CSD","MA_QH","DDL")</f>
        <v>0</v>
      </c>
      <c r="AP58" s="71">
        <f ca="1">+GETPIVOTDATA("XSB4",'sonbinh (2016)'!$A$3,"MA_HT","CSD","MA_QH","DRA")</f>
        <v>0</v>
      </c>
      <c r="AQ58" s="71">
        <f ca="1">+GETPIVOTDATA("XSB4",'sonbinh (2016)'!$A$3,"MA_HT","CSD","MA_QH","ONT")</f>
        <v>0</v>
      </c>
      <c r="AR58" s="71">
        <f ca="1">+GETPIVOTDATA("XSB4",'sonbinh (2016)'!$A$3,"MA_HT","CSD","MA_QH","ODT")</f>
        <v>0</v>
      </c>
      <c r="AS58" s="71">
        <f ca="1">+GETPIVOTDATA("XSB4",'sonbinh (2016)'!$A$3,"MA_HT","CSD","MA_QH","TSC")</f>
        <v>0</v>
      </c>
      <c r="AT58" s="71">
        <f ca="1">+GETPIVOTDATA("XSB4",'sonbinh (2016)'!$A$3,"MA_HT","CSD","MA_QH","DTS")</f>
        <v>0</v>
      </c>
      <c r="AU58" s="71">
        <f ca="1">+GETPIVOTDATA("XSB4",'sonbinh (2016)'!$A$3,"MA_HT","CSD","MA_QH","DNG")</f>
        <v>0</v>
      </c>
      <c r="AV58" s="71">
        <f ca="1">+GETPIVOTDATA("XSB4",'sonbinh (2016)'!$A$3,"MA_HT","CSD","MA_QH","TON")</f>
        <v>0</v>
      </c>
      <c r="AW58" s="71">
        <f ca="1">+GETPIVOTDATA("XSB4",'sonbinh (2016)'!$A$3,"MA_HT","CSD","MA_QH","NTD")</f>
        <v>0</v>
      </c>
      <c r="AX58" s="71">
        <f ca="1">+GETPIVOTDATA("XSB4",'sonbinh (2016)'!$A$3,"MA_HT","CSD","MA_QH","SKX")</f>
        <v>0</v>
      </c>
      <c r="AY58" s="71">
        <f ca="1">+GETPIVOTDATA("XSB4",'sonbinh (2016)'!$A$3,"MA_HT","CSD","MA_QH","DSH")</f>
        <v>0</v>
      </c>
      <c r="AZ58" s="71">
        <f ca="1">+GETPIVOTDATA("XSB4",'sonbinh (2016)'!$A$3,"MA_HT","CSD","MA_QH","DKV")</f>
        <v>0</v>
      </c>
      <c r="BA58" s="89">
        <f ca="1">+GETPIVOTDATA("XSB4",'sonbinh (2016)'!$A$3,"MA_HT","CSD","MA_QH","TIN")</f>
        <v>0</v>
      </c>
      <c r="BB58" s="80">
        <f ca="1">+GETPIVOTDATA("XSB4",'sonbinh (2016)'!$A$3,"MA_HT","CSD","MA_QH","SON")</f>
        <v>0</v>
      </c>
      <c r="BC58" s="80">
        <f ca="1">+GETPIVOTDATA("XSB4",'sonbinh (2016)'!$A$3,"MA_HT","CSD","MA_QH","MNC")</f>
        <v>0</v>
      </c>
      <c r="BD58" s="71">
        <f ca="1">+GETPIVOTDATA("XSB4",'sonbinh (2016)'!$A$3,"MA_HT","CSD","MA_QH","PNK")</f>
        <v>0</v>
      </c>
      <c r="BE58" s="38" t="e">
        <f ca="1">$D58-$BF58</f>
        <v>#REF!</v>
      </c>
      <c r="BF58" s="74">
        <f ca="1">R58+E58</f>
        <v>0</v>
      </c>
      <c r="BG58" s="119">
        <f ca="1">BE$59-$BF58</f>
        <v>0</v>
      </c>
      <c r="BH58" s="41" t="e">
        <f ca="1" t="shared" si="14"/>
        <v>#REF!</v>
      </c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</row>
    <row r="59" s="2" customFormat="1" ht="13.5" spans="1:246">
      <c r="A59" s="72"/>
      <c r="B59" s="72" t="s">
        <v>8436</v>
      </c>
      <c r="C59" s="73"/>
      <c r="D59" s="74"/>
      <c r="E59" s="75">
        <f ca="1">E58+E19</f>
        <v>0</v>
      </c>
      <c r="F59" s="74">
        <f ca="1" t="shared" ref="F59:Q59" si="22">F58+F19+F6</f>
        <v>0</v>
      </c>
      <c r="G59" s="74">
        <f ca="1" t="shared" si="22"/>
        <v>0</v>
      </c>
      <c r="H59" s="74">
        <f ca="1" t="shared" si="22"/>
        <v>0</v>
      </c>
      <c r="I59" s="74">
        <f ca="1" t="shared" si="22"/>
        <v>0</v>
      </c>
      <c r="J59" s="74">
        <f ca="1" t="shared" si="22"/>
        <v>0</v>
      </c>
      <c r="K59" s="74">
        <f ca="1" t="shared" si="22"/>
        <v>0</v>
      </c>
      <c r="L59" s="74">
        <f ca="1" t="shared" si="22"/>
        <v>0</v>
      </c>
      <c r="M59" s="74">
        <f ca="1" t="shared" si="22"/>
        <v>0</v>
      </c>
      <c r="N59" s="74">
        <f ca="1" t="shared" si="22"/>
        <v>0</v>
      </c>
      <c r="O59" s="74">
        <f ca="1" t="shared" si="22"/>
        <v>0</v>
      </c>
      <c r="P59" s="74">
        <f ca="1" t="shared" si="22"/>
        <v>0</v>
      </c>
      <c r="Q59" s="74">
        <f ca="1" t="shared" si="22"/>
        <v>0</v>
      </c>
      <c r="R59" s="75">
        <f ca="1">+R58+R6</f>
        <v>0</v>
      </c>
      <c r="S59" s="74">
        <f ca="1" t="shared" ref="S59:BD59" si="23">S58+S19+S6</f>
        <v>0</v>
      </c>
      <c r="T59" s="74">
        <f ca="1" t="shared" si="23"/>
        <v>0</v>
      </c>
      <c r="U59" s="74">
        <f ca="1" t="shared" si="23"/>
        <v>0</v>
      </c>
      <c r="V59" s="74">
        <f ca="1" t="shared" si="23"/>
        <v>0</v>
      </c>
      <c r="W59" s="74">
        <f ca="1" t="shared" si="23"/>
        <v>0</v>
      </c>
      <c r="X59" s="74">
        <f ca="1" t="shared" si="23"/>
        <v>0</v>
      </c>
      <c r="Y59" s="74">
        <f ca="1" t="shared" si="23"/>
        <v>0</v>
      </c>
      <c r="Z59" s="74">
        <f ca="1" t="shared" si="23"/>
        <v>0</v>
      </c>
      <c r="AA59" s="74">
        <f ca="1" t="shared" si="23"/>
        <v>0</v>
      </c>
      <c r="AB59" s="74">
        <f ca="1" t="shared" si="23"/>
        <v>0</v>
      </c>
      <c r="AC59" s="74">
        <f ca="1" t="shared" si="23"/>
        <v>0</v>
      </c>
      <c r="AD59" s="74">
        <f ca="1" t="shared" si="23"/>
        <v>0</v>
      </c>
      <c r="AE59" s="74">
        <f ca="1" t="shared" si="23"/>
        <v>0</v>
      </c>
      <c r="AF59" s="74">
        <f ca="1" t="shared" si="23"/>
        <v>0</v>
      </c>
      <c r="AG59" s="74">
        <f ca="1" t="shared" si="23"/>
        <v>0</v>
      </c>
      <c r="AH59" s="74">
        <f ca="1" t="shared" si="23"/>
        <v>0</v>
      </c>
      <c r="AI59" s="74">
        <f ca="1" t="shared" si="23"/>
        <v>0</v>
      </c>
      <c r="AJ59" s="74">
        <f ca="1" t="shared" si="23"/>
        <v>0</v>
      </c>
      <c r="AK59" s="74">
        <f ca="1" t="shared" si="23"/>
        <v>0</v>
      </c>
      <c r="AL59" s="74">
        <f ca="1" t="shared" si="23"/>
        <v>0</v>
      </c>
      <c r="AM59" s="74">
        <f ca="1" t="shared" si="23"/>
        <v>0</v>
      </c>
      <c r="AN59" s="74">
        <f ca="1" t="shared" si="23"/>
        <v>0</v>
      </c>
      <c r="AO59" s="74">
        <f ca="1" t="shared" si="23"/>
        <v>0</v>
      </c>
      <c r="AP59" s="74">
        <f ca="1" t="shared" si="23"/>
        <v>0</v>
      </c>
      <c r="AQ59" s="74">
        <f ca="1" t="shared" si="23"/>
        <v>0</v>
      </c>
      <c r="AR59" s="74">
        <f ca="1" t="shared" si="23"/>
        <v>0</v>
      </c>
      <c r="AS59" s="74">
        <f ca="1" t="shared" si="23"/>
        <v>0</v>
      </c>
      <c r="AT59" s="74">
        <f ca="1" t="shared" si="23"/>
        <v>0</v>
      </c>
      <c r="AU59" s="74">
        <f ca="1" t="shared" si="23"/>
        <v>0</v>
      </c>
      <c r="AV59" s="74">
        <f ca="1" t="shared" si="23"/>
        <v>0</v>
      </c>
      <c r="AW59" s="74">
        <f ca="1" t="shared" si="23"/>
        <v>0</v>
      </c>
      <c r="AX59" s="74">
        <f ca="1" t="shared" si="23"/>
        <v>0</v>
      </c>
      <c r="AY59" s="74">
        <f ca="1" t="shared" si="23"/>
        <v>0</v>
      </c>
      <c r="AZ59" s="74">
        <f ca="1" t="shared" si="23"/>
        <v>0</v>
      </c>
      <c r="BA59" s="75">
        <f ca="1" t="shared" si="23"/>
        <v>0</v>
      </c>
      <c r="BB59" s="74">
        <f ca="1" t="shared" si="23"/>
        <v>0</v>
      </c>
      <c r="BC59" s="74">
        <f ca="1" t="shared" si="23"/>
        <v>0</v>
      </c>
      <c r="BD59" s="74">
        <f ca="1" t="shared" si="23"/>
        <v>0</v>
      </c>
      <c r="BE59" s="120">
        <f ca="1">BE19+BE6</f>
        <v>0</v>
      </c>
      <c r="BF59" s="74"/>
      <c r="BG59" s="74"/>
      <c r="BH59" s="74"/>
      <c r="BI59" s="121"/>
      <c r="BJ59" s="121"/>
      <c r="BK59" s="121"/>
      <c r="BL59" s="1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3"/>
      <c r="CB59" s="123"/>
      <c r="CC59" s="124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</row>
    <row r="61" spans="61:76"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</row>
  </sheetData>
  <mergeCells count="3">
    <mergeCell ref="A3:A4"/>
    <mergeCell ref="B3:B4"/>
    <mergeCell ref="C3:C4"/>
  </mergeCells>
  <pageMargins left="0.65" right="0" top="0.5" bottom="0.25" header="0.5" footer="0.5"/>
  <pageSetup paperSize="8" orientation="landscape" horizontalDpi="360" verticalDpi="36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1">
    <tabColor rgb="FFFF0000"/>
  </sheetPr>
  <dimension ref="A1:IL61"/>
  <sheetViews>
    <sheetView workbookViewId="0">
      <selection activeCell="A1" sqref="A1"/>
    </sheetView>
  </sheetViews>
  <sheetFormatPr defaultColWidth="9" defaultRowHeight="15"/>
  <cols>
    <col min="1" max="1" width="6.375" style="7" customWidth="1"/>
    <col min="2" max="2" width="29.125" style="7" customWidth="1"/>
    <col min="3" max="3" width="6" style="7" customWidth="1"/>
    <col min="4" max="4" width="9.75" style="8" customWidth="1"/>
    <col min="5" max="5" width="9.375" style="9" customWidth="1"/>
    <col min="6" max="6" width="7" style="8" customWidth="1"/>
    <col min="7" max="7" width="7.75" style="8" customWidth="1"/>
    <col min="8" max="8" width="7" style="8" customWidth="1"/>
    <col min="9" max="9" width="6.875" style="8" customWidth="1"/>
    <col min="10" max="10" width="7.625" style="8" customWidth="1"/>
    <col min="11" max="11" width="9.125" style="8" customWidth="1"/>
    <col min="12" max="12" width="8.25" style="8" customWidth="1"/>
    <col min="13" max="13" width="6" style="8" customWidth="1"/>
    <col min="14" max="14" width="6.25" style="8" customWidth="1"/>
    <col min="15" max="15" width="5.875" style="8" customWidth="1"/>
    <col min="16" max="16" width="5.75" style="8" customWidth="1"/>
    <col min="17" max="17" width="6.25" style="8" customWidth="1"/>
    <col min="18" max="18" width="8.75" style="10" customWidth="1"/>
    <col min="19" max="19" width="7.125" style="8" customWidth="1"/>
    <col min="20" max="20" width="7.75" style="8" customWidth="1"/>
    <col min="21" max="23" width="6.125" style="8" customWidth="1"/>
    <col min="24" max="24" width="7.125" style="8" customWidth="1"/>
    <col min="25" max="25" width="7.75" style="8" customWidth="1"/>
    <col min="26" max="26" width="6.875" style="8" customWidth="1"/>
    <col min="27" max="27" width="7.375" style="8" customWidth="1"/>
    <col min="28" max="28" width="9" style="8"/>
    <col min="29" max="29" width="7.25" style="8" customWidth="1"/>
    <col min="30" max="30" width="7" style="8" customWidth="1"/>
    <col min="31" max="31" width="6.125" style="8" customWidth="1"/>
    <col min="32" max="33" width="6.625" style="8" customWidth="1"/>
    <col min="34" max="34" width="6.125" style="8" customWidth="1"/>
    <col min="35" max="35" width="8.5" style="8" customWidth="1"/>
    <col min="36" max="36" width="8.875" style="8" customWidth="1"/>
    <col min="37" max="37" width="8.75" style="8" customWidth="1"/>
    <col min="38" max="39" width="6.625" style="8" customWidth="1"/>
    <col min="40" max="41" width="6.875" style="8" customWidth="1"/>
    <col min="42" max="42" width="6.75" style="8" customWidth="1"/>
    <col min="43" max="43" width="6.375" style="8" customWidth="1"/>
    <col min="44" max="44" width="6.125" style="8" customWidth="1"/>
    <col min="45" max="46" width="5.75" style="8" customWidth="1"/>
    <col min="47" max="47" width="6.5" style="8" customWidth="1"/>
    <col min="48" max="49" width="5.625" style="8" customWidth="1"/>
    <col min="50" max="51" width="6.125" style="8" customWidth="1"/>
    <col min="52" max="52" width="7.625" style="8" customWidth="1"/>
    <col min="53" max="53" width="9.375" style="11" customWidth="1"/>
    <col min="54" max="54" width="6.625" style="12" customWidth="1"/>
    <col min="55" max="55" width="6.25" style="12" customWidth="1"/>
    <col min="56" max="56" width="7.125" style="8" customWidth="1"/>
    <col min="57" max="57" width="6.25" style="9" customWidth="1"/>
    <col min="58" max="58" width="7.25" style="11" customWidth="1"/>
    <col min="59" max="59" width="8.25" style="11" customWidth="1"/>
    <col min="60" max="60" width="10.125" style="11" customWidth="1"/>
    <col min="61" max="61" width="5.125" style="7" customWidth="1"/>
    <col min="62" max="62" width="8.375" style="7" hidden="1" customWidth="1"/>
    <col min="63" max="63" width="9" style="7" hidden="1" customWidth="1"/>
    <col min="64" max="64" width="4.875" style="7" customWidth="1"/>
    <col min="65" max="65" width="6.25" style="7" customWidth="1"/>
    <col min="66" max="66" width="5" style="7" customWidth="1"/>
    <col min="67" max="67" width="4.25" style="7" customWidth="1"/>
    <col min="68" max="68" width="5.375" style="7" customWidth="1"/>
    <col min="69" max="69" width="5.125" style="7" customWidth="1"/>
    <col min="70" max="70" width="4.625" style="7" customWidth="1"/>
    <col min="71" max="71" width="5.625" style="7" customWidth="1"/>
    <col min="72" max="72" width="5.875" style="7" customWidth="1"/>
    <col min="73" max="73" width="5" style="7" customWidth="1"/>
    <col min="74" max="74" width="3.875" style="7" customWidth="1"/>
    <col min="75" max="75" width="4.625" style="7" customWidth="1"/>
    <col min="76" max="76" width="5.5" style="7" customWidth="1"/>
    <col min="77" max="77" width="7.625" style="13" customWidth="1"/>
    <col min="78" max="79" width="8.375" style="13" customWidth="1"/>
    <col min="80" max="80" width="7.5" style="7" customWidth="1"/>
    <col min="81" max="16384" width="9" style="7"/>
  </cols>
  <sheetData>
    <row r="1" ht="21" customHeight="1" spans="1:82">
      <c r="A1" s="14" t="s">
        <v>8330</v>
      </c>
      <c r="B1" s="15"/>
      <c r="C1" s="16" t="e">
        <f>+"CHU CHUYỂN ĐẤT ĐAI TRONG KẾ HOẠCH SỬ DỤNG ĐẤT NĂM 2015 CỦA "&amp;#REF!</f>
        <v>#REF!</v>
      </c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83"/>
      <c r="BC1" s="83"/>
      <c r="BD1" s="18"/>
      <c r="BE1" s="18"/>
      <c r="BF1" s="18"/>
      <c r="BG1" s="18"/>
      <c r="BH1" s="18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7"/>
      <c r="BZ1" s="7"/>
      <c r="CA1" s="7"/>
      <c r="CB1" s="8"/>
      <c r="CC1" s="8"/>
      <c r="CD1" s="8"/>
    </row>
    <row r="2" s="1" customFormat="1" ht="7.5" customHeight="1" spans="1:82">
      <c r="A2" s="1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9"/>
      <c r="BA2" s="20"/>
      <c r="BB2" s="84"/>
      <c r="BC2" s="84"/>
      <c r="BD2" s="20"/>
      <c r="BE2" s="20"/>
      <c r="BF2" s="20"/>
      <c r="BG2" s="20"/>
      <c r="BH2" s="95" t="s">
        <v>8331</v>
      </c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CB2" s="9"/>
      <c r="CC2" s="9"/>
      <c r="CD2" s="9"/>
    </row>
    <row r="3" s="2" customFormat="1" ht="15.75" customHeight="1" spans="1:79">
      <c r="A3" s="21" t="s">
        <v>3</v>
      </c>
      <c r="B3" s="21" t="s">
        <v>8332</v>
      </c>
      <c r="C3" s="21" t="s">
        <v>8333</v>
      </c>
      <c r="D3" s="22"/>
      <c r="E3" s="23" t="s">
        <v>8334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7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85"/>
      <c r="BC3" s="85"/>
      <c r="BD3" s="24"/>
      <c r="BE3" s="97"/>
      <c r="BF3" s="22"/>
      <c r="BG3" s="22"/>
      <c r="BH3" s="22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</row>
    <row r="4" s="2" customFormat="1" ht="31.5" customHeight="1" spans="1:79">
      <c r="A4" s="25"/>
      <c r="B4" s="25"/>
      <c r="C4" s="25"/>
      <c r="D4" s="26" t="s">
        <v>8335</v>
      </c>
      <c r="E4" s="27" t="s">
        <v>8303</v>
      </c>
      <c r="F4" s="28" t="s">
        <v>8298</v>
      </c>
      <c r="G4" s="29" t="s">
        <v>8299</v>
      </c>
      <c r="H4" s="29" t="s">
        <v>221</v>
      </c>
      <c r="I4" s="29" t="s">
        <v>8300</v>
      </c>
      <c r="J4" s="28" t="s">
        <v>2492</v>
      </c>
      <c r="K4" s="28" t="s">
        <v>30</v>
      </c>
      <c r="L4" s="28" t="s">
        <v>8307</v>
      </c>
      <c r="M4" s="28" t="s">
        <v>8306</v>
      </c>
      <c r="N4" s="28" t="s">
        <v>8305</v>
      </c>
      <c r="O4" s="76" t="s">
        <v>318</v>
      </c>
      <c r="P4" s="28" t="s">
        <v>8297</v>
      </c>
      <c r="Q4" s="28" t="s">
        <v>553</v>
      </c>
      <c r="R4" s="37" t="s">
        <v>8304</v>
      </c>
      <c r="S4" s="40" t="s">
        <v>31</v>
      </c>
      <c r="T4" s="40" t="s">
        <v>8283</v>
      </c>
      <c r="U4" s="40" t="s">
        <v>47</v>
      </c>
      <c r="V4" s="40" t="s">
        <v>8308</v>
      </c>
      <c r="W4" s="40" t="s">
        <v>56</v>
      </c>
      <c r="X4" s="40" t="s">
        <v>265</v>
      </c>
      <c r="Y4" s="40" t="s">
        <v>204</v>
      </c>
      <c r="Z4" s="40" t="s">
        <v>174</v>
      </c>
      <c r="AA4" s="40" t="s">
        <v>8288</v>
      </c>
      <c r="AB4" s="46" t="s">
        <v>94</v>
      </c>
      <c r="AC4" s="46" t="s">
        <v>216</v>
      </c>
      <c r="AD4" s="46" t="s">
        <v>71</v>
      </c>
      <c r="AE4" s="46" t="s">
        <v>8285</v>
      </c>
      <c r="AF4" s="46" t="s">
        <v>212</v>
      </c>
      <c r="AG4" s="46" t="s">
        <v>8296</v>
      </c>
      <c r="AH4" s="46" t="s">
        <v>165</v>
      </c>
      <c r="AI4" s="46" t="s">
        <v>8294</v>
      </c>
      <c r="AJ4" s="46" t="s">
        <v>8302</v>
      </c>
      <c r="AK4" s="46" t="s">
        <v>8295</v>
      </c>
      <c r="AL4" s="46" t="s">
        <v>178</v>
      </c>
      <c r="AM4" s="46" t="s">
        <v>8312</v>
      </c>
      <c r="AN4" s="40" t="s">
        <v>8287</v>
      </c>
      <c r="AO4" s="40" t="s">
        <v>8286</v>
      </c>
      <c r="AP4" s="40" t="s">
        <v>8291</v>
      </c>
      <c r="AQ4" s="40" t="s">
        <v>188</v>
      </c>
      <c r="AR4" s="40" t="s">
        <v>201</v>
      </c>
      <c r="AS4" s="40" t="s">
        <v>336</v>
      </c>
      <c r="AT4" s="40" t="s">
        <v>8293</v>
      </c>
      <c r="AU4" s="40" t="s">
        <v>8290</v>
      </c>
      <c r="AV4" s="40" t="s">
        <v>324</v>
      </c>
      <c r="AW4" s="40" t="s">
        <v>182</v>
      </c>
      <c r="AX4" s="40" t="s">
        <v>236</v>
      </c>
      <c r="AY4" s="40" t="s">
        <v>8292</v>
      </c>
      <c r="AZ4" s="40" t="s">
        <v>8289</v>
      </c>
      <c r="BA4" s="40" t="s">
        <v>8310</v>
      </c>
      <c r="BB4" s="40" t="s">
        <v>8309</v>
      </c>
      <c r="BC4" s="40" t="s">
        <v>8301</v>
      </c>
      <c r="BD4" s="40" t="s">
        <v>59</v>
      </c>
      <c r="BE4" s="27" t="s">
        <v>8284</v>
      </c>
      <c r="BF4" s="99" t="s">
        <v>8336</v>
      </c>
      <c r="BG4" s="100" t="s">
        <v>8337</v>
      </c>
      <c r="BH4" s="26" t="s">
        <v>8335</v>
      </c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</row>
    <row r="5" s="2" customFormat="1" ht="15.75" customHeight="1" spans="1:79">
      <c r="A5" s="30"/>
      <c r="B5" s="30" t="s">
        <v>8338</v>
      </c>
      <c r="C5" s="31"/>
      <c r="D5" s="32" t="e">
        <f>+#REF!</f>
        <v>#REF!</v>
      </c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86"/>
      <c r="BC5" s="86"/>
      <c r="BD5" s="34"/>
      <c r="BE5" s="33"/>
      <c r="BF5" s="34"/>
      <c r="BG5" s="34"/>
      <c r="BH5" s="34" t="e">
        <f ca="1">BH6+BH19+BH58</f>
        <v>#REF!</v>
      </c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</row>
    <row r="6" s="3" customFormat="1" ht="15.75" customHeight="1" spans="1:79">
      <c r="A6" s="35">
        <v>1</v>
      </c>
      <c r="B6" s="36" t="s">
        <v>8339</v>
      </c>
      <c r="C6" s="37" t="s">
        <v>8303</v>
      </c>
      <c r="D6" s="33" t="e">
        <f>+#REF!</f>
        <v>#REF!</v>
      </c>
      <c r="E6" s="38" t="e">
        <f ca="1">$D6-$BF6</f>
        <v>#REF!</v>
      </c>
      <c r="F6" s="33">
        <f ca="1">SUM(F11:F18)</f>
        <v>0</v>
      </c>
      <c r="G6" s="33">
        <f ca="1">SUM(G7,G11:G18)</f>
        <v>0</v>
      </c>
      <c r="H6" s="33">
        <f ca="1">SUM(H7,H11:H18)</f>
        <v>0</v>
      </c>
      <c r="I6" s="33">
        <f ca="1">SUM(I7,I11:I18)</f>
        <v>0</v>
      </c>
      <c r="J6" s="33">
        <f ca="1">SUM(J7,J12:J18)</f>
        <v>0</v>
      </c>
      <c r="K6" s="33">
        <f ca="1">SUM(K7,K11,K13:K18)</f>
        <v>0</v>
      </c>
      <c r="L6" s="33">
        <f ca="1">SUM(L7,L11:L12,L14:L18)</f>
        <v>0</v>
      </c>
      <c r="M6" s="33">
        <f ca="1">SUM(M7,M11:M13,M15:M18)</f>
        <v>0</v>
      </c>
      <c r="N6" s="33">
        <f ca="1">SUM(N7,N11:N14,N16:N18)</f>
        <v>0</v>
      </c>
      <c r="O6" s="33">
        <f ca="1">SUM(O7,O11:O15,O17:O18)</f>
        <v>0</v>
      </c>
      <c r="P6" s="33">
        <f ca="1">SUM(P7,P11:P16,P18:P18)</f>
        <v>0</v>
      </c>
      <c r="Q6" s="33">
        <f ca="1">SUM(Q7,Q11:Q17)</f>
        <v>0</v>
      </c>
      <c r="R6" s="33">
        <f ca="1">SUM(R7,R11:R18)</f>
        <v>0</v>
      </c>
      <c r="S6" s="33">
        <f ca="1">SUM(S7,S11:S18)</f>
        <v>0</v>
      </c>
      <c r="T6" s="33">
        <f ca="1" t="shared" ref="T6:BE6" si="0">SUM(T7,T11:T18)</f>
        <v>0</v>
      </c>
      <c r="U6" s="33">
        <f ca="1" t="shared" si="0"/>
        <v>0</v>
      </c>
      <c r="V6" s="33">
        <f ca="1" t="shared" si="0"/>
        <v>0</v>
      </c>
      <c r="W6" s="33">
        <f ca="1" t="shared" si="0"/>
        <v>0</v>
      </c>
      <c r="X6" s="33">
        <f ca="1" t="shared" si="0"/>
        <v>0</v>
      </c>
      <c r="Y6" s="33">
        <f ca="1" t="shared" si="0"/>
        <v>0</v>
      </c>
      <c r="Z6" s="33">
        <f ca="1" t="shared" si="0"/>
        <v>0</v>
      </c>
      <c r="AA6" s="33">
        <f ca="1" t="shared" si="0"/>
        <v>0</v>
      </c>
      <c r="AB6" s="33">
        <f ca="1" t="shared" si="0"/>
        <v>0</v>
      </c>
      <c r="AC6" s="33">
        <f ca="1" t="shared" si="0"/>
        <v>0</v>
      </c>
      <c r="AD6" s="33">
        <f ca="1" t="shared" si="0"/>
        <v>0</v>
      </c>
      <c r="AE6" s="33">
        <f ca="1" t="shared" si="0"/>
        <v>0</v>
      </c>
      <c r="AF6" s="33">
        <f ca="1" t="shared" si="0"/>
        <v>0</v>
      </c>
      <c r="AG6" s="33">
        <f ca="1" t="shared" si="0"/>
        <v>0</v>
      </c>
      <c r="AH6" s="33">
        <f ca="1" t="shared" si="0"/>
        <v>0</v>
      </c>
      <c r="AI6" s="33">
        <f ca="1" t="shared" si="0"/>
        <v>0</v>
      </c>
      <c r="AJ6" s="33">
        <f ca="1" t="shared" si="0"/>
        <v>0</v>
      </c>
      <c r="AK6" s="33">
        <f ca="1" t="shared" si="0"/>
        <v>0</v>
      </c>
      <c r="AL6" s="33">
        <f ca="1" t="shared" si="0"/>
        <v>0</v>
      </c>
      <c r="AM6" s="33">
        <f ca="1" t="shared" si="0"/>
        <v>0</v>
      </c>
      <c r="AN6" s="33">
        <f ca="1" t="shared" si="0"/>
        <v>0</v>
      </c>
      <c r="AO6" s="33">
        <f ca="1" t="shared" si="0"/>
        <v>0</v>
      </c>
      <c r="AP6" s="33">
        <f ca="1" t="shared" si="0"/>
        <v>0</v>
      </c>
      <c r="AQ6" s="33">
        <f ca="1" t="shared" si="0"/>
        <v>0</v>
      </c>
      <c r="AR6" s="33">
        <f ca="1" t="shared" si="0"/>
        <v>0</v>
      </c>
      <c r="AS6" s="33">
        <f ca="1" t="shared" si="0"/>
        <v>0</v>
      </c>
      <c r="AT6" s="33">
        <f ca="1" t="shared" si="0"/>
        <v>0</v>
      </c>
      <c r="AU6" s="33">
        <f ca="1" t="shared" si="0"/>
        <v>0</v>
      </c>
      <c r="AV6" s="33">
        <f ca="1" t="shared" si="0"/>
        <v>0</v>
      </c>
      <c r="AW6" s="33">
        <f ca="1" t="shared" si="0"/>
        <v>0</v>
      </c>
      <c r="AX6" s="33">
        <f ca="1" t="shared" si="0"/>
        <v>0</v>
      </c>
      <c r="AY6" s="33">
        <f ca="1" t="shared" si="0"/>
        <v>0</v>
      </c>
      <c r="AZ6" s="33">
        <f ca="1" t="shared" si="0"/>
        <v>0</v>
      </c>
      <c r="BA6" s="33">
        <f ca="1" t="shared" si="0"/>
        <v>0</v>
      </c>
      <c r="BB6" s="33">
        <f ca="1" t="shared" si="0"/>
        <v>0</v>
      </c>
      <c r="BC6" s="33">
        <f ca="1" t="shared" si="0"/>
        <v>0</v>
      </c>
      <c r="BD6" s="33">
        <f ca="1" t="shared" si="0"/>
        <v>0</v>
      </c>
      <c r="BE6" s="33">
        <f ca="1" t="shared" si="0"/>
        <v>0</v>
      </c>
      <c r="BF6" s="74">
        <f ca="1">BE6+R6</f>
        <v>0</v>
      </c>
      <c r="BG6" s="101">
        <f ca="1">E$59-$BF6</f>
        <v>0</v>
      </c>
      <c r="BH6" s="33" t="e">
        <f ca="1">SUM(BH7,BH11:BH18)</f>
        <v>#REF!</v>
      </c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</row>
    <row r="7" s="2" customFormat="1" ht="15.75" customHeight="1" spans="1:79">
      <c r="A7" s="39" t="s">
        <v>27</v>
      </c>
      <c r="B7" s="39" t="s">
        <v>8340</v>
      </c>
      <c r="C7" s="40" t="s">
        <v>8298</v>
      </c>
      <c r="D7" s="41" t="e">
        <f>+#REF!</f>
        <v>#REF!</v>
      </c>
      <c r="E7" s="42">
        <f ca="1">SUM(J7:Q7)</f>
        <v>0</v>
      </c>
      <c r="F7" s="43" t="e">
        <f ca="1">$D7-$BF7</f>
        <v>#REF!</v>
      </c>
      <c r="G7" s="44">
        <f ca="1">SUM(G9:G10)</f>
        <v>0</v>
      </c>
      <c r="H7" s="44">
        <f ca="1">SUM(H8,H10)</f>
        <v>0</v>
      </c>
      <c r="I7" s="44">
        <f ca="1">SUM(I8:I9)</f>
        <v>0</v>
      </c>
      <c r="J7" s="44">
        <f ca="1">SUM(J8:J10)</f>
        <v>0</v>
      </c>
      <c r="K7" s="44">
        <f ca="1" t="shared" ref="K7:Q7" si="1">SUM(K8:K10)</f>
        <v>0</v>
      </c>
      <c r="L7" s="44">
        <f ca="1" t="shared" si="1"/>
        <v>0</v>
      </c>
      <c r="M7" s="44">
        <f ca="1" t="shared" si="1"/>
        <v>0</v>
      </c>
      <c r="N7" s="44">
        <f ca="1" t="shared" si="1"/>
        <v>0</v>
      </c>
      <c r="O7" s="44">
        <f ca="1" t="shared" si="1"/>
        <v>0</v>
      </c>
      <c r="P7" s="44">
        <f ca="1" t="shared" si="1"/>
        <v>0</v>
      </c>
      <c r="Q7" s="44">
        <f ca="1" t="shared" si="1"/>
        <v>0</v>
      </c>
      <c r="R7" s="42">
        <f ca="1" t="shared" ref="R7:R18" si="2">SUM(S7:AA7,AN7:BD7)</f>
        <v>0</v>
      </c>
      <c r="S7" s="52">
        <f ca="1" t="shared" ref="S7:AY7" si="3">SUM(S8:S10)</f>
        <v>0</v>
      </c>
      <c r="T7" s="52">
        <f ca="1" t="shared" si="3"/>
        <v>0</v>
      </c>
      <c r="U7" s="52">
        <f ca="1" t="shared" si="3"/>
        <v>0</v>
      </c>
      <c r="V7" s="52">
        <f ca="1" t="shared" si="3"/>
        <v>0</v>
      </c>
      <c r="W7" s="52">
        <f ca="1" t="shared" si="3"/>
        <v>0</v>
      </c>
      <c r="X7" s="52">
        <f ca="1" t="shared" si="3"/>
        <v>0</v>
      </c>
      <c r="Y7" s="52">
        <f ca="1" t="shared" si="3"/>
        <v>0</v>
      </c>
      <c r="Z7" s="52">
        <f ca="1" t="shared" si="3"/>
        <v>0</v>
      </c>
      <c r="AA7" s="52">
        <f ca="1" t="shared" ref="AA7:AA18" si="4">+SUM(AB7:AM7)</f>
        <v>0</v>
      </c>
      <c r="AB7" s="52">
        <f ca="1" t="shared" ref="AB7:AM7" si="5">SUM(AB8:AB10)</f>
        <v>0</v>
      </c>
      <c r="AC7" s="52">
        <f ca="1" t="shared" si="5"/>
        <v>0</v>
      </c>
      <c r="AD7" s="52">
        <f ca="1" t="shared" si="5"/>
        <v>0</v>
      </c>
      <c r="AE7" s="52">
        <f ca="1" t="shared" si="5"/>
        <v>0</v>
      </c>
      <c r="AF7" s="52">
        <f ca="1" t="shared" si="5"/>
        <v>0</v>
      </c>
      <c r="AG7" s="52">
        <f ca="1" t="shared" si="5"/>
        <v>0</v>
      </c>
      <c r="AH7" s="52">
        <f ca="1" t="shared" si="5"/>
        <v>0</v>
      </c>
      <c r="AI7" s="52">
        <f ca="1" t="shared" si="5"/>
        <v>0</v>
      </c>
      <c r="AJ7" s="52">
        <f ca="1" t="shared" si="5"/>
        <v>0</v>
      </c>
      <c r="AK7" s="52">
        <f ca="1" t="shared" si="5"/>
        <v>0</v>
      </c>
      <c r="AL7" s="52">
        <f ca="1" t="shared" si="5"/>
        <v>0</v>
      </c>
      <c r="AM7" s="52">
        <f ca="1" t="shared" si="5"/>
        <v>0</v>
      </c>
      <c r="AN7" s="52">
        <f ca="1" t="shared" si="3"/>
        <v>0</v>
      </c>
      <c r="AO7" s="52">
        <f ca="1" t="shared" si="3"/>
        <v>0</v>
      </c>
      <c r="AP7" s="52">
        <f ca="1" t="shared" si="3"/>
        <v>0</v>
      </c>
      <c r="AQ7" s="52">
        <f ca="1" t="shared" si="3"/>
        <v>0</v>
      </c>
      <c r="AR7" s="52">
        <f ca="1" t="shared" si="3"/>
        <v>0</v>
      </c>
      <c r="AS7" s="52">
        <f ca="1" t="shared" si="3"/>
        <v>0</v>
      </c>
      <c r="AT7" s="52">
        <f ca="1" t="shared" si="3"/>
        <v>0</v>
      </c>
      <c r="AU7" s="52">
        <f ca="1" t="shared" si="3"/>
        <v>0</v>
      </c>
      <c r="AV7" s="52">
        <f ca="1" t="shared" si="3"/>
        <v>0</v>
      </c>
      <c r="AW7" s="52">
        <f ca="1" t="shared" si="3"/>
        <v>0</v>
      </c>
      <c r="AX7" s="52">
        <f ca="1" t="shared" si="3"/>
        <v>0</v>
      </c>
      <c r="AY7" s="52">
        <f ca="1" t="shared" si="3"/>
        <v>0</v>
      </c>
      <c r="AZ7" s="52">
        <f ca="1" t="shared" ref="AZ7:BE7" si="6">SUM(AZ8:AZ10)</f>
        <v>0</v>
      </c>
      <c r="BA7" s="87">
        <f ca="1" t="shared" si="6"/>
        <v>0</v>
      </c>
      <c r="BB7" s="52">
        <f ca="1" t="shared" si="6"/>
        <v>0</v>
      </c>
      <c r="BC7" s="52">
        <f ca="1" t="shared" si="6"/>
        <v>0</v>
      </c>
      <c r="BD7" s="52">
        <f ca="1" t="shared" si="6"/>
        <v>0</v>
      </c>
      <c r="BE7" s="52">
        <f ca="1" t="shared" si="6"/>
        <v>0</v>
      </c>
      <c r="BF7" s="74">
        <f ca="1" t="shared" ref="BF7:BF18" si="7">BE7+R7+E7</f>
        <v>0</v>
      </c>
      <c r="BG7" s="101">
        <f ca="1">F$59-$BF7</f>
        <v>0</v>
      </c>
      <c r="BH7" s="41" t="e">
        <f ca="1" t="shared" ref="BH7:BH18" si="8">BG7+D7</f>
        <v>#REF!</v>
      </c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</row>
    <row r="8" s="4" customFormat="1" ht="15.75" customHeight="1" spans="1:79">
      <c r="A8" s="45"/>
      <c r="B8" s="316" t="s">
        <v>8341</v>
      </c>
      <c r="C8" s="46" t="s">
        <v>8299</v>
      </c>
      <c r="D8" s="47" t="e">
        <f>+#REF!</f>
        <v>#REF!</v>
      </c>
      <c r="E8" s="48">
        <f ca="1">SUM(F8,J8:Q8)</f>
        <v>0</v>
      </c>
      <c r="F8" s="44">
        <f ca="1">SUM(H8:I8)</f>
        <v>0</v>
      </c>
      <c r="G8" s="49" t="e">
        <f ca="1">$D8-$BF8</f>
        <v>#REF!</v>
      </c>
      <c r="H8" s="50">
        <f ca="1">+GETPIVOTDATA("XSN4",'suoinghe (2016)'!$A$3,"MA_HT","LUC","MA_QH","LUK")</f>
        <v>0</v>
      </c>
      <c r="I8" s="50">
        <f ca="1">+GETPIVOTDATA("XSN4",'suoinghe (2016)'!$A$3,"MA_HT","LUC","MA_QH","LUN")</f>
        <v>0</v>
      </c>
      <c r="J8" s="50">
        <f ca="1">+GETPIVOTDATA("XSN4",'suoinghe (2016)'!$A$3,"MA_HT","LUC","MA_QH","HNK")</f>
        <v>0</v>
      </c>
      <c r="K8" s="50">
        <f ca="1">+GETPIVOTDATA("XSN4",'suoinghe (2016)'!$A$3,"MA_HT","LUC","MA_QH","CLN")</f>
        <v>0</v>
      </c>
      <c r="L8" s="50">
        <f ca="1">+GETPIVOTDATA("XSN4",'suoinghe (2016)'!$A$3,"MA_HT","LUC","MA_QH","RSX")</f>
        <v>0</v>
      </c>
      <c r="M8" s="50">
        <f ca="1">+GETPIVOTDATA("XSN4",'suoinghe (2016)'!$A$3,"MA_HT","LUC","MA_QH","RPH")</f>
        <v>0</v>
      </c>
      <c r="N8" s="50">
        <f ca="1">+GETPIVOTDATA("XSN4",'suoinghe (2016)'!$A$3,"MA_HT","LUC","MA_QH","RDD")</f>
        <v>0</v>
      </c>
      <c r="O8" s="50">
        <f ca="1">+GETPIVOTDATA("XSN4",'suoinghe (2016)'!$A$3,"MA_HT","LUC","MA_QH","NTS")</f>
        <v>0</v>
      </c>
      <c r="P8" s="50">
        <f ca="1">+GETPIVOTDATA("XSN4",'suoinghe (2016)'!$A$3,"MA_HT","LUC","MA_QH","LMU")</f>
        <v>0</v>
      </c>
      <c r="Q8" s="50">
        <f ca="1">+GETPIVOTDATA("XSN4",'suoinghe (2016)'!$A$3,"MA_HT","LUC","MA_QH","NKH")</f>
        <v>0</v>
      </c>
      <c r="R8" s="48">
        <f ca="1" t="shared" si="2"/>
        <v>0</v>
      </c>
      <c r="S8" s="50">
        <f ca="1">+GETPIVOTDATA("XSN4",'suoinghe (2016)'!$A$3,"MA_HT","LUC","MA_QH","CQP")</f>
        <v>0</v>
      </c>
      <c r="T8" s="50">
        <f ca="1">+GETPIVOTDATA("XSN4",'suoinghe (2016)'!$A$3,"MA_HT","LUC","MA_QH","CAN")</f>
        <v>0</v>
      </c>
      <c r="U8" s="50">
        <f ca="1">+GETPIVOTDATA("XSN4",'suoinghe (2016)'!$A$3,"MA_HT","LUC","MA_QH","SKK")</f>
        <v>0</v>
      </c>
      <c r="V8" s="50">
        <f ca="1">+GETPIVOTDATA("XSN4",'suoinghe (2016)'!$A$3,"MA_HT","LUC","MA_QH","SKT")</f>
        <v>0</v>
      </c>
      <c r="W8" s="50">
        <f ca="1">+GETPIVOTDATA("XSN4",'suoinghe (2016)'!$A$3,"MA_HT","LUC","MA_QH","SKN")</f>
        <v>0</v>
      </c>
      <c r="X8" s="50">
        <f ca="1">+GETPIVOTDATA("XSN4",'suoinghe (2016)'!$A$3,"MA_HT","LUC","MA_QH","TMD")</f>
        <v>0</v>
      </c>
      <c r="Y8" s="50">
        <f ca="1">+GETPIVOTDATA("XSN4",'suoinghe (2016)'!$A$3,"MA_HT","LUC","MA_QH","SKC")</f>
        <v>0</v>
      </c>
      <c r="Z8" s="50">
        <f ca="1">+GETPIVOTDATA("XSN4",'suoinghe (2016)'!$A$3,"MA_HT","LUC","MA_QH","SKS")</f>
        <v>0</v>
      </c>
      <c r="AA8" s="52">
        <f ca="1" t="shared" si="4"/>
        <v>0</v>
      </c>
      <c r="AB8" s="50">
        <f ca="1">+GETPIVOTDATA("XSN4",'suoinghe (2016)'!$A$3,"MA_HT","LUC","MA_QH","DGT")</f>
        <v>0</v>
      </c>
      <c r="AC8" s="50">
        <f ca="1">+GETPIVOTDATA("XSN4",'suoinghe (2016)'!$A$3,"MA_HT","LUC","MA_QH","DTL")</f>
        <v>0</v>
      </c>
      <c r="AD8" s="50">
        <f ca="1">+GETPIVOTDATA("XSN4",'suoinghe (2016)'!$A$3,"MA_HT","LUC","MA_QH","DNL")</f>
        <v>0</v>
      </c>
      <c r="AE8" s="50">
        <f ca="1">+GETPIVOTDATA("XSN4",'suoinghe (2016)'!$A$3,"MA_HT","LUC","MA_QH","DBV")</f>
        <v>0</v>
      </c>
      <c r="AF8" s="50">
        <f ca="1">+GETPIVOTDATA("XSN4",'suoinghe (2016)'!$A$3,"MA_HT","LUC","MA_QH","DVH")</f>
        <v>0</v>
      </c>
      <c r="AG8" s="50">
        <f ca="1">+GETPIVOTDATA("XSN4",'suoinghe (2016)'!$A$3,"MA_HT","LUC","MA_QH","DYT")</f>
        <v>0</v>
      </c>
      <c r="AH8" s="50">
        <f ca="1">+GETPIVOTDATA("XSN4",'suoinghe (2016)'!$A$3,"MA_HT","LUC","MA_QH","DGD")</f>
        <v>0</v>
      </c>
      <c r="AI8" s="50">
        <f ca="1">+GETPIVOTDATA("XSN4",'suoinghe (2016)'!$A$3,"MA_HT","LUC","MA_QH","DTT")</f>
        <v>0</v>
      </c>
      <c r="AJ8" s="50">
        <f ca="1">+GETPIVOTDATA("XSN4",'suoinghe (2016)'!$A$3,"MA_HT","LUC","MA_QH","NCK")</f>
        <v>0</v>
      </c>
      <c r="AK8" s="50">
        <f ca="1">+GETPIVOTDATA("XSN4",'suoinghe (2016)'!$A$3,"MA_HT","LUC","MA_QH","DXH")</f>
        <v>0</v>
      </c>
      <c r="AL8" s="50">
        <f ca="1">+GETPIVOTDATA("XSN4",'suoinghe (2016)'!$A$3,"MA_HT","LUC","MA_QH","DCH")</f>
        <v>0</v>
      </c>
      <c r="AM8" s="50">
        <f ca="1">+GETPIVOTDATA("XSN4",'suoinghe (2016)'!$A$3,"MA_HT","LUC","MA_QH","DKG")</f>
        <v>0</v>
      </c>
      <c r="AN8" s="50">
        <f ca="1">+GETPIVOTDATA("XSN4",'suoinghe (2016)'!$A$3,"MA_HT","LUC","MA_QH","DDT")</f>
        <v>0</v>
      </c>
      <c r="AO8" s="50">
        <f ca="1">+GETPIVOTDATA("XSN4",'suoinghe (2016)'!$A$3,"MA_HT","LUC","MA_QH","DDL")</f>
        <v>0</v>
      </c>
      <c r="AP8" s="50">
        <f ca="1">+GETPIVOTDATA("XSN4",'suoinghe (2016)'!$A$3,"MA_HT","LUC","MA_QH","DRA")</f>
        <v>0</v>
      </c>
      <c r="AQ8" s="50">
        <f ca="1">+GETPIVOTDATA("XSN4",'suoinghe (2016)'!$A$3,"MA_HT","LUC","MA_QH","ONT")</f>
        <v>0</v>
      </c>
      <c r="AR8" s="50">
        <f ca="1">+GETPIVOTDATA("XSN4",'suoinghe (2016)'!$A$3,"MA_HT","LUC","MA_QH","ODT")</f>
        <v>0</v>
      </c>
      <c r="AS8" s="50">
        <f ca="1">+GETPIVOTDATA("XSN4",'suoinghe (2016)'!$A$3,"MA_HT","LUC","MA_QH","TSC")</f>
        <v>0</v>
      </c>
      <c r="AT8" s="50">
        <f ca="1">+GETPIVOTDATA("XSN4",'suoinghe (2016)'!$A$3,"MA_HT","LUC","MA_QH","DTS")</f>
        <v>0</v>
      </c>
      <c r="AU8" s="50">
        <f ca="1">+GETPIVOTDATA("XSN4",'suoinghe (2016)'!$A$3,"MA_HT","LUC","MA_QH","DNG")</f>
        <v>0</v>
      </c>
      <c r="AV8" s="50">
        <f ca="1">+GETPIVOTDATA("XSN4",'suoinghe (2016)'!$A$3,"MA_HT","LUC","MA_QH","TON")</f>
        <v>0</v>
      </c>
      <c r="AW8" s="50">
        <f ca="1">+GETPIVOTDATA("XSN4",'suoinghe (2016)'!$A$3,"MA_HT","LUC","MA_QH","NTD")</f>
        <v>0</v>
      </c>
      <c r="AX8" s="50">
        <f ca="1">+GETPIVOTDATA("XSN4",'suoinghe (2016)'!$A$3,"MA_HT","LUC","MA_QH","SKX")</f>
        <v>0</v>
      </c>
      <c r="AY8" s="50">
        <f ca="1">+GETPIVOTDATA("XSN4",'suoinghe (2016)'!$A$3,"MA_HT","LUC","MA_QH","DSH")</f>
        <v>0</v>
      </c>
      <c r="AZ8" s="50">
        <f ca="1">+GETPIVOTDATA("XSN4",'suoinghe (2016)'!$A$3,"MA_HT","LUC","MA_QH","DKV")</f>
        <v>0</v>
      </c>
      <c r="BA8" s="88">
        <f ca="1">+GETPIVOTDATA("XSN4",'suoinghe (2016)'!$A$3,"MA_HT","LUC","MA_QH","TIN")</f>
        <v>0</v>
      </c>
      <c r="BB8" s="50">
        <f ca="1">+GETPIVOTDATA("XSN4",'suoinghe (2016)'!$A$3,"MA_HT","LUC","MA_QH","SON")</f>
        <v>0</v>
      </c>
      <c r="BC8" s="50">
        <f ca="1">+GETPIVOTDATA("XSN4",'suoinghe (2016)'!$A$3,"MA_HT","LUC","MA_QH","MNC")</f>
        <v>0</v>
      </c>
      <c r="BD8" s="50">
        <f ca="1">+GETPIVOTDATA("XSN4",'suoinghe (2016)'!$A$3,"MA_HT","LUC","MA_QH","PNK")</f>
        <v>0</v>
      </c>
      <c r="BE8" s="80">
        <f ca="1">+GETPIVOTDATA("XSN4",'suoinghe (2016)'!$A$3,"MA_HT","LUC","MA_QH","CSD")</f>
        <v>0</v>
      </c>
      <c r="BF8" s="103">
        <f ca="1" t="shared" si="7"/>
        <v>0</v>
      </c>
      <c r="BG8" s="104">
        <f ca="1">G$59-$BF8</f>
        <v>0</v>
      </c>
      <c r="BH8" s="47" t="e">
        <f ca="1" t="shared" si="8"/>
        <v>#REF!</v>
      </c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</row>
    <row r="9" s="4" customFormat="1" ht="15.75" customHeight="1" spans="1:79">
      <c r="A9" s="45"/>
      <c r="B9" s="316" t="s">
        <v>8342</v>
      </c>
      <c r="C9" s="46" t="s">
        <v>221</v>
      </c>
      <c r="D9" s="47" t="e">
        <f>+#REF!</f>
        <v>#REF!</v>
      </c>
      <c r="E9" s="48">
        <f ca="1">SUM(F9,J9:Q9)</f>
        <v>0</v>
      </c>
      <c r="F9" s="44">
        <f ca="1">SUM(G9,I9)</f>
        <v>0</v>
      </c>
      <c r="G9" s="51">
        <f ca="1">+GETPIVOTDATA("XSN4",'suoinghe (2016)'!$A$3,"MA_HT","LUK","MA_QH","LUC")</f>
        <v>0</v>
      </c>
      <c r="H9" s="49" t="e">
        <f ca="1">$D9-$BF9</f>
        <v>#REF!</v>
      </c>
      <c r="I9" s="50">
        <f ca="1">+GETPIVOTDATA("XSN4",'suoinghe (2016)'!$A$3,"MA_HT","LUK","MA_QH","LUN")</f>
        <v>0</v>
      </c>
      <c r="J9" s="50">
        <f ca="1">+GETPIVOTDATA("XSN4",'suoinghe (2016)'!$A$3,"MA_HT","LUK","MA_QH","HNK")</f>
        <v>0</v>
      </c>
      <c r="K9" s="50">
        <f ca="1">+GETPIVOTDATA("XSN4",'suoinghe (2016)'!$A$3,"MA_HT","LUK","MA_QH","CLN")</f>
        <v>0</v>
      </c>
      <c r="L9" s="50">
        <f ca="1">+GETPIVOTDATA("XSN4",'suoinghe (2016)'!$A$3,"MA_HT","LUK","MA_QH","RSX")</f>
        <v>0</v>
      </c>
      <c r="M9" s="50">
        <f ca="1">+GETPIVOTDATA("XSN4",'suoinghe (2016)'!$A$3,"MA_HT","LUK","MA_QH","RPH")</f>
        <v>0</v>
      </c>
      <c r="N9" s="50">
        <f ca="1">+GETPIVOTDATA("XSN4",'suoinghe (2016)'!$A$3,"MA_HT","LUK","MA_QH","RDD")</f>
        <v>0</v>
      </c>
      <c r="O9" s="50">
        <f ca="1">+GETPIVOTDATA("XSN4",'suoinghe (2016)'!$A$3,"MA_HT","LUK","MA_QH","NTS")</f>
        <v>0</v>
      </c>
      <c r="P9" s="50">
        <f ca="1">+GETPIVOTDATA("XSN4",'suoinghe (2016)'!$A$3,"MA_HT","LUK","MA_QH","LMU")</f>
        <v>0</v>
      </c>
      <c r="Q9" s="50">
        <f ca="1">+GETPIVOTDATA("XSN4",'suoinghe (2016)'!$A$3,"MA_HT","LUK","MA_QH","NKH")</f>
        <v>0</v>
      </c>
      <c r="R9" s="48">
        <f ca="1" t="shared" si="2"/>
        <v>0</v>
      </c>
      <c r="S9" s="50">
        <f ca="1">+GETPIVOTDATA("XSN4",'suoinghe (2016)'!$A$3,"MA_HT","LUK","MA_QH","CQP")</f>
        <v>0</v>
      </c>
      <c r="T9" s="50">
        <f ca="1">+GETPIVOTDATA("XSN4",'suoinghe (2016)'!$A$3,"MA_HT","LUK","MA_QH","CAN")</f>
        <v>0</v>
      </c>
      <c r="U9" s="50">
        <f ca="1">+GETPIVOTDATA("XSN4",'suoinghe (2016)'!$A$3,"MA_HT","LUK","MA_QH","SKK")</f>
        <v>0</v>
      </c>
      <c r="V9" s="50">
        <f ca="1">+GETPIVOTDATA("XSN4",'suoinghe (2016)'!$A$3,"MA_HT","LUK","MA_QH","SKT")</f>
        <v>0</v>
      </c>
      <c r="W9" s="50">
        <f ca="1">+GETPIVOTDATA("XSN4",'suoinghe (2016)'!$A$3,"MA_HT","LUK","MA_QH","SKN")</f>
        <v>0</v>
      </c>
      <c r="X9" s="50">
        <f ca="1">+GETPIVOTDATA("XSN4",'suoinghe (2016)'!$A$3,"MA_HT","LUK","MA_QH","TMD")</f>
        <v>0</v>
      </c>
      <c r="Y9" s="50">
        <f ca="1">+GETPIVOTDATA("XSN4",'suoinghe (2016)'!$A$3,"MA_HT","LUK","MA_QH","SKC")</f>
        <v>0</v>
      </c>
      <c r="Z9" s="50">
        <f ca="1">+GETPIVOTDATA("XSN4",'suoinghe (2016)'!$A$3,"MA_HT","LUK","MA_QH","SKS")</f>
        <v>0</v>
      </c>
      <c r="AA9" s="52">
        <f ca="1" t="shared" si="4"/>
        <v>0</v>
      </c>
      <c r="AB9" s="50">
        <f ca="1">+GETPIVOTDATA("XSN4",'suoinghe (2016)'!$A$3,"MA_HT","LUK","MA_QH","DGT")</f>
        <v>0</v>
      </c>
      <c r="AC9" s="50">
        <f ca="1">+GETPIVOTDATA("XSN4",'suoinghe (2016)'!$A$3,"MA_HT","LUK","MA_QH","DTL")</f>
        <v>0</v>
      </c>
      <c r="AD9" s="50">
        <f ca="1">+GETPIVOTDATA("XSN4",'suoinghe (2016)'!$A$3,"MA_HT","LUK","MA_QH","DNL")</f>
        <v>0</v>
      </c>
      <c r="AE9" s="50">
        <f ca="1">+GETPIVOTDATA("XSN4",'suoinghe (2016)'!$A$3,"MA_HT","LUK","MA_QH","DBV")</f>
        <v>0</v>
      </c>
      <c r="AF9" s="50">
        <f ca="1">+GETPIVOTDATA("XSN4",'suoinghe (2016)'!$A$3,"MA_HT","LUK","MA_QH","DVH")</f>
        <v>0</v>
      </c>
      <c r="AG9" s="50">
        <f ca="1">+GETPIVOTDATA("XSN4",'suoinghe (2016)'!$A$3,"MA_HT","LUK","MA_QH","DYT")</f>
        <v>0</v>
      </c>
      <c r="AH9" s="50">
        <f ca="1">+GETPIVOTDATA("XSN4",'suoinghe (2016)'!$A$3,"MA_HT","LUK","MA_QH","DGD")</f>
        <v>0</v>
      </c>
      <c r="AI9" s="50">
        <f ca="1">+GETPIVOTDATA("XSN4",'suoinghe (2016)'!$A$3,"MA_HT","LUK","MA_QH","DTT")</f>
        <v>0</v>
      </c>
      <c r="AJ9" s="50">
        <f ca="1">+GETPIVOTDATA("XSN4",'suoinghe (2016)'!$A$3,"MA_HT","LUK","MA_QH","NCK")</f>
        <v>0</v>
      </c>
      <c r="AK9" s="50">
        <f ca="1">+GETPIVOTDATA("XSN4",'suoinghe (2016)'!$A$3,"MA_HT","LUK","MA_QH","DXH")</f>
        <v>0</v>
      </c>
      <c r="AL9" s="50">
        <f ca="1">+GETPIVOTDATA("XSN4",'suoinghe (2016)'!$A$3,"MA_HT","LUK","MA_QH","DCH")</f>
        <v>0</v>
      </c>
      <c r="AM9" s="50">
        <f ca="1">+GETPIVOTDATA("XSN4",'suoinghe (2016)'!$A$3,"MA_HT","LUK","MA_QH","DKG")</f>
        <v>0</v>
      </c>
      <c r="AN9" s="50">
        <f ca="1">+GETPIVOTDATA("XSN4",'suoinghe (2016)'!$A$3,"MA_HT","LUK","MA_QH","DDT")</f>
        <v>0</v>
      </c>
      <c r="AO9" s="50">
        <f ca="1">+GETPIVOTDATA("XSN4",'suoinghe (2016)'!$A$3,"MA_HT","LUK","MA_QH","DDL")</f>
        <v>0</v>
      </c>
      <c r="AP9" s="50">
        <f ca="1">+GETPIVOTDATA("XSN4",'suoinghe (2016)'!$A$3,"MA_HT","LUK","MA_QH","DRA")</f>
        <v>0</v>
      </c>
      <c r="AQ9" s="50">
        <f ca="1">+GETPIVOTDATA("XSN4",'suoinghe (2016)'!$A$3,"MA_HT","LUK","MA_QH","ONT")</f>
        <v>0</v>
      </c>
      <c r="AR9" s="50">
        <f ca="1">+GETPIVOTDATA("XSN4",'suoinghe (2016)'!$A$3,"MA_HT","LUK","MA_QH","ODT")</f>
        <v>0</v>
      </c>
      <c r="AS9" s="50">
        <f ca="1">+GETPIVOTDATA("XSN4",'suoinghe (2016)'!$A$3,"MA_HT","LUK","MA_QH","TSC")</f>
        <v>0</v>
      </c>
      <c r="AT9" s="50">
        <f ca="1">+GETPIVOTDATA("XSN4",'suoinghe (2016)'!$A$3,"MA_HT","LUK","MA_QH","DTS")</f>
        <v>0</v>
      </c>
      <c r="AU9" s="50">
        <f ca="1">+GETPIVOTDATA("XSN4",'suoinghe (2016)'!$A$3,"MA_HT","LUK","MA_QH","DNG")</f>
        <v>0</v>
      </c>
      <c r="AV9" s="50">
        <f ca="1">+GETPIVOTDATA("XSN4",'suoinghe (2016)'!$A$3,"MA_HT","LUK","MA_QH","TON")</f>
        <v>0</v>
      </c>
      <c r="AW9" s="50">
        <f ca="1">+GETPIVOTDATA("XSN4",'suoinghe (2016)'!$A$3,"MA_HT","LUK","MA_QH","NTD")</f>
        <v>0</v>
      </c>
      <c r="AX9" s="50">
        <f ca="1">+GETPIVOTDATA("XSN4",'suoinghe (2016)'!$A$3,"MA_HT","LUK","MA_QH","SKX")</f>
        <v>0</v>
      </c>
      <c r="AY9" s="50">
        <f ca="1">+GETPIVOTDATA("XSN4",'suoinghe (2016)'!$A$3,"MA_HT","LUK","MA_QH","DSH")</f>
        <v>0</v>
      </c>
      <c r="AZ9" s="50">
        <f ca="1">+GETPIVOTDATA("XSN4",'suoinghe (2016)'!$A$3,"MA_HT","LUK","MA_QH","DKV")</f>
        <v>0</v>
      </c>
      <c r="BA9" s="88">
        <f ca="1">+GETPIVOTDATA("XSN4",'suoinghe (2016)'!$A$3,"MA_HT","LUK","MA_QH","TIN")</f>
        <v>0</v>
      </c>
      <c r="BB9" s="50">
        <f ca="1">+GETPIVOTDATA("XSN4",'suoinghe (2016)'!$A$3,"MA_HT","LUK","MA_QH","SON")</f>
        <v>0</v>
      </c>
      <c r="BC9" s="50">
        <f ca="1">+GETPIVOTDATA("XSN4",'suoinghe (2016)'!$A$3,"MA_HT","LUK","MA_QH","MNC")</f>
        <v>0</v>
      </c>
      <c r="BD9" s="50">
        <f ca="1">+GETPIVOTDATA("XSN4",'suoinghe (2016)'!$A$3,"MA_HT","LUK","MA_QH","PNK")</f>
        <v>0</v>
      </c>
      <c r="BE9" s="80">
        <f ca="1">+GETPIVOTDATA("XSN4",'suoinghe (2016)'!$A$3,"MA_HT","LUK","MA_QH","CSD")</f>
        <v>0</v>
      </c>
      <c r="BF9" s="103">
        <f ca="1" t="shared" si="7"/>
        <v>0</v>
      </c>
      <c r="BG9" s="104">
        <f ca="1">H$59-$BF9</f>
        <v>0</v>
      </c>
      <c r="BH9" s="47" t="e">
        <f ca="1" t="shared" si="8"/>
        <v>#REF!</v>
      </c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</row>
    <row r="10" s="4" customFormat="1" ht="15.75" customHeight="1" spans="1:79">
      <c r="A10" s="45"/>
      <c r="B10" s="316" t="s">
        <v>8343</v>
      </c>
      <c r="C10" s="46" t="s">
        <v>8300</v>
      </c>
      <c r="D10" s="47" t="e">
        <f>+#REF!</f>
        <v>#REF!</v>
      </c>
      <c r="E10" s="48">
        <f ca="1">SUM(J10:Q10,F10)</f>
        <v>0</v>
      </c>
      <c r="F10" s="44">
        <f ca="1">SUM(G10:H10)</f>
        <v>0</v>
      </c>
      <c r="G10" s="50">
        <f ca="1">+GETPIVOTDATA("XSN4",'suoinghe (2016)'!$A$3,"MA_HT","LUN","MA_QH","LUC")</f>
        <v>0</v>
      </c>
      <c r="H10" s="50">
        <f ca="1">+GETPIVOTDATA("XSN4",'suoinghe (2016)'!$A$3,"MA_HT","LUN","MA_QH","LUK")</f>
        <v>0</v>
      </c>
      <c r="I10" s="49" t="e">
        <f ca="1">$D10-$BF10</f>
        <v>#REF!</v>
      </c>
      <c r="J10" s="50">
        <f ca="1">+GETPIVOTDATA("XSN4",'suoinghe (2016)'!$A$3,"MA_HT","LUN","MA_QH","HNK")</f>
        <v>0</v>
      </c>
      <c r="K10" s="50">
        <f ca="1">+GETPIVOTDATA("XSN4",'suoinghe (2016)'!$A$3,"MA_HT","LUN","MA_QH","CLN")</f>
        <v>0</v>
      </c>
      <c r="L10" s="50">
        <f ca="1">+GETPIVOTDATA("XSN4",'suoinghe (2016)'!$A$3,"MA_HT","LUN","MA_QH","RSX")</f>
        <v>0</v>
      </c>
      <c r="M10" s="50">
        <f ca="1">+GETPIVOTDATA("XSN4",'suoinghe (2016)'!$A$3,"MA_HT","LUN","MA_QH","RPH")</f>
        <v>0</v>
      </c>
      <c r="N10" s="50">
        <f ca="1">+GETPIVOTDATA("XSN4",'suoinghe (2016)'!$A$3,"MA_HT","LUN","MA_QH","RDD")</f>
        <v>0</v>
      </c>
      <c r="O10" s="50">
        <f ca="1">+GETPIVOTDATA("XSN4",'suoinghe (2016)'!$A$3,"MA_HT","LUN","MA_QH","NTS")</f>
        <v>0</v>
      </c>
      <c r="P10" s="50">
        <f ca="1">+GETPIVOTDATA("XSN4",'suoinghe (2016)'!$A$3,"MA_HT","LUN","MA_QH","LMU")</f>
        <v>0</v>
      </c>
      <c r="Q10" s="50">
        <f ca="1">+GETPIVOTDATA("XSN4",'suoinghe (2016)'!$A$3,"MA_HT","LUN","MA_QH","NKH")</f>
        <v>0</v>
      </c>
      <c r="R10" s="48">
        <f ca="1" t="shared" si="2"/>
        <v>0</v>
      </c>
      <c r="S10" s="50">
        <f ca="1">+GETPIVOTDATA("XSN4",'suoinghe (2016)'!$A$3,"MA_HT","LUN","MA_QH","CQP")</f>
        <v>0</v>
      </c>
      <c r="T10" s="50">
        <f ca="1">+GETPIVOTDATA("XSN4",'suoinghe (2016)'!$A$3,"MA_HT","LUN","MA_QH","CAN")</f>
        <v>0</v>
      </c>
      <c r="U10" s="50">
        <f ca="1">+GETPIVOTDATA("XSN4",'suoinghe (2016)'!$A$3,"MA_HT","LUN","MA_QH","SKK")</f>
        <v>0</v>
      </c>
      <c r="V10" s="50">
        <f ca="1">+GETPIVOTDATA("XSN4",'suoinghe (2016)'!$A$3,"MA_HT","LUN","MA_QH","SKT")</f>
        <v>0</v>
      </c>
      <c r="W10" s="50">
        <f ca="1">+GETPIVOTDATA("XSN4",'suoinghe (2016)'!$A$3,"MA_HT","LUN","MA_QH","SKN")</f>
        <v>0</v>
      </c>
      <c r="X10" s="50">
        <f ca="1">+GETPIVOTDATA("XSN4",'suoinghe (2016)'!$A$3,"MA_HT","LUN","MA_QH","TMD")</f>
        <v>0</v>
      </c>
      <c r="Y10" s="50">
        <f ca="1">+GETPIVOTDATA("XSN4",'suoinghe (2016)'!$A$3,"MA_HT","LUN","MA_QH","SKC")</f>
        <v>0</v>
      </c>
      <c r="Z10" s="50">
        <f ca="1">+GETPIVOTDATA("XSN4",'suoinghe (2016)'!$A$3,"MA_HT","LUN","MA_QH","SKS")</f>
        <v>0</v>
      </c>
      <c r="AA10" s="52">
        <f ca="1" t="shared" si="4"/>
        <v>0</v>
      </c>
      <c r="AB10" s="50">
        <f ca="1">+GETPIVOTDATA("XSN4",'suoinghe (2016)'!$A$3,"MA_HT","LUN","MA_QH","DGT")</f>
        <v>0</v>
      </c>
      <c r="AC10" s="50">
        <f ca="1">+GETPIVOTDATA("XSN4",'suoinghe (2016)'!$A$3,"MA_HT","LUN","MA_QH","DTL")</f>
        <v>0</v>
      </c>
      <c r="AD10" s="50">
        <f ca="1">+GETPIVOTDATA("XSN4",'suoinghe (2016)'!$A$3,"MA_HT","LUN","MA_QH","DNL")</f>
        <v>0</v>
      </c>
      <c r="AE10" s="50">
        <f ca="1">+GETPIVOTDATA("XSN4",'suoinghe (2016)'!$A$3,"MA_HT","LUN","MA_QH","DBV")</f>
        <v>0</v>
      </c>
      <c r="AF10" s="50">
        <f ca="1">+GETPIVOTDATA("XSN4",'suoinghe (2016)'!$A$3,"MA_HT","LUN","MA_QH","DVH")</f>
        <v>0</v>
      </c>
      <c r="AG10" s="50">
        <f ca="1">+GETPIVOTDATA("XSN4",'suoinghe (2016)'!$A$3,"MA_HT","LUN","MA_QH","DYT")</f>
        <v>0</v>
      </c>
      <c r="AH10" s="50">
        <f ca="1">+GETPIVOTDATA("XSN4",'suoinghe (2016)'!$A$3,"MA_HT","LUN","MA_QH","DGD")</f>
        <v>0</v>
      </c>
      <c r="AI10" s="50">
        <f ca="1">+GETPIVOTDATA("XSN4",'suoinghe (2016)'!$A$3,"MA_HT","LUN","MA_QH","DTT")</f>
        <v>0</v>
      </c>
      <c r="AJ10" s="50">
        <f ca="1">+GETPIVOTDATA("XSN4",'suoinghe (2016)'!$A$3,"MA_HT","LUN","MA_QH","NCK")</f>
        <v>0</v>
      </c>
      <c r="AK10" s="50">
        <f ca="1">+GETPIVOTDATA("XSN4",'suoinghe (2016)'!$A$3,"MA_HT","LUN","MA_QH","DXH")</f>
        <v>0</v>
      </c>
      <c r="AL10" s="50">
        <f ca="1">+GETPIVOTDATA("XSN4",'suoinghe (2016)'!$A$3,"MA_HT","LUN","MA_QH","DCH")</f>
        <v>0</v>
      </c>
      <c r="AM10" s="50">
        <f ca="1">+GETPIVOTDATA("XSN4",'suoinghe (2016)'!$A$3,"MA_HT","LUN","MA_QH","DKG")</f>
        <v>0</v>
      </c>
      <c r="AN10" s="50">
        <f ca="1">+GETPIVOTDATA("XSN4",'suoinghe (2016)'!$A$3,"MA_HT","LUN","MA_QH","DDT")</f>
        <v>0</v>
      </c>
      <c r="AO10" s="50">
        <f ca="1">+GETPIVOTDATA("XSN4",'suoinghe (2016)'!$A$3,"MA_HT","LUN","MA_QH","DDL")</f>
        <v>0</v>
      </c>
      <c r="AP10" s="50">
        <f ca="1">+GETPIVOTDATA("XSN4",'suoinghe (2016)'!$A$3,"MA_HT","LUN","MA_QH","DRA")</f>
        <v>0</v>
      </c>
      <c r="AQ10" s="50">
        <f ca="1">+GETPIVOTDATA("XSN4",'suoinghe (2016)'!$A$3,"MA_HT","LUN","MA_QH","ONT")</f>
        <v>0</v>
      </c>
      <c r="AR10" s="50">
        <f ca="1">+GETPIVOTDATA("XSN4",'suoinghe (2016)'!$A$3,"MA_HT","LUN","MA_QH","ODT")</f>
        <v>0</v>
      </c>
      <c r="AS10" s="50">
        <f ca="1">+GETPIVOTDATA("XSN4",'suoinghe (2016)'!$A$3,"MA_HT","LUN","MA_QH","TSC")</f>
        <v>0</v>
      </c>
      <c r="AT10" s="50">
        <f ca="1">+GETPIVOTDATA("XSN4",'suoinghe (2016)'!$A$3,"MA_HT","LUN","MA_QH","DTS")</f>
        <v>0</v>
      </c>
      <c r="AU10" s="50">
        <f ca="1">+GETPIVOTDATA("XSN4",'suoinghe (2016)'!$A$3,"MA_HT","LUN","MA_QH","DNG")</f>
        <v>0</v>
      </c>
      <c r="AV10" s="50">
        <f ca="1">+GETPIVOTDATA("XSN4",'suoinghe (2016)'!$A$3,"MA_HT","LUN","MA_QH","TON")</f>
        <v>0</v>
      </c>
      <c r="AW10" s="50">
        <f ca="1">+GETPIVOTDATA("XSN4",'suoinghe (2016)'!$A$3,"MA_HT","LUN","MA_QH","NTD")</f>
        <v>0</v>
      </c>
      <c r="AX10" s="50">
        <f ca="1">+GETPIVOTDATA("XSN4",'suoinghe (2016)'!$A$3,"MA_HT","LUN","MA_QH","SKX")</f>
        <v>0</v>
      </c>
      <c r="AY10" s="50">
        <f ca="1">+GETPIVOTDATA("XSN4",'suoinghe (2016)'!$A$3,"MA_HT","LUN","MA_QH","DSH")</f>
        <v>0</v>
      </c>
      <c r="AZ10" s="50">
        <f ca="1">+GETPIVOTDATA("XSN4",'suoinghe (2016)'!$A$3,"MA_HT","LUN","MA_QH","DKV")</f>
        <v>0</v>
      </c>
      <c r="BA10" s="88">
        <f ca="1">+GETPIVOTDATA("XSN4",'suoinghe (2016)'!$A$3,"MA_HT","LUN","MA_QH","TIN")</f>
        <v>0</v>
      </c>
      <c r="BB10" s="50">
        <f ca="1">+GETPIVOTDATA("XSN4",'suoinghe (2016)'!$A$3,"MA_HT","LUN","MA_QH","SON")</f>
        <v>0</v>
      </c>
      <c r="BC10" s="50">
        <f ca="1">+GETPIVOTDATA("XSN4",'suoinghe (2016)'!$A$3,"MA_HT","LUN","MA_QH","MNC")</f>
        <v>0</v>
      </c>
      <c r="BD10" s="50">
        <f ca="1">+GETPIVOTDATA("XSN4",'suoinghe (2016)'!$A$3,"MA_HT","LUN","MA_QH","PNK")</f>
        <v>0</v>
      </c>
      <c r="BE10" s="80">
        <f ca="1">+GETPIVOTDATA("XSN4",'suoinghe (2016)'!$A$3,"MA_HT","LUN","MA_QH","CSD")</f>
        <v>0</v>
      </c>
      <c r="BF10" s="103">
        <f ca="1" t="shared" si="7"/>
        <v>0</v>
      </c>
      <c r="BG10" s="104">
        <f ca="1">I$59-$BF10</f>
        <v>0</v>
      </c>
      <c r="BH10" s="47" t="e">
        <f ca="1" t="shared" si="8"/>
        <v>#REF!</v>
      </c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</row>
    <row r="11" s="2" customFormat="1" ht="15.75" customHeight="1" spans="1:79">
      <c r="A11" s="39" t="s">
        <v>40</v>
      </c>
      <c r="B11" s="39" t="s">
        <v>8344</v>
      </c>
      <c r="C11" s="40" t="s">
        <v>2492</v>
      </c>
      <c r="D11" s="47" t="e">
        <f>+#REF!</f>
        <v>#REF!</v>
      </c>
      <c r="E11" s="42">
        <f ca="1">SUM(K11:Q11,F11)</f>
        <v>0</v>
      </c>
      <c r="F11" s="52">
        <f ca="1">SUM(G11:I11)</f>
        <v>0</v>
      </c>
      <c r="G11" s="22">
        <f ca="1">+GETPIVOTDATA("XSN4",'suoinghe (2016)'!$A$3,"MA_HT","HNK","MA_QH","LUC")</f>
        <v>0</v>
      </c>
      <c r="H11" s="22">
        <f ca="1">+GETPIVOTDATA("XSN4",'suoinghe (2016)'!$A$3,"MA_HT","HNK","MA_QH","LUK")</f>
        <v>0</v>
      </c>
      <c r="I11" s="22">
        <f ca="1">+GETPIVOTDATA("XSN4",'suoinghe (2016)'!$A$3,"MA_HT","HNK","MA_QH","LUN")</f>
        <v>0</v>
      </c>
      <c r="J11" s="43" t="e">
        <f ca="1">$D11-$BF11</f>
        <v>#REF!</v>
      </c>
      <c r="K11" s="22">
        <f ca="1">+GETPIVOTDATA("XSN4",'suoinghe (2016)'!$A$3,"MA_HT","HNK","MA_QH","CLN")</f>
        <v>0</v>
      </c>
      <c r="L11" s="22">
        <f ca="1">+GETPIVOTDATA("XSN4",'suoinghe (2016)'!$A$3,"MA_HT","HNK","MA_QH","RSX")</f>
        <v>0</v>
      </c>
      <c r="M11" s="22">
        <f ca="1">+GETPIVOTDATA("XSN4",'suoinghe (2016)'!$A$3,"MA_HT","HNK","MA_QH","RPH")</f>
        <v>0</v>
      </c>
      <c r="N11" s="22">
        <f ca="1">+GETPIVOTDATA("XSN4",'suoinghe (2016)'!$A$3,"MA_HT","HNK","MA_QH","RDD")</f>
        <v>0</v>
      </c>
      <c r="O11" s="22">
        <f ca="1">+GETPIVOTDATA("XSN4",'suoinghe (2016)'!$A$3,"MA_HT","HNK","MA_QH","NTS")</f>
        <v>0</v>
      </c>
      <c r="P11" s="22">
        <f ca="1">+GETPIVOTDATA("XSN4",'suoinghe (2016)'!$A$3,"MA_HT","HNK","MA_QH","LMU")</f>
        <v>0</v>
      </c>
      <c r="Q11" s="22">
        <f ca="1">+GETPIVOTDATA("XSN4",'suoinghe (2016)'!$A$3,"MA_HT","HNK","MA_QH","NKH")</f>
        <v>0</v>
      </c>
      <c r="R11" s="42">
        <f ca="1" t="shared" si="2"/>
        <v>0</v>
      </c>
      <c r="S11" s="22">
        <f ca="1">+GETPIVOTDATA("XSN4",'suoinghe (2016)'!$A$3,"MA_HT","HNK","MA_QH","CQP")</f>
        <v>0</v>
      </c>
      <c r="T11" s="22">
        <f ca="1">+GETPIVOTDATA("XSN4",'suoinghe (2016)'!$A$3,"MA_HT","HNK","MA_QH","CAN")</f>
        <v>0</v>
      </c>
      <c r="U11" s="22">
        <f ca="1">+GETPIVOTDATA("XSN4",'suoinghe (2016)'!$A$3,"MA_HT","HNK","MA_QH","SKK")</f>
        <v>0</v>
      </c>
      <c r="V11" s="22">
        <f ca="1">+GETPIVOTDATA("XSN4",'suoinghe (2016)'!$A$3,"MA_HT","HNK","MA_QH","SKT")</f>
        <v>0</v>
      </c>
      <c r="W11" s="22">
        <f ca="1">+GETPIVOTDATA("XSN4",'suoinghe (2016)'!$A$3,"MA_HT","HNK","MA_QH","SKN")</f>
        <v>0</v>
      </c>
      <c r="X11" s="22">
        <f ca="1">+GETPIVOTDATA("XSN4",'suoinghe (2016)'!$A$3,"MA_HT","HNK","MA_QH","TMD")</f>
        <v>0</v>
      </c>
      <c r="Y11" s="22">
        <f ca="1">+GETPIVOTDATA("XSN4",'suoinghe (2016)'!$A$3,"MA_HT","HNK","MA_QH","SKC")</f>
        <v>0</v>
      </c>
      <c r="Z11" s="22">
        <f ca="1">+GETPIVOTDATA("XSN4",'suoinghe (2016)'!$A$3,"MA_HT","HNK","MA_QH","SKS")</f>
        <v>0</v>
      </c>
      <c r="AA11" s="52">
        <f ca="1" t="shared" si="4"/>
        <v>0</v>
      </c>
      <c r="AB11" s="22">
        <f ca="1">+GETPIVOTDATA("XSN4",'suoinghe (2016)'!$A$3,"MA_HT","HNK","MA_QH","DGT")</f>
        <v>0</v>
      </c>
      <c r="AC11" s="22">
        <f ca="1">+GETPIVOTDATA("XSN4",'suoinghe (2016)'!$A$3,"MA_HT","HNK","MA_QH","DTL")</f>
        <v>0</v>
      </c>
      <c r="AD11" s="22">
        <f ca="1">+GETPIVOTDATA("XSN4",'suoinghe (2016)'!$A$3,"MA_HT","HNK","MA_QH","DNL")</f>
        <v>0</v>
      </c>
      <c r="AE11" s="22">
        <f ca="1">+GETPIVOTDATA("XSN4",'suoinghe (2016)'!$A$3,"MA_HT","HNK","MA_QH","DBV")</f>
        <v>0</v>
      </c>
      <c r="AF11" s="22">
        <f ca="1">+GETPIVOTDATA("XSN4",'suoinghe (2016)'!$A$3,"MA_HT","HNK","MA_QH","DVH")</f>
        <v>0</v>
      </c>
      <c r="AG11" s="22">
        <f ca="1">+GETPIVOTDATA("XSN4",'suoinghe (2016)'!$A$3,"MA_HT","HNK","MA_QH","DYT")</f>
        <v>0</v>
      </c>
      <c r="AH11" s="22">
        <f ca="1">+GETPIVOTDATA("XSN4",'suoinghe (2016)'!$A$3,"MA_HT","HNK","MA_QH","DGD")</f>
        <v>0</v>
      </c>
      <c r="AI11" s="22">
        <f ca="1">+GETPIVOTDATA("XSN4",'suoinghe (2016)'!$A$3,"MA_HT","HNK","MA_QH","DTT")</f>
        <v>0</v>
      </c>
      <c r="AJ11" s="22">
        <f ca="1">+GETPIVOTDATA("XSN4",'suoinghe (2016)'!$A$3,"MA_HT","HNK","MA_QH","NCK")</f>
        <v>0</v>
      </c>
      <c r="AK11" s="22">
        <f ca="1">+GETPIVOTDATA("XSN4",'suoinghe (2016)'!$A$3,"MA_HT","HNK","MA_QH","DXH")</f>
        <v>0</v>
      </c>
      <c r="AL11" s="22">
        <f ca="1">+GETPIVOTDATA("XSN4",'suoinghe (2016)'!$A$3,"MA_HT","HNK","MA_QH","DCH")</f>
        <v>0</v>
      </c>
      <c r="AM11" s="22">
        <f ca="1">+GETPIVOTDATA("XSN4",'suoinghe (2016)'!$A$3,"MA_HT","HNK","MA_QH","DKG")</f>
        <v>0</v>
      </c>
      <c r="AN11" s="22">
        <f ca="1">+GETPIVOTDATA("XSN4",'suoinghe (2016)'!$A$3,"MA_HT","HNK","MA_QH","DDT")</f>
        <v>0</v>
      </c>
      <c r="AO11" s="22">
        <f ca="1">+GETPIVOTDATA("XSN4",'suoinghe (2016)'!$A$3,"MA_HT","HNK","MA_QH","DDL")</f>
        <v>0</v>
      </c>
      <c r="AP11" s="22">
        <f ca="1">+GETPIVOTDATA("XSN4",'suoinghe (2016)'!$A$3,"MA_HT","HNK","MA_QH","DRA")</f>
        <v>0</v>
      </c>
      <c r="AQ11" s="22">
        <f ca="1">+GETPIVOTDATA("XSN4",'suoinghe (2016)'!$A$3,"MA_HT","HNK","MA_QH","ONT")</f>
        <v>0</v>
      </c>
      <c r="AR11" s="22">
        <f ca="1">+GETPIVOTDATA("XSN4",'suoinghe (2016)'!$A$3,"MA_HT","HNK","MA_QH","ODT")</f>
        <v>0</v>
      </c>
      <c r="AS11" s="22">
        <f ca="1">+GETPIVOTDATA("XSN4",'suoinghe (2016)'!$A$3,"MA_HT","HNK","MA_QH","TSC")</f>
        <v>0</v>
      </c>
      <c r="AT11" s="22">
        <f ca="1">+GETPIVOTDATA("XSN4",'suoinghe (2016)'!$A$3,"MA_HT","HNK","MA_QH","DTS")</f>
        <v>0</v>
      </c>
      <c r="AU11" s="22">
        <f ca="1">+GETPIVOTDATA("XSN4",'suoinghe (2016)'!$A$3,"MA_HT","HNK","MA_QH","DNG")</f>
        <v>0</v>
      </c>
      <c r="AV11" s="22">
        <f ca="1">+GETPIVOTDATA("XSN4",'suoinghe (2016)'!$A$3,"MA_HT","HNK","MA_QH","TON")</f>
        <v>0</v>
      </c>
      <c r="AW11" s="22">
        <f ca="1">+GETPIVOTDATA("XSN4",'suoinghe (2016)'!$A$3,"MA_HT","HNK","MA_QH","NTD")</f>
        <v>0</v>
      </c>
      <c r="AX11" s="22">
        <f ca="1">+GETPIVOTDATA("XSN4",'suoinghe (2016)'!$A$3,"MA_HT","HNK","MA_QH","SKX")</f>
        <v>0</v>
      </c>
      <c r="AY11" s="22">
        <f ca="1">+GETPIVOTDATA("XSN4",'suoinghe (2016)'!$A$3,"MA_HT","HNK","MA_QH","DSH")</f>
        <v>0</v>
      </c>
      <c r="AZ11" s="22">
        <f ca="1">+GETPIVOTDATA("XSN4",'suoinghe (2016)'!$A$3,"MA_HT","HNK","MA_QH","DKV")</f>
        <v>0</v>
      </c>
      <c r="BA11" s="89">
        <f ca="1">+GETPIVOTDATA("XSN4",'suoinghe (2016)'!$A$3,"MA_HT","HNK","MA_QH","TIN")</f>
        <v>0</v>
      </c>
      <c r="BB11" s="50">
        <f ca="1">+GETPIVOTDATA("XSN4",'suoinghe (2016)'!$A$3,"MA_HT","HNK","MA_QH","SON")</f>
        <v>0</v>
      </c>
      <c r="BC11" s="50">
        <f ca="1">+GETPIVOTDATA("XSN4",'suoinghe (2016)'!$A$3,"MA_HT","HNK","MA_QH","MNC")</f>
        <v>0</v>
      </c>
      <c r="BD11" s="22">
        <f ca="1">+GETPIVOTDATA("XSN4",'suoinghe (2016)'!$A$3,"MA_HT","HNK","MA_QH","PNK")</f>
        <v>0</v>
      </c>
      <c r="BE11" s="71">
        <f ca="1">+GETPIVOTDATA("XSN4",'suoinghe (2016)'!$A$3,"MA_HT","HNK","MA_QH","CSD")</f>
        <v>0</v>
      </c>
      <c r="BF11" s="74">
        <f ca="1" t="shared" si="7"/>
        <v>0</v>
      </c>
      <c r="BG11" s="101">
        <f ca="1">J$59-$BF11</f>
        <v>0</v>
      </c>
      <c r="BH11" s="41" t="e">
        <f ca="1" t="shared" si="8"/>
        <v>#REF!</v>
      </c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</row>
    <row r="12" s="2" customFormat="1" ht="15.75" customHeight="1" spans="1:79">
      <c r="A12" s="39" t="s">
        <v>8345</v>
      </c>
      <c r="B12" s="39" t="s">
        <v>8346</v>
      </c>
      <c r="C12" s="40" t="s">
        <v>30</v>
      </c>
      <c r="D12" s="47" t="e">
        <f>+#REF!</f>
        <v>#REF!</v>
      </c>
      <c r="E12" s="42">
        <f ca="1">SUM(L12:Q12,F12,J12)</f>
        <v>0</v>
      </c>
      <c r="F12" s="52">
        <f ca="1" t="shared" ref="F12:F58" si="9">SUM(G12:I12)</f>
        <v>0</v>
      </c>
      <c r="G12" s="22">
        <f ca="1">+GETPIVOTDATA("XSN4",'suoinghe (2016)'!$A$3,"MA_HT","CLN","MA_QH","LUC")</f>
        <v>0</v>
      </c>
      <c r="H12" s="22">
        <f ca="1">+GETPIVOTDATA("XSN4",'suoinghe (2016)'!$A$3,"MA_HT","CLN","MA_QH","LUK")</f>
        <v>0</v>
      </c>
      <c r="I12" s="22">
        <f ca="1">+GETPIVOTDATA("XSN4",'suoinghe (2016)'!$A$3,"MA_HT","CLN","MA_QH","LUN")</f>
        <v>0</v>
      </c>
      <c r="J12" s="22">
        <f ca="1">+GETPIVOTDATA("XSN4",'suoinghe (2016)'!$A$3,"MA_HT","CLN","MA_QH","HNK")</f>
        <v>0</v>
      </c>
      <c r="K12" s="43" t="e">
        <f ca="1">$D12-$BF12</f>
        <v>#REF!</v>
      </c>
      <c r="L12" s="22">
        <f ca="1">+GETPIVOTDATA("XSN4",'suoinghe (2016)'!$A$3,"MA_HT","CLN","MA_QH","RSX")</f>
        <v>0</v>
      </c>
      <c r="M12" s="22">
        <f ca="1">+GETPIVOTDATA("XSN4",'suoinghe (2016)'!$A$3,"MA_HT","CLN","MA_QH","RPH")</f>
        <v>0</v>
      </c>
      <c r="N12" s="22">
        <f ca="1">+GETPIVOTDATA("XSN4",'suoinghe (2016)'!$A$3,"MA_HT","CLN","MA_QH","RDD")</f>
        <v>0</v>
      </c>
      <c r="O12" s="22">
        <f ca="1">+GETPIVOTDATA("XSN4",'suoinghe (2016)'!$A$3,"MA_HT","CLN","MA_QH","NTS")</f>
        <v>0</v>
      </c>
      <c r="P12" s="22">
        <f ca="1">+GETPIVOTDATA("XSN4",'suoinghe (2016)'!$A$3,"MA_HT","CLN","MA_QH","LMU")</f>
        <v>0</v>
      </c>
      <c r="Q12" s="22">
        <f ca="1">+GETPIVOTDATA("XSN4",'suoinghe (2016)'!$A$3,"MA_HT","CLN","MA_QH","NKH")</f>
        <v>0</v>
      </c>
      <c r="R12" s="42">
        <f ca="1" t="shared" si="2"/>
        <v>0</v>
      </c>
      <c r="S12" s="22">
        <f ca="1">+GETPIVOTDATA("XSN4",'suoinghe (2016)'!$A$3,"MA_HT","CLN","MA_QH","CQP")</f>
        <v>0</v>
      </c>
      <c r="T12" s="22">
        <f ca="1">+GETPIVOTDATA("XSN4",'suoinghe (2016)'!$A$3,"MA_HT","CLN","MA_QH","CAN")</f>
        <v>0</v>
      </c>
      <c r="U12" s="22">
        <f ca="1">+GETPIVOTDATA("XSN4",'suoinghe (2016)'!$A$3,"MA_HT","CLN","MA_QH","SKK")</f>
        <v>0</v>
      </c>
      <c r="V12" s="22">
        <f ca="1">+GETPIVOTDATA("XSN4",'suoinghe (2016)'!$A$3,"MA_HT","CLN","MA_QH","SKT")</f>
        <v>0</v>
      </c>
      <c r="W12" s="22">
        <f ca="1">+GETPIVOTDATA("XSN4",'suoinghe (2016)'!$A$3,"MA_HT","CLN","MA_QH","SKN")</f>
        <v>0</v>
      </c>
      <c r="X12" s="22">
        <f ca="1">+GETPIVOTDATA("XSN4",'suoinghe (2016)'!$A$3,"MA_HT","CLN","MA_QH","TMD")</f>
        <v>0</v>
      </c>
      <c r="Y12" s="22">
        <f ca="1">+GETPIVOTDATA("XSN4",'suoinghe (2016)'!$A$3,"MA_HT","CLN","MA_QH","SKC")</f>
        <v>0</v>
      </c>
      <c r="Z12" s="22">
        <f ca="1">+GETPIVOTDATA("XSN4",'suoinghe (2016)'!$A$3,"MA_HT","CLN","MA_QH","SKS")</f>
        <v>0</v>
      </c>
      <c r="AA12" s="52">
        <f ca="1" t="shared" si="4"/>
        <v>0</v>
      </c>
      <c r="AB12" s="22">
        <f ca="1">+GETPIVOTDATA("XSN4",'suoinghe (2016)'!$A$3,"MA_HT","CLN","MA_QH","DGT")</f>
        <v>0</v>
      </c>
      <c r="AC12" s="22">
        <f ca="1">+GETPIVOTDATA("XSN4",'suoinghe (2016)'!$A$3,"MA_HT","CLN","MA_QH","DTL")</f>
        <v>0</v>
      </c>
      <c r="AD12" s="22">
        <f ca="1">+GETPIVOTDATA("XSN4",'suoinghe (2016)'!$A$3,"MA_HT","CLN","MA_QH","DNL")</f>
        <v>0</v>
      </c>
      <c r="AE12" s="22">
        <f ca="1">+GETPIVOTDATA("XSN4",'suoinghe (2016)'!$A$3,"MA_HT","CLN","MA_QH","DBV")</f>
        <v>0</v>
      </c>
      <c r="AF12" s="22">
        <f ca="1">+GETPIVOTDATA("XSN4",'suoinghe (2016)'!$A$3,"MA_HT","CLN","MA_QH","DVH")</f>
        <v>0</v>
      </c>
      <c r="AG12" s="22">
        <f ca="1">+GETPIVOTDATA("XSN4",'suoinghe (2016)'!$A$3,"MA_HT","CLN","MA_QH","DYT")</f>
        <v>0</v>
      </c>
      <c r="AH12" s="22">
        <f ca="1">+GETPIVOTDATA("XSN4",'suoinghe (2016)'!$A$3,"MA_HT","CLN","MA_QH","DGD")</f>
        <v>0</v>
      </c>
      <c r="AI12" s="22">
        <f ca="1">+GETPIVOTDATA("XSN4",'suoinghe (2016)'!$A$3,"MA_HT","CLN","MA_QH","DTT")</f>
        <v>0</v>
      </c>
      <c r="AJ12" s="22">
        <f ca="1">+GETPIVOTDATA("XSN4",'suoinghe (2016)'!$A$3,"MA_HT","CLN","MA_QH","NCK")</f>
        <v>0</v>
      </c>
      <c r="AK12" s="22">
        <f ca="1">+GETPIVOTDATA("XSN4",'suoinghe (2016)'!$A$3,"MA_HT","CLN","MA_QH","DXH")</f>
        <v>0</v>
      </c>
      <c r="AL12" s="22">
        <f ca="1">+GETPIVOTDATA("XSN4",'suoinghe (2016)'!$A$3,"MA_HT","CLN","MA_QH","DCH")</f>
        <v>0</v>
      </c>
      <c r="AM12" s="22">
        <f ca="1">+GETPIVOTDATA("XSN4",'suoinghe (2016)'!$A$3,"MA_HT","CLN","MA_QH","DKG")</f>
        <v>0</v>
      </c>
      <c r="AN12" s="22">
        <f ca="1">+GETPIVOTDATA("XSN4",'suoinghe (2016)'!$A$3,"MA_HT","CLN","MA_QH","DDT")</f>
        <v>0</v>
      </c>
      <c r="AO12" s="22">
        <f ca="1">+GETPIVOTDATA("XSN4",'suoinghe (2016)'!$A$3,"MA_HT","CLN","MA_QH","DDL")</f>
        <v>0</v>
      </c>
      <c r="AP12" s="22">
        <f ca="1">+GETPIVOTDATA("XSN4",'suoinghe (2016)'!$A$3,"MA_HT","CLN","MA_QH","DRA")</f>
        <v>0</v>
      </c>
      <c r="AQ12" s="22">
        <f ca="1">+GETPIVOTDATA("XSN4",'suoinghe (2016)'!$A$3,"MA_HT","CLN","MA_QH","ONT")</f>
        <v>0</v>
      </c>
      <c r="AR12" s="22">
        <f ca="1">+GETPIVOTDATA("XSN4",'suoinghe (2016)'!$A$3,"MA_HT","CLN","MA_QH","ODT")</f>
        <v>0</v>
      </c>
      <c r="AS12" s="22">
        <f ca="1">+GETPIVOTDATA("XSN4",'suoinghe (2016)'!$A$3,"MA_HT","CLN","MA_QH","TSC")</f>
        <v>0</v>
      </c>
      <c r="AT12" s="22">
        <f ca="1">+GETPIVOTDATA("XSN4",'suoinghe (2016)'!$A$3,"MA_HT","CLN","MA_QH","DTS")</f>
        <v>0</v>
      </c>
      <c r="AU12" s="22">
        <f ca="1">+GETPIVOTDATA("XSN4",'suoinghe (2016)'!$A$3,"MA_HT","CLN","MA_QH","DNG")</f>
        <v>0</v>
      </c>
      <c r="AV12" s="22">
        <f ca="1">+GETPIVOTDATA("XSN4",'suoinghe (2016)'!$A$3,"MA_HT","CLN","MA_QH","TON")</f>
        <v>0</v>
      </c>
      <c r="AW12" s="22">
        <f ca="1">+GETPIVOTDATA("XSN4",'suoinghe (2016)'!$A$3,"MA_HT","CLN","MA_QH","NTD")</f>
        <v>0</v>
      </c>
      <c r="AX12" s="22">
        <f ca="1">+GETPIVOTDATA("XSN4",'suoinghe (2016)'!$A$3,"MA_HT","CLN","MA_QH","SKX")</f>
        <v>0</v>
      </c>
      <c r="AY12" s="22">
        <f ca="1">+GETPIVOTDATA("XSN4",'suoinghe (2016)'!$A$3,"MA_HT","CLN","MA_QH","DSH")</f>
        <v>0</v>
      </c>
      <c r="AZ12" s="22">
        <f ca="1">+GETPIVOTDATA("XSN4",'suoinghe (2016)'!$A$3,"MA_HT","CLN","MA_QH","DKV")</f>
        <v>0</v>
      </c>
      <c r="BA12" s="89">
        <f ca="1">+GETPIVOTDATA("XSN4",'suoinghe (2016)'!$A$3,"MA_HT","CLN","MA_QH","TIN")</f>
        <v>0</v>
      </c>
      <c r="BB12" s="50">
        <f ca="1">+GETPIVOTDATA("XSN4",'suoinghe (2016)'!$A$3,"MA_HT","CLN","MA_QH","SON")</f>
        <v>0</v>
      </c>
      <c r="BC12" s="50">
        <f ca="1">+GETPIVOTDATA("XSN4",'suoinghe (2016)'!$A$3,"MA_HT","CLN","MA_QH","MNC")</f>
        <v>0</v>
      </c>
      <c r="BD12" s="22">
        <f ca="1">+GETPIVOTDATA("XSN4",'suoinghe (2016)'!$A$3,"MA_HT","CLN","MA_QH","PNK")</f>
        <v>0</v>
      </c>
      <c r="BE12" s="71">
        <f ca="1">+GETPIVOTDATA("XSN4",'suoinghe (2016)'!$A$3,"MA_HT","CLN","MA_QH","CSD")</f>
        <v>0</v>
      </c>
      <c r="BF12" s="74">
        <f ca="1" t="shared" si="7"/>
        <v>0</v>
      </c>
      <c r="BG12" s="101">
        <f ca="1">K$59-$BF12</f>
        <v>0</v>
      </c>
      <c r="BH12" s="41" t="e">
        <f ca="1" t="shared" si="8"/>
        <v>#REF!</v>
      </c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</row>
    <row r="13" s="2" customFormat="1" ht="15.75" customHeight="1" spans="1:79">
      <c r="A13" s="39" t="s">
        <v>8347</v>
      </c>
      <c r="B13" s="39" t="s">
        <v>8348</v>
      </c>
      <c r="C13" s="40" t="s">
        <v>8307</v>
      </c>
      <c r="D13" s="47" t="e">
        <f>+#REF!</f>
        <v>#REF!</v>
      </c>
      <c r="E13" s="42">
        <f ca="1">SUM(F13,J13:K13,M13:Q13)</f>
        <v>0</v>
      </c>
      <c r="F13" s="52">
        <f ca="1" t="shared" si="9"/>
        <v>0</v>
      </c>
      <c r="G13" s="22">
        <f ca="1">+GETPIVOTDATA("XSN4",'suoinghe (2016)'!$A$3,"MA_HT","RSX","MA_QH","LUC")</f>
        <v>0</v>
      </c>
      <c r="H13" s="22">
        <f ca="1">+GETPIVOTDATA("XSN4",'suoinghe (2016)'!$A$3,"MA_HT","RSX","MA_QH","LUK")</f>
        <v>0</v>
      </c>
      <c r="I13" s="22">
        <f ca="1">+GETPIVOTDATA("XSN4",'suoinghe (2016)'!$A$3,"MA_HT","RSX","MA_QH","LUN")</f>
        <v>0</v>
      </c>
      <c r="J13" s="22">
        <f ca="1">+GETPIVOTDATA("XSN4",'suoinghe (2016)'!$A$3,"MA_HT","RSX","MA_QH","HNK")</f>
        <v>0</v>
      </c>
      <c r="K13" s="22">
        <f ca="1">+GETPIVOTDATA("XSN4",'suoinghe (2016)'!$A$3,"MA_HT","RSX","MA_QH","CLN")</f>
        <v>0</v>
      </c>
      <c r="L13" s="43" t="e">
        <f ca="1">$D13-$BF13</f>
        <v>#REF!</v>
      </c>
      <c r="M13" s="22">
        <f ca="1">+GETPIVOTDATA("XSN4",'suoinghe (2016)'!$A$3,"MA_HT","RSX","MA_QH","RPH")</f>
        <v>0</v>
      </c>
      <c r="N13" s="22">
        <f ca="1">+GETPIVOTDATA("XSN4",'suoinghe (2016)'!$A$3,"MA_HT","RSX","MA_QH","RDD")</f>
        <v>0</v>
      </c>
      <c r="O13" s="22">
        <f ca="1">+GETPIVOTDATA("XSN4",'suoinghe (2016)'!$A$3,"MA_HT","RSX","MA_QH","NTS")</f>
        <v>0</v>
      </c>
      <c r="P13" s="22">
        <f ca="1">+GETPIVOTDATA("XSN4",'suoinghe (2016)'!$A$3,"MA_HT","RSX","MA_QH","LMU")</f>
        <v>0</v>
      </c>
      <c r="Q13" s="22">
        <f ca="1">+GETPIVOTDATA("XSN4",'suoinghe (2016)'!$A$3,"MA_HT","RSX","MA_QH","NKH")</f>
        <v>0</v>
      </c>
      <c r="R13" s="42">
        <f ca="1" t="shared" si="2"/>
        <v>0</v>
      </c>
      <c r="S13" s="22">
        <f ca="1">+GETPIVOTDATA("XSN4",'suoinghe (2016)'!$A$3,"MA_HT","RSX","MA_QH","CQP")</f>
        <v>0</v>
      </c>
      <c r="T13" s="22">
        <f ca="1">+GETPIVOTDATA("XSN4",'suoinghe (2016)'!$A$3,"MA_HT","RSX","MA_QH","CAN")</f>
        <v>0</v>
      </c>
      <c r="U13" s="22">
        <f ca="1">+GETPIVOTDATA("XSN4",'suoinghe (2016)'!$A$3,"MA_HT","RSX","MA_QH","SKK")</f>
        <v>0</v>
      </c>
      <c r="V13" s="22">
        <f ca="1">+GETPIVOTDATA("XSN4",'suoinghe (2016)'!$A$3,"MA_HT","RSX","MA_QH","SKT")</f>
        <v>0</v>
      </c>
      <c r="W13" s="22">
        <f ca="1">+GETPIVOTDATA("XSN4",'suoinghe (2016)'!$A$3,"MA_HT","RSX","MA_QH","SKN")</f>
        <v>0</v>
      </c>
      <c r="X13" s="22">
        <f ca="1">+GETPIVOTDATA("XSN4",'suoinghe (2016)'!$A$3,"MA_HT","RSX","MA_QH","TMD")</f>
        <v>0</v>
      </c>
      <c r="Y13" s="22">
        <f ca="1">+GETPIVOTDATA("XSN4",'suoinghe (2016)'!$A$3,"MA_HT","RSX","MA_QH","SKC")</f>
        <v>0</v>
      </c>
      <c r="Z13" s="22">
        <f ca="1">+GETPIVOTDATA("XSN4",'suoinghe (2016)'!$A$3,"MA_HT","RSX","MA_QH","SKS")</f>
        <v>0</v>
      </c>
      <c r="AA13" s="52">
        <f ca="1" t="shared" si="4"/>
        <v>0</v>
      </c>
      <c r="AB13" s="22">
        <f ca="1">+GETPIVOTDATA("XSN4",'suoinghe (2016)'!$A$3,"MA_HT","RSX","MA_QH","DGT")</f>
        <v>0</v>
      </c>
      <c r="AC13" s="22">
        <f ca="1">+GETPIVOTDATA("XSN4",'suoinghe (2016)'!$A$3,"MA_HT","RSX","MA_QH","DTL")</f>
        <v>0</v>
      </c>
      <c r="AD13" s="22">
        <f ca="1">+GETPIVOTDATA("XSN4",'suoinghe (2016)'!$A$3,"MA_HT","RSX","MA_QH","DNL")</f>
        <v>0</v>
      </c>
      <c r="AE13" s="22">
        <f ca="1">+GETPIVOTDATA("XSN4",'suoinghe (2016)'!$A$3,"MA_HT","RSX","MA_QH","DBV")</f>
        <v>0</v>
      </c>
      <c r="AF13" s="22">
        <f ca="1">+GETPIVOTDATA("XSN4",'suoinghe (2016)'!$A$3,"MA_HT","RSX","MA_QH","DVH")</f>
        <v>0</v>
      </c>
      <c r="AG13" s="22">
        <f ca="1">+GETPIVOTDATA("XSN4",'suoinghe (2016)'!$A$3,"MA_HT","RSX","MA_QH","DYT")</f>
        <v>0</v>
      </c>
      <c r="AH13" s="22">
        <f ca="1">+GETPIVOTDATA("XSN4",'suoinghe (2016)'!$A$3,"MA_HT","RSX","MA_QH","DGD")</f>
        <v>0</v>
      </c>
      <c r="AI13" s="22">
        <f ca="1">+GETPIVOTDATA("XSN4",'suoinghe (2016)'!$A$3,"MA_HT","RSX","MA_QH","DTT")</f>
        <v>0</v>
      </c>
      <c r="AJ13" s="22">
        <f ca="1">+GETPIVOTDATA("XSN4",'suoinghe (2016)'!$A$3,"MA_HT","RSX","MA_QH","NCK")</f>
        <v>0</v>
      </c>
      <c r="AK13" s="22">
        <f ca="1">+GETPIVOTDATA("XSN4",'suoinghe (2016)'!$A$3,"MA_HT","RSX","MA_QH","DXH")</f>
        <v>0</v>
      </c>
      <c r="AL13" s="22">
        <f ca="1">+GETPIVOTDATA("XSN4",'suoinghe (2016)'!$A$3,"MA_HT","RSX","MA_QH","DCH")</f>
        <v>0</v>
      </c>
      <c r="AM13" s="22">
        <f ca="1">+GETPIVOTDATA("XSN4",'suoinghe (2016)'!$A$3,"MA_HT","RSX","MA_QH","DKG")</f>
        <v>0</v>
      </c>
      <c r="AN13" s="22">
        <f ca="1">+GETPIVOTDATA("XSN4",'suoinghe (2016)'!$A$3,"MA_HT","RSX","MA_QH","DDT")</f>
        <v>0</v>
      </c>
      <c r="AO13" s="22">
        <f ca="1">+GETPIVOTDATA("XSN4",'suoinghe (2016)'!$A$3,"MA_HT","RSX","MA_QH","DDL")</f>
        <v>0</v>
      </c>
      <c r="AP13" s="22">
        <f ca="1">+GETPIVOTDATA("XSN4",'suoinghe (2016)'!$A$3,"MA_HT","RSX","MA_QH","DRA")</f>
        <v>0</v>
      </c>
      <c r="AQ13" s="22">
        <f ca="1">+GETPIVOTDATA("XSN4",'suoinghe (2016)'!$A$3,"MA_HT","RSX","MA_QH","ONT")</f>
        <v>0</v>
      </c>
      <c r="AR13" s="22">
        <f ca="1">+GETPIVOTDATA("XSN4",'suoinghe (2016)'!$A$3,"MA_HT","RSX","MA_QH","ODT")</f>
        <v>0</v>
      </c>
      <c r="AS13" s="22">
        <f ca="1">+GETPIVOTDATA("XSN4",'suoinghe (2016)'!$A$3,"MA_HT","RSX","MA_QH","TSC")</f>
        <v>0</v>
      </c>
      <c r="AT13" s="22">
        <f ca="1">+GETPIVOTDATA("XSN4",'suoinghe (2016)'!$A$3,"MA_HT","RSX","MA_QH","DTS")</f>
        <v>0</v>
      </c>
      <c r="AU13" s="22">
        <f ca="1">+GETPIVOTDATA("XSN4",'suoinghe (2016)'!$A$3,"MA_HT","RSX","MA_QH","DNG")</f>
        <v>0</v>
      </c>
      <c r="AV13" s="22">
        <f ca="1">+GETPIVOTDATA("XSN4",'suoinghe (2016)'!$A$3,"MA_HT","RSX","MA_QH","TON")</f>
        <v>0</v>
      </c>
      <c r="AW13" s="22">
        <f ca="1">+GETPIVOTDATA("XSN4",'suoinghe (2016)'!$A$3,"MA_HT","RSX","MA_QH","NTD")</f>
        <v>0</v>
      </c>
      <c r="AX13" s="22">
        <f ca="1">+GETPIVOTDATA("XSN4",'suoinghe (2016)'!$A$3,"MA_HT","RSX","MA_QH","SKX")</f>
        <v>0</v>
      </c>
      <c r="AY13" s="22">
        <f ca="1">+GETPIVOTDATA("XSN4",'suoinghe (2016)'!$A$3,"MA_HT","RSX","MA_QH","DSH")</f>
        <v>0</v>
      </c>
      <c r="AZ13" s="22">
        <f ca="1">+GETPIVOTDATA("XSN4",'suoinghe (2016)'!$A$3,"MA_HT","RSX","MA_QH","DKV")</f>
        <v>0</v>
      </c>
      <c r="BA13" s="89">
        <f ca="1">+GETPIVOTDATA("XSN4",'suoinghe (2016)'!$A$3,"MA_HT","RSX","MA_QH","TIN")</f>
        <v>0</v>
      </c>
      <c r="BB13" s="50">
        <f ca="1">+GETPIVOTDATA("XSN4",'suoinghe (2016)'!$A$3,"MA_HT","RSX","MA_QH","SON")</f>
        <v>0</v>
      </c>
      <c r="BC13" s="50">
        <f ca="1">+GETPIVOTDATA("XSN4",'suoinghe (2016)'!$A$3,"MA_HT","RSX","MA_QH","MNC")</f>
        <v>0</v>
      </c>
      <c r="BD13" s="22">
        <f ca="1">+GETPIVOTDATA("XSN4",'suoinghe (2016)'!$A$3,"MA_HT","RSX","MA_QH","PNK")</f>
        <v>0</v>
      </c>
      <c r="BE13" s="71">
        <f ca="1">+GETPIVOTDATA("XSN4",'suoinghe (2016)'!$A$3,"MA_HT","RSX","MA_QH","CSD")</f>
        <v>0</v>
      </c>
      <c r="BF13" s="74">
        <f ca="1" t="shared" si="7"/>
        <v>0</v>
      </c>
      <c r="BG13" s="101">
        <f ca="1">L$59-$BF13</f>
        <v>0</v>
      </c>
      <c r="BH13" s="41" t="e">
        <f ca="1" t="shared" si="8"/>
        <v>#REF!</v>
      </c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</row>
    <row r="14" s="2" customFormat="1" ht="15.75" customHeight="1" spans="1:79">
      <c r="A14" s="39" t="s">
        <v>8349</v>
      </c>
      <c r="B14" s="39" t="s">
        <v>8350</v>
      </c>
      <c r="C14" s="40" t="s">
        <v>8306</v>
      </c>
      <c r="D14" s="47" t="e">
        <f>+#REF!</f>
        <v>#REF!</v>
      </c>
      <c r="E14" s="42">
        <f ca="1">SUM(F14,J14:L14,N14:Q14)</f>
        <v>0</v>
      </c>
      <c r="F14" s="52">
        <f ca="1" t="shared" si="9"/>
        <v>0</v>
      </c>
      <c r="G14" s="22">
        <f ca="1">+GETPIVOTDATA("XSN4",'suoinghe (2016)'!$A$3,"MA_HT","RPH","MA_QH","LUC")</f>
        <v>0</v>
      </c>
      <c r="H14" s="22">
        <f ca="1">+GETPIVOTDATA("XSN4",'suoinghe (2016)'!$A$3,"MA_HT","RPH","MA_QH","LUK")</f>
        <v>0</v>
      </c>
      <c r="I14" s="22">
        <f ca="1">+GETPIVOTDATA("XSN4",'suoinghe (2016)'!$A$3,"MA_HT","RPH","MA_QH","LUN")</f>
        <v>0</v>
      </c>
      <c r="J14" s="22">
        <f ca="1">+GETPIVOTDATA("XSN4",'suoinghe (2016)'!$A$3,"MA_HT","RPH","MA_QH","HNK")</f>
        <v>0</v>
      </c>
      <c r="K14" s="22">
        <f ca="1">+GETPIVOTDATA("XSN4",'suoinghe (2016)'!$A$3,"MA_HT","RPH","MA_QH","CLN")</f>
        <v>0</v>
      </c>
      <c r="L14" s="22">
        <f ca="1">+GETPIVOTDATA("XSN4",'suoinghe (2016)'!$A$3,"MA_HT","RPH","MA_QH","RSX")</f>
        <v>0</v>
      </c>
      <c r="M14" s="43" t="e">
        <f ca="1">$D14-$BF14</f>
        <v>#REF!</v>
      </c>
      <c r="N14" s="22">
        <f ca="1">+GETPIVOTDATA("XSN4",'suoinghe (2016)'!$A$3,"MA_HT","RPH","MA_QH","RDD")</f>
        <v>0</v>
      </c>
      <c r="O14" s="22">
        <f ca="1">+GETPIVOTDATA("XSN4",'suoinghe (2016)'!$A$3,"MA_HT","RPH","MA_QH","NTS")</f>
        <v>0</v>
      </c>
      <c r="P14" s="22">
        <f ca="1">+GETPIVOTDATA("XSN4",'suoinghe (2016)'!$A$3,"MA_HT","RPH","MA_QH","LMU")</f>
        <v>0</v>
      </c>
      <c r="Q14" s="22">
        <f ca="1">+GETPIVOTDATA("XSN4",'suoinghe (2016)'!$A$3,"MA_HT","RPH","MA_QH","NKH")</f>
        <v>0</v>
      </c>
      <c r="R14" s="42">
        <f ca="1" t="shared" si="2"/>
        <v>0</v>
      </c>
      <c r="S14" s="22">
        <f ca="1">+GETPIVOTDATA("XSN4",'suoinghe (2016)'!$A$3,"MA_HT","RPH","MA_QH","CQP")</f>
        <v>0</v>
      </c>
      <c r="T14" s="22">
        <f ca="1">+GETPIVOTDATA("XSN4",'suoinghe (2016)'!$A$3,"MA_HT","RPH","MA_QH","CAN")</f>
        <v>0</v>
      </c>
      <c r="U14" s="22">
        <f ca="1">+GETPIVOTDATA("XSN4",'suoinghe (2016)'!$A$3,"MA_HT","RPH","MA_QH","SKK")</f>
        <v>0</v>
      </c>
      <c r="V14" s="22">
        <f ca="1">+GETPIVOTDATA("XSN4",'suoinghe (2016)'!$A$3,"MA_HT","RPH","MA_QH","SKT")</f>
        <v>0</v>
      </c>
      <c r="W14" s="22">
        <f ca="1">+GETPIVOTDATA("XSN4",'suoinghe (2016)'!$A$3,"MA_HT","RPH","MA_QH","SKN")</f>
        <v>0</v>
      </c>
      <c r="X14" s="22">
        <f ca="1">+GETPIVOTDATA("XSN4",'suoinghe (2016)'!$A$3,"MA_HT","RPH","MA_QH","TMD")</f>
        <v>0</v>
      </c>
      <c r="Y14" s="22">
        <f ca="1">+GETPIVOTDATA("XSN4",'suoinghe (2016)'!$A$3,"MA_HT","RPH","MA_QH","SKC")</f>
        <v>0</v>
      </c>
      <c r="Z14" s="22">
        <f ca="1">+GETPIVOTDATA("XSN4",'suoinghe (2016)'!$A$3,"MA_HT","RPH","MA_QH","SKS")</f>
        <v>0</v>
      </c>
      <c r="AA14" s="52">
        <f ca="1" t="shared" si="4"/>
        <v>0</v>
      </c>
      <c r="AB14" s="22">
        <f ca="1">+GETPIVOTDATA("XSN4",'suoinghe (2016)'!$A$3,"MA_HT","RPH","MA_QH","DGT")</f>
        <v>0</v>
      </c>
      <c r="AC14" s="22">
        <f ca="1">+GETPIVOTDATA("XSN4",'suoinghe (2016)'!$A$3,"MA_HT","RPH","MA_QH","DTL")</f>
        <v>0</v>
      </c>
      <c r="AD14" s="22">
        <f ca="1">+GETPIVOTDATA("XSN4",'suoinghe (2016)'!$A$3,"MA_HT","RPH","MA_QH","DNL")</f>
        <v>0</v>
      </c>
      <c r="AE14" s="22">
        <f ca="1">+GETPIVOTDATA("XSN4",'suoinghe (2016)'!$A$3,"MA_HT","RPH","MA_QH","DBV")</f>
        <v>0</v>
      </c>
      <c r="AF14" s="22">
        <f ca="1">+GETPIVOTDATA("XSN4",'suoinghe (2016)'!$A$3,"MA_HT","RPH","MA_QH","DVH")</f>
        <v>0</v>
      </c>
      <c r="AG14" s="22">
        <f ca="1">+GETPIVOTDATA("XSN4",'suoinghe (2016)'!$A$3,"MA_HT","RPH","MA_QH","DYT")</f>
        <v>0</v>
      </c>
      <c r="AH14" s="22">
        <f ca="1">+GETPIVOTDATA("XSN4",'suoinghe (2016)'!$A$3,"MA_HT","RPH","MA_QH","DGD")</f>
        <v>0</v>
      </c>
      <c r="AI14" s="22">
        <f ca="1">+GETPIVOTDATA("XSN4",'suoinghe (2016)'!$A$3,"MA_HT","RPH","MA_QH","DTT")</f>
        <v>0</v>
      </c>
      <c r="AJ14" s="22">
        <f ca="1">+GETPIVOTDATA("XSN4",'suoinghe (2016)'!$A$3,"MA_HT","RPH","MA_QH","NCK")</f>
        <v>0</v>
      </c>
      <c r="AK14" s="22">
        <f ca="1">+GETPIVOTDATA("XSN4",'suoinghe (2016)'!$A$3,"MA_HT","RPH","MA_QH","DXH")</f>
        <v>0</v>
      </c>
      <c r="AL14" s="22">
        <f ca="1">+GETPIVOTDATA("XSN4",'suoinghe (2016)'!$A$3,"MA_HT","RPH","MA_QH","DCH")</f>
        <v>0</v>
      </c>
      <c r="AM14" s="22">
        <f ca="1">+GETPIVOTDATA("XSN4",'suoinghe (2016)'!$A$3,"MA_HT","RPH","MA_QH","DKG")</f>
        <v>0</v>
      </c>
      <c r="AN14" s="22">
        <f ca="1">+GETPIVOTDATA("XSN4",'suoinghe (2016)'!$A$3,"MA_HT","RPH","MA_QH","DDT")</f>
        <v>0</v>
      </c>
      <c r="AO14" s="22">
        <f ca="1">+GETPIVOTDATA("XSN4",'suoinghe (2016)'!$A$3,"MA_HT","RPH","MA_QH","DDL")</f>
        <v>0</v>
      </c>
      <c r="AP14" s="22">
        <f ca="1">+GETPIVOTDATA("XSN4",'suoinghe (2016)'!$A$3,"MA_HT","RPH","MA_QH","DRA")</f>
        <v>0</v>
      </c>
      <c r="AQ14" s="22">
        <f ca="1">+GETPIVOTDATA("XSN4",'suoinghe (2016)'!$A$3,"MA_HT","RPH","MA_QH","ONT")</f>
        <v>0</v>
      </c>
      <c r="AR14" s="22">
        <f ca="1">+GETPIVOTDATA("XSN4",'suoinghe (2016)'!$A$3,"MA_HT","RPH","MA_QH","ODT")</f>
        <v>0</v>
      </c>
      <c r="AS14" s="22">
        <f ca="1">+GETPIVOTDATA("XSN4",'suoinghe (2016)'!$A$3,"MA_HT","RPH","MA_QH","TSC")</f>
        <v>0</v>
      </c>
      <c r="AT14" s="22">
        <f ca="1">+GETPIVOTDATA("XSN4",'suoinghe (2016)'!$A$3,"MA_HT","RPH","MA_QH","DTS")</f>
        <v>0</v>
      </c>
      <c r="AU14" s="22">
        <f ca="1">+GETPIVOTDATA("XSN4",'suoinghe (2016)'!$A$3,"MA_HT","RPH","MA_QH","DNG")</f>
        <v>0</v>
      </c>
      <c r="AV14" s="22">
        <f ca="1">+GETPIVOTDATA("XSN4",'suoinghe (2016)'!$A$3,"MA_HT","RPH","MA_QH","TON")</f>
        <v>0</v>
      </c>
      <c r="AW14" s="22">
        <f ca="1">+GETPIVOTDATA("XSN4",'suoinghe (2016)'!$A$3,"MA_HT","RPH","MA_QH","NTD")</f>
        <v>0</v>
      </c>
      <c r="AX14" s="22">
        <f ca="1">+GETPIVOTDATA("XSN4",'suoinghe (2016)'!$A$3,"MA_HT","RPH","MA_QH","SKX")</f>
        <v>0</v>
      </c>
      <c r="AY14" s="22">
        <f ca="1">+GETPIVOTDATA("XSN4",'suoinghe (2016)'!$A$3,"MA_HT","RPH","MA_QH","DSH")</f>
        <v>0</v>
      </c>
      <c r="AZ14" s="22">
        <f ca="1">+GETPIVOTDATA("XSN4",'suoinghe (2016)'!$A$3,"MA_HT","RPH","MA_QH","DKV")</f>
        <v>0</v>
      </c>
      <c r="BA14" s="89">
        <f ca="1">+GETPIVOTDATA("XSN4",'suoinghe (2016)'!$A$3,"MA_HT","RPH","MA_QH","TIN")</f>
        <v>0</v>
      </c>
      <c r="BB14" s="50">
        <f ca="1">+GETPIVOTDATA("XSN4",'suoinghe (2016)'!$A$3,"MA_HT","RPH","MA_QH","SON")</f>
        <v>0</v>
      </c>
      <c r="BC14" s="50">
        <f ca="1">+GETPIVOTDATA("XSN4",'suoinghe (2016)'!$A$3,"MA_HT","RPH","MA_QH","MNC")</f>
        <v>0</v>
      </c>
      <c r="BD14" s="22">
        <f ca="1">+GETPIVOTDATA("XSN4",'suoinghe (2016)'!$A$3,"MA_HT","RPH","MA_QH","PNK")</f>
        <v>0</v>
      </c>
      <c r="BE14" s="71">
        <f ca="1">+GETPIVOTDATA("XSN4",'suoinghe (2016)'!$A$3,"MA_HT","RPH","MA_QH","CSD")</f>
        <v>0</v>
      </c>
      <c r="BF14" s="74">
        <f ca="1" t="shared" si="7"/>
        <v>0</v>
      </c>
      <c r="BG14" s="101">
        <f ca="1">M$59-$BF14</f>
        <v>0</v>
      </c>
      <c r="BH14" s="41" t="e">
        <f ca="1" t="shared" si="8"/>
        <v>#REF!</v>
      </c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</row>
    <row r="15" s="2" customFormat="1" ht="15.75" customHeight="1" spans="1:79">
      <c r="A15" s="39" t="s">
        <v>8351</v>
      </c>
      <c r="B15" s="39" t="s">
        <v>8352</v>
      </c>
      <c r="C15" s="40" t="s">
        <v>8305</v>
      </c>
      <c r="D15" s="47" t="e">
        <f>+#REF!</f>
        <v>#REF!</v>
      </c>
      <c r="E15" s="42">
        <f ca="1">SUM(F15,J15:M15,O15:Q15)</f>
        <v>0</v>
      </c>
      <c r="F15" s="52">
        <f ca="1" t="shared" si="9"/>
        <v>0</v>
      </c>
      <c r="G15" s="22">
        <f ca="1">+GETPIVOTDATA("XSN4",'suoinghe (2016)'!$A$3,"MA_HT","RDD","MA_QH","LUC")</f>
        <v>0</v>
      </c>
      <c r="H15" s="22">
        <f ca="1">+GETPIVOTDATA("XSN4",'suoinghe (2016)'!$A$3,"MA_HT","RDD","MA_QH","LUK")</f>
        <v>0</v>
      </c>
      <c r="I15" s="22">
        <f ca="1">+GETPIVOTDATA("XSN4",'suoinghe (2016)'!$A$3,"MA_HT","RDD","MA_QH","LUN")</f>
        <v>0</v>
      </c>
      <c r="J15" s="22">
        <f ca="1">+GETPIVOTDATA("XSN4",'suoinghe (2016)'!$A$3,"MA_HT","RDD","MA_QH","HNK")</f>
        <v>0</v>
      </c>
      <c r="K15" s="22">
        <f ca="1">+GETPIVOTDATA("XSN4",'suoinghe (2016)'!$A$3,"MA_HT","RDD","MA_QH","CLN")</f>
        <v>0</v>
      </c>
      <c r="L15" s="22">
        <f ca="1">+GETPIVOTDATA("XSN4",'suoinghe (2016)'!$A$3,"MA_HT","RDD","MA_QH","RSX")</f>
        <v>0</v>
      </c>
      <c r="M15" s="22">
        <f ca="1">+GETPIVOTDATA("XSN4",'suoinghe (2016)'!$A$3,"MA_HT","RDD","MA_QH","RPH")</f>
        <v>0</v>
      </c>
      <c r="N15" s="43" t="e">
        <f ca="1">$D15-$BF15</f>
        <v>#REF!</v>
      </c>
      <c r="O15" s="22">
        <f ca="1">+GETPIVOTDATA("XSN4",'suoinghe (2016)'!$A$3,"MA_HT","RDD","MA_QH","NTS")</f>
        <v>0</v>
      </c>
      <c r="P15" s="22">
        <f ca="1">+GETPIVOTDATA("XSN4",'suoinghe (2016)'!$A$3,"MA_HT","RDD","MA_QH","LMU")</f>
        <v>0</v>
      </c>
      <c r="Q15" s="22">
        <f ca="1">+GETPIVOTDATA("XSN4",'suoinghe (2016)'!$A$3,"MA_HT","RDD","MA_QH","NKH")</f>
        <v>0</v>
      </c>
      <c r="R15" s="42">
        <f ca="1" t="shared" si="2"/>
        <v>0</v>
      </c>
      <c r="S15" s="22">
        <f ca="1">+GETPIVOTDATA("XSN4",'suoinghe (2016)'!$A$3,"MA_HT","RDD","MA_QH","CQP")</f>
        <v>0</v>
      </c>
      <c r="T15" s="22">
        <f ca="1">+GETPIVOTDATA("XSN4",'suoinghe (2016)'!$A$3,"MA_HT","RDD","MA_QH","CAN")</f>
        <v>0</v>
      </c>
      <c r="U15" s="22">
        <f ca="1">+GETPIVOTDATA("XSN4",'suoinghe (2016)'!$A$3,"MA_HT","RDD","MA_QH","SKK")</f>
        <v>0</v>
      </c>
      <c r="V15" s="22">
        <f ca="1">+GETPIVOTDATA("XSN4",'suoinghe (2016)'!$A$3,"MA_HT","RDD","MA_QH","SKT")</f>
        <v>0</v>
      </c>
      <c r="W15" s="22">
        <f ca="1">+GETPIVOTDATA("XSN4",'suoinghe (2016)'!$A$3,"MA_HT","RDD","MA_QH","SKN")</f>
        <v>0</v>
      </c>
      <c r="X15" s="22">
        <f ca="1">+GETPIVOTDATA("XSN4",'suoinghe (2016)'!$A$3,"MA_HT","RDD","MA_QH","TMD")</f>
        <v>0</v>
      </c>
      <c r="Y15" s="22">
        <f ca="1">+GETPIVOTDATA("XSN4",'suoinghe (2016)'!$A$3,"MA_HT","RDD","MA_QH","SKC")</f>
        <v>0</v>
      </c>
      <c r="Z15" s="22">
        <f ca="1">+GETPIVOTDATA("XSN4",'suoinghe (2016)'!$A$3,"MA_HT","RDD","MA_QH","SKS")</f>
        <v>0</v>
      </c>
      <c r="AA15" s="52">
        <f ca="1" t="shared" si="4"/>
        <v>0</v>
      </c>
      <c r="AB15" s="22">
        <f ca="1">+GETPIVOTDATA("XSN4",'suoinghe (2016)'!$A$3,"MA_HT","RDD","MA_QH","DGT")</f>
        <v>0</v>
      </c>
      <c r="AC15" s="22">
        <f ca="1">+GETPIVOTDATA("XSN4",'suoinghe (2016)'!$A$3,"MA_HT","RDD","MA_QH","DTL")</f>
        <v>0</v>
      </c>
      <c r="AD15" s="22">
        <f ca="1">+GETPIVOTDATA("XSN4",'suoinghe (2016)'!$A$3,"MA_HT","RDD","MA_QH","DNL")</f>
        <v>0</v>
      </c>
      <c r="AE15" s="22">
        <f ca="1">+GETPIVOTDATA("XSN4",'suoinghe (2016)'!$A$3,"MA_HT","RDD","MA_QH","DBV")</f>
        <v>0</v>
      </c>
      <c r="AF15" s="22">
        <f ca="1">+GETPIVOTDATA("XSN4",'suoinghe (2016)'!$A$3,"MA_HT","RDD","MA_QH","DVH")</f>
        <v>0</v>
      </c>
      <c r="AG15" s="22">
        <f ca="1">+GETPIVOTDATA("XSN4",'suoinghe (2016)'!$A$3,"MA_HT","RDD","MA_QH","DYT")</f>
        <v>0</v>
      </c>
      <c r="AH15" s="22">
        <f ca="1">+GETPIVOTDATA("XSN4",'suoinghe (2016)'!$A$3,"MA_HT","RDD","MA_QH","DGD")</f>
        <v>0</v>
      </c>
      <c r="AI15" s="22">
        <f ca="1">+GETPIVOTDATA("XSN4",'suoinghe (2016)'!$A$3,"MA_HT","RDD","MA_QH","DTT")</f>
        <v>0</v>
      </c>
      <c r="AJ15" s="22">
        <f ca="1">+GETPIVOTDATA("XSN4",'suoinghe (2016)'!$A$3,"MA_HT","RDD","MA_QH","NCK")</f>
        <v>0</v>
      </c>
      <c r="AK15" s="22">
        <f ca="1">+GETPIVOTDATA("XSN4",'suoinghe (2016)'!$A$3,"MA_HT","RDD","MA_QH","DXH")</f>
        <v>0</v>
      </c>
      <c r="AL15" s="22">
        <f ca="1">+GETPIVOTDATA("XSN4",'suoinghe (2016)'!$A$3,"MA_HT","RDD","MA_QH","DCH")</f>
        <v>0</v>
      </c>
      <c r="AM15" s="22">
        <f ca="1">+GETPIVOTDATA("XSN4",'suoinghe (2016)'!$A$3,"MA_HT","RDD","MA_QH","DKG")</f>
        <v>0</v>
      </c>
      <c r="AN15" s="22">
        <f ca="1">+GETPIVOTDATA("XSN4",'suoinghe (2016)'!$A$3,"MA_HT","RDD","MA_QH","DDT")</f>
        <v>0</v>
      </c>
      <c r="AO15" s="22">
        <f ca="1">+GETPIVOTDATA("XSN4",'suoinghe (2016)'!$A$3,"MA_HT","RDD","MA_QH","DDL")</f>
        <v>0</v>
      </c>
      <c r="AP15" s="22">
        <f ca="1">+GETPIVOTDATA("XSN4",'suoinghe (2016)'!$A$3,"MA_HT","RDD","MA_QH","DRA")</f>
        <v>0</v>
      </c>
      <c r="AQ15" s="22">
        <f ca="1">+GETPIVOTDATA("XSN4",'suoinghe (2016)'!$A$3,"MA_HT","RDD","MA_QH","ONT")</f>
        <v>0</v>
      </c>
      <c r="AR15" s="22">
        <f ca="1">+GETPIVOTDATA("XSN4",'suoinghe (2016)'!$A$3,"MA_HT","RDD","MA_QH","ODT")</f>
        <v>0</v>
      </c>
      <c r="AS15" s="22">
        <f ca="1">+GETPIVOTDATA("XSN4",'suoinghe (2016)'!$A$3,"MA_HT","RDD","MA_QH","TSC")</f>
        <v>0</v>
      </c>
      <c r="AT15" s="22">
        <f ca="1">+GETPIVOTDATA("XSN4",'suoinghe (2016)'!$A$3,"MA_HT","RDD","MA_QH","DTS")</f>
        <v>0</v>
      </c>
      <c r="AU15" s="22">
        <f ca="1">+GETPIVOTDATA("XSN4",'suoinghe (2016)'!$A$3,"MA_HT","RDD","MA_QH","DNG")</f>
        <v>0</v>
      </c>
      <c r="AV15" s="22">
        <f ca="1">+GETPIVOTDATA("XSN4",'suoinghe (2016)'!$A$3,"MA_HT","RDD","MA_QH","TON")</f>
        <v>0</v>
      </c>
      <c r="AW15" s="22">
        <f ca="1">+GETPIVOTDATA("XSN4",'suoinghe (2016)'!$A$3,"MA_HT","RDD","MA_QH","NTD")</f>
        <v>0</v>
      </c>
      <c r="AX15" s="22">
        <f ca="1">+GETPIVOTDATA("XSN4",'suoinghe (2016)'!$A$3,"MA_HT","RDD","MA_QH","SKX")</f>
        <v>0</v>
      </c>
      <c r="AY15" s="22">
        <f ca="1">+GETPIVOTDATA("XSN4",'suoinghe (2016)'!$A$3,"MA_HT","RDD","MA_QH","DSH")</f>
        <v>0</v>
      </c>
      <c r="AZ15" s="22">
        <f ca="1">+GETPIVOTDATA("XSN4",'suoinghe (2016)'!$A$3,"MA_HT","RDD","MA_QH","DKV")</f>
        <v>0</v>
      </c>
      <c r="BA15" s="89">
        <f ca="1">+GETPIVOTDATA("XSN4",'suoinghe (2016)'!$A$3,"MA_HT","RDD","MA_QH","TIN")</f>
        <v>0</v>
      </c>
      <c r="BB15" s="50">
        <f ca="1">+GETPIVOTDATA("XSN4",'suoinghe (2016)'!$A$3,"MA_HT","RDD","MA_QH","SON")</f>
        <v>0</v>
      </c>
      <c r="BC15" s="50">
        <f ca="1">+GETPIVOTDATA("XSN4",'suoinghe (2016)'!$A$3,"MA_HT","RDD","MA_QH","MNC")</f>
        <v>0</v>
      </c>
      <c r="BD15" s="22">
        <f ca="1">+GETPIVOTDATA("XSN4",'suoinghe (2016)'!$A$3,"MA_HT","RDD","MA_QH","PNK")</f>
        <v>0</v>
      </c>
      <c r="BE15" s="71">
        <f ca="1">+GETPIVOTDATA("XSN4",'suoinghe (2016)'!$A$3,"MA_HT","RDD","MA_QH","CSD")</f>
        <v>0</v>
      </c>
      <c r="BF15" s="74">
        <f ca="1" t="shared" si="7"/>
        <v>0</v>
      </c>
      <c r="BG15" s="101">
        <f ca="1">N$59-$BF15</f>
        <v>0</v>
      </c>
      <c r="BH15" s="41" t="e">
        <f ca="1" t="shared" si="8"/>
        <v>#REF!</v>
      </c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</row>
    <row r="16" s="2" customFormat="1" ht="15.75" customHeight="1" spans="1:79">
      <c r="A16" s="39" t="s">
        <v>8353</v>
      </c>
      <c r="B16" s="39" t="s">
        <v>8354</v>
      </c>
      <c r="C16" s="40" t="s">
        <v>318</v>
      </c>
      <c r="D16" s="47" t="e">
        <f>+#REF!</f>
        <v>#REF!</v>
      </c>
      <c r="E16" s="42">
        <f ca="1">SUM(F16,J16:N16,P16:Q16)</f>
        <v>0</v>
      </c>
      <c r="F16" s="52">
        <f ca="1" t="shared" si="9"/>
        <v>0</v>
      </c>
      <c r="G16" s="22">
        <f ca="1">+GETPIVOTDATA("XSN4",'suoinghe (2016)'!$A$3,"MA_HT","NTS","MA_QH","LUC")</f>
        <v>0</v>
      </c>
      <c r="H16" s="22">
        <f ca="1">+GETPIVOTDATA("XSN4",'suoinghe (2016)'!$A$3,"MA_HT","NTS","MA_QH","LUK")</f>
        <v>0</v>
      </c>
      <c r="I16" s="22">
        <f ca="1">+GETPIVOTDATA("XSN4",'suoinghe (2016)'!$A$3,"MA_HT","NTS","MA_QH","LUN")</f>
        <v>0</v>
      </c>
      <c r="J16" s="22">
        <f ca="1">+GETPIVOTDATA("XSN4",'suoinghe (2016)'!$A$3,"MA_HT","NTS","MA_QH","HNK")</f>
        <v>0</v>
      </c>
      <c r="K16" s="22">
        <f ca="1">+GETPIVOTDATA("XSN4",'suoinghe (2016)'!$A$3,"MA_HT","NTS","MA_QH","CLN")</f>
        <v>0</v>
      </c>
      <c r="L16" s="22">
        <f ca="1">+GETPIVOTDATA("XSN4",'suoinghe (2016)'!$A$3,"MA_HT","NTS","MA_QH","RSX")</f>
        <v>0</v>
      </c>
      <c r="M16" s="22">
        <f ca="1">+GETPIVOTDATA("XSN4",'suoinghe (2016)'!$A$3,"MA_HT","NTS","MA_QH","RPH")</f>
        <v>0</v>
      </c>
      <c r="N16" s="22">
        <f ca="1">+GETPIVOTDATA("XSN4",'suoinghe (2016)'!$A$3,"MA_HT","NTS","MA_QH","RDD")</f>
        <v>0</v>
      </c>
      <c r="O16" s="43" t="e">
        <f ca="1">$D16-$BF16</f>
        <v>#REF!</v>
      </c>
      <c r="P16" s="22">
        <f ca="1">+GETPIVOTDATA("XSN4",'suoinghe (2016)'!$A$3,"MA_HT","NTS","MA_QH","LMU")</f>
        <v>0</v>
      </c>
      <c r="Q16" s="22">
        <f ca="1">+GETPIVOTDATA("XSN4",'suoinghe (2016)'!$A$3,"MA_HT","NTS","MA_QH","NKH")</f>
        <v>0</v>
      </c>
      <c r="R16" s="42">
        <f ca="1" t="shared" si="2"/>
        <v>0</v>
      </c>
      <c r="S16" s="22">
        <f ca="1">+GETPIVOTDATA("XSN4",'suoinghe (2016)'!$A$3,"MA_HT","NTS","MA_QH","CQP")</f>
        <v>0</v>
      </c>
      <c r="T16" s="22">
        <f ca="1">+GETPIVOTDATA("XSN4",'suoinghe (2016)'!$A$3,"MA_HT","NTS","MA_QH","CAN")</f>
        <v>0</v>
      </c>
      <c r="U16" s="22">
        <f ca="1">+GETPIVOTDATA("XSN4",'suoinghe (2016)'!$A$3,"MA_HT","NTS","MA_QH","SKK")</f>
        <v>0</v>
      </c>
      <c r="V16" s="22">
        <f ca="1">+GETPIVOTDATA("XSN4",'suoinghe (2016)'!$A$3,"MA_HT","NTS","MA_QH","SKT")</f>
        <v>0</v>
      </c>
      <c r="W16" s="22">
        <f ca="1">+GETPIVOTDATA("XSN4",'suoinghe (2016)'!$A$3,"MA_HT","NTS","MA_QH","SKN")</f>
        <v>0</v>
      </c>
      <c r="X16" s="22">
        <f ca="1">+GETPIVOTDATA("XSN4",'suoinghe (2016)'!$A$3,"MA_HT","NTS","MA_QH","TMD")</f>
        <v>0</v>
      </c>
      <c r="Y16" s="22">
        <f ca="1">+GETPIVOTDATA("XSN4",'suoinghe (2016)'!$A$3,"MA_HT","NTS","MA_QH","SKC")</f>
        <v>0</v>
      </c>
      <c r="Z16" s="22">
        <f ca="1">+GETPIVOTDATA("XSN4",'suoinghe (2016)'!$A$3,"MA_HT","NTS","MA_QH","SKS")</f>
        <v>0</v>
      </c>
      <c r="AA16" s="52">
        <f ca="1" t="shared" si="4"/>
        <v>0</v>
      </c>
      <c r="AB16" s="22">
        <f ca="1">+GETPIVOTDATA("XSN4",'suoinghe (2016)'!$A$3,"MA_HT","NTS","MA_QH","DGT")</f>
        <v>0</v>
      </c>
      <c r="AC16" s="22">
        <f ca="1">+GETPIVOTDATA("XSN4",'suoinghe (2016)'!$A$3,"MA_HT","NTS","MA_QH","DTL")</f>
        <v>0</v>
      </c>
      <c r="AD16" s="22">
        <f ca="1">+GETPIVOTDATA("XSN4",'suoinghe (2016)'!$A$3,"MA_HT","NTS","MA_QH","DNL")</f>
        <v>0</v>
      </c>
      <c r="AE16" s="22">
        <f ca="1">+GETPIVOTDATA("XSN4",'suoinghe (2016)'!$A$3,"MA_HT","NTS","MA_QH","DBV")</f>
        <v>0</v>
      </c>
      <c r="AF16" s="22">
        <f ca="1">+GETPIVOTDATA("XSN4",'suoinghe (2016)'!$A$3,"MA_HT","NTS","MA_QH","DVH")</f>
        <v>0</v>
      </c>
      <c r="AG16" s="22">
        <f ca="1">+GETPIVOTDATA("XSN4",'suoinghe (2016)'!$A$3,"MA_HT","NTS","MA_QH","DYT")</f>
        <v>0</v>
      </c>
      <c r="AH16" s="22">
        <f ca="1">+GETPIVOTDATA("XSN4",'suoinghe (2016)'!$A$3,"MA_HT","NTS","MA_QH","DGD")</f>
        <v>0</v>
      </c>
      <c r="AI16" s="22">
        <f ca="1">+GETPIVOTDATA("XSN4",'suoinghe (2016)'!$A$3,"MA_HT","NTS","MA_QH","DTT")</f>
        <v>0</v>
      </c>
      <c r="AJ16" s="22">
        <f ca="1">+GETPIVOTDATA("XSN4",'suoinghe (2016)'!$A$3,"MA_HT","NTS","MA_QH","NCK")</f>
        <v>0</v>
      </c>
      <c r="AK16" s="22">
        <f ca="1">+GETPIVOTDATA("XSN4",'suoinghe (2016)'!$A$3,"MA_HT","NTS","MA_QH","DXH")</f>
        <v>0</v>
      </c>
      <c r="AL16" s="22">
        <f ca="1">+GETPIVOTDATA("XSN4",'suoinghe (2016)'!$A$3,"MA_HT","NTS","MA_QH","DCH")</f>
        <v>0</v>
      </c>
      <c r="AM16" s="22">
        <f ca="1">+GETPIVOTDATA("XSN4",'suoinghe (2016)'!$A$3,"MA_HT","NTS","MA_QH","DKG")</f>
        <v>0</v>
      </c>
      <c r="AN16" s="22">
        <f ca="1">+GETPIVOTDATA("XSN4",'suoinghe (2016)'!$A$3,"MA_HT","NTS","MA_QH","DDT")</f>
        <v>0</v>
      </c>
      <c r="AO16" s="22">
        <f ca="1">+GETPIVOTDATA("XSN4",'suoinghe (2016)'!$A$3,"MA_HT","NTS","MA_QH","DDL")</f>
        <v>0</v>
      </c>
      <c r="AP16" s="22">
        <f ca="1">+GETPIVOTDATA("XSN4",'suoinghe (2016)'!$A$3,"MA_HT","NTS","MA_QH","DRA")</f>
        <v>0</v>
      </c>
      <c r="AQ16" s="22">
        <f ca="1">+GETPIVOTDATA("XSN4",'suoinghe (2016)'!$A$3,"MA_HT","NTS","MA_QH","ONT")</f>
        <v>0</v>
      </c>
      <c r="AR16" s="22">
        <f ca="1">+GETPIVOTDATA("XSN4",'suoinghe (2016)'!$A$3,"MA_HT","NTS","MA_QH","ODT")</f>
        <v>0</v>
      </c>
      <c r="AS16" s="22">
        <f ca="1">+GETPIVOTDATA("XSN4",'suoinghe (2016)'!$A$3,"MA_HT","NTS","MA_QH","TSC")</f>
        <v>0</v>
      </c>
      <c r="AT16" s="22">
        <f ca="1">+GETPIVOTDATA("XSN4",'suoinghe (2016)'!$A$3,"MA_HT","NTS","MA_QH","DTS")</f>
        <v>0</v>
      </c>
      <c r="AU16" s="22">
        <f ca="1">+GETPIVOTDATA("XSN4",'suoinghe (2016)'!$A$3,"MA_HT","NTS","MA_QH","DNG")</f>
        <v>0</v>
      </c>
      <c r="AV16" s="22">
        <f ca="1">+GETPIVOTDATA("XSN4",'suoinghe (2016)'!$A$3,"MA_HT","NTS","MA_QH","TON")</f>
        <v>0</v>
      </c>
      <c r="AW16" s="22">
        <f ca="1">+GETPIVOTDATA("XSN4",'suoinghe (2016)'!$A$3,"MA_HT","NTS","MA_QH","NTD")</f>
        <v>0</v>
      </c>
      <c r="AX16" s="22">
        <f ca="1">+GETPIVOTDATA("XSN4",'suoinghe (2016)'!$A$3,"MA_HT","NTS","MA_QH","SKX")</f>
        <v>0</v>
      </c>
      <c r="AY16" s="22">
        <f ca="1">+GETPIVOTDATA("XSN4",'suoinghe (2016)'!$A$3,"MA_HT","NTS","MA_QH","DSH")</f>
        <v>0</v>
      </c>
      <c r="AZ16" s="22">
        <f ca="1">+GETPIVOTDATA("XSN4",'suoinghe (2016)'!$A$3,"MA_HT","NTS","MA_QH","DKV")</f>
        <v>0</v>
      </c>
      <c r="BA16" s="89">
        <f ca="1">+GETPIVOTDATA("XSN4",'suoinghe (2016)'!$A$3,"MA_HT","NTS","MA_QH","TIN")</f>
        <v>0</v>
      </c>
      <c r="BB16" s="50">
        <f ca="1">+GETPIVOTDATA("XSN4",'suoinghe (2016)'!$A$3,"MA_HT","NTS","MA_QH","SON")</f>
        <v>0</v>
      </c>
      <c r="BC16" s="50">
        <f ca="1">+GETPIVOTDATA("XSN4",'suoinghe (2016)'!$A$3,"MA_HT","NTS","MA_QH","MNC")</f>
        <v>0</v>
      </c>
      <c r="BD16" s="22">
        <f ca="1">+GETPIVOTDATA("XSN4",'suoinghe (2016)'!$A$3,"MA_HT","NTS","MA_QH","PNK")</f>
        <v>0</v>
      </c>
      <c r="BE16" s="71">
        <f ca="1">+GETPIVOTDATA("XSN4",'suoinghe (2016)'!$A$3,"MA_HT","NTS","MA_QH","CSD")</f>
        <v>0</v>
      </c>
      <c r="BF16" s="74">
        <f ca="1" t="shared" si="7"/>
        <v>0</v>
      </c>
      <c r="BG16" s="101">
        <f ca="1">O$59-$BF16</f>
        <v>0</v>
      </c>
      <c r="BH16" s="41" t="e">
        <f ca="1" t="shared" si="8"/>
        <v>#REF!</v>
      </c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</row>
    <row r="17" s="2" customFormat="1" ht="15.75" customHeight="1" spans="1:79">
      <c r="A17" s="39" t="s">
        <v>8355</v>
      </c>
      <c r="B17" s="39" t="s">
        <v>8356</v>
      </c>
      <c r="C17" s="40" t="s">
        <v>8297</v>
      </c>
      <c r="D17" s="47" t="e">
        <f>+#REF!</f>
        <v>#REF!</v>
      </c>
      <c r="E17" s="42">
        <f ca="1">SUM(F17,J17:O17,Q17:Q17)</f>
        <v>0</v>
      </c>
      <c r="F17" s="52">
        <f ca="1" t="shared" si="9"/>
        <v>0</v>
      </c>
      <c r="G17" s="22">
        <f ca="1">+GETPIVOTDATA("XSN4",'suoinghe (2016)'!$A$3,"MA_HT","LMU","MA_QH","LUC")</f>
        <v>0</v>
      </c>
      <c r="H17" s="22">
        <f ca="1">+GETPIVOTDATA("XSN4",'suoinghe (2016)'!$A$3,"MA_HT","LMU","MA_QH","LUK")</f>
        <v>0</v>
      </c>
      <c r="I17" s="22">
        <f ca="1">+GETPIVOTDATA("XSN4",'suoinghe (2016)'!$A$3,"MA_HT","LMU","MA_QH","LUN")</f>
        <v>0</v>
      </c>
      <c r="J17" s="22">
        <f ca="1">+GETPIVOTDATA("XSN4",'suoinghe (2016)'!$A$3,"MA_HT","LMU","MA_QH","HNK")</f>
        <v>0</v>
      </c>
      <c r="K17" s="22">
        <f ca="1">+GETPIVOTDATA("XSN4",'suoinghe (2016)'!$A$3,"MA_HT","LMU","MA_QH","CLN")</f>
        <v>0</v>
      </c>
      <c r="L17" s="22">
        <f ca="1">+GETPIVOTDATA("XSN4",'suoinghe (2016)'!$A$3,"MA_HT","LMU","MA_QH","RSX")</f>
        <v>0</v>
      </c>
      <c r="M17" s="22">
        <f ca="1">+GETPIVOTDATA("XSN4",'suoinghe (2016)'!$A$3,"MA_HT","LMU","MA_QH","RPH")</f>
        <v>0</v>
      </c>
      <c r="N17" s="22">
        <f ca="1">+GETPIVOTDATA("XSN4",'suoinghe (2016)'!$A$3,"MA_HT","LMU","MA_QH","RDD")</f>
        <v>0</v>
      </c>
      <c r="O17" s="22">
        <f ca="1">+GETPIVOTDATA("XSN4",'suoinghe (2016)'!$A$3,"MA_HT","LMU","MA_QH","NTS")</f>
        <v>0</v>
      </c>
      <c r="P17" s="43" t="e">
        <f ca="1">$D17-$BF17</f>
        <v>#REF!</v>
      </c>
      <c r="Q17" s="22">
        <f ca="1">+GETPIVOTDATA("XSN4",'suoinghe (2016)'!$A$3,"MA_HT","LMU","MA_QH","NKH")</f>
        <v>0</v>
      </c>
      <c r="R17" s="42">
        <f ca="1" t="shared" si="2"/>
        <v>0</v>
      </c>
      <c r="S17" s="22">
        <f ca="1">+GETPIVOTDATA("XSN4",'suoinghe (2016)'!$A$3,"MA_HT","LMU","MA_QH","CQP")</f>
        <v>0</v>
      </c>
      <c r="T17" s="22">
        <f ca="1">+GETPIVOTDATA("XSN4",'suoinghe (2016)'!$A$3,"MA_HT","LMU","MA_QH","CAN")</f>
        <v>0</v>
      </c>
      <c r="U17" s="22">
        <f ca="1">+GETPIVOTDATA("XSN4",'suoinghe (2016)'!$A$3,"MA_HT","LMU","MA_QH","SKK")</f>
        <v>0</v>
      </c>
      <c r="V17" s="22">
        <f ca="1">+GETPIVOTDATA("XSN4",'suoinghe (2016)'!$A$3,"MA_HT","LMU","MA_QH","SKT")</f>
        <v>0</v>
      </c>
      <c r="W17" s="22">
        <f ca="1">+GETPIVOTDATA("XSN4",'suoinghe (2016)'!$A$3,"MA_HT","LMU","MA_QH","SKN")</f>
        <v>0</v>
      </c>
      <c r="X17" s="22">
        <f ca="1">+GETPIVOTDATA("XSN4",'suoinghe (2016)'!$A$3,"MA_HT","LMU","MA_QH","TMD")</f>
        <v>0</v>
      </c>
      <c r="Y17" s="22">
        <f ca="1">+GETPIVOTDATA("XSN4",'suoinghe (2016)'!$A$3,"MA_HT","LMU","MA_QH","SKC")</f>
        <v>0</v>
      </c>
      <c r="Z17" s="22">
        <f ca="1">+GETPIVOTDATA("XSN4",'suoinghe (2016)'!$A$3,"MA_HT","LMU","MA_QH","SKS")</f>
        <v>0</v>
      </c>
      <c r="AA17" s="52">
        <f ca="1" t="shared" si="4"/>
        <v>0</v>
      </c>
      <c r="AB17" s="22">
        <f ca="1">+GETPIVOTDATA("XSN4",'suoinghe (2016)'!$A$3,"MA_HT","LMU","MA_QH","DGT")</f>
        <v>0</v>
      </c>
      <c r="AC17" s="22">
        <f ca="1">+GETPIVOTDATA("XSN4",'suoinghe (2016)'!$A$3,"MA_HT","LMU","MA_QH","DTL")</f>
        <v>0</v>
      </c>
      <c r="AD17" s="22">
        <f ca="1">+GETPIVOTDATA("XSN4",'suoinghe (2016)'!$A$3,"MA_HT","LMU","MA_QH","DNL")</f>
        <v>0</v>
      </c>
      <c r="AE17" s="22">
        <f ca="1">+GETPIVOTDATA("XSN4",'suoinghe (2016)'!$A$3,"MA_HT","LMU","MA_QH","DBV")</f>
        <v>0</v>
      </c>
      <c r="AF17" s="22">
        <f ca="1">+GETPIVOTDATA("XSN4",'suoinghe (2016)'!$A$3,"MA_HT","LMU","MA_QH","DVH")</f>
        <v>0</v>
      </c>
      <c r="AG17" s="22">
        <f ca="1">+GETPIVOTDATA("XSN4",'suoinghe (2016)'!$A$3,"MA_HT","LMU","MA_QH","DYT")</f>
        <v>0</v>
      </c>
      <c r="AH17" s="22">
        <f ca="1">+GETPIVOTDATA("XSN4",'suoinghe (2016)'!$A$3,"MA_HT","LMU","MA_QH","DGD")</f>
        <v>0</v>
      </c>
      <c r="AI17" s="22">
        <f ca="1">+GETPIVOTDATA("XSN4",'suoinghe (2016)'!$A$3,"MA_HT","LMU","MA_QH","DTT")</f>
        <v>0</v>
      </c>
      <c r="AJ17" s="22">
        <f ca="1">+GETPIVOTDATA("XSN4",'suoinghe (2016)'!$A$3,"MA_HT","LMU","MA_QH","NCK")</f>
        <v>0</v>
      </c>
      <c r="AK17" s="22">
        <f ca="1">+GETPIVOTDATA("XSN4",'suoinghe (2016)'!$A$3,"MA_HT","LMU","MA_QH","DXH")</f>
        <v>0</v>
      </c>
      <c r="AL17" s="22">
        <f ca="1">+GETPIVOTDATA("XSN4",'suoinghe (2016)'!$A$3,"MA_HT","LMU","MA_QH","DCH")</f>
        <v>0</v>
      </c>
      <c r="AM17" s="22">
        <f ca="1">+GETPIVOTDATA("XSN4",'suoinghe (2016)'!$A$3,"MA_HT","LMU","MA_QH","DKG")</f>
        <v>0</v>
      </c>
      <c r="AN17" s="22">
        <f ca="1">+GETPIVOTDATA("XSN4",'suoinghe (2016)'!$A$3,"MA_HT","LMU","MA_QH","DDT")</f>
        <v>0</v>
      </c>
      <c r="AO17" s="22">
        <f ca="1">+GETPIVOTDATA("XSN4",'suoinghe (2016)'!$A$3,"MA_HT","LMU","MA_QH","DDL")</f>
        <v>0</v>
      </c>
      <c r="AP17" s="22">
        <f ca="1">+GETPIVOTDATA("XSN4",'suoinghe (2016)'!$A$3,"MA_HT","LMU","MA_QH","DRA")</f>
        <v>0</v>
      </c>
      <c r="AQ17" s="22">
        <f ca="1">+GETPIVOTDATA("XSN4",'suoinghe (2016)'!$A$3,"MA_HT","LMU","MA_QH","ONT")</f>
        <v>0</v>
      </c>
      <c r="AR17" s="22">
        <f ca="1">+GETPIVOTDATA("XSN4",'suoinghe (2016)'!$A$3,"MA_HT","LMU","MA_QH","ODT")</f>
        <v>0</v>
      </c>
      <c r="AS17" s="22">
        <f ca="1">+GETPIVOTDATA("XSN4",'suoinghe (2016)'!$A$3,"MA_HT","LMU","MA_QH","TSC")</f>
        <v>0</v>
      </c>
      <c r="AT17" s="22">
        <f ca="1">+GETPIVOTDATA("XSN4",'suoinghe (2016)'!$A$3,"MA_HT","LMU","MA_QH","DTS")</f>
        <v>0</v>
      </c>
      <c r="AU17" s="22">
        <f ca="1">+GETPIVOTDATA("XSN4",'suoinghe (2016)'!$A$3,"MA_HT","LMU","MA_QH","DNG")</f>
        <v>0</v>
      </c>
      <c r="AV17" s="22">
        <f ca="1">+GETPIVOTDATA("XSN4",'suoinghe (2016)'!$A$3,"MA_HT","LMU","MA_QH","TON")</f>
        <v>0</v>
      </c>
      <c r="AW17" s="22">
        <f ca="1">+GETPIVOTDATA("XSN4",'suoinghe (2016)'!$A$3,"MA_HT","LMU","MA_QH","NTD")</f>
        <v>0</v>
      </c>
      <c r="AX17" s="22">
        <f ca="1">+GETPIVOTDATA("XSN4",'suoinghe (2016)'!$A$3,"MA_HT","LMU","MA_QH","SKX")</f>
        <v>0</v>
      </c>
      <c r="AY17" s="22">
        <f ca="1">+GETPIVOTDATA("XSN4",'suoinghe (2016)'!$A$3,"MA_HT","LMU","MA_QH","DSH")</f>
        <v>0</v>
      </c>
      <c r="AZ17" s="22">
        <f ca="1">+GETPIVOTDATA("XSN4",'suoinghe (2016)'!$A$3,"MA_HT","LMU","MA_QH","DKV")</f>
        <v>0</v>
      </c>
      <c r="BA17" s="89">
        <f ca="1">+GETPIVOTDATA("XSN4",'suoinghe (2016)'!$A$3,"MA_HT","LMU","MA_QH","TIN")</f>
        <v>0</v>
      </c>
      <c r="BB17" s="50">
        <f ca="1">+GETPIVOTDATA("XSN4",'suoinghe (2016)'!$A$3,"MA_HT","LMU","MA_QH","SON")</f>
        <v>0</v>
      </c>
      <c r="BC17" s="50">
        <f ca="1">+GETPIVOTDATA("XSN4",'suoinghe (2016)'!$A$3,"MA_HT","LMU","MA_QH","MNC")</f>
        <v>0</v>
      </c>
      <c r="BD17" s="22">
        <f ca="1">+GETPIVOTDATA("XSN4",'suoinghe (2016)'!$A$3,"MA_HT","LMU","MA_QH","PNK")</f>
        <v>0</v>
      </c>
      <c r="BE17" s="71">
        <f ca="1">+GETPIVOTDATA("XSN4",'suoinghe (2016)'!$A$3,"MA_HT","LMU","MA_QH","CSD")</f>
        <v>0</v>
      </c>
      <c r="BF17" s="74">
        <f ca="1" t="shared" si="7"/>
        <v>0</v>
      </c>
      <c r="BG17" s="101">
        <f ca="1">P$59-$BF17</f>
        <v>0</v>
      </c>
      <c r="BH17" s="41" t="e">
        <f ca="1" t="shared" si="8"/>
        <v>#REF!</v>
      </c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</row>
    <row r="18" s="2" customFormat="1" ht="15.75" customHeight="1" spans="1:79">
      <c r="A18" s="39" t="s">
        <v>8357</v>
      </c>
      <c r="B18" s="39" t="s">
        <v>8358</v>
      </c>
      <c r="C18" s="40" t="s">
        <v>553</v>
      </c>
      <c r="D18" s="47" t="e">
        <f>+#REF!</f>
        <v>#REF!</v>
      </c>
      <c r="E18" s="42">
        <f ca="1">SUM(F18,J18:P18)</f>
        <v>0</v>
      </c>
      <c r="F18" s="52">
        <f ca="1" t="shared" si="9"/>
        <v>0</v>
      </c>
      <c r="G18" s="22">
        <f ca="1">+GETPIVOTDATA("XSN4",'suoinghe (2016)'!$A$3,"MA_HT","NKH","MA_QH","LUC")</f>
        <v>0</v>
      </c>
      <c r="H18" s="22">
        <f ca="1">+GETPIVOTDATA("XSN4",'suoinghe (2016)'!$A$3,"MA_HT","NKH","MA_QH","LUK")</f>
        <v>0</v>
      </c>
      <c r="I18" s="22">
        <f ca="1">+GETPIVOTDATA("XSN4",'suoinghe (2016)'!$A$3,"MA_HT","NKH","MA_QH","LUN")</f>
        <v>0</v>
      </c>
      <c r="J18" s="22">
        <f ca="1">+GETPIVOTDATA("XSN4",'suoinghe (2016)'!$A$3,"MA_HT","NKH","MA_QH","HNK")</f>
        <v>0</v>
      </c>
      <c r="K18" s="22">
        <f ca="1">+GETPIVOTDATA("XSN4",'suoinghe (2016)'!$A$3,"MA_HT","NKH","MA_QH","CLN")</f>
        <v>0</v>
      </c>
      <c r="L18" s="22">
        <f ca="1">+GETPIVOTDATA("XSN4",'suoinghe (2016)'!$A$3,"MA_HT","NKH","MA_QH","RSX")</f>
        <v>0</v>
      </c>
      <c r="M18" s="22">
        <f ca="1">+GETPIVOTDATA("XSN4",'suoinghe (2016)'!$A$3,"MA_HT","NKH","MA_QH","RPH")</f>
        <v>0</v>
      </c>
      <c r="N18" s="22">
        <f ca="1">+GETPIVOTDATA("XSN4",'suoinghe (2016)'!$A$3,"MA_HT","NKH","MA_QH","RDD")</f>
        <v>0</v>
      </c>
      <c r="O18" s="22">
        <f ca="1">+GETPIVOTDATA("XSN4",'suoinghe (2016)'!$A$3,"MA_HT","NKH","MA_QH","NTS")</f>
        <v>0</v>
      </c>
      <c r="P18" s="22">
        <f ca="1">+GETPIVOTDATA("XSN4",'suoinghe (2016)'!$A$3,"MA_HT","NKH","MA_QH","LMU")</f>
        <v>0</v>
      </c>
      <c r="Q18" s="43" t="e">
        <f ca="1">$D18-$BF18</f>
        <v>#REF!</v>
      </c>
      <c r="R18" s="42">
        <f ca="1" t="shared" si="2"/>
        <v>0</v>
      </c>
      <c r="S18" s="22">
        <f ca="1">+GETPIVOTDATA("XSN4",'suoinghe (2016)'!$A$3,"MA_HT","NKH","MA_QH","CQP")</f>
        <v>0</v>
      </c>
      <c r="T18" s="22">
        <f ca="1">+GETPIVOTDATA("XSN4",'suoinghe (2016)'!$A$3,"MA_HT","NKH","MA_QH","CAN")</f>
        <v>0</v>
      </c>
      <c r="U18" s="22">
        <f ca="1">+GETPIVOTDATA("XSN4",'suoinghe (2016)'!$A$3,"MA_HT","NKH","MA_QH","SKK")</f>
        <v>0</v>
      </c>
      <c r="V18" s="22">
        <f ca="1">+GETPIVOTDATA("XSN4",'suoinghe (2016)'!$A$3,"MA_HT","NKH","MA_QH","SKT")</f>
        <v>0</v>
      </c>
      <c r="W18" s="22">
        <f ca="1">+GETPIVOTDATA("XSN4",'suoinghe (2016)'!$A$3,"MA_HT","NKH","MA_QH","SKN")</f>
        <v>0</v>
      </c>
      <c r="X18" s="22">
        <f ca="1">+GETPIVOTDATA("XSN4",'suoinghe (2016)'!$A$3,"MA_HT","NKH","MA_QH","TMD")</f>
        <v>0</v>
      </c>
      <c r="Y18" s="22">
        <f ca="1">+GETPIVOTDATA("XSN4",'suoinghe (2016)'!$A$3,"MA_HT","NKH","MA_QH","SKC")</f>
        <v>0</v>
      </c>
      <c r="Z18" s="22">
        <f ca="1">+GETPIVOTDATA("XSN4",'suoinghe (2016)'!$A$3,"MA_HT","NKH","MA_QH","SKS")</f>
        <v>0</v>
      </c>
      <c r="AA18" s="52">
        <f ca="1" t="shared" si="4"/>
        <v>0</v>
      </c>
      <c r="AB18" s="22">
        <f ca="1">+GETPIVOTDATA("XSN4",'suoinghe (2016)'!$A$3,"MA_HT","NKH","MA_QH","DGT")</f>
        <v>0</v>
      </c>
      <c r="AC18" s="22">
        <f ca="1">+GETPIVOTDATA("XSN4",'suoinghe (2016)'!$A$3,"MA_HT","NKH","MA_QH","DTL")</f>
        <v>0</v>
      </c>
      <c r="AD18" s="22">
        <f ca="1">+GETPIVOTDATA("XSN4",'suoinghe (2016)'!$A$3,"MA_HT","NKH","MA_QH","DNL")</f>
        <v>0</v>
      </c>
      <c r="AE18" s="22">
        <f ca="1">+GETPIVOTDATA("XSN4",'suoinghe (2016)'!$A$3,"MA_HT","NKH","MA_QH","DBV")</f>
        <v>0</v>
      </c>
      <c r="AF18" s="22">
        <f ca="1">+GETPIVOTDATA("XSN4",'suoinghe (2016)'!$A$3,"MA_HT","NKH","MA_QH","DVH")</f>
        <v>0</v>
      </c>
      <c r="AG18" s="22">
        <f ca="1">+GETPIVOTDATA("XSN4",'suoinghe (2016)'!$A$3,"MA_HT","NKH","MA_QH","DYT")</f>
        <v>0</v>
      </c>
      <c r="AH18" s="22">
        <f ca="1">+GETPIVOTDATA("XSN4",'suoinghe (2016)'!$A$3,"MA_HT","NKH","MA_QH","DGD")</f>
        <v>0</v>
      </c>
      <c r="AI18" s="22">
        <f ca="1">+GETPIVOTDATA("XSN4",'suoinghe (2016)'!$A$3,"MA_HT","NKH","MA_QH","DTT")</f>
        <v>0</v>
      </c>
      <c r="AJ18" s="22">
        <f ca="1">+GETPIVOTDATA("XSN4",'suoinghe (2016)'!$A$3,"MA_HT","NKH","MA_QH","NCK")</f>
        <v>0</v>
      </c>
      <c r="AK18" s="22">
        <f ca="1">+GETPIVOTDATA("XSN4",'suoinghe (2016)'!$A$3,"MA_HT","NKH","MA_QH","DXH")</f>
        <v>0</v>
      </c>
      <c r="AL18" s="22">
        <f ca="1">+GETPIVOTDATA("XSN4",'suoinghe (2016)'!$A$3,"MA_HT","NKH","MA_QH","DCH")</f>
        <v>0</v>
      </c>
      <c r="AM18" s="22">
        <f ca="1">+GETPIVOTDATA("XSN4",'suoinghe (2016)'!$A$3,"MA_HT","NKH","MA_QH","DKG")</f>
        <v>0</v>
      </c>
      <c r="AN18" s="22">
        <f ca="1">+GETPIVOTDATA("XSN4",'suoinghe (2016)'!$A$3,"MA_HT","NKH","MA_QH","DDT")</f>
        <v>0</v>
      </c>
      <c r="AO18" s="22">
        <f ca="1">+GETPIVOTDATA("XSN4",'suoinghe (2016)'!$A$3,"MA_HT","NKH","MA_QH","DDL")</f>
        <v>0</v>
      </c>
      <c r="AP18" s="22">
        <f ca="1">+GETPIVOTDATA("XSN4",'suoinghe (2016)'!$A$3,"MA_HT","NKH","MA_QH","DRA")</f>
        <v>0</v>
      </c>
      <c r="AQ18" s="22">
        <f ca="1">+GETPIVOTDATA("XSN4",'suoinghe (2016)'!$A$3,"MA_HT","NKH","MA_QH","ONT")</f>
        <v>0</v>
      </c>
      <c r="AR18" s="22">
        <f ca="1">+GETPIVOTDATA("XSN4",'suoinghe (2016)'!$A$3,"MA_HT","NKH","MA_QH","ODT")</f>
        <v>0</v>
      </c>
      <c r="AS18" s="22">
        <f ca="1">+GETPIVOTDATA("XSN4",'suoinghe (2016)'!$A$3,"MA_HT","NKH","MA_QH","TSC")</f>
        <v>0</v>
      </c>
      <c r="AT18" s="22">
        <f ca="1">+GETPIVOTDATA("XSN4",'suoinghe (2016)'!$A$3,"MA_HT","NKH","MA_QH","DTS")</f>
        <v>0</v>
      </c>
      <c r="AU18" s="22">
        <f ca="1">+GETPIVOTDATA("XSN4",'suoinghe (2016)'!$A$3,"MA_HT","NKH","MA_QH","DNG")</f>
        <v>0</v>
      </c>
      <c r="AV18" s="22">
        <f ca="1">+GETPIVOTDATA("XSN4",'suoinghe (2016)'!$A$3,"MA_HT","NKH","MA_QH","TON")</f>
        <v>0</v>
      </c>
      <c r="AW18" s="22">
        <f ca="1">+GETPIVOTDATA("XSN4",'suoinghe (2016)'!$A$3,"MA_HT","NKH","MA_QH","NTD")</f>
        <v>0</v>
      </c>
      <c r="AX18" s="22">
        <f ca="1">+GETPIVOTDATA("XSN4",'suoinghe (2016)'!$A$3,"MA_HT","NKH","MA_QH","SKX")</f>
        <v>0</v>
      </c>
      <c r="AY18" s="22">
        <f ca="1">+GETPIVOTDATA("XSN4",'suoinghe (2016)'!$A$3,"MA_HT","NKH","MA_QH","DSH")</f>
        <v>0</v>
      </c>
      <c r="AZ18" s="22">
        <f ca="1">+GETPIVOTDATA("XSN4",'suoinghe (2016)'!$A$3,"MA_HT","NKH","MA_QH","DKV")</f>
        <v>0</v>
      </c>
      <c r="BA18" s="89">
        <f ca="1">+GETPIVOTDATA("XSN4",'suoinghe (2016)'!$A$3,"MA_HT","NKH","MA_QH","TIN")</f>
        <v>0</v>
      </c>
      <c r="BB18" s="50">
        <f ca="1">+GETPIVOTDATA("XSN4",'suoinghe (2016)'!$A$3,"MA_HT","NKH","MA_QH","SON")</f>
        <v>0</v>
      </c>
      <c r="BC18" s="50">
        <f ca="1">+GETPIVOTDATA("XSN4",'suoinghe (2016)'!$A$3,"MA_HT","NKH","MA_QH","MNC")</f>
        <v>0</v>
      </c>
      <c r="BD18" s="22">
        <f ca="1">+GETPIVOTDATA("XSN4",'suoinghe (2016)'!$A$3,"MA_HT","NKH","MA_QH","PNK")</f>
        <v>0</v>
      </c>
      <c r="BE18" s="71">
        <f ca="1">+GETPIVOTDATA("XSN4",'suoinghe (2016)'!$A$3,"MA_HT","NKH","MA_QH","CSD")</f>
        <v>0</v>
      </c>
      <c r="BF18" s="74">
        <f ca="1" t="shared" si="7"/>
        <v>0</v>
      </c>
      <c r="BG18" s="101">
        <f ca="1">Q$59-$BF18</f>
        <v>0</v>
      </c>
      <c r="BH18" s="41" t="e">
        <f ca="1" t="shared" si="8"/>
        <v>#REF!</v>
      </c>
      <c r="BI18" s="98"/>
      <c r="BJ18" s="98"/>
      <c r="BK18" s="98"/>
      <c r="BL18" s="98"/>
      <c r="BM18" s="107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</row>
    <row r="19" s="3" customFormat="1" ht="15.75" customHeight="1" spans="1:75">
      <c r="A19" s="35">
        <v>2</v>
      </c>
      <c r="B19" s="36" t="s">
        <v>8359</v>
      </c>
      <c r="C19" s="37" t="s">
        <v>8304</v>
      </c>
      <c r="D19" s="33" t="e">
        <f>+#REF!</f>
        <v>#REF!</v>
      </c>
      <c r="E19" s="33">
        <f ca="1">SUM(E20:E28,E41:E57)</f>
        <v>0</v>
      </c>
      <c r="F19" s="33">
        <f ca="1">SUM(F20:F28,F41:F57)</f>
        <v>0</v>
      </c>
      <c r="G19" s="33">
        <f ca="1">SUM(G20:G28,G41:G57)</f>
        <v>0</v>
      </c>
      <c r="H19" s="33">
        <f ca="1">SUM(H20:H28,H41:H57)</f>
        <v>0</v>
      </c>
      <c r="I19" s="33">
        <f ca="1">SUM(I20:I28,I41:I57)</f>
        <v>0</v>
      </c>
      <c r="J19" s="33">
        <f ca="1" t="shared" ref="J19:Q19" si="10">SUM(J20:J28,J41:J57)</f>
        <v>0</v>
      </c>
      <c r="K19" s="33">
        <f ca="1" t="shared" si="10"/>
        <v>0</v>
      </c>
      <c r="L19" s="33">
        <f ca="1" t="shared" si="10"/>
        <v>0</v>
      </c>
      <c r="M19" s="33">
        <f ca="1" t="shared" si="10"/>
        <v>0</v>
      </c>
      <c r="N19" s="33">
        <f ca="1" t="shared" si="10"/>
        <v>0</v>
      </c>
      <c r="O19" s="33">
        <f ca="1" t="shared" si="10"/>
        <v>0</v>
      </c>
      <c r="P19" s="33">
        <f ca="1" t="shared" si="10"/>
        <v>0</v>
      </c>
      <c r="Q19" s="33">
        <f ca="1" t="shared" si="10"/>
        <v>0</v>
      </c>
      <c r="R19" s="38" t="e">
        <f ca="1">$D19-$BF19</f>
        <v>#REF!</v>
      </c>
      <c r="S19" s="33">
        <f ca="1">SUM(S21:S28,S41:S57)</f>
        <v>0</v>
      </c>
      <c r="T19" s="33">
        <f ca="1">SUM(T20,T22:T28,T41:T57)</f>
        <v>0</v>
      </c>
      <c r="U19" s="33">
        <f ca="1">SUM(U20:U21,U23:U28,U41:U57)</f>
        <v>0</v>
      </c>
      <c r="V19" s="33">
        <f ca="1">SUM(V20:V22,V24:V28,V41:V57)</f>
        <v>0</v>
      </c>
      <c r="W19" s="33">
        <f ca="1">SUM(W20:W23,W25:W28,W41:W57)</f>
        <v>0</v>
      </c>
      <c r="X19" s="33">
        <f ca="1">SUM(X20:X24,X26:X28,X41:X57)</f>
        <v>0</v>
      </c>
      <c r="Y19" s="33">
        <f ca="1">SUM(Y20:Y25,Y27:Y28,Y41:Y57)</f>
        <v>0</v>
      </c>
      <c r="Z19" s="33">
        <f ca="1">SUM(Z20:Z26,Z28,Z41:Z57)</f>
        <v>0</v>
      </c>
      <c r="AA19" s="33">
        <f ca="1">SUM(AA20:AA27,AA41:AA57)</f>
        <v>0</v>
      </c>
      <c r="AB19" s="33">
        <f ca="1" t="shared" ref="AB19:AM19" si="11">SUM(AB20:AB28,AB41:AB57)</f>
        <v>0</v>
      </c>
      <c r="AC19" s="33">
        <f ca="1" t="shared" si="11"/>
        <v>0</v>
      </c>
      <c r="AD19" s="33">
        <f ca="1" t="shared" si="11"/>
        <v>0</v>
      </c>
      <c r="AE19" s="33">
        <f ca="1" t="shared" si="11"/>
        <v>0</v>
      </c>
      <c r="AF19" s="33">
        <f ca="1" t="shared" si="11"/>
        <v>0</v>
      </c>
      <c r="AG19" s="33">
        <f ca="1" t="shared" si="11"/>
        <v>0</v>
      </c>
      <c r="AH19" s="33">
        <f ca="1" t="shared" si="11"/>
        <v>0</v>
      </c>
      <c r="AI19" s="33">
        <f ca="1" t="shared" si="11"/>
        <v>0</v>
      </c>
      <c r="AJ19" s="33">
        <f ca="1" t="shared" si="11"/>
        <v>0</v>
      </c>
      <c r="AK19" s="33">
        <f ca="1" t="shared" si="11"/>
        <v>0</v>
      </c>
      <c r="AL19" s="33">
        <f ca="1" t="shared" si="11"/>
        <v>0</v>
      </c>
      <c r="AM19" s="33">
        <f ca="1" t="shared" si="11"/>
        <v>0</v>
      </c>
      <c r="AN19" s="33">
        <f ca="1">SUM(AN20:AN28,AN42:AN57)</f>
        <v>0</v>
      </c>
      <c r="AO19" s="33">
        <f ca="1">SUM(AO20:AO28,AO41,AO43:AO57)</f>
        <v>0</v>
      </c>
      <c r="AP19" s="33">
        <f ca="1">SUM(AP20:AP28,AP41:AP42,AP44:AP57)</f>
        <v>0</v>
      </c>
      <c r="AQ19" s="33">
        <f ca="1">SUM(AQ20:AQ28,AQ41:AQ43,AQ45:AQ57)</f>
        <v>0</v>
      </c>
      <c r="AR19" s="33">
        <f ca="1">SUM(AR20:AR28,AR41:AR44,AR46:AR57)</f>
        <v>0</v>
      </c>
      <c r="AS19" s="33">
        <f ca="1">SUM(AS20:AS28,AS41:AS45,AS47:AS57)</f>
        <v>0</v>
      </c>
      <c r="AT19" s="33">
        <f ca="1">SUM(AT20:AT28,AT41:AT46,AT48:AT57)</f>
        <v>0</v>
      </c>
      <c r="AU19" s="33">
        <f ca="1">SUM(AU20:AU28,AU41:AU47,AU49:AU57)</f>
        <v>0</v>
      </c>
      <c r="AV19" s="33">
        <f ca="1">SUM(AV20:AV28,AV41:AV48,AV50:AV57)</f>
        <v>0</v>
      </c>
      <c r="AW19" s="33">
        <f ca="1">SUM(AW20:AW28,AW41:AW49,AW51:AW57)</f>
        <v>0</v>
      </c>
      <c r="AX19" s="33">
        <f ca="1">SUM(AX20:AX28,AX41:AX50,AX52:AX57)</f>
        <v>0</v>
      </c>
      <c r="AY19" s="33">
        <f ca="1">SUM(AY20:AY28,AY41:AY51,AY53:AY57)</f>
        <v>0</v>
      </c>
      <c r="AZ19" s="33">
        <f ca="1">SUM(AZ20:AZ28,AZ41:AZ52,AZ54:AZ57)</f>
        <v>0</v>
      </c>
      <c r="BA19" s="33">
        <f ca="1">SUM(BA20:BA28,BA41:BA53,BA55:BA57)</f>
        <v>0</v>
      </c>
      <c r="BB19" s="33">
        <f ca="1">SUM(BB20:BB28,BB41:BB54,BB56:BB57)</f>
        <v>0</v>
      </c>
      <c r="BC19" s="33">
        <f ca="1">SUM(BC20:BC28,BC41:BC55,BC57)</f>
        <v>0</v>
      </c>
      <c r="BD19" s="33">
        <f ca="1">SUM(BD20:BD28,BD41:BD56,BD58)</f>
        <v>0</v>
      </c>
      <c r="BE19" s="33">
        <f ca="1">SUM(BE20:BE28,BE41:BE57)</f>
        <v>0</v>
      </c>
      <c r="BF19" s="74">
        <f ca="1">SUM(BE19,E19)</f>
        <v>0</v>
      </c>
      <c r="BG19" s="101">
        <f ca="1">R$59-$BF19</f>
        <v>0</v>
      </c>
      <c r="BH19" s="33" t="e">
        <f ca="1">SUM(BH20:BH28,BH41:BH57)</f>
        <v>#REF!</v>
      </c>
      <c r="BI19" s="102"/>
      <c r="BJ19" s="36" t="e">
        <f>SUM(BJ22:BJ54,BJ57:BJ57)</f>
        <v>#REF!</v>
      </c>
      <c r="BK19" s="106" t="e">
        <f ca="1">BH19-BJ19</f>
        <v>#REF!</v>
      </c>
      <c r="BL19" s="106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</row>
    <row r="20" s="2" customFormat="1" ht="15.75" customHeight="1" spans="1:79">
      <c r="A20" s="39" t="s">
        <v>69</v>
      </c>
      <c r="B20" s="39" t="s">
        <v>8360</v>
      </c>
      <c r="C20" s="40" t="s">
        <v>31</v>
      </c>
      <c r="D20" s="41" t="e">
        <f>+#REF!</f>
        <v>#REF!</v>
      </c>
      <c r="E20" s="42">
        <f ca="1">SUM(F20,J20:Q20)</f>
        <v>0</v>
      </c>
      <c r="F20" s="52">
        <f ca="1" t="shared" si="9"/>
        <v>0</v>
      </c>
      <c r="G20" s="22">
        <f ca="1">+GETPIVOTDATA("XSN4",'suoinghe (2016)'!$A$3,"MA_HT","CQP","MA_QH","LUC")</f>
        <v>0</v>
      </c>
      <c r="H20" s="22">
        <f ca="1">+GETPIVOTDATA("XSN4",'suoinghe (2016)'!$A$3,"MA_HT","CQP","MA_QH","LUK")</f>
        <v>0</v>
      </c>
      <c r="I20" s="22">
        <f ca="1">+GETPIVOTDATA("XSN4",'suoinghe (2016)'!$A$3,"MA_HT","CQP","MA_QH","LUN")</f>
        <v>0</v>
      </c>
      <c r="J20" s="22">
        <f ca="1">+GETPIVOTDATA("XSN4",'suoinghe (2016)'!$A$3,"MA_HT","CQP","MA_QH","HNK")</f>
        <v>0</v>
      </c>
      <c r="K20" s="22">
        <f ca="1">+GETPIVOTDATA("XSN4",'suoinghe (2016)'!$A$3,"MA_HT","CQP","MA_QH","CLN")</f>
        <v>0</v>
      </c>
      <c r="L20" s="22">
        <f ca="1">+GETPIVOTDATA("XSN4",'suoinghe (2016)'!$A$3,"MA_HT","CQP","MA_QH","RSX")</f>
        <v>0</v>
      </c>
      <c r="M20" s="22">
        <f ca="1">+GETPIVOTDATA("XSN4",'suoinghe (2016)'!$A$3,"MA_HT","CQP","MA_QH","RPH")</f>
        <v>0</v>
      </c>
      <c r="N20" s="22">
        <f ca="1">+GETPIVOTDATA("XSN4",'suoinghe (2016)'!$A$3,"MA_HT","CQP","MA_QH","RDD")</f>
        <v>0</v>
      </c>
      <c r="O20" s="22">
        <f ca="1">+GETPIVOTDATA("XSN4",'suoinghe (2016)'!$A$3,"MA_HT","CQP","MA_QH","NTS")</f>
        <v>0</v>
      </c>
      <c r="P20" s="22">
        <f ca="1">+GETPIVOTDATA("XSN4",'suoinghe (2016)'!$A$3,"MA_HT","CQP","MA_QH","LMU")</f>
        <v>0</v>
      </c>
      <c r="Q20" s="22">
        <f ca="1">+GETPIVOTDATA("XSN4",'suoinghe (2016)'!$A$3,"MA_HT","CQP","MA_QH","NKH")</f>
        <v>0</v>
      </c>
      <c r="R20" s="42">
        <f ca="1">SUM(T20:AA20,AN20:BD20)</f>
        <v>0</v>
      </c>
      <c r="S20" s="43" t="e">
        <f ca="1">$D20-$BF20</f>
        <v>#REF!</v>
      </c>
      <c r="T20" s="22">
        <f ca="1">+GETPIVOTDATA("XSN4",'suoinghe (2016)'!$A$3,"MA_HT","CQP","MA_QH","CAN")</f>
        <v>0</v>
      </c>
      <c r="U20" s="22">
        <f ca="1">+GETPIVOTDATA("XSN4",'suoinghe (2016)'!$A$3,"MA_HT","CQP","MA_QH","SKK")</f>
        <v>0</v>
      </c>
      <c r="V20" s="22">
        <f ca="1">+GETPIVOTDATA("XSN4",'suoinghe (2016)'!$A$3,"MA_HT","CQP","MA_QH","SKT")</f>
        <v>0</v>
      </c>
      <c r="W20" s="22">
        <f ca="1">+GETPIVOTDATA("XSN4",'suoinghe (2016)'!$A$3,"MA_HT","CQP","MA_QH","SKN")</f>
        <v>0</v>
      </c>
      <c r="X20" s="22">
        <f ca="1">+GETPIVOTDATA("XSN4",'suoinghe (2016)'!$A$3,"MA_HT","CQP","MA_QH","TMD")</f>
        <v>0</v>
      </c>
      <c r="Y20" s="22">
        <f ca="1">+GETPIVOTDATA("XSN4",'suoinghe (2016)'!$A$3,"MA_HT","CQP","MA_QH","SKC")</f>
        <v>0</v>
      </c>
      <c r="Z20" s="22">
        <f ca="1">+GETPIVOTDATA("XSN4",'suoinghe (2016)'!$A$3,"MA_HT","CQP","MA_QH","SKS")</f>
        <v>0</v>
      </c>
      <c r="AA20" s="52">
        <f ca="1" t="shared" ref="AA20:AA27" si="12">+SUM(AB20:AM20)</f>
        <v>0</v>
      </c>
      <c r="AB20" s="22">
        <f ca="1">+GETPIVOTDATA("XSN4",'suoinghe (2016)'!$A$3,"MA_HT","CQP","MA_QH","DGT")</f>
        <v>0</v>
      </c>
      <c r="AC20" s="22">
        <f ca="1">+GETPIVOTDATA("XSN4",'suoinghe (2016)'!$A$3,"MA_HT","CQP","MA_QH","DTL")</f>
        <v>0</v>
      </c>
      <c r="AD20" s="22">
        <f ca="1">+GETPIVOTDATA("XSN4",'suoinghe (2016)'!$A$3,"MA_HT","CQP","MA_QH","DNL")</f>
        <v>0</v>
      </c>
      <c r="AE20" s="22">
        <f ca="1">+GETPIVOTDATA("XSN4",'suoinghe (2016)'!$A$3,"MA_HT","CQP","MA_QH","DBV")</f>
        <v>0</v>
      </c>
      <c r="AF20" s="22">
        <f ca="1">+GETPIVOTDATA("XSN4",'suoinghe (2016)'!$A$3,"MA_HT","CQP","MA_QH","DVH")</f>
        <v>0</v>
      </c>
      <c r="AG20" s="22">
        <f ca="1">+GETPIVOTDATA("XSN4",'suoinghe (2016)'!$A$3,"MA_HT","CQP","MA_QH","DYT")</f>
        <v>0</v>
      </c>
      <c r="AH20" s="22">
        <f ca="1">+GETPIVOTDATA("XSN4",'suoinghe (2016)'!$A$3,"MA_HT","CQP","MA_QH","DGD")</f>
        <v>0</v>
      </c>
      <c r="AI20" s="22">
        <f ca="1">+GETPIVOTDATA("XSN4",'suoinghe (2016)'!$A$3,"MA_HT","CQP","MA_QH","DTT")</f>
        <v>0</v>
      </c>
      <c r="AJ20" s="22">
        <f ca="1">+GETPIVOTDATA("XSN4",'suoinghe (2016)'!$A$3,"MA_HT","CQP","MA_QH","NCK")</f>
        <v>0</v>
      </c>
      <c r="AK20" s="22">
        <f ca="1">+GETPIVOTDATA("XSN4",'suoinghe (2016)'!$A$3,"MA_HT","CQP","MA_QH","DXH")</f>
        <v>0</v>
      </c>
      <c r="AL20" s="22">
        <f ca="1">+GETPIVOTDATA("XSN4",'suoinghe (2016)'!$A$3,"MA_HT","CQP","MA_QH","DCH")</f>
        <v>0</v>
      </c>
      <c r="AM20" s="22">
        <f ca="1">+GETPIVOTDATA("XSN4",'suoinghe (2016)'!$A$3,"MA_HT","CQP","MA_QH","DKG")</f>
        <v>0</v>
      </c>
      <c r="AN20" s="22">
        <f ca="1">+GETPIVOTDATA("XSN4",'suoinghe (2016)'!$A$3,"MA_HT","CQP","MA_QH","DDT")</f>
        <v>0</v>
      </c>
      <c r="AO20" s="22">
        <f ca="1">+GETPIVOTDATA("XSN4",'suoinghe (2016)'!$A$3,"MA_HT","CQP","MA_QH","DDL")</f>
        <v>0</v>
      </c>
      <c r="AP20" s="22">
        <f ca="1">+GETPIVOTDATA("XSN4",'suoinghe (2016)'!$A$3,"MA_HT","CQP","MA_QH","DRA")</f>
        <v>0</v>
      </c>
      <c r="AQ20" s="22">
        <f ca="1">+GETPIVOTDATA("XSN4",'suoinghe (2016)'!$A$3,"MA_HT","CQP","MA_QH","ONT")</f>
        <v>0</v>
      </c>
      <c r="AR20" s="22">
        <f ca="1">+GETPIVOTDATA("XSN4",'suoinghe (2016)'!$A$3,"MA_HT","CQP","MA_QH","ODT")</f>
        <v>0</v>
      </c>
      <c r="AS20" s="22">
        <f ca="1">+GETPIVOTDATA("XSN4",'suoinghe (2016)'!$A$3,"MA_HT","CQP","MA_QH","TSC")</f>
        <v>0</v>
      </c>
      <c r="AT20" s="22">
        <f ca="1">+GETPIVOTDATA("XSN4",'suoinghe (2016)'!$A$3,"MA_HT","CQP","MA_QH","DTS")</f>
        <v>0</v>
      </c>
      <c r="AU20" s="22">
        <f ca="1">+GETPIVOTDATA("XSN4",'suoinghe (2016)'!$A$3,"MA_HT","CQP","MA_QH","DNG")</f>
        <v>0</v>
      </c>
      <c r="AV20" s="22">
        <f ca="1">+GETPIVOTDATA("XSN4",'suoinghe (2016)'!$A$3,"MA_HT","CQP","MA_QH","TON")</f>
        <v>0</v>
      </c>
      <c r="AW20" s="22">
        <f ca="1">+GETPIVOTDATA("XSN4",'suoinghe (2016)'!$A$3,"MA_HT","CQP","MA_QH","NTD")</f>
        <v>0</v>
      </c>
      <c r="AX20" s="22">
        <f ca="1">+GETPIVOTDATA("XSN4",'suoinghe (2016)'!$A$3,"MA_HT","CQP","MA_QH","SKX")</f>
        <v>0</v>
      </c>
      <c r="AY20" s="22">
        <f ca="1">+GETPIVOTDATA("XSN4",'suoinghe (2016)'!$A$3,"MA_HT","CQP","MA_QH","DSH")</f>
        <v>0</v>
      </c>
      <c r="AZ20" s="22">
        <f ca="1">+GETPIVOTDATA("XSN4",'suoinghe (2016)'!$A$3,"MA_HT","CQP","MA_QH","DKV")</f>
        <v>0</v>
      </c>
      <c r="BA20" s="89">
        <f ca="1">+GETPIVOTDATA("XSN4",'suoinghe (2016)'!$A$3,"MA_HT","CQP","MA_QH","TIN")</f>
        <v>0</v>
      </c>
      <c r="BB20" s="50">
        <f ca="1">+GETPIVOTDATA("XSN4",'suoinghe (2016)'!$A$3,"MA_HT","CQP","MA_QH","SON")</f>
        <v>0</v>
      </c>
      <c r="BC20" s="50">
        <f ca="1">+GETPIVOTDATA("XSN4",'suoinghe (2016)'!$A$3,"MA_HT","CQP","MA_QH","MNC")</f>
        <v>0</v>
      </c>
      <c r="BD20" s="22">
        <f ca="1">+GETPIVOTDATA("XSN4",'suoinghe (2016)'!$A$3,"MA_HT","CQP","MA_QH","PNK")</f>
        <v>0</v>
      </c>
      <c r="BE20" s="71">
        <f ca="1">+GETPIVOTDATA("XSN4",'suoinghe (2016)'!$A$3,"MA_HT","CQP","MA_QH","CSD")</f>
        <v>0</v>
      </c>
      <c r="BF20" s="74">
        <f ca="1" t="shared" ref="BF20:BF57" si="13">BE20+R20+E20</f>
        <v>0</v>
      </c>
      <c r="BG20" s="101">
        <f ca="1">S$59-$BF20</f>
        <v>0</v>
      </c>
      <c r="BH20" s="41" t="e">
        <f ca="1" t="shared" ref="BH20:BH58" si="14">BG20+D20</f>
        <v>#REF!</v>
      </c>
      <c r="BI20" s="98"/>
      <c r="BJ20" s="98" t="e">
        <f>#REF!</f>
        <v>#REF!</v>
      </c>
      <c r="BK20" s="107" t="e">
        <f ca="1">BH20-BJ20</f>
        <v>#REF!</v>
      </c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</row>
    <row r="21" s="2" customFormat="1" ht="15.75" customHeight="1" spans="1:79">
      <c r="A21" s="39" t="s">
        <v>232</v>
      </c>
      <c r="B21" s="39" t="s">
        <v>8361</v>
      </c>
      <c r="C21" s="40" t="s">
        <v>8283</v>
      </c>
      <c r="D21" s="41" t="e">
        <f>+#REF!</f>
        <v>#REF!</v>
      </c>
      <c r="E21" s="42">
        <f ca="1" t="shared" ref="E21:E58" si="15">SUM(F21,J21:Q21)</f>
        <v>0</v>
      </c>
      <c r="F21" s="52">
        <f ca="1" t="shared" si="9"/>
        <v>0</v>
      </c>
      <c r="G21" s="22">
        <f ca="1">+GETPIVOTDATA("XSN4",'suoinghe (2016)'!$A$3,"MA_HT","CAN","MA_QH","LUC")</f>
        <v>0</v>
      </c>
      <c r="H21" s="22">
        <f ca="1">+GETPIVOTDATA("XSN4",'suoinghe (2016)'!$A$3,"MA_HT","CAN","MA_QH","LUK")</f>
        <v>0</v>
      </c>
      <c r="I21" s="22">
        <f ca="1">+GETPIVOTDATA("XSN4",'suoinghe (2016)'!$A$3,"MA_HT","CAN","MA_QH","LUN")</f>
        <v>0</v>
      </c>
      <c r="J21" s="22">
        <f ca="1">+GETPIVOTDATA("XSN4",'suoinghe (2016)'!$A$3,"MA_HT","CAN","MA_QH","HNK")</f>
        <v>0</v>
      </c>
      <c r="K21" s="22">
        <f ca="1">+GETPIVOTDATA("XSN4",'suoinghe (2016)'!$A$3,"MA_HT","CAN","MA_QH","CLN")</f>
        <v>0</v>
      </c>
      <c r="L21" s="22">
        <f ca="1">+GETPIVOTDATA("XSN4",'suoinghe (2016)'!$A$3,"MA_HT","CAN","MA_QH","RSX")</f>
        <v>0</v>
      </c>
      <c r="M21" s="22">
        <f ca="1">+GETPIVOTDATA("XSN4",'suoinghe (2016)'!$A$3,"MA_HT","CAN","MA_QH","RPH")</f>
        <v>0</v>
      </c>
      <c r="N21" s="22">
        <f ca="1">+GETPIVOTDATA("XSN4",'suoinghe (2016)'!$A$3,"MA_HT","CAN","MA_QH","RDD")</f>
        <v>0</v>
      </c>
      <c r="O21" s="22">
        <f ca="1">+GETPIVOTDATA("XSN4",'suoinghe (2016)'!$A$3,"MA_HT","CAN","MA_QH","NTS")</f>
        <v>0</v>
      </c>
      <c r="P21" s="22">
        <f ca="1">+GETPIVOTDATA("XSN4",'suoinghe (2016)'!$A$3,"MA_HT","CAN","MA_QH","LMU")</f>
        <v>0</v>
      </c>
      <c r="Q21" s="22">
        <f ca="1">+GETPIVOTDATA("XSN4",'suoinghe (2016)'!$A$3,"MA_HT","CAN","MA_QH","NKH")</f>
        <v>0</v>
      </c>
      <c r="R21" s="42">
        <f ca="1">SUM(S21,U21:AA21,AN21:BD21)</f>
        <v>0</v>
      </c>
      <c r="S21" s="22">
        <f ca="1">+GETPIVOTDATA("XSN4",'suoinghe (2016)'!$A$3,"MA_HT","CAN","MA_QH","CQP")</f>
        <v>0</v>
      </c>
      <c r="T21" s="43" t="e">
        <f ca="1">$D21-$BF21</f>
        <v>#REF!</v>
      </c>
      <c r="U21" s="22">
        <f ca="1">+GETPIVOTDATA("XSN4",'suoinghe (2016)'!$A$3,"MA_HT","CAN","MA_QH","SKK")</f>
        <v>0</v>
      </c>
      <c r="V21" s="22">
        <f ca="1">+GETPIVOTDATA("XSN4",'suoinghe (2016)'!$A$3,"MA_HT","CAN","MA_QH","SKT")</f>
        <v>0</v>
      </c>
      <c r="W21" s="22">
        <f ca="1">+GETPIVOTDATA("XSN4",'suoinghe (2016)'!$A$3,"MA_HT","CAN","MA_QH","SKN")</f>
        <v>0</v>
      </c>
      <c r="X21" s="22">
        <f ca="1">+GETPIVOTDATA("XSN4",'suoinghe (2016)'!$A$3,"MA_HT","CAN","MA_QH","TMD")</f>
        <v>0</v>
      </c>
      <c r="Y21" s="22">
        <f ca="1">+GETPIVOTDATA("XSN4",'suoinghe (2016)'!$A$3,"MA_HT","CAN","MA_QH","SKC")</f>
        <v>0</v>
      </c>
      <c r="Z21" s="22">
        <f ca="1">+GETPIVOTDATA("XSN4",'suoinghe (2016)'!$A$3,"MA_HT","CAN","MA_QH","SKS")</f>
        <v>0</v>
      </c>
      <c r="AA21" s="52">
        <f ca="1" t="shared" si="12"/>
        <v>0</v>
      </c>
      <c r="AB21" s="22">
        <f ca="1">+GETPIVOTDATA("XSN4",'suoinghe (2016)'!$A$3,"MA_HT","CAN","MA_QH","DGT")</f>
        <v>0</v>
      </c>
      <c r="AC21" s="22">
        <f ca="1">+GETPIVOTDATA("XSN4",'suoinghe (2016)'!$A$3,"MA_HT","CAN","MA_QH","DTL")</f>
        <v>0</v>
      </c>
      <c r="AD21" s="22">
        <f ca="1">+GETPIVOTDATA("XSN4",'suoinghe (2016)'!$A$3,"MA_HT","CAN","MA_QH","DNL")</f>
        <v>0</v>
      </c>
      <c r="AE21" s="22">
        <f ca="1">+GETPIVOTDATA("XSN4",'suoinghe (2016)'!$A$3,"MA_HT","CAN","MA_QH","DBV")</f>
        <v>0</v>
      </c>
      <c r="AF21" s="22">
        <f ca="1">+GETPIVOTDATA("XSN4",'suoinghe (2016)'!$A$3,"MA_HT","CAN","MA_QH","DVH")</f>
        <v>0</v>
      </c>
      <c r="AG21" s="22">
        <f ca="1">+GETPIVOTDATA("XSN4",'suoinghe (2016)'!$A$3,"MA_HT","CAN","MA_QH","DYT")</f>
        <v>0</v>
      </c>
      <c r="AH21" s="22">
        <f ca="1">+GETPIVOTDATA("XSN4",'suoinghe (2016)'!$A$3,"MA_HT","CAN","MA_QH","DGD")</f>
        <v>0</v>
      </c>
      <c r="AI21" s="22">
        <f ca="1">+GETPIVOTDATA("XSN4",'suoinghe (2016)'!$A$3,"MA_HT","CAN","MA_QH","DTT")</f>
        <v>0</v>
      </c>
      <c r="AJ21" s="22">
        <f ca="1">+GETPIVOTDATA("XSN4",'suoinghe (2016)'!$A$3,"MA_HT","CAN","MA_QH","NCK")</f>
        <v>0</v>
      </c>
      <c r="AK21" s="22">
        <f ca="1">+GETPIVOTDATA("XSN4",'suoinghe (2016)'!$A$3,"MA_HT","CAN","MA_QH","DXH")</f>
        <v>0</v>
      </c>
      <c r="AL21" s="22">
        <f ca="1">+GETPIVOTDATA("XSN4",'suoinghe (2016)'!$A$3,"MA_HT","CAN","MA_QH","DCH")</f>
        <v>0</v>
      </c>
      <c r="AM21" s="22">
        <f ca="1">+GETPIVOTDATA("XSN4",'suoinghe (2016)'!$A$3,"MA_HT","CAN","MA_QH","DKG")</f>
        <v>0</v>
      </c>
      <c r="AN21" s="22">
        <f ca="1">+GETPIVOTDATA("XSN4",'suoinghe (2016)'!$A$3,"MA_HT","CAN","MA_QH","DDT")</f>
        <v>0</v>
      </c>
      <c r="AO21" s="22">
        <f ca="1">+GETPIVOTDATA("XSN4",'suoinghe (2016)'!$A$3,"MA_HT","CAN","MA_QH","DDL")</f>
        <v>0</v>
      </c>
      <c r="AP21" s="22">
        <f ca="1">+GETPIVOTDATA("XSN4",'suoinghe (2016)'!$A$3,"MA_HT","CAN","MA_QH","DRA")</f>
        <v>0</v>
      </c>
      <c r="AQ21" s="22">
        <f ca="1">+GETPIVOTDATA("XSN4",'suoinghe (2016)'!$A$3,"MA_HT","CAN","MA_QH","ONT")</f>
        <v>0</v>
      </c>
      <c r="AR21" s="22">
        <f ca="1">+GETPIVOTDATA("XSN4",'suoinghe (2016)'!$A$3,"MA_HT","CAN","MA_QH","ODT")</f>
        <v>0</v>
      </c>
      <c r="AS21" s="22">
        <f ca="1">+GETPIVOTDATA("XSN4",'suoinghe (2016)'!$A$3,"MA_HT","CAN","MA_QH","TSC")</f>
        <v>0</v>
      </c>
      <c r="AT21" s="22">
        <f ca="1">+GETPIVOTDATA("XSN4",'suoinghe (2016)'!$A$3,"MA_HT","CAN","MA_QH","DTS")</f>
        <v>0</v>
      </c>
      <c r="AU21" s="22">
        <f ca="1">+GETPIVOTDATA("XSN4",'suoinghe (2016)'!$A$3,"MA_HT","CAN","MA_QH","DNG")</f>
        <v>0</v>
      </c>
      <c r="AV21" s="22">
        <f ca="1">+GETPIVOTDATA("XSN4",'suoinghe (2016)'!$A$3,"MA_HT","CAN","MA_QH","TON")</f>
        <v>0</v>
      </c>
      <c r="AW21" s="22">
        <f ca="1">+GETPIVOTDATA("XSN4",'suoinghe (2016)'!$A$3,"MA_HT","CAN","MA_QH","NTD")</f>
        <v>0</v>
      </c>
      <c r="AX21" s="22">
        <f ca="1">+GETPIVOTDATA("XSN4",'suoinghe (2016)'!$A$3,"MA_HT","CAN","MA_QH","SKX")</f>
        <v>0</v>
      </c>
      <c r="AY21" s="22">
        <f ca="1">+GETPIVOTDATA("XSN4",'suoinghe (2016)'!$A$3,"MA_HT","CAN","MA_QH","DSH")</f>
        <v>0</v>
      </c>
      <c r="AZ21" s="22">
        <f ca="1">+GETPIVOTDATA("XSN4",'suoinghe (2016)'!$A$3,"MA_HT","CAN","MA_QH","DKV")</f>
        <v>0</v>
      </c>
      <c r="BA21" s="89">
        <f ca="1">+GETPIVOTDATA("XSN4",'suoinghe (2016)'!$A$3,"MA_HT","CAN","MA_QH","TIN")</f>
        <v>0</v>
      </c>
      <c r="BB21" s="50">
        <f ca="1">+GETPIVOTDATA("XSN4",'suoinghe (2016)'!$A$3,"MA_HT","CAN","MA_QH","SON")</f>
        <v>0</v>
      </c>
      <c r="BC21" s="50">
        <f ca="1">+GETPIVOTDATA("XSN4",'suoinghe (2016)'!$A$3,"MA_HT","CAN","MA_QH","MNC")</f>
        <v>0</v>
      </c>
      <c r="BD21" s="22">
        <f ca="1">+GETPIVOTDATA("XSN4",'suoinghe (2016)'!$A$3,"MA_HT","CAN","MA_QH","PNK")</f>
        <v>0</v>
      </c>
      <c r="BE21" s="71">
        <f ca="1">+GETPIVOTDATA("XSN4",'suoinghe (2016)'!$A$3,"MA_HT","CAN","MA_QH","CSD")</f>
        <v>0</v>
      </c>
      <c r="BF21" s="74">
        <f ca="1" t="shared" si="13"/>
        <v>0</v>
      </c>
      <c r="BG21" s="101">
        <f ca="1">T$59-$BF21</f>
        <v>0</v>
      </c>
      <c r="BH21" s="41" t="e">
        <f ca="1" t="shared" si="14"/>
        <v>#REF!</v>
      </c>
      <c r="BI21" s="98"/>
      <c r="BJ21" s="98" t="e">
        <f>#REF!</f>
        <v>#REF!</v>
      </c>
      <c r="BK21" s="107" t="e">
        <f ca="1">BH21-BJ21</f>
        <v>#REF!</v>
      </c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</row>
    <row r="22" s="2" customFormat="1" ht="15.75" customHeight="1" spans="1:79">
      <c r="A22" s="39" t="s">
        <v>8362</v>
      </c>
      <c r="B22" s="53" t="s">
        <v>8363</v>
      </c>
      <c r="C22" s="40" t="s">
        <v>47</v>
      </c>
      <c r="D22" s="41" t="e">
        <f>+#REF!</f>
        <v>#REF!</v>
      </c>
      <c r="E22" s="42">
        <f ca="1" t="shared" si="15"/>
        <v>0</v>
      </c>
      <c r="F22" s="52">
        <f ca="1" t="shared" si="9"/>
        <v>0</v>
      </c>
      <c r="G22" s="22">
        <f ca="1">+GETPIVOTDATA("XSN4",'suoinghe (2016)'!$A$3,"MA_HT","SKK","MA_QH","LUC")</f>
        <v>0</v>
      </c>
      <c r="H22" s="22">
        <f ca="1">+GETPIVOTDATA("XSN4",'suoinghe (2016)'!$A$3,"MA_HT","SKK","MA_QH","LUK")</f>
        <v>0</v>
      </c>
      <c r="I22" s="22">
        <f ca="1">+GETPIVOTDATA("XSN4",'suoinghe (2016)'!$A$3,"MA_HT","SKK","MA_QH","LUN")</f>
        <v>0</v>
      </c>
      <c r="J22" s="22">
        <f ca="1">+GETPIVOTDATA("XSN4",'suoinghe (2016)'!$A$3,"MA_HT","SKK","MA_QH","HNK")</f>
        <v>0</v>
      </c>
      <c r="K22" s="22">
        <f ca="1">+GETPIVOTDATA("XSN4",'suoinghe (2016)'!$A$3,"MA_HT","SKK","MA_QH","CLN")</f>
        <v>0</v>
      </c>
      <c r="L22" s="22">
        <f ca="1">+GETPIVOTDATA("XSN4",'suoinghe (2016)'!$A$3,"MA_HT","SKK","MA_QH","RSX")</f>
        <v>0</v>
      </c>
      <c r="M22" s="22">
        <f ca="1">+GETPIVOTDATA("XSN4",'suoinghe (2016)'!$A$3,"MA_HT","SKK","MA_QH","RPH")</f>
        <v>0</v>
      </c>
      <c r="N22" s="22">
        <f ca="1">+GETPIVOTDATA("XSN4",'suoinghe (2016)'!$A$3,"MA_HT","SKK","MA_QH","RDD")</f>
        <v>0</v>
      </c>
      <c r="O22" s="22">
        <f ca="1">+GETPIVOTDATA("XSN4",'suoinghe (2016)'!$A$3,"MA_HT","SKK","MA_QH","NTS")</f>
        <v>0</v>
      </c>
      <c r="P22" s="22">
        <f ca="1">+GETPIVOTDATA("XSN4",'suoinghe (2016)'!$A$3,"MA_HT","SKK","MA_QH","LMU")</f>
        <v>0</v>
      </c>
      <c r="Q22" s="22">
        <f ca="1">+GETPIVOTDATA("XSN4",'suoinghe (2016)'!$A$3,"MA_HT","SKK","MA_QH","NKH")</f>
        <v>0</v>
      </c>
      <c r="R22" s="42">
        <f ca="1">SUM(S22:T22,V22:AA22,AN22:BD22)</f>
        <v>0</v>
      </c>
      <c r="S22" s="22">
        <f ca="1">+GETPIVOTDATA("XSN4",'suoinghe (2016)'!$A$3,"MA_HT","SKK","MA_QH","CQP")</f>
        <v>0</v>
      </c>
      <c r="T22" s="22">
        <f ca="1">+GETPIVOTDATA("XSN4",'suoinghe (2016)'!$A$3,"MA_HT","SKK","MA_QH","CAN")</f>
        <v>0</v>
      </c>
      <c r="U22" s="43" t="e">
        <f ca="1">$D22-$BF22</f>
        <v>#REF!</v>
      </c>
      <c r="V22" s="22">
        <f ca="1">+GETPIVOTDATA("XSN4",'suoinghe (2016)'!$A$3,"MA_HT","SKK","MA_QH","SKT")</f>
        <v>0</v>
      </c>
      <c r="W22" s="22">
        <f ca="1">+GETPIVOTDATA("XSN4",'suoinghe (2016)'!$A$3,"MA_HT","SKK","MA_QH","SKN")</f>
        <v>0</v>
      </c>
      <c r="X22" s="22">
        <f ca="1">+GETPIVOTDATA("XSN4",'suoinghe (2016)'!$A$3,"MA_HT","SKK","MA_QH","TMD")</f>
        <v>0</v>
      </c>
      <c r="Y22" s="22">
        <f ca="1">+GETPIVOTDATA("XSN4",'suoinghe (2016)'!$A$3,"MA_HT","SKK","MA_QH","SKC")</f>
        <v>0</v>
      </c>
      <c r="Z22" s="22">
        <f ca="1">+GETPIVOTDATA("XSN4",'suoinghe (2016)'!$A$3,"MA_HT","SKK","MA_QH","SKS")</f>
        <v>0</v>
      </c>
      <c r="AA22" s="52">
        <f ca="1" t="shared" si="12"/>
        <v>0</v>
      </c>
      <c r="AB22" s="22">
        <f ca="1">+GETPIVOTDATA("XSN4",'suoinghe (2016)'!$A$3,"MA_HT","SKK","MA_QH","DGT")</f>
        <v>0</v>
      </c>
      <c r="AC22" s="22">
        <f ca="1">+GETPIVOTDATA("XSN4",'suoinghe (2016)'!$A$3,"MA_HT","SKK","MA_QH","DTL")</f>
        <v>0</v>
      </c>
      <c r="AD22" s="22">
        <f ca="1">+GETPIVOTDATA("XSN4",'suoinghe (2016)'!$A$3,"MA_HT","SKK","MA_QH","DNL")</f>
        <v>0</v>
      </c>
      <c r="AE22" s="22">
        <f ca="1">+GETPIVOTDATA("XSN4",'suoinghe (2016)'!$A$3,"MA_HT","SKK","MA_QH","DBV")</f>
        <v>0</v>
      </c>
      <c r="AF22" s="22">
        <f ca="1">+GETPIVOTDATA("XSN4",'suoinghe (2016)'!$A$3,"MA_HT","SKK","MA_QH","DVH")</f>
        <v>0</v>
      </c>
      <c r="AG22" s="22">
        <f ca="1">+GETPIVOTDATA("XSN4",'suoinghe (2016)'!$A$3,"MA_HT","SKK","MA_QH","DYT")</f>
        <v>0</v>
      </c>
      <c r="AH22" s="22">
        <f ca="1">+GETPIVOTDATA("XSN4",'suoinghe (2016)'!$A$3,"MA_HT","SKK","MA_QH","DGD")</f>
        <v>0</v>
      </c>
      <c r="AI22" s="22">
        <f ca="1">+GETPIVOTDATA("XSN4",'suoinghe (2016)'!$A$3,"MA_HT","SKK","MA_QH","DTT")</f>
        <v>0</v>
      </c>
      <c r="AJ22" s="22">
        <f ca="1">+GETPIVOTDATA("XSN4",'suoinghe (2016)'!$A$3,"MA_HT","SKK","MA_QH","NCK")</f>
        <v>0</v>
      </c>
      <c r="AK22" s="22">
        <f ca="1">+GETPIVOTDATA("XSN4",'suoinghe (2016)'!$A$3,"MA_HT","SKK","MA_QH","DXH")</f>
        <v>0</v>
      </c>
      <c r="AL22" s="22">
        <f ca="1">+GETPIVOTDATA("XSN4",'suoinghe (2016)'!$A$3,"MA_HT","SKK","MA_QH","DCH")</f>
        <v>0</v>
      </c>
      <c r="AM22" s="22">
        <f ca="1">+GETPIVOTDATA("XSN4",'suoinghe (2016)'!$A$3,"MA_HT","SKK","MA_QH","DKG")</f>
        <v>0</v>
      </c>
      <c r="AN22" s="22">
        <f ca="1">+GETPIVOTDATA("XSN4",'suoinghe (2016)'!$A$3,"MA_HT","SKK","MA_QH","DDT")</f>
        <v>0</v>
      </c>
      <c r="AO22" s="22">
        <f ca="1">+GETPIVOTDATA("XSN4",'suoinghe (2016)'!$A$3,"MA_HT","SKK","MA_QH","DDL")</f>
        <v>0</v>
      </c>
      <c r="AP22" s="22">
        <f ca="1">+GETPIVOTDATA("XSN4",'suoinghe (2016)'!$A$3,"MA_HT","SKK","MA_QH","DRA")</f>
        <v>0</v>
      </c>
      <c r="AQ22" s="22">
        <f ca="1">+GETPIVOTDATA("XSN4",'suoinghe (2016)'!$A$3,"MA_HT","SKK","MA_QH","ONT")</f>
        <v>0</v>
      </c>
      <c r="AR22" s="22">
        <f ca="1">+GETPIVOTDATA("XSN4",'suoinghe (2016)'!$A$3,"MA_HT","SKK","MA_QH","ODT")</f>
        <v>0</v>
      </c>
      <c r="AS22" s="22">
        <f ca="1">+GETPIVOTDATA("XSN4",'suoinghe (2016)'!$A$3,"MA_HT","SKK","MA_QH","TSC")</f>
        <v>0</v>
      </c>
      <c r="AT22" s="22">
        <f ca="1">+GETPIVOTDATA("XSN4",'suoinghe (2016)'!$A$3,"MA_HT","SKK","MA_QH","DTS")</f>
        <v>0</v>
      </c>
      <c r="AU22" s="22">
        <f ca="1">+GETPIVOTDATA("XSN4",'suoinghe (2016)'!$A$3,"MA_HT","SKK","MA_QH","DNG")</f>
        <v>0</v>
      </c>
      <c r="AV22" s="22">
        <f ca="1">+GETPIVOTDATA("XSN4",'suoinghe (2016)'!$A$3,"MA_HT","SKK","MA_QH","TON")</f>
        <v>0</v>
      </c>
      <c r="AW22" s="22">
        <f ca="1">+GETPIVOTDATA("XSN4",'suoinghe (2016)'!$A$3,"MA_HT","SKK","MA_QH","NTD")</f>
        <v>0</v>
      </c>
      <c r="AX22" s="22">
        <f ca="1">+GETPIVOTDATA("XSN4",'suoinghe (2016)'!$A$3,"MA_HT","SKK","MA_QH","SKX")</f>
        <v>0</v>
      </c>
      <c r="AY22" s="22">
        <f ca="1">+GETPIVOTDATA("XSN4",'suoinghe (2016)'!$A$3,"MA_HT","SKK","MA_QH","DSH")</f>
        <v>0</v>
      </c>
      <c r="AZ22" s="22">
        <f ca="1">+GETPIVOTDATA("XSN4",'suoinghe (2016)'!$A$3,"MA_HT","SKK","MA_QH","DKV")</f>
        <v>0</v>
      </c>
      <c r="BA22" s="89">
        <f ca="1">+GETPIVOTDATA("XSN4",'suoinghe (2016)'!$A$3,"MA_HT","SKK","MA_QH","TIN")</f>
        <v>0</v>
      </c>
      <c r="BB22" s="50">
        <f ca="1">+GETPIVOTDATA("XSN4",'suoinghe (2016)'!$A$3,"MA_HT","SKK","MA_QH","SON")</f>
        <v>0</v>
      </c>
      <c r="BC22" s="50">
        <f ca="1">+GETPIVOTDATA("XSN4",'suoinghe (2016)'!$A$3,"MA_HT","SKK","MA_QH","MNC")</f>
        <v>0</v>
      </c>
      <c r="BD22" s="22">
        <f ca="1">+GETPIVOTDATA("XSN4",'suoinghe (2016)'!$A$3,"MA_HT","SKK","MA_QH","PNK")</f>
        <v>0</v>
      </c>
      <c r="BE22" s="71">
        <f ca="1">+GETPIVOTDATA("XSN4",'suoinghe (2016)'!$A$3,"MA_HT","SKK","MA_QH","CSD")</f>
        <v>0</v>
      </c>
      <c r="BF22" s="74">
        <f ca="1" t="shared" si="13"/>
        <v>0</v>
      </c>
      <c r="BG22" s="101">
        <f ca="1">U$59-$BF22</f>
        <v>0</v>
      </c>
      <c r="BH22" s="41" t="e">
        <f ca="1" t="shared" si="14"/>
        <v>#REF!</v>
      </c>
      <c r="BI22" s="98"/>
      <c r="BJ22" s="107" t="e">
        <f>#REF!</f>
        <v>#REF!</v>
      </c>
      <c r="BK22" s="107" t="e">
        <f ca="1">BH22-BJ22</f>
        <v>#REF!</v>
      </c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</row>
    <row r="23" s="2" customFormat="1" ht="15.75" customHeight="1" spans="1:79">
      <c r="A23" s="39" t="s">
        <v>8364</v>
      </c>
      <c r="B23" s="53" t="s">
        <v>8365</v>
      </c>
      <c r="C23" s="40" t="s">
        <v>8308</v>
      </c>
      <c r="D23" s="41" t="e">
        <f>+#REF!</f>
        <v>#REF!</v>
      </c>
      <c r="E23" s="42">
        <f ca="1" t="shared" si="15"/>
        <v>0</v>
      </c>
      <c r="F23" s="52">
        <f ca="1" t="shared" si="9"/>
        <v>0</v>
      </c>
      <c r="G23" s="22">
        <f ca="1">+GETPIVOTDATA("XSN4",'suoinghe (2016)'!$A$3,"MA_HT","SKT","MA_QH","LUC")</f>
        <v>0</v>
      </c>
      <c r="H23" s="22">
        <f ca="1">+GETPIVOTDATA("XSN4",'suoinghe (2016)'!$A$3,"MA_HT","SKT","MA_QH","LUK")</f>
        <v>0</v>
      </c>
      <c r="I23" s="22">
        <f ca="1">+GETPIVOTDATA("XSN4",'suoinghe (2016)'!$A$3,"MA_HT","SKT","MA_QH","LUN")</f>
        <v>0</v>
      </c>
      <c r="J23" s="22">
        <f ca="1">+GETPIVOTDATA("XSN4",'suoinghe (2016)'!$A$3,"MA_HT","SKT","MA_QH","HNK")</f>
        <v>0</v>
      </c>
      <c r="K23" s="22">
        <f ca="1">+GETPIVOTDATA("XSN4",'suoinghe (2016)'!$A$3,"MA_HT","SKT","MA_QH","CLN")</f>
        <v>0</v>
      </c>
      <c r="L23" s="22">
        <f ca="1">+GETPIVOTDATA("XSN4",'suoinghe (2016)'!$A$3,"MA_HT","SKT","MA_QH","RSX")</f>
        <v>0</v>
      </c>
      <c r="M23" s="22">
        <f ca="1">+GETPIVOTDATA("XSN4",'suoinghe (2016)'!$A$3,"MA_HT","SKT","MA_QH","RPH")</f>
        <v>0</v>
      </c>
      <c r="N23" s="22">
        <f ca="1">+GETPIVOTDATA("XSN4",'suoinghe (2016)'!$A$3,"MA_HT","SKT","MA_QH","RDD")</f>
        <v>0</v>
      </c>
      <c r="O23" s="22">
        <f ca="1">+GETPIVOTDATA("XSN4",'suoinghe (2016)'!$A$3,"MA_HT","SKT","MA_QH","NTS")</f>
        <v>0</v>
      </c>
      <c r="P23" s="22">
        <f ca="1">+GETPIVOTDATA("XSN4",'suoinghe (2016)'!$A$3,"MA_HT","SKT","MA_QH","LMU")</f>
        <v>0</v>
      </c>
      <c r="Q23" s="22">
        <f ca="1">+GETPIVOTDATA("XSN4",'suoinghe (2016)'!$A$3,"MA_HT","SKT","MA_QH","NKH")</f>
        <v>0</v>
      </c>
      <c r="R23" s="42">
        <f ca="1">SUM(S23:U23,W23:AA23,AN23:BD23)</f>
        <v>0</v>
      </c>
      <c r="S23" s="22">
        <f ca="1">+GETPIVOTDATA("XSN4",'suoinghe (2016)'!$A$3,"MA_HT","SKT","MA_QH","CQP")</f>
        <v>0</v>
      </c>
      <c r="T23" s="22">
        <f ca="1">+GETPIVOTDATA("XSN4",'suoinghe (2016)'!$A$3,"MA_HT","SKT","MA_QH","CAN")</f>
        <v>0</v>
      </c>
      <c r="U23" s="22">
        <f ca="1">+GETPIVOTDATA("XSN4",'suoinghe (2016)'!$A$3,"MA_HT","SKT","MA_QH","SKK")</f>
        <v>0</v>
      </c>
      <c r="V23" s="43" t="e">
        <f ca="1">$D23-$BF23</f>
        <v>#REF!</v>
      </c>
      <c r="W23" s="22">
        <f ca="1">+GETPIVOTDATA("XSN4",'suoinghe (2016)'!$A$3,"MA_HT","SKT","MA_QH","SKN")</f>
        <v>0</v>
      </c>
      <c r="X23" s="22">
        <f ca="1">+GETPIVOTDATA("XSN4",'suoinghe (2016)'!$A$3,"MA_HT","SKT","MA_QH","TMD")</f>
        <v>0</v>
      </c>
      <c r="Y23" s="22">
        <f ca="1">+GETPIVOTDATA("XSN4",'suoinghe (2016)'!$A$3,"MA_HT","SKT","MA_QH","SKC")</f>
        <v>0</v>
      </c>
      <c r="Z23" s="22">
        <f ca="1">+GETPIVOTDATA("XSN4",'suoinghe (2016)'!$A$3,"MA_HT","SKT","MA_QH","SKS")</f>
        <v>0</v>
      </c>
      <c r="AA23" s="52">
        <f ca="1" t="shared" si="12"/>
        <v>0</v>
      </c>
      <c r="AB23" s="22">
        <f ca="1">+GETPIVOTDATA("XSN4",'suoinghe (2016)'!$A$3,"MA_HT","SKT","MA_QH","DGT")</f>
        <v>0</v>
      </c>
      <c r="AC23" s="22">
        <f ca="1">+GETPIVOTDATA("XSN4",'suoinghe (2016)'!$A$3,"MA_HT","SKT","MA_QH","DTL")</f>
        <v>0</v>
      </c>
      <c r="AD23" s="22">
        <f ca="1">+GETPIVOTDATA("XSN4",'suoinghe (2016)'!$A$3,"MA_HT","SKT","MA_QH","DNL")</f>
        <v>0</v>
      </c>
      <c r="AE23" s="22">
        <f ca="1">+GETPIVOTDATA("XSN4",'suoinghe (2016)'!$A$3,"MA_HT","SKT","MA_QH","DBV")</f>
        <v>0</v>
      </c>
      <c r="AF23" s="22">
        <f ca="1">+GETPIVOTDATA("XSN4",'suoinghe (2016)'!$A$3,"MA_HT","SKT","MA_QH","DVH")</f>
        <v>0</v>
      </c>
      <c r="AG23" s="22">
        <f ca="1">+GETPIVOTDATA("XSN4",'suoinghe (2016)'!$A$3,"MA_HT","SKT","MA_QH","DYT")</f>
        <v>0</v>
      </c>
      <c r="AH23" s="22">
        <f ca="1">+GETPIVOTDATA("XSN4",'suoinghe (2016)'!$A$3,"MA_HT","SKT","MA_QH","DGD")</f>
        <v>0</v>
      </c>
      <c r="AI23" s="22">
        <f ca="1">+GETPIVOTDATA("XSN4",'suoinghe (2016)'!$A$3,"MA_HT","SKT","MA_QH","DTT")</f>
        <v>0</v>
      </c>
      <c r="AJ23" s="22">
        <f ca="1">+GETPIVOTDATA("XSN4",'suoinghe (2016)'!$A$3,"MA_HT","SKT","MA_QH","NCK")</f>
        <v>0</v>
      </c>
      <c r="AK23" s="22">
        <f ca="1">+GETPIVOTDATA("XSN4",'suoinghe (2016)'!$A$3,"MA_HT","SKT","MA_QH","DXH")</f>
        <v>0</v>
      </c>
      <c r="AL23" s="22">
        <f ca="1">+GETPIVOTDATA("XSN4",'suoinghe (2016)'!$A$3,"MA_HT","SKT","MA_QH","DCH")</f>
        <v>0</v>
      </c>
      <c r="AM23" s="22">
        <f ca="1">+GETPIVOTDATA("XSN4",'suoinghe (2016)'!$A$3,"MA_HT","SKT","MA_QH","DKG")</f>
        <v>0</v>
      </c>
      <c r="AN23" s="22">
        <f ca="1">+GETPIVOTDATA("XSN4",'suoinghe (2016)'!$A$3,"MA_HT","SKT","MA_QH","DDT")</f>
        <v>0</v>
      </c>
      <c r="AO23" s="22">
        <f ca="1">+GETPIVOTDATA("XSN4",'suoinghe (2016)'!$A$3,"MA_HT","SKT","MA_QH","DDL")</f>
        <v>0</v>
      </c>
      <c r="AP23" s="22">
        <f ca="1">+GETPIVOTDATA("XSN4",'suoinghe (2016)'!$A$3,"MA_HT","SKT","MA_QH","DRA")</f>
        <v>0</v>
      </c>
      <c r="AQ23" s="22">
        <f ca="1">+GETPIVOTDATA("XSN4",'suoinghe (2016)'!$A$3,"MA_HT","SKT","MA_QH","ONT")</f>
        <v>0</v>
      </c>
      <c r="AR23" s="22">
        <f ca="1">+GETPIVOTDATA("XSN4",'suoinghe (2016)'!$A$3,"MA_HT","SKT","MA_QH","ODT")</f>
        <v>0</v>
      </c>
      <c r="AS23" s="22">
        <f ca="1">+GETPIVOTDATA("XSN4",'suoinghe (2016)'!$A$3,"MA_HT","SKT","MA_QH","TSC")</f>
        <v>0</v>
      </c>
      <c r="AT23" s="22">
        <f ca="1">+GETPIVOTDATA("XSN4",'suoinghe (2016)'!$A$3,"MA_HT","SKT","MA_QH","DTS")</f>
        <v>0</v>
      </c>
      <c r="AU23" s="22">
        <f ca="1">+GETPIVOTDATA("XSN4",'suoinghe (2016)'!$A$3,"MA_HT","SKT","MA_QH","DNG")</f>
        <v>0</v>
      </c>
      <c r="AV23" s="22">
        <f ca="1">+GETPIVOTDATA("XSN4",'suoinghe (2016)'!$A$3,"MA_HT","SKT","MA_QH","TON")</f>
        <v>0</v>
      </c>
      <c r="AW23" s="22">
        <f ca="1">+GETPIVOTDATA("XSN4",'suoinghe (2016)'!$A$3,"MA_HT","SKT","MA_QH","NTD")</f>
        <v>0</v>
      </c>
      <c r="AX23" s="22">
        <f ca="1">+GETPIVOTDATA("XSN4",'suoinghe (2016)'!$A$3,"MA_HT","SKT","MA_QH","SKX")</f>
        <v>0</v>
      </c>
      <c r="AY23" s="22">
        <f ca="1">+GETPIVOTDATA("XSN4",'suoinghe (2016)'!$A$3,"MA_HT","SKT","MA_QH","DSH")</f>
        <v>0</v>
      </c>
      <c r="AZ23" s="22">
        <f ca="1">+GETPIVOTDATA("XSN4",'suoinghe (2016)'!$A$3,"MA_HT","SKT","MA_QH","DKV")</f>
        <v>0</v>
      </c>
      <c r="BA23" s="89">
        <f ca="1">+GETPIVOTDATA("XSN4",'suoinghe (2016)'!$A$3,"MA_HT","SKT","MA_QH","TIN")</f>
        <v>0</v>
      </c>
      <c r="BB23" s="50">
        <f ca="1">+GETPIVOTDATA("XSN4",'suoinghe (2016)'!$A$3,"MA_HT","SKT","MA_QH","SON")</f>
        <v>0</v>
      </c>
      <c r="BC23" s="50">
        <f ca="1">+GETPIVOTDATA("XSN4",'suoinghe (2016)'!$A$3,"MA_HT","SKT","MA_QH","MNC")</f>
        <v>0</v>
      </c>
      <c r="BD23" s="22">
        <f ca="1">+GETPIVOTDATA("XSN4",'suoinghe (2016)'!$A$3,"MA_HT","SKT","MA_QH","PNK")</f>
        <v>0</v>
      </c>
      <c r="BE23" s="71">
        <f ca="1">+GETPIVOTDATA("XSN4",'suoinghe (2016)'!$A$3,"MA_HT","SKT","MA_QH","CSD")</f>
        <v>0</v>
      </c>
      <c r="BF23" s="74">
        <f ca="1" t="shared" si="13"/>
        <v>0</v>
      </c>
      <c r="BG23" s="101">
        <f ca="1">V$59-$BF23</f>
        <v>0</v>
      </c>
      <c r="BH23" s="41" t="e">
        <f ca="1" t="shared" si="14"/>
        <v>#REF!</v>
      </c>
      <c r="BI23" s="98"/>
      <c r="BJ23" s="107"/>
      <c r="BK23" s="107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</row>
    <row r="24" s="2" customFormat="1" ht="15.75" customHeight="1" spans="1:79">
      <c r="A24" s="39" t="s">
        <v>8366</v>
      </c>
      <c r="B24" s="53" t="s">
        <v>8367</v>
      </c>
      <c r="C24" s="40" t="s">
        <v>56</v>
      </c>
      <c r="D24" s="41" t="e">
        <f>+#REF!</f>
        <v>#REF!</v>
      </c>
      <c r="E24" s="42">
        <f ca="1" t="shared" si="15"/>
        <v>0</v>
      </c>
      <c r="F24" s="52">
        <f ca="1" t="shared" si="9"/>
        <v>0</v>
      </c>
      <c r="G24" s="22">
        <f ca="1">+GETPIVOTDATA("XSN4",'suoinghe (2016)'!$A$3,"MA_HT","SKN","MA_QH","LUC")</f>
        <v>0</v>
      </c>
      <c r="H24" s="22">
        <f ca="1">+GETPIVOTDATA("XSN4",'suoinghe (2016)'!$A$3,"MA_HT","SKN","MA_QH","LUK")</f>
        <v>0</v>
      </c>
      <c r="I24" s="22">
        <f ca="1">+GETPIVOTDATA("XSN4",'suoinghe (2016)'!$A$3,"MA_HT","SKN","MA_QH","LUN")</f>
        <v>0</v>
      </c>
      <c r="J24" s="22">
        <f ca="1">+GETPIVOTDATA("XSN4",'suoinghe (2016)'!$A$3,"MA_HT","SKN","MA_QH","HNK")</f>
        <v>0</v>
      </c>
      <c r="K24" s="22">
        <f ca="1">+GETPIVOTDATA("XSN4",'suoinghe (2016)'!$A$3,"MA_HT","SKN","MA_QH","CLN")</f>
        <v>0</v>
      </c>
      <c r="L24" s="22">
        <f ca="1">+GETPIVOTDATA("XSN4",'suoinghe (2016)'!$A$3,"MA_HT","SKN","MA_QH","RSX")</f>
        <v>0</v>
      </c>
      <c r="M24" s="22">
        <f ca="1">+GETPIVOTDATA("XSN4",'suoinghe (2016)'!$A$3,"MA_HT","SKN","MA_QH","RPH")</f>
        <v>0</v>
      </c>
      <c r="N24" s="22">
        <f ca="1">+GETPIVOTDATA("XSN4",'suoinghe (2016)'!$A$3,"MA_HT","SKN","MA_QH","RDD")</f>
        <v>0</v>
      </c>
      <c r="O24" s="22">
        <f ca="1">+GETPIVOTDATA("XSN4",'suoinghe (2016)'!$A$3,"MA_HT","SKN","MA_QH","NTS")</f>
        <v>0</v>
      </c>
      <c r="P24" s="22">
        <f ca="1">+GETPIVOTDATA("XSN4",'suoinghe (2016)'!$A$3,"MA_HT","SKN","MA_QH","LMU")</f>
        <v>0</v>
      </c>
      <c r="Q24" s="22">
        <f ca="1">+GETPIVOTDATA("XSN4",'suoinghe (2016)'!$A$3,"MA_HT","SKN","MA_QH","NKH")</f>
        <v>0</v>
      </c>
      <c r="R24" s="42">
        <f ca="1">SUM(S24:V24,X24:AA24,AN24:BD24)</f>
        <v>0</v>
      </c>
      <c r="S24" s="22">
        <f ca="1">+GETPIVOTDATA("XSN4",'suoinghe (2016)'!$A$3,"MA_HT","SKN","MA_QH","CQP")</f>
        <v>0</v>
      </c>
      <c r="T24" s="22">
        <f ca="1">+GETPIVOTDATA("XSN4",'suoinghe (2016)'!$A$3,"MA_HT","SKN","MA_QH","CAN")</f>
        <v>0</v>
      </c>
      <c r="U24" s="22">
        <f ca="1">+GETPIVOTDATA("XSN4",'suoinghe (2016)'!$A$3,"MA_HT","SKN","MA_QH","SKK")</f>
        <v>0</v>
      </c>
      <c r="V24" s="22">
        <f ca="1">+GETPIVOTDATA("XSN4",'suoinghe (2016)'!$A$3,"MA_HT","SKN","MA_QH","SKT")</f>
        <v>0</v>
      </c>
      <c r="W24" s="43" t="e">
        <f ca="1">$D24-$BF24</f>
        <v>#REF!</v>
      </c>
      <c r="X24" s="22">
        <f ca="1">+GETPIVOTDATA("XSN4",'suoinghe (2016)'!$A$3,"MA_HT","SKN","MA_QH","TMD")</f>
        <v>0</v>
      </c>
      <c r="Y24" s="22">
        <f ca="1">+GETPIVOTDATA("XSN4",'suoinghe (2016)'!$A$3,"MA_HT","SKN","MA_QH","SKC")</f>
        <v>0</v>
      </c>
      <c r="Z24" s="22">
        <f ca="1">+GETPIVOTDATA("XSN4",'suoinghe (2016)'!$A$3,"MA_HT","SKN","MA_QH","SKS")</f>
        <v>0</v>
      </c>
      <c r="AA24" s="52">
        <f ca="1" t="shared" si="12"/>
        <v>0</v>
      </c>
      <c r="AB24" s="22">
        <f ca="1">+GETPIVOTDATA("XSN4",'suoinghe (2016)'!$A$3,"MA_HT","SKN","MA_QH","DGT")</f>
        <v>0</v>
      </c>
      <c r="AC24" s="22">
        <f ca="1">+GETPIVOTDATA("XSN4",'suoinghe (2016)'!$A$3,"MA_HT","SKN","MA_QH","DTL")</f>
        <v>0</v>
      </c>
      <c r="AD24" s="22">
        <f ca="1">+GETPIVOTDATA("XSN4",'suoinghe (2016)'!$A$3,"MA_HT","SKN","MA_QH","DNL")</f>
        <v>0</v>
      </c>
      <c r="AE24" s="22">
        <f ca="1">+GETPIVOTDATA("XSN4",'suoinghe (2016)'!$A$3,"MA_HT","SKN","MA_QH","DBV")</f>
        <v>0</v>
      </c>
      <c r="AF24" s="22">
        <f ca="1">+GETPIVOTDATA("XSN4",'suoinghe (2016)'!$A$3,"MA_HT","SKN","MA_QH","DVH")</f>
        <v>0</v>
      </c>
      <c r="AG24" s="22">
        <f ca="1">+GETPIVOTDATA("XSN4",'suoinghe (2016)'!$A$3,"MA_HT","SKN","MA_QH","DYT")</f>
        <v>0</v>
      </c>
      <c r="AH24" s="22">
        <f ca="1">+GETPIVOTDATA("XSN4",'suoinghe (2016)'!$A$3,"MA_HT","SKN","MA_QH","DGD")</f>
        <v>0</v>
      </c>
      <c r="AI24" s="22">
        <f ca="1">+GETPIVOTDATA("XSN4",'suoinghe (2016)'!$A$3,"MA_HT","SKN","MA_QH","DTT")</f>
        <v>0</v>
      </c>
      <c r="AJ24" s="22">
        <f ca="1">+GETPIVOTDATA("XSN4",'suoinghe (2016)'!$A$3,"MA_HT","SKN","MA_QH","NCK")</f>
        <v>0</v>
      </c>
      <c r="AK24" s="22">
        <f ca="1">+GETPIVOTDATA("XSN4",'suoinghe (2016)'!$A$3,"MA_HT","SKN","MA_QH","DXH")</f>
        <v>0</v>
      </c>
      <c r="AL24" s="22">
        <f ca="1">+GETPIVOTDATA("XSN4",'suoinghe (2016)'!$A$3,"MA_HT","SKN","MA_QH","DCH")</f>
        <v>0</v>
      </c>
      <c r="AM24" s="22">
        <f ca="1">+GETPIVOTDATA("XSN4",'suoinghe (2016)'!$A$3,"MA_HT","SKN","MA_QH","DKG")</f>
        <v>0</v>
      </c>
      <c r="AN24" s="22">
        <f ca="1">+GETPIVOTDATA("XSN4",'suoinghe (2016)'!$A$3,"MA_HT","SKN","MA_QH","DDT")</f>
        <v>0</v>
      </c>
      <c r="AO24" s="22">
        <f ca="1">+GETPIVOTDATA("XSN4",'suoinghe (2016)'!$A$3,"MA_HT","SKN","MA_QH","DDL")</f>
        <v>0</v>
      </c>
      <c r="AP24" s="22">
        <f ca="1">+GETPIVOTDATA("XSN4",'suoinghe (2016)'!$A$3,"MA_HT","SKN","MA_QH","DRA")</f>
        <v>0</v>
      </c>
      <c r="AQ24" s="22">
        <f ca="1">+GETPIVOTDATA("XSN4",'suoinghe (2016)'!$A$3,"MA_HT","SKN","MA_QH","ONT")</f>
        <v>0</v>
      </c>
      <c r="AR24" s="22">
        <f ca="1">+GETPIVOTDATA("XSN4",'suoinghe (2016)'!$A$3,"MA_HT","SKN","MA_QH","ODT")</f>
        <v>0</v>
      </c>
      <c r="AS24" s="22">
        <f ca="1">+GETPIVOTDATA("XSN4",'suoinghe (2016)'!$A$3,"MA_HT","SKN","MA_QH","TSC")</f>
        <v>0</v>
      </c>
      <c r="AT24" s="22">
        <f ca="1">+GETPIVOTDATA("XSN4",'suoinghe (2016)'!$A$3,"MA_HT","SKN","MA_QH","DTS")</f>
        <v>0</v>
      </c>
      <c r="AU24" s="22">
        <f ca="1">+GETPIVOTDATA("XSN4",'suoinghe (2016)'!$A$3,"MA_HT","SKN","MA_QH","DNG")</f>
        <v>0</v>
      </c>
      <c r="AV24" s="22">
        <f ca="1">+GETPIVOTDATA("XSN4",'suoinghe (2016)'!$A$3,"MA_HT","SKN","MA_QH","TON")</f>
        <v>0</v>
      </c>
      <c r="AW24" s="22">
        <f ca="1">+GETPIVOTDATA("XSN4",'suoinghe (2016)'!$A$3,"MA_HT","SKN","MA_QH","NTD")</f>
        <v>0</v>
      </c>
      <c r="AX24" s="22">
        <f ca="1">+GETPIVOTDATA("XSN4",'suoinghe (2016)'!$A$3,"MA_HT","SKN","MA_QH","SKX")</f>
        <v>0</v>
      </c>
      <c r="AY24" s="22">
        <f ca="1">+GETPIVOTDATA("XSN4",'suoinghe (2016)'!$A$3,"MA_HT","SKN","MA_QH","DSH")</f>
        <v>0</v>
      </c>
      <c r="AZ24" s="22">
        <f ca="1">+GETPIVOTDATA("XSN4",'suoinghe (2016)'!$A$3,"MA_HT","SKN","MA_QH","DKV")</f>
        <v>0</v>
      </c>
      <c r="BA24" s="89">
        <f ca="1">+GETPIVOTDATA("XSN4",'suoinghe (2016)'!$A$3,"MA_HT","SKN","MA_QH","TIN")</f>
        <v>0</v>
      </c>
      <c r="BB24" s="50">
        <f ca="1">+GETPIVOTDATA("XSN4",'suoinghe (2016)'!$A$3,"MA_HT","SKN","MA_QH","SON")</f>
        <v>0</v>
      </c>
      <c r="BC24" s="50">
        <f ca="1">+GETPIVOTDATA("XSN4",'suoinghe (2016)'!$A$3,"MA_HT","SKN","MA_QH","MNC")</f>
        <v>0</v>
      </c>
      <c r="BD24" s="22">
        <f ca="1">+GETPIVOTDATA("XSN4",'suoinghe (2016)'!$A$3,"MA_HT","SKN","MA_QH","PNK")</f>
        <v>0</v>
      </c>
      <c r="BE24" s="71">
        <f ca="1">+GETPIVOTDATA("XSN4",'suoinghe (2016)'!$A$3,"MA_HT","SKN","MA_QH","CSD")</f>
        <v>0</v>
      </c>
      <c r="BF24" s="74">
        <f ca="1" t="shared" si="13"/>
        <v>0</v>
      </c>
      <c r="BG24" s="101">
        <f ca="1">W$59-$BF24</f>
        <v>0</v>
      </c>
      <c r="BH24" s="41" t="e">
        <f ca="1" t="shared" si="14"/>
        <v>#REF!</v>
      </c>
      <c r="BI24" s="98"/>
      <c r="BJ24" s="107"/>
      <c r="BK24" s="107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</row>
    <row r="25" s="2" customFormat="1" ht="15.75" customHeight="1" spans="1:79">
      <c r="A25" s="39" t="s">
        <v>8368</v>
      </c>
      <c r="B25" s="39" t="s">
        <v>8369</v>
      </c>
      <c r="C25" s="40" t="s">
        <v>265</v>
      </c>
      <c r="D25" s="41" t="e">
        <f>+#REF!</f>
        <v>#REF!</v>
      </c>
      <c r="E25" s="42">
        <f ca="1" t="shared" si="15"/>
        <v>0</v>
      </c>
      <c r="F25" s="52">
        <f ca="1" t="shared" si="9"/>
        <v>0</v>
      </c>
      <c r="G25" s="22">
        <f ca="1">+GETPIVOTDATA("XSN4",'suoinghe (2016)'!$A$3,"MA_HT","TMD","MA_QH","LUC")</f>
        <v>0</v>
      </c>
      <c r="H25" s="22">
        <f ca="1">+GETPIVOTDATA("XSN4",'suoinghe (2016)'!$A$3,"MA_HT","TMD","MA_QH","LUK")</f>
        <v>0</v>
      </c>
      <c r="I25" s="22">
        <f ca="1">+GETPIVOTDATA("XSN4",'suoinghe (2016)'!$A$3,"MA_HT","TMD","MA_QH","LUN")</f>
        <v>0</v>
      </c>
      <c r="J25" s="22">
        <f ca="1">+GETPIVOTDATA("XSN4",'suoinghe (2016)'!$A$3,"MA_HT","TMD","MA_QH","HNK")</f>
        <v>0</v>
      </c>
      <c r="K25" s="22">
        <f ca="1">+GETPIVOTDATA("XSN4",'suoinghe (2016)'!$A$3,"MA_HT","TMD","MA_QH","CLN")</f>
        <v>0</v>
      </c>
      <c r="L25" s="22">
        <f ca="1">+GETPIVOTDATA("XSN4",'suoinghe (2016)'!$A$3,"MA_HT","TMD","MA_QH","RSX")</f>
        <v>0</v>
      </c>
      <c r="M25" s="22">
        <f ca="1">+GETPIVOTDATA("XSN4",'suoinghe (2016)'!$A$3,"MA_HT","TMD","MA_QH","RPH")</f>
        <v>0</v>
      </c>
      <c r="N25" s="22">
        <f ca="1">+GETPIVOTDATA("XSN4",'suoinghe (2016)'!$A$3,"MA_HT","TMD","MA_QH","RDD")</f>
        <v>0</v>
      </c>
      <c r="O25" s="22">
        <f ca="1">+GETPIVOTDATA("XSN4",'suoinghe (2016)'!$A$3,"MA_HT","TMD","MA_QH","NTS")</f>
        <v>0</v>
      </c>
      <c r="P25" s="22">
        <f ca="1">+GETPIVOTDATA("XSN4",'suoinghe (2016)'!$A$3,"MA_HT","TMD","MA_QH","LMU")</f>
        <v>0</v>
      </c>
      <c r="Q25" s="22">
        <f ca="1">+GETPIVOTDATA("XSN4",'suoinghe (2016)'!$A$3,"MA_HT","TMD","MA_QH","NKH")</f>
        <v>0</v>
      </c>
      <c r="R25" s="42">
        <f ca="1">SUM(S25:W25,Y25:AA25,AN25:BD25)</f>
        <v>0</v>
      </c>
      <c r="S25" s="22">
        <f ca="1">+GETPIVOTDATA("XSN4",'suoinghe (2016)'!$A$3,"MA_HT","TMD","MA_QH","CQP")</f>
        <v>0</v>
      </c>
      <c r="T25" s="22">
        <f ca="1">+GETPIVOTDATA("XSN4",'suoinghe (2016)'!$A$3,"MA_HT","TMD","MA_QH","CAN")</f>
        <v>0</v>
      </c>
      <c r="U25" s="22">
        <f ca="1">+GETPIVOTDATA("XSN4",'suoinghe (2016)'!$A$3,"MA_HT","TMD","MA_QH","SKK")</f>
        <v>0</v>
      </c>
      <c r="V25" s="22">
        <f ca="1">+GETPIVOTDATA("XSN4",'suoinghe (2016)'!$A$3,"MA_HT","TMD","MA_QH","SKT")</f>
        <v>0</v>
      </c>
      <c r="W25" s="22">
        <f ca="1">+GETPIVOTDATA("XSN4",'suoinghe (2016)'!$A$3,"MA_HT","TMD","MA_QH","SKN")</f>
        <v>0</v>
      </c>
      <c r="X25" s="43" t="e">
        <f ca="1">$D25-$BF25</f>
        <v>#REF!</v>
      </c>
      <c r="Y25" s="22">
        <f ca="1">+GETPIVOTDATA("XSN4",'suoinghe (2016)'!$A$3,"MA_HT","TMD","MA_QH","SKC")</f>
        <v>0</v>
      </c>
      <c r="Z25" s="22">
        <f ca="1">+GETPIVOTDATA("XSN4",'suoinghe (2016)'!$A$3,"MA_HT","TMD","MA_QH","SKS")</f>
        <v>0</v>
      </c>
      <c r="AA25" s="52">
        <f ca="1" t="shared" si="12"/>
        <v>0</v>
      </c>
      <c r="AB25" s="22">
        <f ca="1">+GETPIVOTDATA("XSN4",'suoinghe (2016)'!$A$3,"MA_HT","TMD","MA_QH","DGT")</f>
        <v>0</v>
      </c>
      <c r="AC25" s="22">
        <f ca="1">+GETPIVOTDATA("XSN4",'suoinghe (2016)'!$A$3,"MA_HT","TMD","MA_QH","DTL")</f>
        <v>0</v>
      </c>
      <c r="AD25" s="22">
        <f ca="1">+GETPIVOTDATA("XSN4",'suoinghe (2016)'!$A$3,"MA_HT","TMD","MA_QH","DNL")</f>
        <v>0</v>
      </c>
      <c r="AE25" s="22">
        <f ca="1">+GETPIVOTDATA("XSN4",'suoinghe (2016)'!$A$3,"MA_HT","TMD","MA_QH","DBV")</f>
        <v>0</v>
      </c>
      <c r="AF25" s="22">
        <f ca="1">+GETPIVOTDATA("XSN4",'suoinghe (2016)'!$A$3,"MA_HT","TMD","MA_QH","DVH")</f>
        <v>0</v>
      </c>
      <c r="AG25" s="22">
        <f ca="1">+GETPIVOTDATA("XSN4",'suoinghe (2016)'!$A$3,"MA_HT","TMD","MA_QH","DYT")</f>
        <v>0</v>
      </c>
      <c r="AH25" s="22">
        <f ca="1">+GETPIVOTDATA("XSN4",'suoinghe (2016)'!$A$3,"MA_HT","TMD","MA_QH","DGD")</f>
        <v>0</v>
      </c>
      <c r="AI25" s="22">
        <f ca="1">+GETPIVOTDATA("XSN4",'suoinghe (2016)'!$A$3,"MA_HT","TMD","MA_QH","DTT")</f>
        <v>0</v>
      </c>
      <c r="AJ25" s="22">
        <f ca="1">+GETPIVOTDATA("XSN4",'suoinghe (2016)'!$A$3,"MA_HT","TMD","MA_QH","NCK")</f>
        <v>0</v>
      </c>
      <c r="AK25" s="22">
        <f ca="1">+GETPIVOTDATA("XSN4",'suoinghe (2016)'!$A$3,"MA_HT","TMD","MA_QH","DXH")</f>
        <v>0</v>
      </c>
      <c r="AL25" s="22">
        <f ca="1">+GETPIVOTDATA("XSN4",'suoinghe (2016)'!$A$3,"MA_HT","TMD","MA_QH","DCH")</f>
        <v>0</v>
      </c>
      <c r="AM25" s="22">
        <f ca="1">+GETPIVOTDATA("XSN4",'suoinghe (2016)'!$A$3,"MA_HT","TMD","MA_QH","DKG")</f>
        <v>0</v>
      </c>
      <c r="AN25" s="22">
        <f ca="1">+GETPIVOTDATA("XSN4",'suoinghe (2016)'!$A$3,"MA_HT","TMD","MA_QH","DDT")</f>
        <v>0</v>
      </c>
      <c r="AO25" s="22">
        <f ca="1">+GETPIVOTDATA("XSN4",'suoinghe (2016)'!$A$3,"MA_HT","TMD","MA_QH","DDL")</f>
        <v>0</v>
      </c>
      <c r="AP25" s="22">
        <f ca="1">+GETPIVOTDATA("XSN4",'suoinghe (2016)'!$A$3,"MA_HT","TMD","MA_QH","DRA")</f>
        <v>0</v>
      </c>
      <c r="AQ25" s="22">
        <f ca="1">+GETPIVOTDATA("XSN4",'suoinghe (2016)'!$A$3,"MA_HT","TMD","MA_QH","ONT")</f>
        <v>0</v>
      </c>
      <c r="AR25" s="22">
        <f ca="1">+GETPIVOTDATA("XSN4",'suoinghe (2016)'!$A$3,"MA_HT","TMD","MA_QH","ODT")</f>
        <v>0</v>
      </c>
      <c r="AS25" s="22">
        <f ca="1">+GETPIVOTDATA("XSN4",'suoinghe (2016)'!$A$3,"MA_HT","TMD","MA_QH","TSC")</f>
        <v>0</v>
      </c>
      <c r="AT25" s="22">
        <f ca="1">+GETPIVOTDATA("XSN4",'suoinghe (2016)'!$A$3,"MA_HT","TMD","MA_QH","DTS")</f>
        <v>0</v>
      </c>
      <c r="AU25" s="22">
        <f ca="1">+GETPIVOTDATA("XSN4",'suoinghe (2016)'!$A$3,"MA_HT","TMD","MA_QH","DNG")</f>
        <v>0</v>
      </c>
      <c r="AV25" s="22">
        <f ca="1">+GETPIVOTDATA("XSN4",'suoinghe (2016)'!$A$3,"MA_HT","TMD","MA_QH","TON")</f>
        <v>0</v>
      </c>
      <c r="AW25" s="22">
        <f ca="1">+GETPIVOTDATA("XSN4",'suoinghe (2016)'!$A$3,"MA_HT","TMD","MA_QH","NTD")</f>
        <v>0</v>
      </c>
      <c r="AX25" s="22">
        <f ca="1">+GETPIVOTDATA("XSN4",'suoinghe (2016)'!$A$3,"MA_HT","TMD","MA_QH","SKX")</f>
        <v>0</v>
      </c>
      <c r="AY25" s="22">
        <f ca="1">+GETPIVOTDATA("XSN4",'suoinghe (2016)'!$A$3,"MA_HT","TMD","MA_QH","DSH")</f>
        <v>0</v>
      </c>
      <c r="AZ25" s="22">
        <f ca="1">+GETPIVOTDATA("XSN4",'suoinghe (2016)'!$A$3,"MA_HT","TMD","MA_QH","DKV")</f>
        <v>0</v>
      </c>
      <c r="BA25" s="89">
        <f ca="1">+GETPIVOTDATA("XSN4",'suoinghe (2016)'!$A$3,"MA_HT","TMD","MA_QH","TIN")</f>
        <v>0</v>
      </c>
      <c r="BB25" s="50">
        <f ca="1">+GETPIVOTDATA("XSN4",'suoinghe (2016)'!$A$3,"MA_HT","TMD","MA_QH","SON")</f>
        <v>0</v>
      </c>
      <c r="BC25" s="50">
        <f ca="1">+GETPIVOTDATA("XSN4",'suoinghe (2016)'!$A$3,"MA_HT","TMD","MA_QH","MNC")</f>
        <v>0</v>
      </c>
      <c r="BD25" s="22">
        <f ca="1">+GETPIVOTDATA("XSN4",'suoinghe (2016)'!$A$3,"MA_HT","TMD","MA_QH","PNK")</f>
        <v>0</v>
      </c>
      <c r="BE25" s="71">
        <f ca="1">+GETPIVOTDATA("XSN4",'suoinghe (2016)'!$A$3,"MA_HT","TMD","MA_QH","CSD")</f>
        <v>0</v>
      </c>
      <c r="BF25" s="74">
        <f ca="1" t="shared" si="13"/>
        <v>0</v>
      </c>
      <c r="BG25" s="101">
        <f ca="1">X$59-$BF25</f>
        <v>0</v>
      </c>
      <c r="BH25" s="41" t="e">
        <f ca="1" t="shared" si="14"/>
        <v>#REF!</v>
      </c>
      <c r="BI25" s="98"/>
      <c r="BJ25" s="107" t="e">
        <f>#REF!</f>
        <v>#REF!</v>
      </c>
      <c r="BK25" s="107" t="e">
        <f ca="1">BH25-BJ25</f>
        <v>#REF!</v>
      </c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</row>
    <row r="26" s="2" customFormat="1" ht="15.75" customHeight="1" spans="1:79">
      <c r="A26" s="39" t="s">
        <v>8370</v>
      </c>
      <c r="B26" s="39" t="s">
        <v>8371</v>
      </c>
      <c r="C26" s="40" t="s">
        <v>204</v>
      </c>
      <c r="D26" s="41" t="e">
        <f>+#REF!</f>
        <v>#REF!</v>
      </c>
      <c r="E26" s="42">
        <f ca="1" t="shared" si="15"/>
        <v>0</v>
      </c>
      <c r="F26" s="52">
        <f ca="1" t="shared" si="9"/>
        <v>0</v>
      </c>
      <c r="G26" s="22">
        <f ca="1">+GETPIVOTDATA("XSN4",'suoinghe (2016)'!$A$3,"MA_HT","SKC","MA_QH","LUC")</f>
        <v>0</v>
      </c>
      <c r="H26" s="22">
        <f ca="1">+GETPIVOTDATA("XSN4",'suoinghe (2016)'!$A$3,"MA_HT","SKC","MA_QH","LUK")</f>
        <v>0</v>
      </c>
      <c r="I26" s="22">
        <f ca="1">+GETPIVOTDATA("XSN4",'suoinghe (2016)'!$A$3,"MA_HT","SKC","MA_QH","LUN")</f>
        <v>0</v>
      </c>
      <c r="J26" s="22">
        <f ca="1">+GETPIVOTDATA("XSN4",'suoinghe (2016)'!$A$3,"MA_HT","SKC","MA_QH","HNK")</f>
        <v>0</v>
      </c>
      <c r="K26" s="22">
        <f ca="1">+GETPIVOTDATA("XSN4",'suoinghe (2016)'!$A$3,"MA_HT","SKC","MA_QH","CLN")</f>
        <v>0</v>
      </c>
      <c r="L26" s="22">
        <f ca="1">+GETPIVOTDATA("XSN4",'suoinghe (2016)'!$A$3,"MA_HT","SKC","MA_QH","RSX")</f>
        <v>0</v>
      </c>
      <c r="M26" s="22">
        <f ca="1">+GETPIVOTDATA("XSN4",'suoinghe (2016)'!$A$3,"MA_HT","SKC","MA_QH","RPH")</f>
        <v>0</v>
      </c>
      <c r="N26" s="22">
        <f ca="1">+GETPIVOTDATA("XSN4",'suoinghe (2016)'!$A$3,"MA_HT","SKC","MA_QH","RDD")</f>
        <v>0</v>
      </c>
      <c r="O26" s="22">
        <f ca="1">+GETPIVOTDATA("XSN4",'suoinghe (2016)'!$A$3,"MA_HT","SKC","MA_QH","NTS")</f>
        <v>0</v>
      </c>
      <c r="P26" s="22">
        <f ca="1">+GETPIVOTDATA("XSN4",'suoinghe (2016)'!$A$3,"MA_HT","SKC","MA_QH","LMU")</f>
        <v>0</v>
      </c>
      <c r="Q26" s="22">
        <f ca="1">+GETPIVOTDATA("XSN4",'suoinghe (2016)'!$A$3,"MA_HT","SKC","MA_QH","NKH")</f>
        <v>0</v>
      </c>
      <c r="R26" s="42">
        <f ca="1">SUM(S26:X26,Z26,AN26:BD26)</f>
        <v>0</v>
      </c>
      <c r="S26" s="22">
        <f ca="1">+GETPIVOTDATA("XSN4",'suoinghe (2016)'!$A$3,"MA_HT","SKC","MA_QH","CQP")</f>
        <v>0</v>
      </c>
      <c r="T26" s="22">
        <f ca="1">+GETPIVOTDATA("XSN4",'suoinghe (2016)'!$A$3,"MA_HT","SKC","MA_QH","CAN")</f>
        <v>0</v>
      </c>
      <c r="U26" s="22">
        <f ca="1">+GETPIVOTDATA("XSN4",'suoinghe (2016)'!$A$3,"MA_HT","SKC","MA_QH","SKK")</f>
        <v>0</v>
      </c>
      <c r="V26" s="22">
        <f ca="1">+GETPIVOTDATA("XSN4",'suoinghe (2016)'!$A$3,"MA_HT","SKC","MA_QH","SKT")</f>
        <v>0</v>
      </c>
      <c r="W26" s="22">
        <f ca="1">+GETPIVOTDATA("XSN4",'suoinghe (2016)'!$A$3,"MA_HT","SKC","MA_QH","SKN")</f>
        <v>0</v>
      </c>
      <c r="X26" s="22">
        <f ca="1">+GETPIVOTDATA("XSN4",'suoinghe (2016)'!$A$3,"MA_HT","SKC","MA_QH","TMD")</f>
        <v>0</v>
      </c>
      <c r="Y26" s="43" t="e">
        <f ca="1">$D26-$BF26</f>
        <v>#REF!</v>
      </c>
      <c r="Z26" s="22">
        <f ca="1">+GETPIVOTDATA("XSN4",'suoinghe (2016)'!$A$3,"MA_HT","SKC","MA_QH","SKS")</f>
        <v>0</v>
      </c>
      <c r="AA26" s="52">
        <f ca="1" t="shared" si="12"/>
        <v>0</v>
      </c>
      <c r="AB26" s="22">
        <f ca="1">+GETPIVOTDATA("XSN4",'suoinghe (2016)'!$A$3,"MA_HT","SKC","MA_QH","DGT")</f>
        <v>0</v>
      </c>
      <c r="AC26" s="22">
        <f ca="1">+GETPIVOTDATA("XSN4",'suoinghe (2016)'!$A$3,"MA_HT","SKC","MA_QH","DTL")</f>
        <v>0</v>
      </c>
      <c r="AD26" s="22">
        <f ca="1">+GETPIVOTDATA("XSN4",'suoinghe (2016)'!$A$3,"MA_HT","SKC","MA_QH","DNL")</f>
        <v>0</v>
      </c>
      <c r="AE26" s="22">
        <f ca="1">+GETPIVOTDATA("XSN4",'suoinghe (2016)'!$A$3,"MA_HT","SKC","MA_QH","DBV")</f>
        <v>0</v>
      </c>
      <c r="AF26" s="22">
        <f ca="1">+GETPIVOTDATA("XSN4",'suoinghe (2016)'!$A$3,"MA_HT","SKC","MA_QH","DVH")</f>
        <v>0</v>
      </c>
      <c r="AG26" s="22">
        <f ca="1">+GETPIVOTDATA("XSN4",'suoinghe (2016)'!$A$3,"MA_HT","SKC","MA_QH","DYT")</f>
        <v>0</v>
      </c>
      <c r="AH26" s="22">
        <f ca="1">+GETPIVOTDATA("XSN4",'suoinghe (2016)'!$A$3,"MA_HT","SKC","MA_QH","DGD")</f>
        <v>0</v>
      </c>
      <c r="AI26" s="22">
        <f ca="1">+GETPIVOTDATA("XSN4",'suoinghe (2016)'!$A$3,"MA_HT","SKC","MA_QH","DTT")</f>
        <v>0</v>
      </c>
      <c r="AJ26" s="22">
        <f ca="1">+GETPIVOTDATA("XSN4",'suoinghe (2016)'!$A$3,"MA_HT","SKC","MA_QH","NCK")</f>
        <v>0</v>
      </c>
      <c r="AK26" s="22">
        <f ca="1">+GETPIVOTDATA("XSN4",'suoinghe (2016)'!$A$3,"MA_HT","SKC","MA_QH","DXH")</f>
        <v>0</v>
      </c>
      <c r="AL26" s="22">
        <f ca="1">+GETPIVOTDATA("XSN4",'suoinghe (2016)'!$A$3,"MA_HT","SKC","MA_QH","DCH")</f>
        <v>0</v>
      </c>
      <c r="AM26" s="22">
        <f ca="1">+GETPIVOTDATA("XSN4",'suoinghe (2016)'!$A$3,"MA_HT","SKC","MA_QH","DKG")</f>
        <v>0</v>
      </c>
      <c r="AN26" s="22">
        <f ca="1">+GETPIVOTDATA("XSN4",'suoinghe (2016)'!$A$3,"MA_HT","SKC","MA_QH","DDT")</f>
        <v>0</v>
      </c>
      <c r="AO26" s="22">
        <f ca="1">+GETPIVOTDATA("XSN4",'suoinghe (2016)'!$A$3,"MA_HT","SKC","MA_QH","DDL")</f>
        <v>0</v>
      </c>
      <c r="AP26" s="22">
        <f ca="1">+GETPIVOTDATA("XSN4",'suoinghe (2016)'!$A$3,"MA_HT","SKC","MA_QH","DRA")</f>
        <v>0</v>
      </c>
      <c r="AQ26" s="22">
        <f ca="1">+GETPIVOTDATA("XSN4",'suoinghe (2016)'!$A$3,"MA_HT","SKC","MA_QH","ONT")</f>
        <v>0</v>
      </c>
      <c r="AR26" s="22">
        <f ca="1">+GETPIVOTDATA("XSN4",'suoinghe (2016)'!$A$3,"MA_HT","SKC","MA_QH","ODT")</f>
        <v>0</v>
      </c>
      <c r="AS26" s="22">
        <f ca="1">+GETPIVOTDATA("XSN4",'suoinghe (2016)'!$A$3,"MA_HT","SKC","MA_QH","TSC")</f>
        <v>0</v>
      </c>
      <c r="AT26" s="22">
        <f ca="1">+GETPIVOTDATA("XSN4",'suoinghe (2016)'!$A$3,"MA_HT","SKC","MA_QH","DTS")</f>
        <v>0</v>
      </c>
      <c r="AU26" s="22">
        <f ca="1">+GETPIVOTDATA("XSN4",'suoinghe (2016)'!$A$3,"MA_HT","SKC","MA_QH","DNG")</f>
        <v>0</v>
      </c>
      <c r="AV26" s="22">
        <f ca="1">+GETPIVOTDATA("XSN4",'suoinghe (2016)'!$A$3,"MA_HT","SKC","MA_QH","TON")</f>
        <v>0</v>
      </c>
      <c r="AW26" s="22">
        <f ca="1">+GETPIVOTDATA("XSN4",'suoinghe (2016)'!$A$3,"MA_HT","SKC","MA_QH","NTD")</f>
        <v>0</v>
      </c>
      <c r="AX26" s="22">
        <f ca="1">+GETPIVOTDATA("XSN4",'suoinghe (2016)'!$A$3,"MA_HT","SKC","MA_QH","SKX")</f>
        <v>0</v>
      </c>
      <c r="AY26" s="22">
        <f ca="1">+GETPIVOTDATA("XSN4",'suoinghe (2016)'!$A$3,"MA_HT","SKC","MA_QH","DSH")</f>
        <v>0</v>
      </c>
      <c r="AZ26" s="22">
        <f ca="1">+GETPIVOTDATA("XSN4",'suoinghe (2016)'!$A$3,"MA_HT","SKC","MA_QH","DKV")</f>
        <v>0</v>
      </c>
      <c r="BA26" s="89">
        <f ca="1">+GETPIVOTDATA("XSN4",'suoinghe (2016)'!$A$3,"MA_HT","SKC","MA_QH","TIN")</f>
        <v>0</v>
      </c>
      <c r="BB26" s="50">
        <f ca="1">+GETPIVOTDATA("XSN4",'suoinghe (2016)'!$A$3,"MA_HT","SKC","MA_QH","SON")</f>
        <v>0</v>
      </c>
      <c r="BC26" s="50">
        <f ca="1">+GETPIVOTDATA("XSN4",'suoinghe (2016)'!$A$3,"MA_HT","SKC","MA_QH","MNC")</f>
        <v>0</v>
      </c>
      <c r="BD26" s="22">
        <f ca="1">+GETPIVOTDATA("XSN4",'suoinghe (2016)'!$A$3,"MA_HT","SKC","MA_QH","PNK")</f>
        <v>0</v>
      </c>
      <c r="BE26" s="71">
        <f ca="1">+GETPIVOTDATA("XSN4",'suoinghe (2016)'!$A$3,"MA_HT","SKC","MA_QH","CSD")</f>
        <v>0</v>
      </c>
      <c r="BF26" s="74">
        <f ca="1" t="shared" si="13"/>
        <v>0</v>
      </c>
      <c r="BG26" s="101">
        <f ca="1">Y$59-$BF26</f>
        <v>0</v>
      </c>
      <c r="BH26" s="41" t="e">
        <f ca="1" t="shared" si="14"/>
        <v>#REF!</v>
      </c>
      <c r="BI26" s="98"/>
      <c r="BJ26" s="107" t="e">
        <f>#REF!</f>
        <v>#REF!</v>
      </c>
      <c r="BK26" s="107" t="e">
        <f ca="1">BH26-BJ26</f>
        <v>#REF!</v>
      </c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</row>
    <row r="27" s="2" customFormat="1" ht="15.75" customHeight="1" spans="1:79">
      <c r="A27" s="39" t="s">
        <v>8372</v>
      </c>
      <c r="B27" s="53" t="s">
        <v>8373</v>
      </c>
      <c r="C27" s="40" t="s">
        <v>174</v>
      </c>
      <c r="D27" s="41" t="e">
        <f>+#REF!</f>
        <v>#REF!</v>
      </c>
      <c r="E27" s="42">
        <f ca="1" t="shared" si="15"/>
        <v>0</v>
      </c>
      <c r="F27" s="52">
        <f ca="1" t="shared" si="9"/>
        <v>0</v>
      </c>
      <c r="G27" s="22">
        <f ca="1">+GETPIVOTDATA("XSN4",'suoinghe (2016)'!$A$3,"MA_HT","SKS","MA_QH","LUC")</f>
        <v>0</v>
      </c>
      <c r="H27" s="22">
        <f ca="1">+GETPIVOTDATA("XSN4",'suoinghe (2016)'!$A$3,"MA_HT","SKS","MA_QH","LUK")</f>
        <v>0</v>
      </c>
      <c r="I27" s="22">
        <f ca="1">+GETPIVOTDATA("XSN4",'suoinghe (2016)'!$A$3,"MA_HT","SKS","MA_QH","LUN")</f>
        <v>0</v>
      </c>
      <c r="J27" s="22">
        <f ca="1">+GETPIVOTDATA("XSN4",'suoinghe (2016)'!$A$3,"MA_HT","SKS","MA_QH","HNK")</f>
        <v>0</v>
      </c>
      <c r="K27" s="22">
        <f ca="1">+GETPIVOTDATA("XSN4",'suoinghe (2016)'!$A$3,"MA_HT","SKS","MA_QH","CLN")</f>
        <v>0</v>
      </c>
      <c r="L27" s="22">
        <f ca="1">+GETPIVOTDATA("XSN4",'suoinghe (2016)'!$A$3,"MA_HT","SKS","MA_QH","RSX")</f>
        <v>0</v>
      </c>
      <c r="M27" s="22">
        <f ca="1">+GETPIVOTDATA("XSN4",'suoinghe (2016)'!$A$3,"MA_HT","SKS","MA_QH","RPH")</f>
        <v>0</v>
      </c>
      <c r="N27" s="22">
        <f ca="1">+GETPIVOTDATA("XSN4",'suoinghe (2016)'!$A$3,"MA_HT","SKS","MA_QH","RDD")</f>
        <v>0</v>
      </c>
      <c r="O27" s="22">
        <f ca="1">+GETPIVOTDATA("XSN4",'suoinghe (2016)'!$A$3,"MA_HT","SKS","MA_QH","NTS")</f>
        <v>0</v>
      </c>
      <c r="P27" s="22">
        <f ca="1">+GETPIVOTDATA("XSN4",'suoinghe (2016)'!$A$3,"MA_HT","SKS","MA_QH","LMU")</f>
        <v>0</v>
      </c>
      <c r="Q27" s="22">
        <f ca="1">+GETPIVOTDATA("XSN4",'suoinghe (2016)'!$A$3,"MA_HT","SKS","MA_QH","NKH")</f>
        <v>0</v>
      </c>
      <c r="R27" s="42">
        <f ca="1">SUM(S27:Y27,AA27,AN27:BD27)</f>
        <v>0</v>
      </c>
      <c r="S27" s="22">
        <f ca="1">+GETPIVOTDATA("XSN4",'suoinghe (2016)'!$A$3,"MA_HT","SKS","MA_QH","CQP")</f>
        <v>0</v>
      </c>
      <c r="T27" s="22">
        <f ca="1">+GETPIVOTDATA("XSN4",'suoinghe (2016)'!$A$3,"MA_HT","SKS","MA_QH","CAN")</f>
        <v>0</v>
      </c>
      <c r="U27" s="22">
        <f ca="1">+GETPIVOTDATA("XSN4",'suoinghe (2016)'!$A$3,"MA_HT","SKS","MA_QH","SKK")</f>
        <v>0</v>
      </c>
      <c r="V27" s="22">
        <f ca="1">+GETPIVOTDATA("XSN4",'suoinghe (2016)'!$A$3,"MA_HT","SKS","MA_QH","SKT")</f>
        <v>0</v>
      </c>
      <c r="W27" s="22">
        <f ca="1">+GETPIVOTDATA("XSN4",'suoinghe (2016)'!$A$3,"MA_HT","SKS","MA_QH","SKN")</f>
        <v>0</v>
      </c>
      <c r="X27" s="22">
        <f ca="1">+GETPIVOTDATA("XSN4",'suoinghe (2016)'!$A$3,"MA_HT","SKS","MA_QH","TMD")</f>
        <v>0</v>
      </c>
      <c r="Y27" s="22">
        <f ca="1">+GETPIVOTDATA("XSN4",'suoinghe (2016)'!$A$3,"MA_HT","SKS","MA_QH","SKC")</f>
        <v>0</v>
      </c>
      <c r="Z27" s="43" t="e">
        <f ca="1">$D27-$BF27</f>
        <v>#REF!</v>
      </c>
      <c r="AA27" s="52">
        <f ca="1" t="shared" si="12"/>
        <v>0</v>
      </c>
      <c r="AB27" s="22">
        <f ca="1">+GETPIVOTDATA("XSN4",'suoinghe (2016)'!$A$3,"MA_HT","SKS","MA_QH","DGT")</f>
        <v>0</v>
      </c>
      <c r="AC27" s="22">
        <f ca="1">+GETPIVOTDATA("XSN4",'suoinghe (2016)'!$A$3,"MA_HT","SKS","MA_QH","DTL")</f>
        <v>0</v>
      </c>
      <c r="AD27" s="22">
        <f ca="1">+GETPIVOTDATA("XSN4",'suoinghe (2016)'!$A$3,"MA_HT","SKS","MA_QH","DNL")</f>
        <v>0</v>
      </c>
      <c r="AE27" s="22">
        <f ca="1">+GETPIVOTDATA("XSN4",'suoinghe (2016)'!$A$3,"MA_HT","SKS","MA_QH","DBV")</f>
        <v>0</v>
      </c>
      <c r="AF27" s="22">
        <f ca="1">+GETPIVOTDATA("XSN4",'suoinghe (2016)'!$A$3,"MA_HT","SKS","MA_QH","DVH")</f>
        <v>0</v>
      </c>
      <c r="AG27" s="22">
        <f ca="1">+GETPIVOTDATA("XSN4",'suoinghe (2016)'!$A$3,"MA_HT","SKS","MA_QH","DYT")</f>
        <v>0</v>
      </c>
      <c r="AH27" s="22">
        <f ca="1">+GETPIVOTDATA("XSN4",'suoinghe (2016)'!$A$3,"MA_HT","SKS","MA_QH","DGD")</f>
        <v>0</v>
      </c>
      <c r="AI27" s="22">
        <f ca="1">+GETPIVOTDATA("XSN4",'suoinghe (2016)'!$A$3,"MA_HT","SKS","MA_QH","DTT")</f>
        <v>0</v>
      </c>
      <c r="AJ27" s="22">
        <f ca="1">+GETPIVOTDATA("XSN4",'suoinghe (2016)'!$A$3,"MA_HT","SKS","MA_QH","NCK")</f>
        <v>0</v>
      </c>
      <c r="AK27" s="22">
        <f ca="1">+GETPIVOTDATA("XSN4",'suoinghe (2016)'!$A$3,"MA_HT","SKS","MA_QH","DXH")</f>
        <v>0</v>
      </c>
      <c r="AL27" s="22">
        <f ca="1">+GETPIVOTDATA("XSN4",'suoinghe (2016)'!$A$3,"MA_HT","SKS","MA_QH","DCH")</f>
        <v>0</v>
      </c>
      <c r="AM27" s="22">
        <f ca="1">+GETPIVOTDATA("XSN4",'suoinghe (2016)'!$A$3,"MA_HT","SKS","MA_QH","DKG")</f>
        <v>0</v>
      </c>
      <c r="AN27" s="22">
        <f ca="1">+GETPIVOTDATA("XSN4",'suoinghe (2016)'!$A$3,"MA_HT","SKS","MA_QH","DDT")</f>
        <v>0</v>
      </c>
      <c r="AO27" s="22">
        <f ca="1">+GETPIVOTDATA("XSN4",'suoinghe (2016)'!$A$3,"MA_HT","SKS","MA_QH","DDL")</f>
        <v>0</v>
      </c>
      <c r="AP27" s="22">
        <f ca="1">+GETPIVOTDATA("XSN4",'suoinghe (2016)'!$A$3,"MA_HT","SKS","MA_QH","DRA")</f>
        <v>0</v>
      </c>
      <c r="AQ27" s="22">
        <f ca="1">+GETPIVOTDATA("XSN4",'suoinghe (2016)'!$A$3,"MA_HT","SKS","MA_QH","ONT")</f>
        <v>0</v>
      </c>
      <c r="AR27" s="22">
        <f ca="1">+GETPIVOTDATA("XSN4",'suoinghe (2016)'!$A$3,"MA_HT","SKS","MA_QH","ODT")</f>
        <v>0</v>
      </c>
      <c r="AS27" s="22">
        <f ca="1">+GETPIVOTDATA("XSN4",'suoinghe (2016)'!$A$3,"MA_HT","SKS","MA_QH","TSC")</f>
        <v>0</v>
      </c>
      <c r="AT27" s="22">
        <f ca="1">+GETPIVOTDATA("XSN4",'suoinghe (2016)'!$A$3,"MA_HT","SKS","MA_QH","DTS")</f>
        <v>0</v>
      </c>
      <c r="AU27" s="22">
        <f ca="1">+GETPIVOTDATA("XSN4",'suoinghe (2016)'!$A$3,"MA_HT","SKS","MA_QH","DNG")</f>
        <v>0</v>
      </c>
      <c r="AV27" s="22">
        <f ca="1">+GETPIVOTDATA("XSN4",'suoinghe (2016)'!$A$3,"MA_HT","SKS","MA_QH","TON")</f>
        <v>0</v>
      </c>
      <c r="AW27" s="22">
        <f ca="1">+GETPIVOTDATA("XSN4",'suoinghe (2016)'!$A$3,"MA_HT","SKS","MA_QH","NTD")</f>
        <v>0</v>
      </c>
      <c r="AX27" s="22">
        <f ca="1">+GETPIVOTDATA("XSN4",'suoinghe (2016)'!$A$3,"MA_HT","SKS","MA_QH","SKX")</f>
        <v>0</v>
      </c>
      <c r="AY27" s="22">
        <f ca="1">+GETPIVOTDATA("XSN4",'suoinghe (2016)'!$A$3,"MA_HT","SKS","MA_QH","DSH")</f>
        <v>0</v>
      </c>
      <c r="AZ27" s="22">
        <f ca="1">+GETPIVOTDATA("XSN4",'suoinghe (2016)'!$A$3,"MA_HT","SKS","MA_QH","DKV")</f>
        <v>0</v>
      </c>
      <c r="BA27" s="89">
        <f ca="1">+GETPIVOTDATA("XSN4",'suoinghe (2016)'!$A$3,"MA_HT","SKS","MA_QH","TIN")</f>
        <v>0</v>
      </c>
      <c r="BB27" s="50">
        <f ca="1">+GETPIVOTDATA("XSN4",'suoinghe (2016)'!$A$3,"MA_HT","SKS","MA_QH","SON")</f>
        <v>0</v>
      </c>
      <c r="BC27" s="50">
        <f ca="1">+GETPIVOTDATA("XSN4",'suoinghe (2016)'!$A$3,"MA_HT","SKS","MA_QH","MNC")</f>
        <v>0</v>
      </c>
      <c r="BD27" s="22">
        <f ca="1">+GETPIVOTDATA("XSN4",'suoinghe (2016)'!$A$3,"MA_HT","SKS","MA_QH","PNK")</f>
        <v>0</v>
      </c>
      <c r="BE27" s="71">
        <f ca="1">+GETPIVOTDATA("XSN4",'suoinghe (2016)'!$A$3,"MA_HT","SKS","MA_QH","CSD")</f>
        <v>0</v>
      </c>
      <c r="BF27" s="74">
        <f ca="1" t="shared" si="13"/>
        <v>0</v>
      </c>
      <c r="BG27" s="101">
        <f ca="1">Z$59-$BF27</f>
        <v>0</v>
      </c>
      <c r="BH27" s="41" t="e">
        <f ca="1" t="shared" si="14"/>
        <v>#REF!</v>
      </c>
      <c r="BI27" s="98"/>
      <c r="BJ27" s="107" t="e">
        <f>#REF!</f>
        <v>#REF!</v>
      </c>
      <c r="BK27" s="107" t="e">
        <f ca="1">BH27-BJ27</f>
        <v>#REF!</v>
      </c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</row>
    <row r="28" s="2" customFormat="1" ht="15.75" customHeight="1" spans="1:79">
      <c r="A28" s="39" t="s">
        <v>8374</v>
      </c>
      <c r="B28" s="53" t="s">
        <v>8375</v>
      </c>
      <c r="C28" s="40" t="s">
        <v>8288</v>
      </c>
      <c r="D28" s="41" t="e">
        <f>+#REF!</f>
        <v>#REF!</v>
      </c>
      <c r="E28" s="42">
        <f ca="1" t="shared" si="15"/>
        <v>0</v>
      </c>
      <c r="F28" s="52">
        <f ca="1" t="shared" si="9"/>
        <v>0</v>
      </c>
      <c r="G28" s="44">
        <f ca="1">SUM(G29:G39)</f>
        <v>0</v>
      </c>
      <c r="H28" s="44">
        <f ca="1" t="shared" ref="H28:Q28" si="16">SUM(H29:H39)</f>
        <v>0</v>
      </c>
      <c r="I28" s="44">
        <f ca="1" t="shared" si="16"/>
        <v>0</v>
      </c>
      <c r="J28" s="44">
        <f ca="1" t="shared" si="16"/>
        <v>0</v>
      </c>
      <c r="K28" s="44">
        <f ca="1" t="shared" si="16"/>
        <v>0</v>
      </c>
      <c r="L28" s="44">
        <f ca="1" t="shared" si="16"/>
        <v>0</v>
      </c>
      <c r="M28" s="44">
        <f ca="1" t="shared" si="16"/>
        <v>0</v>
      </c>
      <c r="N28" s="44">
        <f ca="1" t="shared" si="16"/>
        <v>0</v>
      </c>
      <c r="O28" s="44">
        <f ca="1" t="shared" si="16"/>
        <v>0</v>
      </c>
      <c r="P28" s="44">
        <f ca="1" t="shared" si="16"/>
        <v>0</v>
      </c>
      <c r="Q28" s="44">
        <f ca="1" t="shared" si="16"/>
        <v>0</v>
      </c>
      <c r="R28" s="44">
        <f ca="1">SUM(S28:Z28,AN28:BD28)</f>
        <v>0</v>
      </c>
      <c r="S28" s="44">
        <f ca="1">SUM(S29:S39)</f>
        <v>0</v>
      </c>
      <c r="T28" s="44">
        <f ca="1" t="shared" ref="T28:Z28" si="17">SUM(T29:T39)</f>
        <v>0</v>
      </c>
      <c r="U28" s="44">
        <f ca="1" t="shared" si="17"/>
        <v>0</v>
      </c>
      <c r="V28" s="44">
        <f ca="1" t="shared" si="17"/>
        <v>0</v>
      </c>
      <c r="W28" s="44">
        <f ca="1" t="shared" si="17"/>
        <v>0</v>
      </c>
      <c r="X28" s="44">
        <f ca="1" t="shared" si="17"/>
        <v>0</v>
      </c>
      <c r="Y28" s="44">
        <f ca="1" t="shared" si="17"/>
        <v>0</v>
      </c>
      <c r="Z28" s="44">
        <f ca="1" t="shared" si="17"/>
        <v>0</v>
      </c>
      <c r="AA28" s="43" t="e">
        <f ca="1">$D28-$BF28</f>
        <v>#REF!</v>
      </c>
      <c r="AB28" s="44">
        <f ca="1">SUM(AB30:AB39)</f>
        <v>0</v>
      </c>
      <c r="AC28" s="44">
        <f ca="1">SUM(AC29,AC31:AC39)</f>
        <v>0</v>
      </c>
      <c r="AD28" s="44">
        <f ca="1">SUM(AD29:AD30,AD32:AD39)</f>
        <v>0</v>
      </c>
      <c r="AE28" s="44">
        <f ca="1">SUM(AE29:AE31,AE33:AE39)</f>
        <v>0</v>
      </c>
      <c r="AF28" s="44">
        <f ca="1">SUM(AF29:AF32,AF34:AF39)</f>
        <v>0</v>
      </c>
      <c r="AG28" s="44">
        <f ca="1">SUM(AG29:AG33,AG35:AG39)</f>
        <v>0</v>
      </c>
      <c r="AH28" s="44">
        <f ca="1">SUM(AH29:AH34,AH36:AH39)</f>
        <v>0</v>
      </c>
      <c r="AI28" s="44">
        <f ca="1">SUM(AI29:AI35,AI37:AI39)</f>
        <v>0</v>
      </c>
      <c r="AJ28" s="44">
        <f ca="1">SUM(AJ29:AJ36,AJ38:AJ39)</f>
        <v>0</v>
      </c>
      <c r="AK28" s="44">
        <f ca="1">SUM(AK29:AK37,AK39)</f>
        <v>0</v>
      </c>
      <c r="AL28" s="44">
        <f ca="1">SUM(AL29:AL38)</f>
        <v>0</v>
      </c>
      <c r="AM28" s="44">
        <f ca="1">SUM(AM29:AM38)</f>
        <v>0</v>
      </c>
      <c r="AN28" s="44">
        <f ca="1" t="shared" ref="AN28:BE28" si="18">SUM(AN29:AN39)</f>
        <v>0</v>
      </c>
      <c r="AO28" s="44">
        <f ca="1" t="shared" si="18"/>
        <v>0</v>
      </c>
      <c r="AP28" s="44">
        <f ca="1" t="shared" si="18"/>
        <v>0</v>
      </c>
      <c r="AQ28" s="44">
        <f ca="1" t="shared" si="18"/>
        <v>0</v>
      </c>
      <c r="AR28" s="44">
        <f ca="1" t="shared" si="18"/>
        <v>0</v>
      </c>
      <c r="AS28" s="44">
        <f ca="1" t="shared" si="18"/>
        <v>0</v>
      </c>
      <c r="AT28" s="44">
        <f ca="1" t="shared" si="18"/>
        <v>0</v>
      </c>
      <c r="AU28" s="44">
        <f ca="1" t="shared" si="18"/>
        <v>0</v>
      </c>
      <c r="AV28" s="44">
        <f ca="1" t="shared" si="18"/>
        <v>0</v>
      </c>
      <c r="AW28" s="44">
        <f ca="1" t="shared" si="18"/>
        <v>0</v>
      </c>
      <c r="AX28" s="44">
        <f ca="1" t="shared" si="18"/>
        <v>0</v>
      </c>
      <c r="AY28" s="44">
        <f ca="1" t="shared" si="18"/>
        <v>0</v>
      </c>
      <c r="AZ28" s="44">
        <f ca="1" t="shared" si="18"/>
        <v>0</v>
      </c>
      <c r="BA28" s="44">
        <f ca="1" t="shared" si="18"/>
        <v>0</v>
      </c>
      <c r="BB28" s="44">
        <f ca="1" t="shared" si="18"/>
        <v>0</v>
      </c>
      <c r="BC28" s="44">
        <f ca="1" t="shared" si="18"/>
        <v>0</v>
      </c>
      <c r="BD28" s="44">
        <f ca="1" t="shared" si="18"/>
        <v>0</v>
      </c>
      <c r="BE28" s="44">
        <f ca="1" t="shared" si="18"/>
        <v>0</v>
      </c>
      <c r="BF28" s="74">
        <f ca="1" t="shared" si="13"/>
        <v>0</v>
      </c>
      <c r="BG28" s="101">
        <f ca="1">AA$59-$BF28</f>
        <v>0</v>
      </c>
      <c r="BH28" s="41" t="e">
        <f ca="1" t="shared" si="14"/>
        <v>#REF!</v>
      </c>
      <c r="BI28" s="98"/>
      <c r="BJ28" s="107"/>
      <c r="BK28" s="107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</row>
    <row r="29" s="4" customFormat="1" ht="16.5" customHeight="1" spans="1:79">
      <c r="A29" s="45" t="s">
        <v>8376</v>
      </c>
      <c r="B29" s="45" t="s">
        <v>8377</v>
      </c>
      <c r="C29" s="46" t="s">
        <v>94</v>
      </c>
      <c r="D29" s="47" t="e">
        <f>+#REF!</f>
        <v>#REF!</v>
      </c>
      <c r="E29" s="42">
        <f ca="1" t="shared" si="15"/>
        <v>0</v>
      </c>
      <c r="F29" s="52">
        <f ca="1" t="shared" si="9"/>
        <v>0</v>
      </c>
      <c r="G29" s="50">
        <f ca="1">+GETPIVOTDATA("XSN4",'suoinghe (2016)'!$A$3,"MA_HT","DGT","MA_QH","LUC")</f>
        <v>0</v>
      </c>
      <c r="H29" s="50">
        <f ca="1">+GETPIVOTDATA("XSN4",'suoinghe (2016)'!$A$3,"MA_HT","DGT","MA_QH","LUK")</f>
        <v>0</v>
      </c>
      <c r="I29" s="50">
        <f ca="1">+GETPIVOTDATA("XSN4",'suoinghe (2016)'!$A$3,"MA_HT","DGT","MA_QH","LUN")</f>
        <v>0</v>
      </c>
      <c r="J29" s="50">
        <f ca="1">+GETPIVOTDATA("XSN4",'suoinghe (2016)'!$A$3,"MA_HT","DGT","MA_QH","HNK")</f>
        <v>0</v>
      </c>
      <c r="K29" s="50">
        <f ca="1">+GETPIVOTDATA("XSN4",'suoinghe (2016)'!$A$3,"MA_HT","DGT","MA_QH","CLN")</f>
        <v>0</v>
      </c>
      <c r="L29" s="50">
        <f ca="1">+GETPIVOTDATA("XSN4",'suoinghe (2016)'!$A$3,"MA_HT","DGT","MA_QH","RSX")</f>
        <v>0</v>
      </c>
      <c r="M29" s="50">
        <f ca="1">+GETPIVOTDATA("XSN4",'suoinghe (2016)'!$A$3,"MA_HT","DGT","MA_QH","RPH")</f>
        <v>0</v>
      </c>
      <c r="N29" s="50">
        <f ca="1">+GETPIVOTDATA("XSN4",'suoinghe (2016)'!$A$3,"MA_HT","DGT","MA_QH","RDD")</f>
        <v>0</v>
      </c>
      <c r="O29" s="50">
        <f ca="1">+GETPIVOTDATA("XSN4",'suoinghe (2016)'!$A$3,"MA_HT","DGT","MA_QH","NTS")</f>
        <v>0</v>
      </c>
      <c r="P29" s="50">
        <f ca="1">+GETPIVOTDATA("XSN4",'suoinghe (2016)'!$A$3,"MA_HT","DGT","MA_QH","LMU")</f>
        <v>0</v>
      </c>
      <c r="Q29" s="50">
        <f ca="1">+GETPIVOTDATA("XSN4",'suoinghe (2016)'!$A$3,"MA_HT","DGT","MA_QH","NKH")</f>
        <v>0</v>
      </c>
      <c r="R29" s="48">
        <f ca="1">SUM(S29:AA29,AN29:BD29)</f>
        <v>0</v>
      </c>
      <c r="S29" s="50">
        <f ca="1">+GETPIVOTDATA("XSN4",'suoinghe (2016)'!$A$3,"MA_HT","DGT","MA_QH","CQP")</f>
        <v>0</v>
      </c>
      <c r="T29" s="50">
        <f ca="1">+GETPIVOTDATA("XSN4",'suoinghe (2016)'!$A$3,"MA_HT","DGT","MA_QH","CAN")</f>
        <v>0</v>
      </c>
      <c r="U29" s="50">
        <f ca="1">+GETPIVOTDATA("XSN4",'suoinghe (2016)'!$A$3,"MA_HT","DGT","MA_QH","SKK")</f>
        <v>0</v>
      </c>
      <c r="V29" s="50">
        <f ca="1">+GETPIVOTDATA("XSN4",'suoinghe (2016)'!$A$3,"MA_HT","DGT","MA_QH","SKT")</f>
        <v>0</v>
      </c>
      <c r="W29" s="50">
        <f ca="1">+GETPIVOTDATA("XSN4",'suoinghe (2016)'!$A$3,"MA_HT","DGT","MA_QH","SKN")</f>
        <v>0</v>
      </c>
      <c r="X29" s="50">
        <f ca="1">+GETPIVOTDATA("XSN4",'suoinghe (2016)'!$A$3,"MA_HT","DGT","MA_QH","TMD")</f>
        <v>0</v>
      </c>
      <c r="Y29" s="50">
        <f ca="1">+GETPIVOTDATA("XSN4",'suoinghe (2016)'!$A$3,"MA_HT","DGT","MA_QH","SKC")</f>
        <v>0</v>
      </c>
      <c r="Z29" s="50">
        <f ca="1">+GETPIVOTDATA("XSN4",'suoinghe (2016)'!$A$3,"MA_HT","DGT","MA_QH","SKS")</f>
        <v>0</v>
      </c>
      <c r="AA29" s="52">
        <f ca="1">+SUM(AC29:AM29)</f>
        <v>0</v>
      </c>
      <c r="AB29" s="49" t="e">
        <f ca="1">$D29-$BF29</f>
        <v>#REF!</v>
      </c>
      <c r="AC29" s="50">
        <f ca="1">+GETPIVOTDATA("XSN4",'suoinghe (2016)'!$A$3,"MA_HT","DGT","MA_QH","DTL")</f>
        <v>0</v>
      </c>
      <c r="AD29" s="50">
        <f ca="1">+GETPIVOTDATA("XSN4",'suoinghe (2016)'!$A$3,"MA_HT","DGT","MA_QH","DNL")</f>
        <v>0</v>
      </c>
      <c r="AE29" s="50">
        <f ca="1">+GETPIVOTDATA("XSN4",'suoinghe (2016)'!$A$3,"MA_HT","DGT","MA_QH","DBV")</f>
        <v>0</v>
      </c>
      <c r="AF29" s="50">
        <f ca="1">+GETPIVOTDATA("XSN4",'suoinghe (2016)'!$A$3,"MA_HT","DGT","MA_QH","DVH")</f>
        <v>0</v>
      </c>
      <c r="AG29" s="50">
        <f ca="1">+GETPIVOTDATA("XSN4",'suoinghe (2016)'!$A$3,"MA_HT","DGT","MA_QH","DYT")</f>
        <v>0</v>
      </c>
      <c r="AH29" s="50">
        <f ca="1">+GETPIVOTDATA("XSN4",'suoinghe (2016)'!$A$3,"MA_HT","DGT","MA_QH","DGD")</f>
        <v>0</v>
      </c>
      <c r="AI29" s="50">
        <f ca="1">+GETPIVOTDATA("XSN4",'suoinghe (2016)'!$A$3,"MA_HT","DGT","MA_QH","DTT")</f>
        <v>0</v>
      </c>
      <c r="AJ29" s="50">
        <f ca="1">+GETPIVOTDATA("XSN4",'suoinghe (2016)'!$A$3,"MA_HT","DGT","MA_QH","NCK")</f>
        <v>0</v>
      </c>
      <c r="AK29" s="50">
        <f ca="1">+GETPIVOTDATA("XSN4",'suoinghe (2016)'!$A$3,"MA_HT","DGT","MA_QH","DXH")</f>
        <v>0</v>
      </c>
      <c r="AL29" s="50">
        <f ca="1">+GETPIVOTDATA("XSN4",'suoinghe (2016)'!$A$3,"MA_HT","DGT","MA_QH","DCH")</f>
        <v>0</v>
      </c>
      <c r="AM29" s="50">
        <f ca="1">+GETPIVOTDATA("XSN4",'suoinghe (2016)'!$A$3,"MA_HT","DGT","MA_QH","DKG")</f>
        <v>0</v>
      </c>
      <c r="AN29" s="50">
        <f ca="1">+GETPIVOTDATA("XSN4",'suoinghe (2016)'!$A$3,"MA_HT","DGT","MA_QH","DDT")</f>
        <v>0</v>
      </c>
      <c r="AO29" s="50">
        <f ca="1">+GETPIVOTDATA("XSN4",'suoinghe (2016)'!$A$3,"MA_HT","DGT","MA_QH","DDL")</f>
        <v>0</v>
      </c>
      <c r="AP29" s="50">
        <f ca="1">+GETPIVOTDATA("XSN4",'suoinghe (2016)'!$A$3,"MA_HT","DGT","MA_QH","DRA")</f>
        <v>0</v>
      </c>
      <c r="AQ29" s="50">
        <f ca="1">+GETPIVOTDATA("XSN4",'suoinghe (2016)'!$A$3,"MA_HT","DGT","MA_QH","ONT")</f>
        <v>0</v>
      </c>
      <c r="AR29" s="50">
        <f ca="1">+GETPIVOTDATA("XSN4",'suoinghe (2016)'!$A$3,"MA_HT","DGT","MA_QH","ODT")</f>
        <v>0</v>
      </c>
      <c r="AS29" s="50">
        <f ca="1">+GETPIVOTDATA("XSN4",'suoinghe (2016)'!$A$3,"MA_HT","DGT","MA_QH","TSC")</f>
        <v>0</v>
      </c>
      <c r="AT29" s="50">
        <f ca="1">+GETPIVOTDATA("XSN4",'suoinghe (2016)'!$A$3,"MA_HT","DGT","MA_QH","DTS")</f>
        <v>0</v>
      </c>
      <c r="AU29" s="50">
        <f ca="1">+GETPIVOTDATA("XSN4",'suoinghe (2016)'!$A$3,"MA_HT","DGT","MA_QH","DNG")</f>
        <v>0</v>
      </c>
      <c r="AV29" s="50">
        <f ca="1">+GETPIVOTDATA("XSN4",'suoinghe (2016)'!$A$3,"MA_HT","DGT","MA_QH","TON")</f>
        <v>0</v>
      </c>
      <c r="AW29" s="50">
        <f ca="1">+GETPIVOTDATA("XSN4",'suoinghe (2016)'!$A$3,"MA_HT","DGT","MA_QH","NTD")</f>
        <v>0</v>
      </c>
      <c r="AX29" s="50">
        <f ca="1">+GETPIVOTDATA("XSN4",'suoinghe (2016)'!$A$3,"MA_HT","DGT","MA_QH","SKX")</f>
        <v>0</v>
      </c>
      <c r="AY29" s="50">
        <f ca="1">+GETPIVOTDATA("XSN4",'suoinghe (2016)'!$A$3,"MA_HT","DGT","MA_QH","DSH")</f>
        <v>0</v>
      </c>
      <c r="AZ29" s="50">
        <f ca="1">+GETPIVOTDATA("XSN4",'suoinghe (2016)'!$A$3,"MA_HT","DGT","MA_QH","DKV")</f>
        <v>0</v>
      </c>
      <c r="BA29" s="88">
        <f ca="1">+GETPIVOTDATA("XSN4",'suoinghe (2016)'!$A$3,"MA_HT","DGT","MA_QH","TIN")</f>
        <v>0</v>
      </c>
      <c r="BB29" s="50">
        <f ca="1">+GETPIVOTDATA("XSN4",'suoinghe (2016)'!$A$3,"MA_HT","DGT","MA_QH","SON")</f>
        <v>0</v>
      </c>
      <c r="BC29" s="50">
        <f ca="1">+GETPIVOTDATA("XSN4",'suoinghe (2016)'!$A$3,"MA_HT","DGT","MA_QH","MNC")</f>
        <v>0</v>
      </c>
      <c r="BD29" s="50">
        <f ca="1">+GETPIVOTDATA("XSN4",'suoinghe (2016)'!$A$3,"MA_HT","DGT","MA_QH","PNK")</f>
        <v>0</v>
      </c>
      <c r="BE29" s="80">
        <f ca="1">+GETPIVOTDATA("XSN4",'suoinghe (2016)'!$A$3,"MA_HT","DGT","MA_QH","CSD")</f>
        <v>0</v>
      </c>
      <c r="BF29" s="103">
        <f ca="1" t="shared" si="13"/>
        <v>0</v>
      </c>
      <c r="BG29" s="104">
        <f ca="1">AB$59-$BF29</f>
        <v>0</v>
      </c>
      <c r="BH29" s="47" t="e">
        <f ca="1" t="shared" si="14"/>
        <v>#REF!</v>
      </c>
      <c r="BI29" s="105"/>
      <c r="BJ29" s="105" t="e">
        <f>#REF!</f>
        <v>#REF!</v>
      </c>
      <c r="BK29" s="108" t="e">
        <f ca="1" t="shared" ref="BK29:BK40" si="19">BH29-BJ29</f>
        <v>#REF!</v>
      </c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</row>
    <row r="30" s="4" customFormat="1" ht="16.5" customHeight="1" spans="1:79">
      <c r="A30" s="45" t="s">
        <v>8378</v>
      </c>
      <c r="B30" s="45" t="s">
        <v>8379</v>
      </c>
      <c r="C30" s="46" t="s">
        <v>216</v>
      </c>
      <c r="D30" s="47" t="e">
        <f>+#REF!</f>
        <v>#REF!</v>
      </c>
      <c r="E30" s="42">
        <f ca="1" t="shared" si="15"/>
        <v>0</v>
      </c>
      <c r="F30" s="52">
        <f ca="1" t="shared" si="9"/>
        <v>0</v>
      </c>
      <c r="G30" s="50">
        <f ca="1">+GETPIVOTDATA("XSN4",'suoinghe (2016)'!$A$3,"MA_HT","DTL","MA_QH","LUC")</f>
        <v>0</v>
      </c>
      <c r="H30" s="50">
        <f ca="1">+GETPIVOTDATA("XSN4",'suoinghe (2016)'!$A$3,"MA_HT","DTL","MA_QH","LUK")</f>
        <v>0</v>
      </c>
      <c r="I30" s="50">
        <f ca="1">+GETPIVOTDATA("XSN4",'suoinghe (2016)'!$A$3,"MA_HT","DTL","MA_QH","LUN")</f>
        <v>0</v>
      </c>
      <c r="J30" s="50">
        <f ca="1">+GETPIVOTDATA("XSN4",'suoinghe (2016)'!$A$3,"MA_HT","DTL","MA_QH","HNK")</f>
        <v>0</v>
      </c>
      <c r="K30" s="50">
        <f ca="1">+GETPIVOTDATA("XSN4",'suoinghe (2016)'!$A$3,"MA_HT","DTL","MA_QH","CLN")</f>
        <v>0</v>
      </c>
      <c r="L30" s="50">
        <f ca="1">+GETPIVOTDATA("XSN4",'suoinghe (2016)'!$A$3,"MA_HT","DTL","MA_QH","RSX")</f>
        <v>0</v>
      </c>
      <c r="M30" s="50">
        <f ca="1">+GETPIVOTDATA("XSN4",'suoinghe (2016)'!$A$3,"MA_HT","DTL","MA_QH","RPH")</f>
        <v>0</v>
      </c>
      <c r="N30" s="50">
        <f ca="1">+GETPIVOTDATA("XSN4",'suoinghe (2016)'!$A$3,"MA_HT","DTL","MA_QH","RDD")</f>
        <v>0</v>
      </c>
      <c r="O30" s="50">
        <f ca="1">+GETPIVOTDATA("XSN4",'suoinghe (2016)'!$A$3,"MA_HT","DTL","MA_QH","NTS")</f>
        <v>0</v>
      </c>
      <c r="P30" s="50">
        <f ca="1">+GETPIVOTDATA("XSN4",'suoinghe (2016)'!$A$3,"MA_HT","DTL","MA_QH","LMU")</f>
        <v>0</v>
      </c>
      <c r="Q30" s="50">
        <f ca="1">+GETPIVOTDATA("XSN4",'suoinghe (2016)'!$A$3,"MA_HT","DTL","MA_QH","NKH")</f>
        <v>0</v>
      </c>
      <c r="R30" s="48">
        <f ca="1" t="shared" ref="R30:R40" si="20">SUM(S30:AA30,AN30:BD30)</f>
        <v>0</v>
      </c>
      <c r="S30" s="50">
        <f ca="1">+GETPIVOTDATA("XSN4",'suoinghe (2016)'!$A$3,"MA_HT","DTL","MA_QH","CQP")</f>
        <v>0</v>
      </c>
      <c r="T30" s="50">
        <f ca="1">+GETPIVOTDATA("XSN4",'suoinghe (2016)'!$A$3,"MA_HT","DTL","MA_QH","CAN")</f>
        <v>0</v>
      </c>
      <c r="U30" s="50">
        <f ca="1">+GETPIVOTDATA("XSN4",'suoinghe (2016)'!$A$3,"MA_HT","DTL","MA_QH","SKK")</f>
        <v>0</v>
      </c>
      <c r="V30" s="50">
        <f ca="1">+GETPIVOTDATA("XSN4",'suoinghe (2016)'!$A$3,"MA_HT","DTL","MA_QH","SKT")</f>
        <v>0</v>
      </c>
      <c r="W30" s="50">
        <f ca="1">+GETPIVOTDATA("XSN4",'suoinghe (2016)'!$A$3,"MA_HT","DTL","MA_QH","SKN")</f>
        <v>0</v>
      </c>
      <c r="X30" s="50">
        <f ca="1">+GETPIVOTDATA("XSN4",'suoinghe (2016)'!$A$3,"MA_HT","DTL","MA_QH","TMD")</f>
        <v>0</v>
      </c>
      <c r="Y30" s="50">
        <f ca="1">+GETPIVOTDATA("XSN4",'suoinghe (2016)'!$A$3,"MA_HT","DTL","MA_QH","SKC")</f>
        <v>0</v>
      </c>
      <c r="Z30" s="50">
        <f ca="1">+GETPIVOTDATA("XSN4",'suoinghe (2016)'!$A$3,"MA_HT","DTL","MA_QH","SKS")</f>
        <v>0</v>
      </c>
      <c r="AA30" s="52">
        <f ca="1">+SUM(AB30,AD30:AM30)</f>
        <v>0</v>
      </c>
      <c r="AB30" s="50">
        <f ca="1">+GETPIVOTDATA("XSN4",'suoinghe (2016)'!$A$3,"MA_HT","DTL","MA_QH","DGT")</f>
        <v>0</v>
      </c>
      <c r="AC30" s="49" t="e">
        <f ca="1">$D30-$BF30</f>
        <v>#REF!</v>
      </c>
      <c r="AD30" s="50">
        <f ca="1">+GETPIVOTDATA("XSN4",'suoinghe (2016)'!$A$3,"MA_HT","DTL","MA_QH","DNL")</f>
        <v>0</v>
      </c>
      <c r="AE30" s="50">
        <f ca="1">+GETPIVOTDATA("XSN4",'suoinghe (2016)'!$A$3,"MA_HT","DTL","MA_QH","DBV")</f>
        <v>0</v>
      </c>
      <c r="AF30" s="50">
        <f ca="1">+GETPIVOTDATA("XSN4",'suoinghe (2016)'!$A$3,"MA_HT","DTL","MA_QH","DVH")</f>
        <v>0</v>
      </c>
      <c r="AG30" s="50">
        <f ca="1">+GETPIVOTDATA("XSN4",'suoinghe (2016)'!$A$3,"MA_HT","DTL","MA_QH","DYT")</f>
        <v>0</v>
      </c>
      <c r="AH30" s="50">
        <f ca="1">+GETPIVOTDATA("XSN4",'suoinghe (2016)'!$A$3,"MA_HT","DTL","MA_QH","DGD")</f>
        <v>0</v>
      </c>
      <c r="AI30" s="50">
        <f ca="1">+GETPIVOTDATA("XSN4",'suoinghe (2016)'!$A$3,"MA_HT","DTL","MA_QH","DTT")</f>
        <v>0</v>
      </c>
      <c r="AJ30" s="50">
        <f ca="1">+GETPIVOTDATA("XSN4",'suoinghe (2016)'!$A$3,"MA_HT","DTL","MA_QH","NCK")</f>
        <v>0</v>
      </c>
      <c r="AK30" s="50">
        <f ca="1">+GETPIVOTDATA("XSN4",'suoinghe (2016)'!$A$3,"MA_HT","DTL","MA_QH","DXH")</f>
        <v>0</v>
      </c>
      <c r="AL30" s="50">
        <f ca="1">+GETPIVOTDATA("XSN4",'suoinghe (2016)'!$A$3,"MA_HT","DTL","MA_QH","DCH")</f>
        <v>0</v>
      </c>
      <c r="AM30" s="50">
        <f ca="1">+GETPIVOTDATA("XSN4",'suoinghe (2016)'!$A$3,"MA_HT","DTL","MA_QH","DKG")</f>
        <v>0</v>
      </c>
      <c r="AN30" s="50">
        <f ca="1">+GETPIVOTDATA("XSN4",'suoinghe (2016)'!$A$3,"MA_HT","DTL","MA_QH","DDT")</f>
        <v>0</v>
      </c>
      <c r="AO30" s="50">
        <f ca="1">+GETPIVOTDATA("XSN4",'suoinghe (2016)'!$A$3,"MA_HT","DTL","MA_QH","DDL")</f>
        <v>0</v>
      </c>
      <c r="AP30" s="50">
        <f ca="1">+GETPIVOTDATA("XSN4",'suoinghe (2016)'!$A$3,"MA_HT","DTL","MA_QH","DRA")</f>
        <v>0</v>
      </c>
      <c r="AQ30" s="50">
        <f ca="1">+GETPIVOTDATA("XSN4",'suoinghe (2016)'!$A$3,"MA_HT","DTL","MA_QH","ONT")</f>
        <v>0</v>
      </c>
      <c r="AR30" s="50">
        <f ca="1">+GETPIVOTDATA("XSN4",'suoinghe (2016)'!$A$3,"MA_HT","DTL","MA_QH","ODT")</f>
        <v>0</v>
      </c>
      <c r="AS30" s="50">
        <f ca="1">+GETPIVOTDATA("XSN4",'suoinghe (2016)'!$A$3,"MA_HT","DTL","MA_QH","TSC")</f>
        <v>0</v>
      </c>
      <c r="AT30" s="50">
        <f ca="1">+GETPIVOTDATA("XSN4",'suoinghe (2016)'!$A$3,"MA_HT","DTL","MA_QH","DTS")</f>
        <v>0</v>
      </c>
      <c r="AU30" s="50">
        <f ca="1">+GETPIVOTDATA("XSN4",'suoinghe (2016)'!$A$3,"MA_HT","DTL","MA_QH","DNG")</f>
        <v>0</v>
      </c>
      <c r="AV30" s="50">
        <f ca="1">+GETPIVOTDATA("XSN4",'suoinghe (2016)'!$A$3,"MA_HT","DTL","MA_QH","TON")</f>
        <v>0</v>
      </c>
      <c r="AW30" s="50">
        <f ca="1">+GETPIVOTDATA("XSN4",'suoinghe (2016)'!$A$3,"MA_HT","DTL","MA_QH","NTD")</f>
        <v>0</v>
      </c>
      <c r="AX30" s="50">
        <f ca="1">+GETPIVOTDATA("XSN4",'suoinghe (2016)'!$A$3,"MA_HT","DTL","MA_QH","SKX")</f>
        <v>0</v>
      </c>
      <c r="AY30" s="50">
        <f ca="1">+GETPIVOTDATA("XSN4",'suoinghe (2016)'!$A$3,"MA_HT","DTL","MA_QH","DSH")</f>
        <v>0</v>
      </c>
      <c r="AZ30" s="50">
        <f ca="1">+GETPIVOTDATA("XSN4",'suoinghe (2016)'!$A$3,"MA_HT","DTL","MA_QH","DKV")</f>
        <v>0</v>
      </c>
      <c r="BA30" s="88">
        <f ca="1">+GETPIVOTDATA("XSN4",'suoinghe (2016)'!$A$3,"MA_HT","DTL","MA_QH","TIN")</f>
        <v>0</v>
      </c>
      <c r="BB30" s="50">
        <f ca="1">+GETPIVOTDATA("XSN4",'suoinghe (2016)'!$A$3,"MA_HT","DTL","MA_QH","SON")</f>
        <v>0</v>
      </c>
      <c r="BC30" s="50">
        <f ca="1">+GETPIVOTDATA("XSN4",'suoinghe (2016)'!$A$3,"MA_HT","DTL","MA_QH","MNC")</f>
        <v>0</v>
      </c>
      <c r="BD30" s="50">
        <f ca="1">+GETPIVOTDATA("XSN4",'suoinghe (2016)'!$A$3,"MA_HT","DTL","MA_QH","PNK")</f>
        <v>0</v>
      </c>
      <c r="BE30" s="80">
        <f ca="1">+GETPIVOTDATA("XSN4",'suoinghe (2016)'!$A$3,"MA_HT","DTL","MA_QH","CSD")</f>
        <v>0</v>
      </c>
      <c r="BF30" s="103">
        <f ca="1" t="shared" si="13"/>
        <v>0</v>
      </c>
      <c r="BG30" s="104">
        <f ca="1">AC$59-$BF30</f>
        <v>0</v>
      </c>
      <c r="BH30" s="47" t="e">
        <f ca="1" t="shared" si="14"/>
        <v>#REF!</v>
      </c>
      <c r="BI30" s="105"/>
      <c r="BJ30" s="105" t="e">
        <f>#REF!</f>
        <v>#REF!</v>
      </c>
      <c r="BK30" s="108" t="e">
        <f ca="1" t="shared" si="19"/>
        <v>#REF!</v>
      </c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</row>
    <row r="31" s="4" customFormat="1" ht="16.5" customHeight="1" spans="1:79">
      <c r="A31" s="45" t="s">
        <v>8380</v>
      </c>
      <c r="B31" s="45" t="s">
        <v>8381</v>
      </c>
      <c r="C31" s="46" t="s">
        <v>71</v>
      </c>
      <c r="D31" s="47" t="e">
        <f>+#REF!</f>
        <v>#REF!</v>
      </c>
      <c r="E31" s="42">
        <f ca="1" t="shared" si="15"/>
        <v>0</v>
      </c>
      <c r="F31" s="52">
        <f ca="1" t="shared" si="9"/>
        <v>0</v>
      </c>
      <c r="G31" s="50">
        <f ca="1">+GETPIVOTDATA("XSN4",'suoinghe (2016)'!$A$3,"MA_HT","DNL","MA_QH","LUC")</f>
        <v>0</v>
      </c>
      <c r="H31" s="50">
        <f ca="1">+GETPIVOTDATA("XSN4",'suoinghe (2016)'!$A$3,"MA_HT","DNL","MA_QH","LUK")</f>
        <v>0</v>
      </c>
      <c r="I31" s="50">
        <f ca="1">+GETPIVOTDATA("XSN4",'suoinghe (2016)'!$A$3,"MA_HT","DNL","MA_QH","LUN")</f>
        <v>0</v>
      </c>
      <c r="J31" s="50">
        <f ca="1">+GETPIVOTDATA("XSN4",'suoinghe (2016)'!$A$3,"MA_HT","DNL","MA_QH","HNK")</f>
        <v>0</v>
      </c>
      <c r="K31" s="50">
        <f ca="1">+GETPIVOTDATA("XSN4",'suoinghe (2016)'!$A$3,"MA_HT","DNL","MA_QH","CLN")</f>
        <v>0</v>
      </c>
      <c r="L31" s="50">
        <f ca="1">+GETPIVOTDATA("XSN4",'suoinghe (2016)'!$A$3,"MA_HT","DNL","MA_QH","RSX")</f>
        <v>0</v>
      </c>
      <c r="M31" s="50">
        <f ca="1">+GETPIVOTDATA("XSN4",'suoinghe (2016)'!$A$3,"MA_HT","DNL","MA_QH","RPH")</f>
        <v>0</v>
      </c>
      <c r="N31" s="50">
        <f ca="1">+GETPIVOTDATA("XSN4",'suoinghe (2016)'!$A$3,"MA_HT","DNL","MA_QH","RDD")</f>
        <v>0</v>
      </c>
      <c r="O31" s="50">
        <f ca="1">+GETPIVOTDATA("XSN4",'suoinghe (2016)'!$A$3,"MA_HT","DNL","MA_QH","NTS")</f>
        <v>0</v>
      </c>
      <c r="P31" s="50">
        <f ca="1">+GETPIVOTDATA("XSN4",'suoinghe (2016)'!$A$3,"MA_HT","DNL","MA_QH","LMU")</f>
        <v>0</v>
      </c>
      <c r="Q31" s="50">
        <f ca="1">+GETPIVOTDATA("XSN4",'suoinghe (2016)'!$A$3,"MA_HT","DNL","MA_QH","NKH")</f>
        <v>0</v>
      </c>
      <c r="R31" s="48">
        <f ca="1" t="shared" si="20"/>
        <v>0</v>
      </c>
      <c r="S31" s="50">
        <f ca="1">+GETPIVOTDATA("XSN4",'suoinghe (2016)'!$A$3,"MA_HT","DNL","MA_QH","CQP")</f>
        <v>0</v>
      </c>
      <c r="T31" s="50">
        <f ca="1">+GETPIVOTDATA("XSN4",'suoinghe (2016)'!$A$3,"MA_HT","DNL","MA_QH","CAN")</f>
        <v>0</v>
      </c>
      <c r="U31" s="50">
        <f ca="1">+GETPIVOTDATA("XSN4",'suoinghe (2016)'!$A$3,"MA_HT","DNL","MA_QH","SKK")</f>
        <v>0</v>
      </c>
      <c r="V31" s="50">
        <f ca="1">+GETPIVOTDATA("XSN4",'suoinghe (2016)'!$A$3,"MA_HT","DNL","MA_QH","SKT")</f>
        <v>0</v>
      </c>
      <c r="W31" s="50">
        <f ca="1">+GETPIVOTDATA("XSN4",'suoinghe (2016)'!$A$3,"MA_HT","DNL","MA_QH","SKN")</f>
        <v>0</v>
      </c>
      <c r="X31" s="50">
        <f ca="1">+GETPIVOTDATA("XSN4",'suoinghe (2016)'!$A$3,"MA_HT","DNL","MA_QH","TMD")</f>
        <v>0</v>
      </c>
      <c r="Y31" s="50">
        <f ca="1">+GETPIVOTDATA("XSN4",'suoinghe (2016)'!$A$3,"MA_HT","DNL","MA_QH","SKC")</f>
        <v>0</v>
      </c>
      <c r="Z31" s="50">
        <f ca="1">+GETPIVOTDATA("XSN4",'suoinghe (2016)'!$A$3,"MA_HT","DNL","MA_QH","SKS")</f>
        <v>0</v>
      </c>
      <c r="AA31" s="52">
        <f ca="1">+SUM(AB31:AC31,AE31:AM31)</f>
        <v>0</v>
      </c>
      <c r="AB31" s="50">
        <f ca="1">+GETPIVOTDATA("XSN4",'suoinghe (2016)'!$A$3,"MA_HT","DNL","MA_QH","DGT")</f>
        <v>0</v>
      </c>
      <c r="AC31" s="50">
        <f ca="1">+GETPIVOTDATA("XSN4",'suoinghe (2016)'!$A$3,"MA_HT","DNL","MA_QH","DTL")</f>
        <v>0</v>
      </c>
      <c r="AD31" s="49" t="e">
        <f ca="1">$D31-$BF31</f>
        <v>#REF!</v>
      </c>
      <c r="AE31" s="50">
        <f ca="1">+GETPIVOTDATA("XSN4",'suoinghe (2016)'!$A$3,"MA_HT","DNL","MA_QH","DBV")</f>
        <v>0</v>
      </c>
      <c r="AF31" s="50">
        <f ca="1">+GETPIVOTDATA("XSN4",'suoinghe (2016)'!$A$3,"MA_HT","DNL","MA_QH","DVH")</f>
        <v>0</v>
      </c>
      <c r="AG31" s="50">
        <f ca="1">+GETPIVOTDATA("XSN4",'suoinghe (2016)'!$A$3,"MA_HT","DNL","MA_QH","DYT")</f>
        <v>0</v>
      </c>
      <c r="AH31" s="50">
        <f ca="1">+GETPIVOTDATA("XSN4",'suoinghe (2016)'!$A$3,"MA_HT","DNL","MA_QH","DGD")</f>
        <v>0</v>
      </c>
      <c r="AI31" s="50">
        <f ca="1">+GETPIVOTDATA("XSN4",'suoinghe (2016)'!$A$3,"MA_HT","DNL","MA_QH","DTT")</f>
        <v>0</v>
      </c>
      <c r="AJ31" s="50">
        <f ca="1">+GETPIVOTDATA("XSN4",'suoinghe (2016)'!$A$3,"MA_HT","DNL","MA_QH","NCK")</f>
        <v>0</v>
      </c>
      <c r="AK31" s="50">
        <f ca="1">+GETPIVOTDATA("XSN4",'suoinghe (2016)'!$A$3,"MA_HT","DNL","MA_QH","DXH")</f>
        <v>0</v>
      </c>
      <c r="AL31" s="50">
        <f ca="1">+GETPIVOTDATA("XSN4",'suoinghe (2016)'!$A$3,"MA_HT","DNL","MA_QH","DCH")</f>
        <v>0</v>
      </c>
      <c r="AM31" s="50">
        <f ca="1">+GETPIVOTDATA("XSN4",'suoinghe (2016)'!$A$3,"MA_HT","DNL","MA_QH","DKG")</f>
        <v>0</v>
      </c>
      <c r="AN31" s="50">
        <f ca="1">+GETPIVOTDATA("XSN4",'suoinghe (2016)'!$A$3,"MA_HT","DNL","MA_QH","DDT")</f>
        <v>0</v>
      </c>
      <c r="AO31" s="50">
        <f ca="1">+GETPIVOTDATA("XSN4",'suoinghe (2016)'!$A$3,"MA_HT","DNL","MA_QH","DDL")</f>
        <v>0</v>
      </c>
      <c r="AP31" s="50">
        <f ca="1">+GETPIVOTDATA("XSN4",'suoinghe (2016)'!$A$3,"MA_HT","DNL","MA_QH","DRA")</f>
        <v>0</v>
      </c>
      <c r="AQ31" s="50">
        <f ca="1">+GETPIVOTDATA("XSN4",'suoinghe (2016)'!$A$3,"MA_HT","DNL","MA_QH","ONT")</f>
        <v>0</v>
      </c>
      <c r="AR31" s="50">
        <f ca="1">+GETPIVOTDATA("XSN4",'suoinghe (2016)'!$A$3,"MA_HT","DNL","MA_QH","ODT")</f>
        <v>0</v>
      </c>
      <c r="AS31" s="50">
        <f ca="1">+GETPIVOTDATA("XSN4",'suoinghe (2016)'!$A$3,"MA_HT","DNL","MA_QH","TSC")</f>
        <v>0</v>
      </c>
      <c r="AT31" s="50">
        <f ca="1">+GETPIVOTDATA("XSN4",'suoinghe (2016)'!$A$3,"MA_HT","DNL","MA_QH","DTS")</f>
        <v>0</v>
      </c>
      <c r="AU31" s="50">
        <f ca="1">+GETPIVOTDATA("XSN4",'suoinghe (2016)'!$A$3,"MA_HT","DNL","MA_QH","DNG")</f>
        <v>0</v>
      </c>
      <c r="AV31" s="50">
        <f ca="1">+GETPIVOTDATA("XSN4",'suoinghe (2016)'!$A$3,"MA_HT","DNL","MA_QH","TON")</f>
        <v>0</v>
      </c>
      <c r="AW31" s="50">
        <f ca="1">+GETPIVOTDATA("XSN4",'suoinghe (2016)'!$A$3,"MA_HT","DNL","MA_QH","NTD")</f>
        <v>0</v>
      </c>
      <c r="AX31" s="50">
        <f ca="1">+GETPIVOTDATA("XSN4",'suoinghe (2016)'!$A$3,"MA_HT","DNL","MA_QH","SKX")</f>
        <v>0</v>
      </c>
      <c r="AY31" s="50">
        <f ca="1">+GETPIVOTDATA("XSN4",'suoinghe (2016)'!$A$3,"MA_HT","DNL","MA_QH","DSH")</f>
        <v>0</v>
      </c>
      <c r="AZ31" s="50">
        <f ca="1">+GETPIVOTDATA("XSN4",'suoinghe (2016)'!$A$3,"MA_HT","DNL","MA_QH","DKV")</f>
        <v>0</v>
      </c>
      <c r="BA31" s="88">
        <f ca="1">+GETPIVOTDATA("XSN4",'suoinghe (2016)'!$A$3,"MA_HT","DNL","MA_QH","TIN")</f>
        <v>0</v>
      </c>
      <c r="BB31" s="50">
        <f ca="1">+GETPIVOTDATA("XSN4",'suoinghe (2016)'!$A$3,"MA_HT","DNL","MA_QH","SON")</f>
        <v>0</v>
      </c>
      <c r="BC31" s="50">
        <f ca="1">+GETPIVOTDATA("XSN4",'suoinghe (2016)'!$A$3,"MA_HT","DNL","MA_QH","MNC")</f>
        <v>0</v>
      </c>
      <c r="BD31" s="50">
        <f ca="1">+GETPIVOTDATA("XSN4",'suoinghe (2016)'!$A$3,"MA_HT","DNL","MA_QH","PNK")</f>
        <v>0</v>
      </c>
      <c r="BE31" s="80">
        <f ca="1">+GETPIVOTDATA("XSN4",'suoinghe (2016)'!$A$3,"MA_HT","DNL","MA_QH","CSD")</f>
        <v>0</v>
      </c>
      <c r="BF31" s="103">
        <f ca="1" t="shared" si="13"/>
        <v>0</v>
      </c>
      <c r="BG31" s="104">
        <f ca="1">AD$59-$BF31</f>
        <v>0</v>
      </c>
      <c r="BH31" s="47" t="e">
        <f ca="1" t="shared" si="14"/>
        <v>#REF!</v>
      </c>
      <c r="BI31" s="105"/>
      <c r="BJ31" s="105" t="e">
        <f>#REF!</f>
        <v>#REF!</v>
      </c>
      <c r="BK31" s="108" t="e">
        <f ca="1" t="shared" si="19"/>
        <v>#REF!</v>
      </c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</row>
    <row r="32" s="4" customFormat="1" ht="16.5" customHeight="1" spans="1:79">
      <c r="A32" s="45" t="s">
        <v>8382</v>
      </c>
      <c r="B32" s="45" t="s">
        <v>8383</v>
      </c>
      <c r="C32" s="46" t="s">
        <v>8285</v>
      </c>
      <c r="D32" s="47" t="e">
        <f>+#REF!</f>
        <v>#REF!</v>
      </c>
      <c r="E32" s="42">
        <f ca="1" t="shared" si="15"/>
        <v>0</v>
      </c>
      <c r="F32" s="52">
        <f ca="1" t="shared" si="9"/>
        <v>0</v>
      </c>
      <c r="G32" s="50">
        <f ca="1">+GETPIVOTDATA("XSN4",'suoinghe (2016)'!$A$3,"MA_HT","DBV","MA_QH","LUC")</f>
        <v>0</v>
      </c>
      <c r="H32" s="50">
        <f ca="1">+GETPIVOTDATA("XSN4",'suoinghe (2016)'!$A$3,"MA_HT","DBV","MA_QH","LUK")</f>
        <v>0</v>
      </c>
      <c r="I32" s="50">
        <f ca="1">+GETPIVOTDATA("XSN4",'suoinghe (2016)'!$A$3,"MA_HT","DBV","MA_QH","LUN")</f>
        <v>0</v>
      </c>
      <c r="J32" s="50">
        <f ca="1">+GETPIVOTDATA("XSN4",'suoinghe (2016)'!$A$3,"MA_HT","DBV","MA_QH","HNK")</f>
        <v>0</v>
      </c>
      <c r="K32" s="50">
        <f ca="1">+GETPIVOTDATA("XSN4",'suoinghe (2016)'!$A$3,"MA_HT","DBV","MA_QH","CLN")</f>
        <v>0</v>
      </c>
      <c r="L32" s="50">
        <f ca="1">+GETPIVOTDATA("XSN4",'suoinghe (2016)'!$A$3,"MA_HT","DBV","MA_QH","RSX")</f>
        <v>0</v>
      </c>
      <c r="M32" s="50">
        <f ca="1">+GETPIVOTDATA("XSN4",'suoinghe (2016)'!$A$3,"MA_HT","DBV","MA_QH","RPH")</f>
        <v>0</v>
      </c>
      <c r="N32" s="50">
        <f ca="1">+GETPIVOTDATA("XSN4",'suoinghe (2016)'!$A$3,"MA_HT","DBV","MA_QH","RDD")</f>
        <v>0</v>
      </c>
      <c r="O32" s="50">
        <f ca="1">+GETPIVOTDATA("XSN4",'suoinghe (2016)'!$A$3,"MA_HT","DBV","MA_QH","NTS")</f>
        <v>0</v>
      </c>
      <c r="P32" s="50">
        <f ca="1">+GETPIVOTDATA("XSN4",'suoinghe (2016)'!$A$3,"MA_HT","DBV","MA_QH","LMU")</f>
        <v>0</v>
      </c>
      <c r="Q32" s="50">
        <f ca="1">+GETPIVOTDATA("XSN4",'suoinghe (2016)'!$A$3,"MA_HT","DBV","MA_QH","NKH")</f>
        <v>0</v>
      </c>
      <c r="R32" s="48">
        <f ca="1" t="shared" si="20"/>
        <v>0</v>
      </c>
      <c r="S32" s="50">
        <f ca="1">+GETPIVOTDATA("XSN4",'suoinghe (2016)'!$A$3,"MA_HT","DBV","MA_QH","CQP")</f>
        <v>0</v>
      </c>
      <c r="T32" s="50">
        <f ca="1">+GETPIVOTDATA("XSN4",'suoinghe (2016)'!$A$3,"MA_HT","DBV","MA_QH","CAN")</f>
        <v>0</v>
      </c>
      <c r="U32" s="50">
        <f ca="1">+GETPIVOTDATA("XSN4",'suoinghe (2016)'!$A$3,"MA_HT","DBV","MA_QH","SKK")</f>
        <v>0</v>
      </c>
      <c r="V32" s="50">
        <f ca="1">+GETPIVOTDATA("XSN4",'suoinghe (2016)'!$A$3,"MA_HT","DBV","MA_QH","SKT")</f>
        <v>0</v>
      </c>
      <c r="W32" s="50">
        <f ca="1">+GETPIVOTDATA("XSN4",'suoinghe (2016)'!$A$3,"MA_HT","DBV","MA_QH","SKN")</f>
        <v>0</v>
      </c>
      <c r="X32" s="50">
        <f ca="1">+GETPIVOTDATA("XSN4",'suoinghe (2016)'!$A$3,"MA_HT","DBV","MA_QH","TMD")</f>
        <v>0</v>
      </c>
      <c r="Y32" s="50">
        <f ca="1">+GETPIVOTDATA("XSN4",'suoinghe (2016)'!$A$3,"MA_HT","DBV","MA_QH","SKC")</f>
        <v>0</v>
      </c>
      <c r="Z32" s="50">
        <f ca="1">+GETPIVOTDATA("XSN4",'suoinghe (2016)'!$A$3,"MA_HT","DBV","MA_QH","SKS")</f>
        <v>0</v>
      </c>
      <c r="AA32" s="52">
        <f ca="1">+SUM(AB32:AD32,AF32:AM32)</f>
        <v>0</v>
      </c>
      <c r="AB32" s="50">
        <f ca="1">+GETPIVOTDATA("XSN4",'suoinghe (2016)'!$A$3,"MA_HT","DBV","MA_QH","DGT")</f>
        <v>0</v>
      </c>
      <c r="AC32" s="50">
        <f ca="1">+GETPIVOTDATA("XSN4",'suoinghe (2016)'!$A$3,"MA_HT","DBV","MA_QH","DTL")</f>
        <v>0</v>
      </c>
      <c r="AD32" s="50">
        <f ca="1">+GETPIVOTDATA("XSN4",'suoinghe (2016)'!$A$3,"MA_HT","DBV","MA_QH","DNL")</f>
        <v>0</v>
      </c>
      <c r="AE32" s="49" t="e">
        <f ca="1">$D32-$BF32</f>
        <v>#REF!</v>
      </c>
      <c r="AF32" s="50">
        <f ca="1">+GETPIVOTDATA("XSN4",'suoinghe (2016)'!$A$3,"MA_HT","DBV","MA_QH","DVH")</f>
        <v>0</v>
      </c>
      <c r="AG32" s="50">
        <f ca="1">+GETPIVOTDATA("XSN4",'suoinghe (2016)'!$A$3,"MA_HT","DBV","MA_QH","DYT")</f>
        <v>0</v>
      </c>
      <c r="AH32" s="50">
        <f ca="1">+GETPIVOTDATA("XSN4",'suoinghe (2016)'!$A$3,"MA_HT","DBV","MA_QH","DGD")</f>
        <v>0</v>
      </c>
      <c r="AI32" s="50">
        <f ca="1">+GETPIVOTDATA("XSN4",'suoinghe (2016)'!$A$3,"MA_HT","DBV","MA_QH","DTT")</f>
        <v>0</v>
      </c>
      <c r="AJ32" s="50">
        <f ca="1">+GETPIVOTDATA("XSN4",'suoinghe (2016)'!$A$3,"MA_HT","DBV","MA_QH","NCK")</f>
        <v>0</v>
      </c>
      <c r="AK32" s="50">
        <f ca="1">+GETPIVOTDATA("XSN4",'suoinghe (2016)'!$A$3,"MA_HT","DBV","MA_QH","DXH")</f>
        <v>0</v>
      </c>
      <c r="AL32" s="50">
        <f ca="1">+GETPIVOTDATA("XSN4",'suoinghe (2016)'!$A$3,"MA_HT","DBV","MA_QH","DCH")</f>
        <v>0</v>
      </c>
      <c r="AM32" s="50">
        <f ca="1">+GETPIVOTDATA("XSN4",'suoinghe (2016)'!$A$3,"MA_HT","DBV","MA_QH","DKG")</f>
        <v>0</v>
      </c>
      <c r="AN32" s="50">
        <f ca="1">+GETPIVOTDATA("XSN4",'suoinghe (2016)'!$A$3,"MA_HT","DBV","MA_QH","DDT")</f>
        <v>0</v>
      </c>
      <c r="AO32" s="50">
        <f ca="1">+GETPIVOTDATA("XSN4",'suoinghe (2016)'!$A$3,"MA_HT","DBV","MA_QH","DDL")</f>
        <v>0</v>
      </c>
      <c r="AP32" s="50">
        <f ca="1">+GETPIVOTDATA("XSN4",'suoinghe (2016)'!$A$3,"MA_HT","DBV","MA_QH","DRA")</f>
        <v>0</v>
      </c>
      <c r="AQ32" s="50">
        <f ca="1">+GETPIVOTDATA("XSN4",'suoinghe (2016)'!$A$3,"MA_HT","DBV","MA_QH","ONT")</f>
        <v>0</v>
      </c>
      <c r="AR32" s="50">
        <f ca="1">+GETPIVOTDATA("XSN4",'suoinghe (2016)'!$A$3,"MA_HT","DBV","MA_QH","ODT")</f>
        <v>0</v>
      </c>
      <c r="AS32" s="50">
        <f ca="1">+GETPIVOTDATA("XSN4",'suoinghe (2016)'!$A$3,"MA_HT","DBV","MA_QH","TSC")</f>
        <v>0</v>
      </c>
      <c r="AT32" s="50">
        <f ca="1">+GETPIVOTDATA("XSN4",'suoinghe (2016)'!$A$3,"MA_HT","DBV","MA_QH","DTS")</f>
        <v>0</v>
      </c>
      <c r="AU32" s="50">
        <f ca="1">+GETPIVOTDATA("XSN4",'suoinghe (2016)'!$A$3,"MA_HT","DBV","MA_QH","DNG")</f>
        <v>0</v>
      </c>
      <c r="AV32" s="50">
        <f ca="1">+GETPIVOTDATA("XSN4",'suoinghe (2016)'!$A$3,"MA_HT","DBV","MA_QH","TON")</f>
        <v>0</v>
      </c>
      <c r="AW32" s="50">
        <f ca="1">+GETPIVOTDATA("XSN4",'suoinghe (2016)'!$A$3,"MA_HT","DBV","MA_QH","NTD")</f>
        <v>0</v>
      </c>
      <c r="AX32" s="50">
        <f ca="1">+GETPIVOTDATA("XSN4",'suoinghe (2016)'!$A$3,"MA_HT","DBV","MA_QH","SKX")</f>
        <v>0</v>
      </c>
      <c r="AY32" s="50">
        <f ca="1">+GETPIVOTDATA("XSN4",'suoinghe (2016)'!$A$3,"MA_HT","DBV","MA_QH","DSH")</f>
        <v>0</v>
      </c>
      <c r="AZ32" s="50">
        <f ca="1">+GETPIVOTDATA("XSN4",'suoinghe (2016)'!$A$3,"MA_HT","DBV","MA_QH","DKV")</f>
        <v>0</v>
      </c>
      <c r="BA32" s="88">
        <f ca="1">+GETPIVOTDATA("XSN4",'suoinghe (2016)'!$A$3,"MA_HT","DBV","MA_QH","TIN")</f>
        <v>0</v>
      </c>
      <c r="BB32" s="50">
        <f ca="1">+GETPIVOTDATA("XSN4",'suoinghe (2016)'!$A$3,"MA_HT","DBV","MA_QH","SON")</f>
        <v>0</v>
      </c>
      <c r="BC32" s="50">
        <f ca="1">+GETPIVOTDATA("XSN4",'suoinghe (2016)'!$A$3,"MA_HT","DBV","MA_QH","MNC")</f>
        <v>0</v>
      </c>
      <c r="BD32" s="50">
        <f ca="1">+GETPIVOTDATA("XSN4",'suoinghe (2016)'!$A$3,"MA_HT","DBV","MA_QH","PNK")</f>
        <v>0</v>
      </c>
      <c r="BE32" s="80">
        <f ca="1">+GETPIVOTDATA("XSN4",'suoinghe (2016)'!$A$3,"MA_HT","DBV","MA_QH","CSD")</f>
        <v>0</v>
      </c>
      <c r="BF32" s="103">
        <f ca="1" t="shared" si="13"/>
        <v>0</v>
      </c>
      <c r="BG32" s="104">
        <f ca="1">AE$59-$BF32</f>
        <v>0</v>
      </c>
      <c r="BH32" s="47" t="e">
        <f ca="1" t="shared" si="14"/>
        <v>#REF!</v>
      </c>
      <c r="BI32" s="105"/>
      <c r="BJ32" s="105" t="e">
        <f>#REF!</f>
        <v>#REF!</v>
      </c>
      <c r="BK32" s="108" t="e">
        <f ca="1" t="shared" si="19"/>
        <v>#REF!</v>
      </c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</row>
    <row r="33" s="4" customFormat="1" ht="16.5" customHeight="1" spans="1:79">
      <c r="A33" s="45" t="s">
        <v>8384</v>
      </c>
      <c r="B33" s="45" t="s">
        <v>8385</v>
      </c>
      <c r="C33" s="46" t="s">
        <v>212</v>
      </c>
      <c r="D33" s="47" t="e">
        <f>+#REF!</f>
        <v>#REF!</v>
      </c>
      <c r="E33" s="42">
        <f ca="1" t="shared" si="15"/>
        <v>0</v>
      </c>
      <c r="F33" s="52">
        <f ca="1" t="shared" si="9"/>
        <v>0</v>
      </c>
      <c r="G33" s="50">
        <f ca="1">+GETPIVOTDATA("XSN4",'suoinghe (2016)'!$A$3,"MA_HT","DVH","MA_QH","LUC")</f>
        <v>0</v>
      </c>
      <c r="H33" s="50">
        <f ca="1">+GETPIVOTDATA("XSN4",'suoinghe (2016)'!$A$3,"MA_HT","DVH","MA_QH","LUK")</f>
        <v>0</v>
      </c>
      <c r="I33" s="50">
        <f ca="1">+GETPIVOTDATA("XSN4",'suoinghe (2016)'!$A$3,"MA_HT","DVH","MA_QH","LUN")</f>
        <v>0</v>
      </c>
      <c r="J33" s="50">
        <f ca="1">+GETPIVOTDATA("XSN4",'suoinghe (2016)'!$A$3,"MA_HT","DVH","MA_QH","HNK")</f>
        <v>0</v>
      </c>
      <c r="K33" s="50">
        <f ca="1">+GETPIVOTDATA("XSN4",'suoinghe (2016)'!$A$3,"MA_HT","DVH","MA_QH","CLN")</f>
        <v>0</v>
      </c>
      <c r="L33" s="50">
        <f ca="1">+GETPIVOTDATA("XSN4",'suoinghe (2016)'!$A$3,"MA_HT","DVH","MA_QH","RSX")</f>
        <v>0</v>
      </c>
      <c r="M33" s="50">
        <f ca="1">+GETPIVOTDATA("XSN4",'suoinghe (2016)'!$A$3,"MA_HT","DVH","MA_QH","RPH")</f>
        <v>0</v>
      </c>
      <c r="N33" s="50">
        <f ca="1">+GETPIVOTDATA("XSN4",'suoinghe (2016)'!$A$3,"MA_HT","DVH","MA_QH","RDD")</f>
        <v>0</v>
      </c>
      <c r="O33" s="50">
        <f ca="1">+GETPIVOTDATA("XSN4",'suoinghe (2016)'!$A$3,"MA_HT","DVH","MA_QH","NTS")</f>
        <v>0</v>
      </c>
      <c r="P33" s="50">
        <f ca="1">+GETPIVOTDATA("XSN4",'suoinghe (2016)'!$A$3,"MA_HT","DVH","MA_QH","LMU")</f>
        <v>0</v>
      </c>
      <c r="Q33" s="50">
        <f ca="1">+GETPIVOTDATA("XSN4",'suoinghe (2016)'!$A$3,"MA_HT","DVH","MA_QH","NKH")</f>
        <v>0</v>
      </c>
      <c r="R33" s="48">
        <f ca="1" t="shared" si="20"/>
        <v>0</v>
      </c>
      <c r="S33" s="50">
        <f ca="1">+GETPIVOTDATA("XSN4",'suoinghe (2016)'!$A$3,"MA_HT","DVH","MA_QH","CQP")</f>
        <v>0</v>
      </c>
      <c r="T33" s="50">
        <f ca="1">+GETPIVOTDATA("XSN4",'suoinghe (2016)'!$A$3,"MA_HT","DVH","MA_QH","CAN")</f>
        <v>0</v>
      </c>
      <c r="U33" s="50">
        <f ca="1">+GETPIVOTDATA("XSN4",'suoinghe (2016)'!$A$3,"MA_HT","DVH","MA_QH","SKK")</f>
        <v>0</v>
      </c>
      <c r="V33" s="50">
        <f ca="1">+GETPIVOTDATA("XSN4",'suoinghe (2016)'!$A$3,"MA_HT","DVH","MA_QH","SKT")</f>
        <v>0</v>
      </c>
      <c r="W33" s="50">
        <f ca="1">+GETPIVOTDATA("XSN4",'suoinghe (2016)'!$A$3,"MA_HT","DVH","MA_QH","SKN")</f>
        <v>0</v>
      </c>
      <c r="X33" s="50">
        <f ca="1">+GETPIVOTDATA("XSN4",'suoinghe (2016)'!$A$3,"MA_HT","DVH","MA_QH","TMD")</f>
        <v>0</v>
      </c>
      <c r="Y33" s="50">
        <f ca="1">+GETPIVOTDATA("XSN4",'suoinghe (2016)'!$A$3,"MA_HT","DVH","MA_QH","SKC")</f>
        <v>0</v>
      </c>
      <c r="Z33" s="50">
        <f ca="1">+GETPIVOTDATA("XSN4",'suoinghe (2016)'!$A$3,"MA_HT","DVH","MA_QH","SKS")</f>
        <v>0</v>
      </c>
      <c r="AA33" s="52">
        <f ca="1">+SUM(AB33:AE33,AG33:AM33)</f>
        <v>0</v>
      </c>
      <c r="AB33" s="50">
        <f ca="1">+GETPIVOTDATA("XSN4",'suoinghe (2016)'!$A$3,"MA_HT","DVH","MA_QH","DGT")</f>
        <v>0</v>
      </c>
      <c r="AC33" s="50">
        <f ca="1">+GETPIVOTDATA("XSN4",'suoinghe (2016)'!$A$3,"MA_HT","DVH","MA_QH","DTL")</f>
        <v>0</v>
      </c>
      <c r="AD33" s="50">
        <f ca="1">+GETPIVOTDATA("XSN4",'suoinghe (2016)'!$A$3,"MA_HT","DVH","MA_QH","DNL")</f>
        <v>0</v>
      </c>
      <c r="AE33" s="50">
        <f ca="1">+GETPIVOTDATA("XSN4",'suoinghe (2016)'!$A$3,"MA_HT","DVH","MA_QH","DBV")</f>
        <v>0</v>
      </c>
      <c r="AF33" s="49" t="e">
        <f ca="1">$D33-$BF33</f>
        <v>#REF!</v>
      </c>
      <c r="AG33" s="50">
        <f ca="1">+GETPIVOTDATA("XSN4",'suoinghe (2016)'!$A$3,"MA_HT","DVH","MA_QH","DYT")</f>
        <v>0</v>
      </c>
      <c r="AH33" s="50">
        <f ca="1">+GETPIVOTDATA("XSN4",'suoinghe (2016)'!$A$3,"MA_HT","DVH","MA_QH","DGD")</f>
        <v>0</v>
      </c>
      <c r="AI33" s="50">
        <f ca="1">+GETPIVOTDATA("XSN4",'suoinghe (2016)'!$A$3,"MA_HT","DVH","MA_QH","DTT")</f>
        <v>0</v>
      </c>
      <c r="AJ33" s="50">
        <f ca="1">+GETPIVOTDATA("XSN4",'suoinghe (2016)'!$A$3,"MA_HT","DVH","MA_QH","NCK")</f>
        <v>0</v>
      </c>
      <c r="AK33" s="50">
        <f ca="1">+GETPIVOTDATA("XSN4",'suoinghe (2016)'!$A$3,"MA_HT","DVH","MA_QH","DXH")</f>
        <v>0</v>
      </c>
      <c r="AL33" s="50">
        <f ca="1">+GETPIVOTDATA("XSN4",'suoinghe (2016)'!$A$3,"MA_HT","DVH","MA_QH","DCH")</f>
        <v>0</v>
      </c>
      <c r="AM33" s="50">
        <f ca="1">+GETPIVOTDATA("XSN4",'suoinghe (2016)'!$A$3,"MA_HT","DVH","MA_QH","DKG")</f>
        <v>0</v>
      </c>
      <c r="AN33" s="50">
        <f ca="1">+GETPIVOTDATA("XSN4",'suoinghe (2016)'!$A$3,"MA_HT","DVH","MA_QH","DDT")</f>
        <v>0</v>
      </c>
      <c r="AO33" s="50">
        <f ca="1">+GETPIVOTDATA("XSN4",'suoinghe (2016)'!$A$3,"MA_HT","DVH","MA_QH","DDL")</f>
        <v>0</v>
      </c>
      <c r="AP33" s="50">
        <f ca="1">+GETPIVOTDATA("XSN4",'suoinghe (2016)'!$A$3,"MA_HT","DVH","MA_QH","DRA")</f>
        <v>0</v>
      </c>
      <c r="AQ33" s="50">
        <f ca="1">+GETPIVOTDATA("XSN4",'suoinghe (2016)'!$A$3,"MA_HT","DVH","MA_QH","ONT")</f>
        <v>0</v>
      </c>
      <c r="AR33" s="50">
        <f ca="1">+GETPIVOTDATA("XSN4",'suoinghe (2016)'!$A$3,"MA_HT","DVH","MA_QH","ODT")</f>
        <v>0</v>
      </c>
      <c r="AS33" s="50">
        <f ca="1">+GETPIVOTDATA("XSN4",'suoinghe (2016)'!$A$3,"MA_HT","DVH","MA_QH","TSC")</f>
        <v>0</v>
      </c>
      <c r="AT33" s="50">
        <f ca="1">+GETPIVOTDATA("XSN4",'suoinghe (2016)'!$A$3,"MA_HT","DVH","MA_QH","DTS")</f>
        <v>0</v>
      </c>
      <c r="AU33" s="50">
        <f ca="1">+GETPIVOTDATA("XSN4",'suoinghe (2016)'!$A$3,"MA_HT","DVH","MA_QH","DNG")</f>
        <v>0</v>
      </c>
      <c r="AV33" s="50">
        <f ca="1">+GETPIVOTDATA("XSN4",'suoinghe (2016)'!$A$3,"MA_HT","DVH","MA_QH","TON")</f>
        <v>0</v>
      </c>
      <c r="AW33" s="50">
        <f ca="1">+GETPIVOTDATA("XSN4",'suoinghe (2016)'!$A$3,"MA_HT","DVH","MA_QH","NTD")</f>
        <v>0</v>
      </c>
      <c r="AX33" s="50">
        <f ca="1">+GETPIVOTDATA("XSN4",'suoinghe (2016)'!$A$3,"MA_HT","DVH","MA_QH","SKX")</f>
        <v>0</v>
      </c>
      <c r="AY33" s="50">
        <f ca="1">+GETPIVOTDATA("XSN4",'suoinghe (2016)'!$A$3,"MA_HT","DVH","MA_QH","DSH")</f>
        <v>0</v>
      </c>
      <c r="AZ33" s="50">
        <f ca="1">+GETPIVOTDATA("XSN4",'suoinghe (2016)'!$A$3,"MA_HT","DVH","MA_QH","DKV")</f>
        <v>0</v>
      </c>
      <c r="BA33" s="88">
        <f ca="1">+GETPIVOTDATA("XSN4",'suoinghe (2016)'!$A$3,"MA_HT","DVH","MA_QH","TIN")</f>
        <v>0</v>
      </c>
      <c r="BB33" s="50">
        <f ca="1">+GETPIVOTDATA("XSN4",'suoinghe (2016)'!$A$3,"MA_HT","DVH","MA_QH","SON")</f>
        <v>0</v>
      </c>
      <c r="BC33" s="50">
        <f ca="1">+GETPIVOTDATA("XSN4",'suoinghe (2016)'!$A$3,"MA_HT","DVH","MA_QH","MNC")</f>
        <v>0</v>
      </c>
      <c r="BD33" s="50">
        <f ca="1">+GETPIVOTDATA("XSN4",'suoinghe (2016)'!$A$3,"MA_HT","DVH","MA_QH","PNK")</f>
        <v>0</v>
      </c>
      <c r="BE33" s="80">
        <f ca="1">+GETPIVOTDATA("XSN4",'suoinghe (2016)'!$A$3,"MA_HT","DVH","MA_QH","CSD")</f>
        <v>0</v>
      </c>
      <c r="BF33" s="103">
        <f ca="1" t="shared" si="13"/>
        <v>0</v>
      </c>
      <c r="BG33" s="104">
        <f ca="1">AF$59-$BF33</f>
        <v>0</v>
      </c>
      <c r="BH33" s="47" t="e">
        <f ca="1" t="shared" si="14"/>
        <v>#REF!</v>
      </c>
      <c r="BI33" s="105"/>
      <c r="BJ33" s="105" t="e">
        <f>#REF!</f>
        <v>#REF!</v>
      </c>
      <c r="BK33" s="108" t="e">
        <f ca="1" t="shared" si="19"/>
        <v>#REF!</v>
      </c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</row>
    <row r="34" s="4" customFormat="1" ht="16.5" customHeight="1" spans="1:79">
      <c r="A34" s="45" t="s">
        <v>8386</v>
      </c>
      <c r="B34" s="45" t="s">
        <v>8387</v>
      </c>
      <c r="C34" s="46" t="s">
        <v>8296</v>
      </c>
      <c r="D34" s="47" t="e">
        <f>+#REF!</f>
        <v>#REF!</v>
      </c>
      <c r="E34" s="42">
        <f ca="1" t="shared" si="15"/>
        <v>0</v>
      </c>
      <c r="F34" s="52">
        <f ca="1" t="shared" si="9"/>
        <v>0</v>
      </c>
      <c r="G34" s="50">
        <f ca="1">+GETPIVOTDATA("XSN4",'suoinghe (2016)'!$A$3,"MA_HT","DYT","MA_QH","LUC")</f>
        <v>0</v>
      </c>
      <c r="H34" s="50">
        <f ca="1">+GETPIVOTDATA("XSN4",'suoinghe (2016)'!$A$3,"MA_HT","DYT","MA_QH","LUK")</f>
        <v>0</v>
      </c>
      <c r="I34" s="50">
        <f ca="1">+GETPIVOTDATA("XSN4",'suoinghe (2016)'!$A$3,"MA_HT","DYT","MA_QH","LUN")</f>
        <v>0</v>
      </c>
      <c r="J34" s="50">
        <f ca="1">+GETPIVOTDATA("XSN4",'suoinghe (2016)'!$A$3,"MA_HT","DYT","MA_QH","HNK")</f>
        <v>0</v>
      </c>
      <c r="K34" s="50">
        <f ca="1">+GETPIVOTDATA("XSN4",'suoinghe (2016)'!$A$3,"MA_HT","DYT","MA_QH","CLN")</f>
        <v>0</v>
      </c>
      <c r="L34" s="50">
        <f ca="1">+GETPIVOTDATA("XSN4",'suoinghe (2016)'!$A$3,"MA_HT","DYT","MA_QH","RSX")</f>
        <v>0</v>
      </c>
      <c r="M34" s="50">
        <f ca="1">+GETPIVOTDATA("XSN4",'suoinghe (2016)'!$A$3,"MA_HT","DYT","MA_QH","RPH")</f>
        <v>0</v>
      </c>
      <c r="N34" s="50">
        <f ca="1">+GETPIVOTDATA("XSN4",'suoinghe (2016)'!$A$3,"MA_HT","DYT","MA_QH","RDD")</f>
        <v>0</v>
      </c>
      <c r="O34" s="50">
        <f ca="1">+GETPIVOTDATA("XSN4",'suoinghe (2016)'!$A$3,"MA_HT","DYT","MA_QH","NTS")</f>
        <v>0</v>
      </c>
      <c r="P34" s="50">
        <f ca="1">+GETPIVOTDATA("XSN4",'suoinghe (2016)'!$A$3,"MA_HT","DYT","MA_QH","LMU")</f>
        <v>0</v>
      </c>
      <c r="Q34" s="50">
        <f ca="1">+GETPIVOTDATA("XSN4",'suoinghe (2016)'!$A$3,"MA_HT","DYT","MA_QH","NKH")</f>
        <v>0</v>
      </c>
      <c r="R34" s="48">
        <f ca="1" t="shared" si="20"/>
        <v>0</v>
      </c>
      <c r="S34" s="50">
        <f ca="1">+GETPIVOTDATA("XSN4",'suoinghe (2016)'!$A$3,"MA_HT","DYT","MA_QH","CQP")</f>
        <v>0</v>
      </c>
      <c r="T34" s="50">
        <f ca="1">+GETPIVOTDATA("XSN4",'suoinghe (2016)'!$A$3,"MA_HT","DYT","MA_QH","CAN")</f>
        <v>0</v>
      </c>
      <c r="U34" s="50">
        <f ca="1">+GETPIVOTDATA("XSN4",'suoinghe (2016)'!$A$3,"MA_HT","DYT","MA_QH","SKK")</f>
        <v>0</v>
      </c>
      <c r="V34" s="50">
        <f ca="1">+GETPIVOTDATA("XSN4",'suoinghe (2016)'!$A$3,"MA_HT","DYT","MA_QH","SKT")</f>
        <v>0</v>
      </c>
      <c r="W34" s="50">
        <f ca="1">+GETPIVOTDATA("XSN4",'suoinghe (2016)'!$A$3,"MA_HT","DYT","MA_QH","SKN")</f>
        <v>0</v>
      </c>
      <c r="X34" s="50">
        <f ca="1">+GETPIVOTDATA("XSN4",'suoinghe (2016)'!$A$3,"MA_HT","DYT","MA_QH","TMD")</f>
        <v>0</v>
      </c>
      <c r="Y34" s="50">
        <f ca="1">+GETPIVOTDATA("XSN4",'suoinghe (2016)'!$A$3,"MA_HT","DYT","MA_QH","SKC")</f>
        <v>0</v>
      </c>
      <c r="Z34" s="50">
        <f ca="1">+GETPIVOTDATA("XSN4",'suoinghe (2016)'!$A$3,"MA_HT","DYT","MA_QH","SKS")</f>
        <v>0</v>
      </c>
      <c r="AA34" s="52">
        <f ca="1">+SUM(AB34:AF34,AH34:AM34)</f>
        <v>0</v>
      </c>
      <c r="AB34" s="50">
        <f ca="1">+GETPIVOTDATA("XSN4",'suoinghe (2016)'!$A$3,"MA_HT","DYT","MA_QH","DGT")</f>
        <v>0</v>
      </c>
      <c r="AC34" s="50">
        <f ca="1">+GETPIVOTDATA("XSN4",'suoinghe (2016)'!$A$3,"MA_HT","DYT","MA_QH","DTL")</f>
        <v>0</v>
      </c>
      <c r="AD34" s="50">
        <f ca="1">+GETPIVOTDATA("XSN4",'suoinghe (2016)'!$A$3,"MA_HT","DYT","MA_QH","DNL")</f>
        <v>0</v>
      </c>
      <c r="AE34" s="50">
        <f ca="1">+GETPIVOTDATA("XSN4",'suoinghe (2016)'!$A$3,"MA_HT","DYT","MA_QH","DBV")</f>
        <v>0</v>
      </c>
      <c r="AF34" s="50">
        <f ca="1">+GETPIVOTDATA("XSN4",'suoinghe (2016)'!$A$3,"MA_HT","DYT","MA_QH","DVH")</f>
        <v>0</v>
      </c>
      <c r="AG34" s="49" t="e">
        <f ca="1">$D34-$BF34</f>
        <v>#REF!</v>
      </c>
      <c r="AH34" s="50">
        <f ca="1">+GETPIVOTDATA("XSN4",'suoinghe (2016)'!$A$3,"MA_HT","DYT","MA_QH","DGD")</f>
        <v>0</v>
      </c>
      <c r="AI34" s="50">
        <f ca="1">+GETPIVOTDATA("XSN4",'suoinghe (2016)'!$A$3,"MA_HT","DYT","MA_QH","DTT")</f>
        <v>0</v>
      </c>
      <c r="AJ34" s="50">
        <f ca="1">+GETPIVOTDATA("XSN4",'suoinghe (2016)'!$A$3,"MA_HT","DYT","MA_QH","NCK")</f>
        <v>0</v>
      </c>
      <c r="AK34" s="50">
        <f ca="1">+GETPIVOTDATA("XSN4",'suoinghe (2016)'!$A$3,"MA_HT","DYT","MA_QH","DXH")</f>
        <v>0</v>
      </c>
      <c r="AL34" s="50">
        <f ca="1">+GETPIVOTDATA("XSN4",'suoinghe (2016)'!$A$3,"MA_HT","DYT","MA_QH","DCH")</f>
        <v>0</v>
      </c>
      <c r="AM34" s="50">
        <f ca="1">+GETPIVOTDATA("XSN4",'suoinghe (2016)'!$A$3,"MA_HT","DYT","MA_QH","DKG")</f>
        <v>0</v>
      </c>
      <c r="AN34" s="50">
        <f ca="1">+GETPIVOTDATA("XSN4",'suoinghe (2016)'!$A$3,"MA_HT","DYT","MA_QH","DDT")</f>
        <v>0</v>
      </c>
      <c r="AO34" s="50">
        <f ca="1">+GETPIVOTDATA("XSN4",'suoinghe (2016)'!$A$3,"MA_HT","DYT","MA_QH","DDL")</f>
        <v>0</v>
      </c>
      <c r="AP34" s="50">
        <f ca="1">+GETPIVOTDATA("XSN4",'suoinghe (2016)'!$A$3,"MA_HT","DYT","MA_QH","DRA")</f>
        <v>0</v>
      </c>
      <c r="AQ34" s="50">
        <f ca="1">+GETPIVOTDATA("XSN4",'suoinghe (2016)'!$A$3,"MA_HT","DYT","MA_QH","ONT")</f>
        <v>0</v>
      </c>
      <c r="AR34" s="50">
        <f ca="1">+GETPIVOTDATA("XSN4",'suoinghe (2016)'!$A$3,"MA_HT","DYT","MA_QH","ODT")</f>
        <v>0</v>
      </c>
      <c r="AS34" s="50">
        <f ca="1">+GETPIVOTDATA("XSN4",'suoinghe (2016)'!$A$3,"MA_HT","DYT","MA_QH","TSC")</f>
        <v>0</v>
      </c>
      <c r="AT34" s="50">
        <f ca="1">+GETPIVOTDATA("XSN4",'suoinghe (2016)'!$A$3,"MA_HT","DYT","MA_QH","DTS")</f>
        <v>0</v>
      </c>
      <c r="AU34" s="50">
        <f ca="1">+GETPIVOTDATA("XSN4",'suoinghe (2016)'!$A$3,"MA_HT","DYT","MA_QH","DNG")</f>
        <v>0</v>
      </c>
      <c r="AV34" s="50">
        <f ca="1">+GETPIVOTDATA("XSN4",'suoinghe (2016)'!$A$3,"MA_HT","DYT","MA_QH","TON")</f>
        <v>0</v>
      </c>
      <c r="AW34" s="50">
        <f ca="1">+GETPIVOTDATA("XSN4",'suoinghe (2016)'!$A$3,"MA_HT","DYT","MA_QH","NTD")</f>
        <v>0</v>
      </c>
      <c r="AX34" s="50">
        <f ca="1">+GETPIVOTDATA("XSN4",'suoinghe (2016)'!$A$3,"MA_HT","DYT","MA_QH","SKX")</f>
        <v>0</v>
      </c>
      <c r="AY34" s="50">
        <f ca="1">+GETPIVOTDATA("XSN4",'suoinghe (2016)'!$A$3,"MA_HT","DYT","MA_QH","DSH")</f>
        <v>0</v>
      </c>
      <c r="AZ34" s="50">
        <f ca="1">+GETPIVOTDATA("XSN4",'suoinghe (2016)'!$A$3,"MA_HT","DYT","MA_QH","DKV")</f>
        <v>0</v>
      </c>
      <c r="BA34" s="88">
        <f ca="1">+GETPIVOTDATA("XSN4",'suoinghe (2016)'!$A$3,"MA_HT","DYT","MA_QH","TIN")</f>
        <v>0</v>
      </c>
      <c r="BB34" s="50">
        <f ca="1">+GETPIVOTDATA("XSN4",'suoinghe (2016)'!$A$3,"MA_HT","DYT","MA_QH","SON")</f>
        <v>0</v>
      </c>
      <c r="BC34" s="50">
        <f ca="1">+GETPIVOTDATA("XSN4",'suoinghe (2016)'!$A$3,"MA_HT","DYT","MA_QH","MNC")</f>
        <v>0</v>
      </c>
      <c r="BD34" s="50">
        <f ca="1">+GETPIVOTDATA("XSN4",'suoinghe (2016)'!$A$3,"MA_HT","DYT","MA_QH","PNK")</f>
        <v>0</v>
      </c>
      <c r="BE34" s="80">
        <f ca="1">+GETPIVOTDATA("XSN4",'suoinghe (2016)'!$A$3,"MA_HT","DYT","MA_QH","CSD")</f>
        <v>0</v>
      </c>
      <c r="BF34" s="103">
        <f ca="1" t="shared" si="13"/>
        <v>0</v>
      </c>
      <c r="BG34" s="104">
        <f ca="1">AG$59-$BF34</f>
        <v>0</v>
      </c>
      <c r="BH34" s="47" t="e">
        <f ca="1" t="shared" si="14"/>
        <v>#REF!</v>
      </c>
      <c r="BI34" s="105"/>
      <c r="BJ34" s="105" t="e">
        <f>#REF!</f>
        <v>#REF!</v>
      </c>
      <c r="BK34" s="108" t="e">
        <f ca="1" t="shared" si="19"/>
        <v>#REF!</v>
      </c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</row>
    <row r="35" s="4" customFormat="1" ht="16.5" customHeight="1" spans="1:79">
      <c r="A35" s="45" t="s">
        <v>8388</v>
      </c>
      <c r="B35" s="45" t="s">
        <v>8389</v>
      </c>
      <c r="C35" s="46" t="s">
        <v>165</v>
      </c>
      <c r="D35" s="47" t="e">
        <f>+#REF!</f>
        <v>#REF!</v>
      </c>
      <c r="E35" s="42">
        <f ca="1" t="shared" si="15"/>
        <v>0</v>
      </c>
      <c r="F35" s="52">
        <f ca="1" t="shared" si="9"/>
        <v>0</v>
      </c>
      <c r="G35" s="50">
        <f ca="1">+GETPIVOTDATA("XSN4",'suoinghe (2016)'!$A$3,"MA_HT","DGD","MA_QH","LUC")</f>
        <v>0</v>
      </c>
      <c r="H35" s="50">
        <f ca="1">+GETPIVOTDATA("XSN4",'suoinghe (2016)'!$A$3,"MA_HT","DGD","MA_QH","LUK")</f>
        <v>0</v>
      </c>
      <c r="I35" s="50">
        <f ca="1">+GETPIVOTDATA("XSN4",'suoinghe (2016)'!$A$3,"MA_HT","DGD","MA_QH","LUN")</f>
        <v>0</v>
      </c>
      <c r="J35" s="50">
        <f ca="1">+GETPIVOTDATA("XSN4",'suoinghe (2016)'!$A$3,"MA_HT","DGD","MA_QH","HNK")</f>
        <v>0</v>
      </c>
      <c r="K35" s="50">
        <f ca="1">+GETPIVOTDATA("XSN4",'suoinghe (2016)'!$A$3,"MA_HT","DGD","MA_QH","CLN")</f>
        <v>0</v>
      </c>
      <c r="L35" s="50">
        <f ca="1">+GETPIVOTDATA("XSN4",'suoinghe (2016)'!$A$3,"MA_HT","DGD","MA_QH","RSX")</f>
        <v>0</v>
      </c>
      <c r="M35" s="50">
        <f ca="1">+GETPIVOTDATA("XSN4",'suoinghe (2016)'!$A$3,"MA_HT","DGD","MA_QH","RPH")</f>
        <v>0</v>
      </c>
      <c r="N35" s="50">
        <f ca="1">+GETPIVOTDATA("XSN4",'suoinghe (2016)'!$A$3,"MA_HT","DGD","MA_QH","RDD")</f>
        <v>0</v>
      </c>
      <c r="O35" s="50">
        <f ca="1">+GETPIVOTDATA("XSN4",'suoinghe (2016)'!$A$3,"MA_HT","DGD","MA_QH","NTS")</f>
        <v>0</v>
      </c>
      <c r="P35" s="50">
        <f ca="1">+GETPIVOTDATA("XSN4",'suoinghe (2016)'!$A$3,"MA_HT","DGD","MA_QH","LMU")</f>
        <v>0</v>
      </c>
      <c r="Q35" s="50">
        <f ca="1">+GETPIVOTDATA("XSN4",'suoinghe (2016)'!$A$3,"MA_HT","DGD","MA_QH","NKH")</f>
        <v>0</v>
      </c>
      <c r="R35" s="48">
        <f ca="1" t="shared" si="20"/>
        <v>0</v>
      </c>
      <c r="S35" s="50">
        <f ca="1">+GETPIVOTDATA("XSN4",'suoinghe (2016)'!$A$3,"MA_HT","DGD","MA_QH","CQP")</f>
        <v>0</v>
      </c>
      <c r="T35" s="50">
        <f ca="1">+GETPIVOTDATA("XSN4",'suoinghe (2016)'!$A$3,"MA_HT","DGD","MA_QH","CAN")</f>
        <v>0</v>
      </c>
      <c r="U35" s="50">
        <f ca="1">+GETPIVOTDATA("XSN4",'suoinghe (2016)'!$A$3,"MA_HT","DGD","MA_QH","SKK")</f>
        <v>0</v>
      </c>
      <c r="V35" s="50">
        <f ca="1">+GETPIVOTDATA("XSN4",'suoinghe (2016)'!$A$3,"MA_HT","DGD","MA_QH","SKT")</f>
        <v>0</v>
      </c>
      <c r="W35" s="50">
        <f ca="1">+GETPIVOTDATA("XSN4",'suoinghe (2016)'!$A$3,"MA_HT","DGD","MA_QH","SKN")</f>
        <v>0</v>
      </c>
      <c r="X35" s="50">
        <f ca="1">+GETPIVOTDATA("XSN4",'suoinghe (2016)'!$A$3,"MA_HT","DGD","MA_QH","TMD")</f>
        <v>0</v>
      </c>
      <c r="Y35" s="50">
        <f ca="1">+GETPIVOTDATA("XSN4",'suoinghe (2016)'!$A$3,"MA_HT","DGD","MA_QH","SKC")</f>
        <v>0</v>
      </c>
      <c r="Z35" s="50">
        <f ca="1">+GETPIVOTDATA("XSN4",'suoinghe (2016)'!$A$3,"MA_HT","DGD","MA_QH","SKS")</f>
        <v>0</v>
      </c>
      <c r="AA35" s="52">
        <f ca="1">+SUM(AB35:AG35,AI35:AM35)</f>
        <v>0</v>
      </c>
      <c r="AB35" s="50">
        <f ca="1">+GETPIVOTDATA("XSN4",'suoinghe (2016)'!$A$3,"MA_HT","DGD","MA_QH","DGT")</f>
        <v>0</v>
      </c>
      <c r="AC35" s="50">
        <f ca="1">+GETPIVOTDATA("XSN4",'suoinghe (2016)'!$A$3,"MA_HT","DGD","MA_QH","DTL")</f>
        <v>0</v>
      </c>
      <c r="AD35" s="50">
        <f ca="1">+GETPIVOTDATA("XSN4",'suoinghe (2016)'!$A$3,"MA_HT","DGD","MA_QH","DNL")</f>
        <v>0</v>
      </c>
      <c r="AE35" s="50">
        <f ca="1">+GETPIVOTDATA("XSN4",'suoinghe (2016)'!$A$3,"MA_HT","DGD","MA_QH","DBV")</f>
        <v>0</v>
      </c>
      <c r="AF35" s="50">
        <f ca="1">+GETPIVOTDATA("XSN4",'suoinghe (2016)'!$A$3,"MA_HT","DGD","MA_QH","DVH")</f>
        <v>0</v>
      </c>
      <c r="AG35" s="50">
        <f ca="1">+GETPIVOTDATA("XSN4",'suoinghe (2016)'!$A$3,"MA_HT","DGD","MA_QH","DYT")</f>
        <v>0</v>
      </c>
      <c r="AH35" s="49" t="e">
        <f ca="1">$D35-$BF35</f>
        <v>#REF!</v>
      </c>
      <c r="AI35" s="50">
        <f ca="1">+GETPIVOTDATA("XSN4",'suoinghe (2016)'!$A$3,"MA_HT","DGD","MA_QH","DTT")</f>
        <v>0</v>
      </c>
      <c r="AJ35" s="50">
        <f ca="1">+GETPIVOTDATA("XSN4",'suoinghe (2016)'!$A$3,"MA_HT","DGD","MA_QH","NCK")</f>
        <v>0</v>
      </c>
      <c r="AK35" s="50">
        <f ca="1">+GETPIVOTDATA("XSN4",'suoinghe (2016)'!$A$3,"MA_HT","DGD","MA_QH","DXH")</f>
        <v>0</v>
      </c>
      <c r="AL35" s="50">
        <f ca="1">+GETPIVOTDATA("XSN4",'suoinghe (2016)'!$A$3,"MA_HT","DGD","MA_QH","DCH")</f>
        <v>0</v>
      </c>
      <c r="AM35" s="50">
        <f ca="1">+GETPIVOTDATA("XSN4",'suoinghe (2016)'!$A$3,"MA_HT","DGD","MA_QH","DKG")</f>
        <v>0</v>
      </c>
      <c r="AN35" s="50">
        <f ca="1">+GETPIVOTDATA("XSN4",'suoinghe (2016)'!$A$3,"MA_HT","DGD","MA_QH","DDT")</f>
        <v>0</v>
      </c>
      <c r="AO35" s="50">
        <f ca="1">+GETPIVOTDATA("XSN4",'suoinghe (2016)'!$A$3,"MA_HT","DGD","MA_QH","DDL")</f>
        <v>0</v>
      </c>
      <c r="AP35" s="50">
        <f ca="1">+GETPIVOTDATA("XSN4",'suoinghe (2016)'!$A$3,"MA_HT","DGD","MA_QH","DRA")</f>
        <v>0</v>
      </c>
      <c r="AQ35" s="50">
        <f ca="1">+GETPIVOTDATA("XSN4",'suoinghe (2016)'!$A$3,"MA_HT","DGD","MA_QH","ONT")</f>
        <v>0</v>
      </c>
      <c r="AR35" s="50">
        <f ca="1">+GETPIVOTDATA("XSN4",'suoinghe (2016)'!$A$3,"MA_HT","DGD","MA_QH","ODT")</f>
        <v>0</v>
      </c>
      <c r="AS35" s="50">
        <f ca="1">+GETPIVOTDATA("XSN4",'suoinghe (2016)'!$A$3,"MA_HT","DGD","MA_QH","TSC")</f>
        <v>0</v>
      </c>
      <c r="AT35" s="50">
        <f ca="1">+GETPIVOTDATA("XSN4",'suoinghe (2016)'!$A$3,"MA_HT","DGD","MA_QH","DTS")</f>
        <v>0</v>
      </c>
      <c r="AU35" s="50">
        <f ca="1">+GETPIVOTDATA("XSN4",'suoinghe (2016)'!$A$3,"MA_HT","DGD","MA_QH","DNG")</f>
        <v>0</v>
      </c>
      <c r="AV35" s="50">
        <f ca="1">+GETPIVOTDATA("XSN4",'suoinghe (2016)'!$A$3,"MA_HT","DGD","MA_QH","TON")</f>
        <v>0</v>
      </c>
      <c r="AW35" s="50">
        <f ca="1">+GETPIVOTDATA("XSN4",'suoinghe (2016)'!$A$3,"MA_HT","DGD","MA_QH","NTD")</f>
        <v>0</v>
      </c>
      <c r="AX35" s="50">
        <f ca="1">+GETPIVOTDATA("XSN4",'suoinghe (2016)'!$A$3,"MA_HT","DGD","MA_QH","SKX")</f>
        <v>0</v>
      </c>
      <c r="AY35" s="50">
        <f ca="1">+GETPIVOTDATA("XSN4",'suoinghe (2016)'!$A$3,"MA_HT","DGD","MA_QH","DSH")</f>
        <v>0</v>
      </c>
      <c r="AZ35" s="50">
        <f ca="1">+GETPIVOTDATA("XSN4",'suoinghe (2016)'!$A$3,"MA_HT","DGD","MA_QH","DKV")</f>
        <v>0</v>
      </c>
      <c r="BA35" s="88">
        <f ca="1">+GETPIVOTDATA("XSN4",'suoinghe (2016)'!$A$3,"MA_HT","DGD","MA_QH","TIN")</f>
        <v>0</v>
      </c>
      <c r="BB35" s="50">
        <f ca="1">+GETPIVOTDATA("XSN4",'suoinghe (2016)'!$A$3,"MA_HT","DGD","MA_QH","SON")</f>
        <v>0</v>
      </c>
      <c r="BC35" s="50">
        <f ca="1">+GETPIVOTDATA("XSN4",'suoinghe (2016)'!$A$3,"MA_HT","DGD","MA_QH","MNC")</f>
        <v>0</v>
      </c>
      <c r="BD35" s="50">
        <f ca="1">+GETPIVOTDATA("XSN4",'suoinghe (2016)'!$A$3,"MA_HT","DGD","MA_QH","PNK")</f>
        <v>0</v>
      </c>
      <c r="BE35" s="80">
        <f ca="1">+GETPIVOTDATA("XSN4",'suoinghe (2016)'!$A$3,"MA_HT","DGD","MA_QH","CSD")</f>
        <v>0</v>
      </c>
      <c r="BF35" s="103">
        <f ca="1" t="shared" si="13"/>
        <v>0</v>
      </c>
      <c r="BG35" s="104">
        <f ca="1">AH$59-$BF35</f>
        <v>0</v>
      </c>
      <c r="BH35" s="47" t="e">
        <f ca="1" t="shared" si="14"/>
        <v>#REF!</v>
      </c>
      <c r="BI35" s="105"/>
      <c r="BJ35" s="105" t="e">
        <f>#REF!</f>
        <v>#REF!</v>
      </c>
      <c r="BK35" s="108" t="e">
        <f ca="1" t="shared" si="19"/>
        <v>#REF!</v>
      </c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</row>
    <row r="36" s="4" customFormat="1" ht="16.5" customHeight="1" spans="1:79">
      <c r="A36" s="45" t="s">
        <v>8390</v>
      </c>
      <c r="B36" s="45" t="s">
        <v>8391</v>
      </c>
      <c r="C36" s="46" t="s">
        <v>8294</v>
      </c>
      <c r="D36" s="47" t="e">
        <f>+#REF!</f>
        <v>#REF!</v>
      </c>
      <c r="E36" s="42">
        <f ca="1" t="shared" si="15"/>
        <v>0</v>
      </c>
      <c r="F36" s="52">
        <f ca="1" t="shared" si="9"/>
        <v>0</v>
      </c>
      <c r="G36" s="50">
        <f ca="1">+GETPIVOTDATA("XSN4",'suoinghe (2016)'!$A$3,"MA_HT","DTT","MA_QH","LUC")</f>
        <v>0</v>
      </c>
      <c r="H36" s="50">
        <f ca="1">+GETPIVOTDATA("XSN4",'suoinghe (2016)'!$A$3,"MA_HT","DTT","MA_QH","LUK")</f>
        <v>0</v>
      </c>
      <c r="I36" s="50">
        <f ca="1">+GETPIVOTDATA("XSN4",'suoinghe (2016)'!$A$3,"MA_HT","DTT","MA_QH","LUN")</f>
        <v>0</v>
      </c>
      <c r="J36" s="50">
        <f ca="1">+GETPIVOTDATA("XSN4",'suoinghe (2016)'!$A$3,"MA_HT","DTT","MA_QH","HNK")</f>
        <v>0</v>
      </c>
      <c r="K36" s="50">
        <f ca="1">+GETPIVOTDATA("XSN4",'suoinghe (2016)'!$A$3,"MA_HT","DTT","MA_QH","CLN")</f>
        <v>0</v>
      </c>
      <c r="L36" s="50">
        <f ca="1">+GETPIVOTDATA("XSN4",'suoinghe (2016)'!$A$3,"MA_HT","DTT","MA_QH","RSX")</f>
        <v>0</v>
      </c>
      <c r="M36" s="50">
        <f ca="1">+GETPIVOTDATA("XSN4",'suoinghe (2016)'!$A$3,"MA_HT","DTT","MA_QH","RPH")</f>
        <v>0</v>
      </c>
      <c r="N36" s="50">
        <f ca="1">+GETPIVOTDATA("XSN4",'suoinghe (2016)'!$A$3,"MA_HT","DTT","MA_QH","RDD")</f>
        <v>0</v>
      </c>
      <c r="O36" s="50">
        <f ca="1">+GETPIVOTDATA("XSN4",'suoinghe (2016)'!$A$3,"MA_HT","DTT","MA_QH","NTS")</f>
        <v>0</v>
      </c>
      <c r="P36" s="50">
        <f ca="1">+GETPIVOTDATA("XSN4",'suoinghe (2016)'!$A$3,"MA_HT","DTT","MA_QH","LMU")</f>
        <v>0</v>
      </c>
      <c r="Q36" s="50">
        <f ca="1">+GETPIVOTDATA("XSN4",'suoinghe (2016)'!$A$3,"MA_HT","DTT","MA_QH","NKH")</f>
        <v>0</v>
      </c>
      <c r="R36" s="48">
        <f ca="1" t="shared" si="20"/>
        <v>0</v>
      </c>
      <c r="S36" s="50">
        <f ca="1">+GETPIVOTDATA("XSN4",'suoinghe (2016)'!$A$3,"MA_HT","DTT","MA_QH","CQP")</f>
        <v>0</v>
      </c>
      <c r="T36" s="50">
        <f ca="1">+GETPIVOTDATA("XSN4",'suoinghe (2016)'!$A$3,"MA_HT","DTT","MA_QH","CAN")</f>
        <v>0</v>
      </c>
      <c r="U36" s="50">
        <f ca="1">+GETPIVOTDATA("XSN4",'suoinghe (2016)'!$A$3,"MA_HT","DTT","MA_QH","SKK")</f>
        <v>0</v>
      </c>
      <c r="V36" s="50">
        <f ca="1">+GETPIVOTDATA("XSN4",'suoinghe (2016)'!$A$3,"MA_HT","DTT","MA_QH","SKT")</f>
        <v>0</v>
      </c>
      <c r="W36" s="50">
        <f ca="1">+GETPIVOTDATA("XSN4",'suoinghe (2016)'!$A$3,"MA_HT","DTT","MA_QH","SKN")</f>
        <v>0</v>
      </c>
      <c r="X36" s="50">
        <f ca="1">+GETPIVOTDATA("XSN4",'suoinghe (2016)'!$A$3,"MA_HT","DTT","MA_QH","TMD")</f>
        <v>0</v>
      </c>
      <c r="Y36" s="50">
        <f ca="1">+GETPIVOTDATA("XSN4",'suoinghe (2016)'!$A$3,"MA_HT","DTT","MA_QH","SKC")</f>
        <v>0</v>
      </c>
      <c r="Z36" s="50">
        <f ca="1">+GETPIVOTDATA("XSN4",'suoinghe (2016)'!$A$3,"MA_HT","DTT","MA_QH","SKS")</f>
        <v>0</v>
      </c>
      <c r="AA36" s="52">
        <f ca="1">+SUM(AB36:AH36,AJ36:AM36)</f>
        <v>0</v>
      </c>
      <c r="AB36" s="50">
        <f ca="1">+GETPIVOTDATA("XSN4",'suoinghe (2016)'!$A$3,"MA_HT","DTT","MA_QH","DGT")</f>
        <v>0</v>
      </c>
      <c r="AC36" s="50">
        <f ca="1">+GETPIVOTDATA("XSN4",'suoinghe (2016)'!$A$3,"MA_HT","DTT","MA_QH","DTL")</f>
        <v>0</v>
      </c>
      <c r="AD36" s="50">
        <f ca="1">+GETPIVOTDATA("XSN4",'suoinghe (2016)'!$A$3,"MA_HT","DTT","MA_QH","DNL")</f>
        <v>0</v>
      </c>
      <c r="AE36" s="50">
        <f ca="1">+GETPIVOTDATA("XSN4",'suoinghe (2016)'!$A$3,"MA_HT","DTT","MA_QH","DBV")</f>
        <v>0</v>
      </c>
      <c r="AF36" s="50">
        <f ca="1">+GETPIVOTDATA("XSN4",'suoinghe (2016)'!$A$3,"MA_HT","DTT","MA_QH","DVH")</f>
        <v>0</v>
      </c>
      <c r="AG36" s="50">
        <f ca="1">+GETPIVOTDATA("XSN4",'suoinghe (2016)'!$A$3,"MA_HT","DTT","MA_QH","DYT")</f>
        <v>0</v>
      </c>
      <c r="AH36" s="50">
        <f ca="1">+GETPIVOTDATA("XSN4",'suoinghe (2016)'!$A$3,"MA_HT","DTT","MA_QH","DGD")</f>
        <v>0</v>
      </c>
      <c r="AI36" s="49" t="e">
        <f ca="1">$D36-$BF36</f>
        <v>#REF!</v>
      </c>
      <c r="AJ36" s="50">
        <f ca="1">+GETPIVOTDATA("XSN4",'suoinghe (2016)'!$A$3,"MA_HT","DTT","MA_QH","NCK")</f>
        <v>0</v>
      </c>
      <c r="AK36" s="50">
        <f ca="1">+GETPIVOTDATA("XSN4",'suoinghe (2016)'!$A$3,"MA_HT","DTT","MA_QH","DXH")</f>
        <v>0</v>
      </c>
      <c r="AL36" s="50">
        <f ca="1">+GETPIVOTDATA("XSN4",'suoinghe (2016)'!$A$3,"MA_HT","DTT","MA_QH","DCH")</f>
        <v>0</v>
      </c>
      <c r="AM36" s="50">
        <f ca="1">+GETPIVOTDATA("XSN4",'suoinghe (2016)'!$A$3,"MA_HT","DTT","MA_QH","DKG")</f>
        <v>0</v>
      </c>
      <c r="AN36" s="50">
        <f ca="1">+GETPIVOTDATA("XSN4",'suoinghe (2016)'!$A$3,"MA_HT","DTT","MA_QH","DDT")</f>
        <v>0</v>
      </c>
      <c r="AO36" s="50">
        <f ca="1">+GETPIVOTDATA("XSN4",'suoinghe (2016)'!$A$3,"MA_HT","DTT","MA_QH","DDL")</f>
        <v>0</v>
      </c>
      <c r="AP36" s="50">
        <f ca="1">+GETPIVOTDATA("XSN4",'suoinghe (2016)'!$A$3,"MA_HT","DTT","MA_QH","DRA")</f>
        <v>0</v>
      </c>
      <c r="AQ36" s="50">
        <f ca="1">+GETPIVOTDATA("XSN4",'suoinghe (2016)'!$A$3,"MA_HT","DTT","MA_QH","ONT")</f>
        <v>0</v>
      </c>
      <c r="AR36" s="50">
        <f ca="1">+GETPIVOTDATA("XSN4",'suoinghe (2016)'!$A$3,"MA_HT","DTT","MA_QH","ODT")</f>
        <v>0</v>
      </c>
      <c r="AS36" s="50">
        <f ca="1">+GETPIVOTDATA("XSN4",'suoinghe (2016)'!$A$3,"MA_HT","DTT","MA_QH","TSC")</f>
        <v>0</v>
      </c>
      <c r="AT36" s="50">
        <f ca="1">+GETPIVOTDATA("XSN4",'suoinghe (2016)'!$A$3,"MA_HT","DTT","MA_QH","DTS")</f>
        <v>0</v>
      </c>
      <c r="AU36" s="50">
        <f ca="1">+GETPIVOTDATA("XSN4",'suoinghe (2016)'!$A$3,"MA_HT","DTT","MA_QH","DNG")</f>
        <v>0</v>
      </c>
      <c r="AV36" s="50">
        <f ca="1">+GETPIVOTDATA("XSN4",'suoinghe (2016)'!$A$3,"MA_HT","DTT","MA_QH","TON")</f>
        <v>0</v>
      </c>
      <c r="AW36" s="50">
        <f ca="1">+GETPIVOTDATA("XSN4",'suoinghe (2016)'!$A$3,"MA_HT","DTT","MA_QH","NTD")</f>
        <v>0</v>
      </c>
      <c r="AX36" s="50">
        <f ca="1">+GETPIVOTDATA("XSN4",'suoinghe (2016)'!$A$3,"MA_HT","DTT","MA_QH","SKX")</f>
        <v>0</v>
      </c>
      <c r="AY36" s="50">
        <f ca="1">+GETPIVOTDATA("XSN4",'suoinghe (2016)'!$A$3,"MA_HT","DTT","MA_QH","DSH")</f>
        <v>0</v>
      </c>
      <c r="AZ36" s="50">
        <f ca="1">+GETPIVOTDATA("XSN4",'suoinghe (2016)'!$A$3,"MA_HT","DTT","MA_QH","DKV")</f>
        <v>0</v>
      </c>
      <c r="BA36" s="88">
        <f ca="1">+GETPIVOTDATA("XSN4",'suoinghe (2016)'!$A$3,"MA_HT","DTT","MA_QH","TIN")</f>
        <v>0</v>
      </c>
      <c r="BB36" s="50">
        <f ca="1">+GETPIVOTDATA("XSN4",'suoinghe (2016)'!$A$3,"MA_HT","DTT","MA_QH","SON")</f>
        <v>0</v>
      </c>
      <c r="BC36" s="50">
        <f ca="1">+GETPIVOTDATA("XSN4",'suoinghe (2016)'!$A$3,"MA_HT","DTT","MA_QH","MNC")</f>
        <v>0</v>
      </c>
      <c r="BD36" s="50">
        <f ca="1">+GETPIVOTDATA("XSN4",'suoinghe (2016)'!$A$3,"MA_HT","DTT","MA_QH","PNK")</f>
        <v>0</v>
      </c>
      <c r="BE36" s="80">
        <f ca="1">+GETPIVOTDATA("XSN4",'suoinghe (2016)'!$A$3,"MA_HT","DTT","MA_QH","CSD")</f>
        <v>0</v>
      </c>
      <c r="BF36" s="103">
        <f ca="1" t="shared" si="13"/>
        <v>0</v>
      </c>
      <c r="BG36" s="104">
        <f ca="1">AI$59-$BF36</f>
        <v>0</v>
      </c>
      <c r="BH36" s="47" t="e">
        <f ca="1" t="shared" si="14"/>
        <v>#REF!</v>
      </c>
      <c r="BI36" s="105"/>
      <c r="BJ36" s="105" t="e">
        <f>#REF!</f>
        <v>#REF!</v>
      </c>
      <c r="BK36" s="108" t="e">
        <f ca="1" t="shared" si="19"/>
        <v>#REF!</v>
      </c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</row>
    <row r="37" s="4" customFormat="1" ht="16.5" customHeight="1" spans="1:79">
      <c r="A37" s="45" t="s">
        <v>8392</v>
      </c>
      <c r="B37" s="45" t="s">
        <v>8393</v>
      </c>
      <c r="C37" s="46" t="s">
        <v>8302</v>
      </c>
      <c r="D37" s="47" t="e">
        <f>+#REF!</f>
        <v>#REF!</v>
      </c>
      <c r="E37" s="42">
        <f ca="1" t="shared" si="15"/>
        <v>0</v>
      </c>
      <c r="F37" s="52">
        <f ca="1" t="shared" si="9"/>
        <v>0</v>
      </c>
      <c r="G37" s="50">
        <f ca="1">+GETPIVOTDATA("XSN4",'suoinghe (2016)'!$A$3,"MA_HT","NCK","MA_QH","LUC")</f>
        <v>0</v>
      </c>
      <c r="H37" s="50">
        <f ca="1">+GETPIVOTDATA("XSN4",'suoinghe (2016)'!$A$3,"MA_HT","NCK","MA_QH","LUK")</f>
        <v>0</v>
      </c>
      <c r="I37" s="50">
        <f ca="1">+GETPIVOTDATA("XSN4",'suoinghe (2016)'!$A$3,"MA_HT","NCK","MA_QH","LUN")</f>
        <v>0</v>
      </c>
      <c r="J37" s="50">
        <f ca="1">+GETPIVOTDATA("XSN4",'suoinghe (2016)'!$A$3,"MA_HT","NCK","MA_QH","HNK")</f>
        <v>0</v>
      </c>
      <c r="K37" s="50">
        <f ca="1">+GETPIVOTDATA("XSN4",'suoinghe (2016)'!$A$3,"MA_HT","NCK","MA_QH","CLN")</f>
        <v>0</v>
      </c>
      <c r="L37" s="50">
        <f ca="1">+GETPIVOTDATA("XSN4",'suoinghe (2016)'!$A$3,"MA_HT","NCK","MA_QH","RSX")</f>
        <v>0</v>
      </c>
      <c r="M37" s="50">
        <f ca="1">+GETPIVOTDATA("XSN4",'suoinghe (2016)'!$A$3,"MA_HT","NCK","MA_QH","RPH")</f>
        <v>0</v>
      </c>
      <c r="N37" s="50">
        <f ca="1">+GETPIVOTDATA("XSN4",'suoinghe (2016)'!$A$3,"MA_HT","NCK","MA_QH","RDD")</f>
        <v>0</v>
      </c>
      <c r="O37" s="50">
        <f ca="1">+GETPIVOTDATA("XSN4",'suoinghe (2016)'!$A$3,"MA_HT","NCK","MA_QH","NTS")</f>
        <v>0</v>
      </c>
      <c r="P37" s="50">
        <f ca="1">+GETPIVOTDATA("XSN4",'suoinghe (2016)'!$A$3,"MA_HT","NCK","MA_QH","LMU")</f>
        <v>0</v>
      </c>
      <c r="Q37" s="50">
        <f ca="1">+GETPIVOTDATA("XSN4",'suoinghe (2016)'!$A$3,"MA_HT","NCK","MA_QH","NKH")</f>
        <v>0</v>
      </c>
      <c r="R37" s="48">
        <f ca="1" t="shared" si="20"/>
        <v>0</v>
      </c>
      <c r="S37" s="50">
        <f ca="1">+GETPIVOTDATA("XSN4",'suoinghe (2016)'!$A$3,"MA_HT","NCK","MA_QH","CQP")</f>
        <v>0</v>
      </c>
      <c r="T37" s="50">
        <f ca="1">+GETPIVOTDATA("XSN4",'suoinghe (2016)'!$A$3,"MA_HT","NCK","MA_QH","CAN")</f>
        <v>0</v>
      </c>
      <c r="U37" s="50">
        <f ca="1">+GETPIVOTDATA("XSN4",'suoinghe (2016)'!$A$3,"MA_HT","NCK","MA_QH","SKK")</f>
        <v>0</v>
      </c>
      <c r="V37" s="50">
        <f ca="1">+GETPIVOTDATA("XSN4",'suoinghe (2016)'!$A$3,"MA_HT","NCK","MA_QH","SKT")</f>
        <v>0</v>
      </c>
      <c r="W37" s="50">
        <f ca="1">+GETPIVOTDATA("XSN4",'suoinghe (2016)'!$A$3,"MA_HT","NCK","MA_QH","SKN")</f>
        <v>0</v>
      </c>
      <c r="X37" s="50">
        <f ca="1">+GETPIVOTDATA("XSN4",'suoinghe (2016)'!$A$3,"MA_HT","NCK","MA_QH","TMD")</f>
        <v>0</v>
      </c>
      <c r="Y37" s="50">
        <f ca="1">+GETPIVOTDATA("XSN4",'suoinghe (2016)'!$A$3,"MA_HT","NCK","MA_QH","SKC")</f>
        <v>0</v>
      </c>
      <c r="Z37" s="50">
        <f ca="1">+GETPIVOTDATA("XSN4",'suoinghe (2016)'!$A$3,"MA_HT","NCK","MA_QH","SKS")</f>
        <v>0</v>
      </c>
      <c r="AA37" s="52">
        <f ca="1">+SUM(AB37:AI37,AK37:AM37)</f>
        <v>0</v>
      </c>
      <c r="AB37" s="50">
        <f ca="1">+GETPIVOTDATA("XSN4",'suoinghe (2016)'!$A$3,"MA_HT","NCK","MA_QH","DGT")</f>
        <v>0</v>
      </c>
      <c r="AC37" s="50">
        <f ca="1">+GETPIVOTDATA("XSN4",'suoinghe (2016)'!$A$3,"MA_HT","NCK","MA_QH","DTL")</f>
        <v>0</v>
      </c>
      <c r="AD37" s="50">
        <f ca="1">+GETPIVOTDATA("XSN4",'suoinghe (2016)'!$A$3,"MA_HT","NCK","MA_QH","DNL")</f>
        <v>0</v>
      </c>
      <c r="AE37" s="50">
        <f ca="1">+GETPIVOTDATA("XSN4",'suoinghe (2016)'!$A$3,"MA_HT","NCK","MA_QH","DBV")</f>
        <v>0</v>
      </c>
      <c r="AF37" s="50">
        <f ca="1">+GETPIVOTDATA("XSN4",'suoinghe (2016)'!$A$3,"MA_HT","NCK","MA_QH","DVH")</f>
        <v>0</v>
      </c>
      <c r="AG37" s="50">
        <f ca="1">+GETPIVOTDATA("XSN4",'suoinghe (2016)'!$A$3,"MA_HT","NCK","MA_QH","DYT")</f>
        <v>0</v>
      </c>
      <c r="AH37" s="50">
        <f ca="1">+GETPIVOTDATA("XSN4",'suoinghe (2016)'!$A$3,"MA_HT","NCK","MA_QH","DGD")</f>
        <v>0</v>
      </c>
      <c r="AI37" s="50">
        <f ca="1">+GETPIVOTDATA("XSN4",'suoinghe (2016)'!$A$3,"MA_HT","NCK","MA_QH","DTT")</f>
        <v>0</v>
      </c>
      <c r="AJ37" s="49" t="e">
        <f ca="1">$D37-$BF37</f>
        <v>#REF!</v>
      </c>
      <c r="AK37" s="50">
        <f ca="1">+GETPIVOTDATA("XSN4",'suoinghe (2016)'!$A$3,"MA_HT","NCK","MA_QH","DXH")</f>
        <v>0</v>
      </c>
      <c r="AL37" s="50">
        <f ca="1">+GETPIVOTDATA("XSN4",'suoinghe (2016)'!$A$3,"MA_HT","NCK","MA_QH","DCH")</f>
        <v>0</v>
      </c>
      <c r="AM37" s="50">
        <f ca="1">+GETPIVOTDATA("XSN4",'suoinghe (2016)'!$A$3,"MA_HT","NCK","MA_QH","DKG")</f>
        <v>0</v>
      </c>
      <c r="AN37" s="50">
        <f ca="1">+GETPIVOTDATA("XSN4",'suoinghe (2016)'!$A$3,"MA_HT","NCK","MA_QH","DDT")</f>
        <v>0</v>
      </c>
      <c r="AO37" s="50">
        <f ca="1">+GETPIVOTDATA("XSN4",'suoinghe (2016)'!$A$3,"MA_HT","NCK","MA_QH","DDL")</f>
        <v>0</v>
      </c>
      <c r="AP37" s="50">
        <f ca="1">+GETPIVOTDATA("XSN4",'suoinghe (2016)'!$A$3,"MA_HT","NCK","MA_QH","DRA")</f>
        <v>0</v>
      </c>
      <c r="AQ37" s="50">
        <f ca="1">+GETPIVOTDATA("XSN4",'suoinghe (2016)'!$A$3,"MA_HT","NCK","MA_QH","ONT")</f>
        <v>0</v>
      </c>
      <c r="AR37" s="50">
        <f ca="1">+GETPIVOTDATA("XSN4",'suoinghe (2016)'!$A$3,"MA_HT","NCK","MA_QH","ODT")</f>
        <v>0</v>
      </c>
      <c r="AS37" s="50">
        <f ca="1">+GETPIVOTDATA("XSN4",'suoinghe (2016)'!$A$3,"MA_HT","NCK","MA_QH","TSC")</f>
        <v>0</v>
      </c>
      <c r="AT37" s="50">
        <f ca="1">+GETPIVOTDATA("XSN4",'suoinghe (2016)'!$A$3,"MA_HT","NCK","MA_QH","DTS")</f>
        <v>0</v>
      </c>
      <c r="AU37" s="50">
        <f ca="1">+GETPIVOTDATA("XSN4",'suoinghe (2016)'!$A$3,"MA_HT","NCK","MA_QH","DNG")</f>
        <v>0</v>
      </c>
      <c r="AV37" s="50">
        <f ca="1">+GETPIVOTDATA("XSN4",'suoinghe (2016)'!$A$3,"MA_HT","NCK","MA_QH","TON")</f>
        <v>0</v>
      </c>
      <c r="AW37" s="50">
        <f ca="1">+GETPIVOTDATA("XSN4",'suoinghe (2016)'!$A$3,"MA_HT","NCK","MA_QH","NTD")</f>
        <v>0</v>
      </c>
      <c r="AX37" s="50">
        <f ca="1">+GETPIVOTDATA("XSN4",'suoinghe (2016)'!$A$3,"MA_HT","NCK","MA_QH","SKX")</f>
        <v>0</v>
      </c>
      <c r="AY37" s="50">
        <f ca="1">+GETPIVOTDATA("XSN4",'suoinghe (2016)'!$A$3,"MA_HT","NCK","MA_QH","DSH")</f>
        <v>0</v>
      </c>
      <c r="AZ37" s="50">
        <f ca="1">+GETPIVOTDATA("XSN4",'suoinghe (2016)'!$A$3,"MA_HT","NCK","MA_QH","DKV")</f>
        <v>0</v>
      </c>
      <c r="BA37" s="88">
        <f ca="1">+GETPIVOTDATA("XSN4",'suoinghe (2016)'!$A$3,"MA_HT","NCK","MA_QH","TIN")</f>
        <v>0</v>
      </c>
      <c r="BB37" s="50">
        <f ca="1">+GETPIVOTDATA("XSN4",'suoinghe (2016)'!$A$3,"MA_HT","NCK","MA_QH","SON")</f>
        <v>0</v>
      </c>
      <c r="BC37" s="50">
        <f ca="1">+GETPIVOTDATA("XSN4",'suoinghe (2016)'!$A$3,"MA_HT","NCK","MA_QH","MNC")</f>
        <v>0</v>
      </c>
      <c r="BD37" s="50">
        <f ca="1">+GETPIVOTDATA("XSN4",'suoinghe (2016)'!$A$3,"MA_HT","NCK","MA_QH","PNK")</f>
        <v>0</v>
      </c>
      <c r="BE37" s="80">
        <f ca="1">+GETPIVOTDATA("XSN4",'suoinghe (2016)'!$A$3,"MA_HT","NCK","MA_QH","CSD")</f>
        <v>0</v>
      </c>
      <c r="BF37" s="103">
        <f ca="1" t="shared" si="13"/>
        <v>0</v>
      </c>
      <c r="BG37" s="104">
        <f ca="1">AJ$59-$BF37</f>
        <v>0</v>
      </c>
      <c r="BH37" s="47" t="e">
        <f ca="1" t="shared" si="14"/>
        <v>#REF!</v>
      </c>
      <c r="BI37" s="105"/>
      <c r="BJ37" s="105" t="e">
        <f>#REF!</f>
        <v>#REF!</v>
      </c>
      <c r="BK37" s="108" t="e">
        <f ca="1" t="shared" si="19"/>
        <v>#REF!</v>
      </c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</row>
    <row r="38" s="4" customFormat="1" ht="16.5" customHeight="1" spans="1:79">
      <c r="A38" s="45" t="s">
        <v>8394</v>
      </c>
      <c r="B38" s="45" t="s">
        <v>8395</v>
      </c>
      <c r="C38" s="46" t="s">
        <v>8295</v>
      </c>
      <c r="D38" s="47" t="e">
        <f>+#REF!</f>
        <v>#REF!</v>
      </c>
      <c r="E38" s="42">
        <f ca="1" t="shared" si="15"/>
        <v>0</v>
      </c>
      <c r="F38" s="52">
        <f ca="1" t="shared" si="9"/>
        <v>0</v>
      </c>
      <c r="G38" s="50">
        <f ca="1">+GETPIVOTDATA("XSN4",'suoinghe (2016)'!$A$3,"MA_HT","DXH","MA_QH","LUC")</f>
        <v>0</v>
      </c>
      <c r="H38" s="50">
        <f ca="1">+GETPIVOTDATA("XSN4",'suoinghe (2016)'!$A$3,"MA_HT","DXH","MA_QH","LUK")</f>
        <v>0</v>
      </c>
      <c r="I38" s="50">
        <f ca="1">+GETPIVOTDATA("XSN4",'suoinghe (2016)'!$A$3,"MA_HT","DXH","MA_QH","LUN")</f>
        <v>0</v>
      </c>
      <c r="J38" s="50">
        <f ca="1">+GETPIVOTDATA("XSN4",'suoinghe (2016)'!$A$3,"MA_HT","DXH","MA_QH","HNK")</f>
        <v>0</v>
      </c>
      <c r="K38" s="50">
        <f ca="1">+GETPIVOTDATA("XSN4",'suoinghe (2016)'!$A$3,"MA_HT","DXH","MA_QH","CLN")</f>
        <v>0</v>
      </c>
      <c r="L38" s="50">
        <f ca="1">+GETPIVOTDATA("XSN4",'suoinghe (2016)'!$A$3,"MA_HT","DXH","MA_QH","RSX")</f>
        <v>0</v>
      </c>
      <c r="M38" s="50">
        <f ca="1">+GETPIVOTDATA("XSN4",'suoinghe (2016)'!$A$3,"MA_HT","DXH","MA_QH","RPH")</f>
        <v>0</v>
      </c>
      <c r="N38" s="50">
        <f ca="1">+GETPIVOTDATA("XSN4",'suoinghe (2016)'!$A$3,"MA_HT","DXH","MA_QH","RDD")</f>
        <v>0</v>
      </c>
      <c r="O38" s="50">
        <f ca="1">+GETPIVOTDATA("XSN4",'suoinghe (2016)'!$A$3,"MA_HT","DXH","MA_QH","NTS")</f>
        <v>0</v>
      </c>
      <c r="P38" s="50">
        <f ca="1">+GETPIVOTDATA("XSN4",'suoinghe (2016)'!$A$3,"MA_HT","DXH","MA_QH","LMU")</f>
        <v>0</v>
      </c>
      <c r="Q38" s="50">
        <f ca="1">+GETPIVOTDATA("XSN4",'suoinghe (2016)'!$A$3,"MA_HT","DXH","MA_QH","NKH")</f>
        <v>0</v>
      </c>
      <c r="R38" s="48">
        <f ca="1" t="shared" si="20"/>
        <v>0</v>
      </c>
      <c r="S38" s="50">
        <f ca="1">+GETPIVOTDATA("XSN4",'suoinghe (2016)'!$A$3,"MA_HT","DXH","MA_QH","CQP")</f>
        <v>0</v>
      </c>
      <c r="T38" s="50">
        <f ca="1">+GETPIVOTDATA("XSN4",'suoinghe (2016)'!$A$3,"MA_HT","DXH","MA_QH","CAN")</f>
        <v>0</v>
      </c>
      <c r="U38" s="50">
        <f ca="1">+GETPIVOTDATA("XSN4",'suoinghe (2016)'!$A$3,"MA_HT","DXH","MA_QH","SKK")</f>
        <v>0</v>
      </c>
      <c r="V38" s="50">
        <f ca="1">+GETPIVOTDATA("XSN4",'suoinghe (2016)'!$A$3,"MA_HT","DXH","MA_QH","SKT")</f>
        <v>0</v>
      </c>
      <c r="W38" s="50">
        <f ca="1">+GETPIVOTDATA("XSN4",'suoinghe (2016)'!$A$3,"MA_HT","DXH","MA_QH","SKN")</f>
        <v>0</v>
      </c>
      <c r="X38" s="50">
        <f ca="1">+GETPIVOTDATA("XSN4",'suoinghe (2016)'!$A$3,"MA_HT","DXH","MA_QH","TMD")</f>
        <v>0</v>
      </c>
      <c r="Y38" s="50">
        <f ca="1">+GETPIVOTDATA("XSN4",'suoinghe (2016)'!$A$3,"MA_HT","DXH","MA_QH","SKC")</f>
        <v>0</v>
      </c>
      <c r="Z38" s="50">
        <f ca="1">+GETPIVOTDATA("XSN4",'suoinghe (2016)'!$A$3,"MA_HT","DXH","MA_QH","SKS")</f>
        <v>0</v>
      </c>
      <c r="AA38" s="52">
        <f ca="1">+SUM(AB38:AJ38,AL38:AM38)</f>
        <v>0</v>
      </c>
      <c r="AB38" s="50">
        <f ca="1">+GETPIVOTDATA("XSN4",'suoinghe (2016)'!$A$3,"MA_HT","DXH","MA_QH","DGT")</f>
        <v>0</v>
      </c>
      <c r="AC38" s="50">
        <f ca="1">+GETPIVOTDATA("XSN4",'suoinghe (2016)'!$A$3,"MA_HT","DXH","MA_QH","DTL")</f>
        <v>0</v>
      </c>
      <c r="AD38" s="50">
        <f ca="1">+GETPIVOTDATA("XSN4",'suoinghe (2016)'!$A$3,"MA_HT","DXH","MA_QH","DNL")</f>
        <v>0</v>
      </c>
      <c r="AE38" s="50">
        <f ca="1">+GETPIVOTDATA("XSN4",'suoinghe (2016)'!$A$3,"MA_HT","DXH","MA_QH","DBV")</f>
        <v>0</v>
      </c>
      <c r="AF38" s="50">
        <f ca="1">+GETPIVOTDATA("XSN4",'suoinghe (2016)'!$A$3,"MA_HT","DXH","MA_QH","DVH")</f>
        <v>0</v>
      </c>
      <c r="AG38" s="50">
        <f ca="1">+GETPIVOTDATA("XSN4",'suoinghe (2016)'!$A$3,"MA_HT","DXH","MA_QH","DYT")</f>
        <v>0</v>
      </c>
      <c r="AH38" s="50">
        <f ca="1">+GETPIVOTDATA("XSN4",'suoinghe (2016)'!$A$3,"MA_HT","DXH","MA_QH","DGD")</f>
        <v>0</v>
      </c>
      <c r="AI38" s="50">
        <f ca="1">+GETPIVOTDATA("XSN4",'suoinghe (2016)'!$A$3,"MA_HT","DXH","MA_QH","DTT")</f>
        <v>0</v>
      </c>
      <c r="AJ38" s="50">
        <f ca="1">+GETPIVOTDATA("XSN4",'suoinghe (2016)'!$A$3,"MA_HT","DXH","MA_QH","NCK")</f>
        <v>0</v>
      </c>
      <c r="AK38" s="49" t="e">
        <f ca="1">$D38-$BF38</f>
        <v>#REF!</v>
      </c>
      <c r="AL38" s="50">
        <f ca="1">+GETPIVOTDATA("XSN4",'suoinghe (2016)'!$A$3,"MA_HT","DXH","MA_QH","DCH")</f>
        <v>0</v>
      </c>
      <c r="AM38" s="50">
        <f ca="1">+GETPIVOTDATA("XSN4",'suoinghe (2016)'!$A$3,"MA_HT","DXH","MA_QH","DKG")</f>
        <v>0</v>
      </c>
      <c r="AN38" s="50">
        <f ca="1">+GETPIVOTDATA("XSN4",'suoinghe (2016)'!$A$3,"MA_HT","DXH","MA_QH","DDT")</f>
        <v>0</v>
      </c>
      <c r="AO38" s="50">
        <f ca="1">+GETPIVOTDATA("XSN4",'suoinghe (2016)'!$A$3,"MA_HT","DXH","MA_QH","DDL")</f>
        <v>0</v>
      </c>
      <c r="AP38" s="50">
        <f ca="1">+GETPIVOTDATA("XSN4",'suoinghe (2016)'!$A$3,"MA_HT","DXH","MA_QH","DRA")</f>
        <v>0</v>
      </c>
      <c r="AQ38" s="50">
        <f ca="1">+GETPIVOTDATA("XSN4",'suoinghe (2016)'!$A$3,"MA_HT","DXH","MA_QH","ONT")</f>
        <v>0</v>
      </c>
      <c r="AR38" s="50">
        <f ca="1">+GETPIVOTDATA("XSN4",'suoinghe (2016)'!$A$3,"MA_HT","DXH","MA_QH","ODT")</f>
        <v>0</v>
      </c>
      <c r="AS38" s="50">
        <f ca="1">+GETPIVOTDATA("XSN4",'suoinghe (2016)'!$A$3,"MA_HT","DXH","MA_QH","TSC")</f>
        <v>0</v>
      </c>
      <c r="AT38" s="50">
        <f ca="1">+GETPIVOTDATA("XSN4",'suoinghe (2016)'!$A$3,"MA_HT","DXH","MA_QH","DTS")</f>
        <v>0</v>
      </c>
      <c r="AU38" s="50">
        <f ca="1">+GETPIVOTDATA("XSN4",'suoinghe (2016)'!$A$3,"MA_HT","DXH","MA_QH","DNG")</f>
        <v>0</v>
      </c>
      <c r="AV38" s="50">
        <f ca="1">+GETPIVOTDATA("XSN4",'suoinghe (2016)'!$A$3,"MA_HT","DXH","MA_QH","TON")</f>
        <v>0</v>
      </c>
      <c r="AW38" s="50">
        <f ca="1">+GETPIVOTDATA("XSN4",'suoinghe (2016)'!$A$3,"MA_HT","DXH","MA_QH","NTD")</f>
        <v>0</v>
      </c>
      <c r="AX38" s="50">
        <f ca="1">+GETPIVOTDATA("XSN4",'suoinghe (2016)'!$A$3,"MA_HT","DXH","MA_QH","SKX")</f>
        <v>0</v>
      </c>
      <c r="AY38" s="50">
        <f ca="1">+GETPIVOTDATA("XSN4",'suoinghe (2016)'!$A$3,"MA_HT","DXH","MA_QH","DSH")</f>
        <v>0</v>
      </c>
      <c r="AZ38" s="50">
        <f ca="1">+GETPIVOTDATA("XSN4",'suoinghe (2016)'!$A$3,"MA_HT","DXH","MA_QH","DKV")</f>
        <v>0</v>
      </c>
      <c r="BA38" s="88">
        <f ca="1">+GETPIVOTDATA("XSN4",'suoinghe (2016)'!$A$3,"MA_HT","DXH","MA_QH","TIN")</f>
        <v>0</v>
      </c>
      <c r="BB38" s="50">
        <f ca="1">+GETPIVOTDATA("XSN4",'suoinghe (2016)'!$A$3,"MA_HT","DXH","MA_QH","SON")</f>
        <v>0</v>
      </c>
      <c r="BC38" s="50">
        <f ca="1">+GETPIVOTDATA("XSN4",'suoinghe (2016)'!$A$3,"MA_HT","DXH","MA_QH","MNC")</f>
        <v>0</v>
      </c>
      <c r="BD38" s="50">
        <f ca="1">+GETPIVOTDATA("XSN4",'suoinghe (2016)'!$A$3,"MA_HT","DXH","MA_QH","PNK")</f>
        <v>0</v>
      </c>
      <c r="BE38" s="80">
        <f ca="1">+GETPIVOTDATA("XSN4",'suoinghe (2016)'!$A$3,"MA_HT","DXH","MA_QH","CSD")</f>
        <v>0</v>
      </c>
      <c r="BF38" s="103">
        <f ca="1" t="shared" si="13"/>
        <v>0</v>
      </c>
      <c r="BG38" s="104">
        <f ca="1">AK$59-$BF38</f>
        <v>0</v>
      </c>
      <c r="BH38" s="47" t="e">
        <f ca="1" t="shared" si="14"/>
        <v>#REF!</v>
      </c>
      <c r="BI38" s="105"/>
      <c r="BJ38" s="105" t="e">
        <f>#REF!</f>
        <v>#REF!</v>
      </c>
      <c r="BK38" s="108" t="e">
        <f ca="1" t="shared" si="19"/>
        <v>#REF!</v>
      </c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</row>
    <row r="39" s="5" customFormat="1" ht="16.5" customHeight="1" spans="1:79">
      <c r="A39" s="45" t="s">
        <v>8396</v>
      </c>
      <c r="B39" s="45" t="s">
        <v>8397</v>
      </c>
      <c r="C39" s="46" t="s">
        <v>178</v>
      </c>
      <c r="D39" s="47" t="e">
        <f>+#REF!</f>
        <v>#REF!</v>
      </c>
      <c r="E39" s="42">
        <f ca="1" t="shared" si="15"/>
        <v>0</v>
      </c>
      <c r="F39" s="52">
        <f ca="1" t="shared" si="9"/>
        <v>0</v>
      </c>
      <c r="G39" s="50">
        <f ca="1">+GETPIVOTDATA("XSN4",'suoinghe (2016)'!$A$3,"MA_HT","DCH","MA_QH","LUC")</f>
        <v>0</v>
      </c>
      <c r="H39" s="50">
        <f ca="1">+GETPIVOTDATA("XSN4",'suoinghe (2016)'!$A$3,"MA_HT","DCH","MA_QH","LUK")</f>
        <v>0</v>
      </c>
      <c r="I39" s="50">
        <f ca="1">+GETPIVOTDATA("XSN4",'suoinghe (2016)'!$A$3,"MA_HT","DCH","MA_QH","LUN")</f>
        <v>0</v>
      </c>
      <c r="J39" s="50">
        <f ca="1">+GETPIVOTDATA("XSN4",'suoinghe (2016)'!$A$3,"MA_HT","DCH","MA_QH","HNK")</f>
        <v>0</v>
      </c>
      <c r="K39" s="50">
        <f ca="1">+GETPIVOTDATA("XSN4",'suoinghe (2016)'!$A$3,"MA_HT","DCH","MA_QH","CLN")</f>
        <v>0</v>
      </c>
      <c r="L39" s="50">
        <f ca="1">+GETPIVOTDATA("XSN4",'suoinghe (2016)'!$A$3,"MA_HT","DCH","MA_QH","RSX")</f>
        <v>0</v>
      </c>
      <c r="M39" s="50">
        <f ca="1">+GETPIVOTDATA("XSN4",'suoinghe (2016)'!$A$3,"MA_HT","DCH","MA_QH","RPH")</f>
        <v>0</v>
      </c>
      <c r="N39" s="50">
        <f ca="1">+GETPIVOTDATA("XSN4",'suoinghe (2016)'!$A$3,"MA_HT","DCH","MA_QH","RDD")</f>
        <v>0</v>
      </c>
      <c r="O39" s="50">
        <f ca="1">+GETPIVOTDATA("XSN4",'suoinghe (2016)'!$A$3,"MA_HT","DCH","MA_QH","NTS")</f>
        <v>0</v>
      </c>
      <c r="P39" s="50">
        <f ca="1">+GETPIVOTDATA("XSN4",'suoinghe (2016)'!$A$3,"MA_HT","DCH","MA_QH","LMU")</f>
        <v>0</v>
      </c>
      <c r="Q39" s="50">
        <f ca="1">+GETPIVOTDATA("XSN4",'suoinghe (2016)'!$A$3,"MA_HT","DCH","MA_QH","NKH")</f>
        <v>0</v>
      </c>
      <c r="R39" s="48">
        <f ca="1" t="shared" si="20"/>
        <v>0</v>
      </c>
      <c r="S39" s="50">
        <f ca="1">+GETPIVOTDATA("XSN4",'suoinghe (2016)'!$A$3,"MA_HT","DCH","MA_QH","CQP")</f>
        <v>0</v>
      </c>
      <c r="T39" s="50">
        <f ca="1">+GETPIVOTDATA("XSN4",'suoinghe (2016)'!$A$3,"MA_HT","DCH","MA_QH","CAN")</f>
        <v>0</v>
      </c>
      <c r="U39" s="50">
        <f ca="1">+GETPIVOTDATA("XSN4",'suoinghe (2016)'!$A$3,"MA_HT","DCH","MA_QH","SKK")</f>
        <v>0</v>
      </c>
      <c r="V39" s="50">
        <f ca="1">+GETPIVOTDATA("XSN4",'suoinghe (2016)'!$A$3,"MA_HT","DCH","MA_QH","SKT")</f>
        <v>0</v>
      </c>
      <c r="W39" s="50">
        <f ca="1">+GETPIVOTDATA("XSN4",'suoinghe (2016)'!$A$3,"MA_HT","DCH","MA_QH","SKN")</f>
        <v>0</v>
      </c>
      <c r="X39" s="50">
        <f ca="1">+GETPIVOTDATA("XSN4",'suoinghe (2016)'!$A$3,"MA_HT","DCH","MA_QH","TMD")</f>
        <v>0</v>
      </c>
      <c r="Y39" s="50">
        <f ca="1">+GETPIVOTDATA("XSN4",'suoinghe (2016)'!$A$3,"MA_HT","DCH","MA_QH","SKC")</f>
        <v>0</v>
      </c>
      <c r="Z39" s="50">
        <f ca="1">+GETPIVOTDATA("XSN4",'suoinghe (2016)'!$A$3,"MA_HT","DCH","MA_QH","SKS")</f>
        <v>0</v>
      </c>
      <c r="AA39" s="52">
        <f ca="1">+SUM(AB39:AK39,AM39)</f>
        <v>0</v>
      </c>
      <c r="AB39" s="50">
        <f ca="1">+GETPIVOTDATA("XSN4",'suoinghe (2016)'!$A$3,"MA_HT","DCH","MA_QH","DGT")</f>
        <v>0</v>
      </c>
      <c r="AC39" s="50">
        <f ca="1">+GETPIVOTDATA("XSN4",'suoinghe (2016)'!$A$3,"MA_HT","DCH","MA_QH","DTL")</f>
        <v>0</v>
      </c>
      <c r="AD39" s="50">
        <f ca="1">+GETPIVOTDATA("XSN4",'suoinghe (2016)'!$A$3,"MA_HT","DCH","MA_QH","DNL")</f>
        <v>0</v>
      </c>
      <c r="AE39" s="50">
        <f ca="1">+GETPIVOTDATA("XSN4",'suoinghe (2016)'!$A$3,"MA_HT","DCH","MA_QH","DBV")</f>
        <v>0</v>
      </c>
      <c r="AF39" s="50">
        <f ca="1">+GETPIVOTDATA("XSN4",'suoinghe (2016)'!$A$3,"MA_HT","DCH","MA_QH","DVH")</f>
        <v>0</v>
      </c>
      <c r="AG39" s="50">
        <f ca="1">+GETPIVOTDATA("XSN4",'suoinghe (2016)'!$A$3,"MA_HT","DCH","MA_QH","DYT")</f>
        <v>0</v>
      </c>
      <c r="AH39" s="50">
        <f ca="1">+GETPIVOTDATA("XSN4",'suoinghe (2016)'!$A$3,"MA_HT","DCH","MA_QH","DGD")</f>
        <v>0</v>
      </c>
      <c r="AI39" s="50">
        <f ca="1">+GETPIVOTDATA("XSN4",'suoinghe (2016)'!$A$3,"MA_HT","DCH","MA_QH","DTT")</f>
        <v>0</v>
      </c>
      <c r="AJ39" s="50">
        <f ca="1">+GETPIVOTDATA("XSN4",'suoinghe (2016)'!$A$3,"MA_HT","DCH","MA_QH","NCK")</f>
        <v>0</v>
      </c>
      <c r="AK39" s="50">
        <f ca="1">+GETPIVOTDATA("XSN4",'suoinghe (2016)'!$A$3,"MA_HT","DCH","MA_QH","DXH")</f>
        <v>0</v>
      </c>
      <c r="AL39" s="49" t="e">
        <f ca="1">$D39-$BF39</f>
        <v>#REF!</v>
      </c>
      <c r="AM39" s="50">
        <f ca="1">+GETPIVOTDATA("XSN4",'suoinghe (2016)'!$A$3,"MA_HT","DXH","MA_QH","DKG")</f>
        <v>0</v>
      </c>
      <c r="AN39" s="50">
        <f ca="1">+GETPIVOTDATA("XSN4",'suoinghe (2016)'!$A$3,"MA_HT","DCH","MA_QH","DDT")</f>
        <v>0</v>
      </c>
      <c r="AO39" s="50">
        <f ca="1">+GETPIVOTDATA("XSN4",'suoinghe (2016)'!$A$3,"MA_HT","DCH","MA_QH","DDL")</f>
        <v>0</v>
      </c>
      <c r="AP39" s="50">
        <f ca="1">+GETPIVOTDATA("XSN4",'suoinghe (2016)'!$A$3,"MA_HT","DCH","MA_QH","DRA")</f>
        <v>0</v>
      </c>
      <c r="AQ39" s="50">
        <f ca="1">+GETPIVOTDATA("XSN4",'suoinghe (2016)'!$A$3,"MA_HT","DCH","MA_QH","ONT")</f>
        <v>0</v>
      </c>
      <c r="AR39" s="50">
        <f ca="1">+GETPIVOTDATA("XSN4",'suoinghe (2016)'!$A$3,"MA_HT","DCH","MA_QH","ODT")</f>
        <v>0</v>
      </c>
      <c r="AS39" s="50">
        <f ca="1">+GETPIVOTDATA("XSN4",'suoinghe (2016)'!$A$3,"MA_HT","DCH","MA_QH","TSC")</f>
        <v>0</v>
      </c>
      <c r="AT39" s="50">
        <f ca="1">+GETPIVOTDATA("XSN4",'suoinghe (2016)'!$A$3,"MA_HT","DCH","MA_QH","DTS")</f>
        <v>0</v>
      </c>
      <c r="AU39" s="50">
        <f ca="1">+GETPIVOTDATA("XSN4",'suoinghe (2016)'!$A$3,"MA_HT","DCH","MA_QH","DNG")</f>
        <v>0</v>
      </c>
      <c r="AV39" s="50">
        <f ca="1">+GETPIVOTDATA("XSN4",'suoinghe (2016)'!$A$3,"MA_HT","DCH","MA_QH","TON")</f>
        <v>0</v>
      </c>
      <c r="AW39" s="50">
        <f ca="1">+GETPIVOTDATA("XSN4",'suoinghe (2016)'!$A$3,"MA_HT","DCH","MA_QH","NTD")</f>
        <v>0</v>
      </c>
      <c r="AX39" s="50">
        <f ca="1">+GETPIVOTDATA("XSN4",'suoinghe (2016)'!$A$3,"MA_HT","DCH","MA_QH","SKX")</f>
        <v>0</v>
      </c>
      <c r="AY39" s="50">
        <f ca="1">+GETPIVOTDATA("XSN4",'suoinghe (2016)'!$A$3,"MA_HT","DCH","MA_QH","DSH")</f>
        <v>0</v>
      </c>
      <c r="AZ39" s="50">
        <f ca="1">+GETPIVOTDATA("XSN4",'suoinghe (2016)'!$A$3,"MA_HT","DCH","MA_QH","DKV")</f>
        <v>0</v>
      </c>
      <c r="BA39" s="88">
        <f ca="1">+GETPIVOTDATA("XSN4",'suoinghe (2016)'!$A$3,"MA_HT","DCH","MA_QH","TIN")</f>
        <v>0</v>
      </c>
      <c r="BB39" s="50">
        <f ca="1">+GETPIVOTDATA("XSN4",'suoinghe (2016)'!$A$3,"MA_HT","DCH","MA_QH","SON")</f>
        <v>0</v>
      </c>
      <c r="BC39" s="50">
        <f ca="1">+GETPIVOTDATA("XSN4",'suoinghe (2016)'!$A$3,"MA_HT","DCH","MA_QH","MNC")</f>
        <v>0</v>
      </c>
      <c r="BD39" s="50">
        <f ca="1">+GETPIVOTDATA("XSN4",'suoinghe (2016)'!$A$3,"MA_HT","DCH","MA_QH","PNK")</f>
        <v>0</v>
      </c>
      <c r="BE39" s="80">
        <f ca="1">+GETPIVOTDATA("XSN4",'suoinghe (2016)'!$A$3,"MA_HT","DCH","MA_QH","CSD")</f>
        <v>0</v>
      </c>
      <c r="BF39" s="103">
        <f ca="1" t="shared" si="13"/>
        <v>0</v>
      </c>
      <c r="BG39" s="104">
        <f ca="1">AL$59-$BF39</f>
        <v>0</v>
      </c>
      <c r="BH39" s="47" t="e">
        <f ca="1" t="shared" si="14"/>
        <v>#REF!</v>
      </c>
      <c r="BI39" s="109"/>
      <c r="BJ39" s="109" t="e">
        <f>#REF!</f>
        <v>#REF!</v>
      </c>
      <c r="BK39" s="110" t="e">
        <f ca="1" t="shared" si="19"/>
        <v>#REF!</v>
      </c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</row>
    <row r="40" s="5" customFormat="1" ht="16.5" customHeight="1" spans="1:79">
      <c r="A40" s="45" t="s">
        <v>8398</v>
      </c>
      <c r="B40" s="45" t="s">
        <v>8399</v>
      </c>
      <c r="C40" s="46" t="s">
        <v>8312</v>
      </c>
      <c r="D40" s="47" t="e">
        <f>+#REF!</f>
        <v>#REF!</v>
      </c>
      <c r="E40" s="42">
        <f ca="1" t="shared" si="15"/>
        <v>0</v>
      </c>
      <c r="F40" s="52">
        <f ca="1" t="shared" si="9"/>
        <v>0</v>
      </c>
      <c r="G40" s="50">
        <f ca="1">+GETPIVOTDATA("XSN4",'suoinghe (2016)'!$A$3,"MA_HT","DKG","MA_QH","LUC")</f>
        <v>0</v>
      </c>
      <c r="H40" s="50">
        <f ca="1">+GETPIVOTDATA("XSN4",'suoinghe (2016)'!$A$3,"MA_HT","DKG","MA_QH","LUK")</f>
        <v>0</v>
      </c>
      <c r="I40" s="50">
        <f ca="1">+GETPIVOTDATA("XSN4",'suoinghe (2016)'!$A$3,"MA_HT","DKG","MA_QH","LUN")</f>
        <v>0</v>
      </c>
      <c r="J40" s="50">
        <f ca="1">+GETPIVOTDATA("XSN4",'suoinghe (2016)'!$A$3,"MA_HT","DKG","MA_QH","HNK")</f>
        <v>0</v>
      </c>
      <c r="K40" s="50">
        <f ca="1">+GETPIVOTDATA("XSN4",'suoinghe (2016)'!$A$3,"MA_HT","DKG","MA_QH","CLN")</f>
        <v>0</v>
      </c>
      <c r="L40" s="50">
        <f ca="1">+GETPIVOTDATA("XSN4",'suoinghe (2016)'!$A$3,"MA_HT","DKG","MA_QH","RSX")</f>
        <v>0</v>
      </c>
      <c r="M40" s="50">
        <f ca="1">+GETPIVOTDATA("XSN4",'suoinghe (2016)'!$A$3,"MA_HT","DKG","MA_QH","RPH")</f>
        <v>0</v>
      </c>
      <c r="N40" s="50">
        <f ca="1">+GETPIVOTDATA("XSN4",'suoinghe (2016)'!$A$3,"MA_HT","DKG","MA_QH","RDD")</f>
        <v>0</v>
      </c>
      <c r="O40" s="50">
        <f ca="1">+GETPIVOTDATA("XSN4",'suoinghe (2016)'!$A$3,"MA_HT","DKG","MA_QH","NTS")</f>
        <v>0</v>
      </c>
      <c r="P40" s="50">
        <f ca="1">+GETPIVOTDATA("XSN4",'suoinghe (2016)'!$A$3,"MA_HT","DKG","MA_QH","LMU")</f>
        <v>0</v>
      </c>
      <c r="Q40" s="50">
        <f ca="1">+GETPIVOTDATA("XSN4",'suoinghe (2016)'!$A$3,"MA_HT","DKG","MA_QH","NKH")</f>
        <v>0</v>
      </c>
      <c r="R40" s="48">
        <f ca="1" t="shared" si="20"/>
        <v>0</v>
      </c>
      <c r="S40" s="50">
        <f ca="1">+GETPIVOTDATA("XSN4",'suoinghe (2016)'!$A$3,"MA_HT","DKG","MA_QH","CQP")</f>
        <v>0</v>
      </c>
      <c r="T40" s="50">
        <f ca="1">+GETPIVOTDATA("XSN4",'suoinghe (2016)'!$A$3,"MA_HT","DKG","MA_QH","CAN")</f>
        <v>0</v>
      </c>
      <c r="U40" s="50">
        <f ca="1">+GETPIVOTDATA("XSN4",'suoinghe (2016)'!$A$3,"MA_HT","DKG","MA_QH","SKK")</f>
        <v>0</v>
      </c>
      <c r="V40" s="50">
        <f ca="1">+GETPIVOTDATA("XSN4",'suoinghe (2016)'!$A$3,"MA_HT","DKG","MA_QH","SKT")</f>
        <v>0</v>
      </c>
      <c r="W40" s="50">
        <f ca="1">+GETPIVOTDATA("XSN4",'suoinghe (2016)'!$A$3,"MA_HT","DKG","MA_QH","SKN")</f>
        <v>0</v>
      </c>
      <c r="X40" s="50">
        <f ca="1">+GETPIVOTDATA("XSN4",'suoinghe (2016)'!$A$3,"MA_HT","DKG","MA_QH","TMD")</f>
        <v>0</v>
      </c>
      <c r="Y40" s="50">
        <f ca="1">+GETPIVOTDATA("XSN4",'suoinghe (2016)'!$A$3,"MA_HT","DKG","MA_QH","SKC")</f>
        <v>0</v>
      </c>
      <c r="Z40" s="50">
        <f ca="1">+GETPIVOTDATA("XSN4",'suoinghe (2016)'!$A$3,"MA_HT","DKG","MA_QH","SKS")</f>
        <v>0</v>
      </c>
      <c r="AA40" s="52">
        <f ca="1">+SUM(AB40:AL40)</f>
        <v>0</v>
      </c>
      <c r="AB40" s="50">
        <f ca="1">+GETPIVOTDATA("XSN4",'suoinghe (2016)'!$A$3,"MA_HT","DKG","MA_QH","DGT")</f>
        <v>0</v>
      </c>
      <c r="AC40" s="50">
        <f ca="1">+GETPIVOTDATA("XSN4",'suoinghe (2016)'!$A$3,"MA_HT","DKG","MA_QH","DTL")</f>
        <v>0</v>
      </c>
      <c r="AD40" s="50">
        <f ca="1">+GETPIVOTDATA("XSN4",'suoinghe (2016)'!$A$3,"MA_HT","DKG","MA_QH","DNL")</f>
        <v>0</v>
      </c>
      <c r="AE40" s="50">
        <f ca="1">+GETPIVOTDATA("XSN4",'suoinghe (2016)'!$A$3,"MA_HT","DKG","MA_QH","DBV")</f>
        <v>0</v>
      </c>
      <c r="AF40" s="50">
        <f ca="1">+GETPIVOTDATA("XSN4",'suoinghe (2016)'!$A$3,"MA_HT","DKG","MA_QH","DVH")</f>
        <v>0</v>
      </c>
      <c r="AG40" s="50">
        <f ca="1">+GETPIVOTDATA("XSN4",'suoinghe (2016)'!$A$3,"MA_HT","DKG","MA_QH","DYT")</f>
        <v>0</v>
      </c>
      <c r="AH40" s="50">
        <f ca="1">+GETPIVOTDATA("XSN4",'suoinghe (2016)'!$A$3,"MA_HT","DKG","MA_QH","DGD")</f>
        <v>0</v>
      </c>
      <c r="AI40" s="50">
        <f ca="1">+GETPIVOTDATA("XSN4",'suoinghe (2016)'!$A$3,"MA_HT","DKG","MA_QH","DTT")</f>
        <v>0</v>
      </c>
      <c r="AJ40" s="50">
        <f ca="1">+GETPIVOTDATA("XSN4",'suoinghe (2016)'!$A$3,"MA_HT","DKG","MA_QH","NCK")</f>
        <v>0</v>
      </c>
      <c r="AK40" s="50">
        <f ca="1">+GETPIVOTDATA("XSN4",'suoinghe (2016)'!$A$3,"MA_HT","DKG","MA_QH","DXH")</f>
        <v>0</v>
      </c>
      <c r="AL40" s="60">
        <f ca="1">+GETPIVOTDATA("XSN4",'suoinghe (2016)'!$A$3,"MA_HT","DDT","MA_QH","DKG")</f>
        <v>0</v>
      </c>
      <c r="AM40" s="49" t="e">
        <f ca="1">$D40-$BF40</f>
        <v>#REF!</v>
      </c>
      <c r="AN40" s="50">
        <f ca="1">+GETPIVOTDATA("XSN4",'suoinghe (2016)'!$A$3,"MA_HT","DKG","MA_QH","DDT")</f>
        <v>0</v>
      </c>
      <c r="AO40" s="50">
        <f ca="1">+GETPIVOTDATA("XSN4",'suoinghe (2016)'!$A$3,"MA_HT","DKG","MA_QH","DDL")</f>
        <v>0</v>
      </c>
      <c r="AP40" s="50">
        <f ca="1">+GETPIVOTDATA("XSN4",'suoinghe (2016)'!$A$3,"MA_HT","DKG","MA_QH","DRA")</f>
        <v>0</v>
      </c>
      <c r="AQ40" s="50">
        <f ca="1">+GETPIVOTDATA("XSN4",'suoinghe (2016)'!$A$3,"MA_HT","DKG","MA_QH","ONT")</f>
        <v>0</v>
      </c>
      <c r="AR40" s="50">
        <f ca="1">+GETPIVOTDATA("XSN4",'suoinghe (2016)'!$A$3,"MA_HT","DKG","MA_QH","ODT")</f>
        <v>0</v>
      </c>
      <c r="AS40" s="50">
        <f ca="1">+GETPIVOTDATA("XSN4",'suoinghe (2016)'!$A$3,"MA_HT","DKG","MA_QH","TSC")</f>
        <v>0</v>
      </c>
      <c r="AT40" s="50">
        <f ca="1">+GETPIVOTDATA("XSN4",'suoinghe (2016)'!$A$3,"MA_HT","DKG","MA_QH","DTS")</f>
        <v>0</v>
      </c>
      <c r="AU40" s="50">
        <f ca="1">+GETPIVOTDATA("XSN4",'suoinghe (2016)'!$A$3,"MA_HT","DKG","MA_QH","DNG")</f>
        <v>0</v>
      </c>
      <c r="AV40" s="50">
        <f ca="1">+GETPIVOTDATA("XSN4",'suoinghe (2016)'!$A$3,"MA_HT","DKG","MA_QH","TON")</f>
        <v>0</v>
      </c>
      <c r="AW40" s="50">
        <f ca="1">+GETPIVOTDATA("XSN4",'suoinghe (2016)'!$A$3,"MA_HT","DKG","MA_QH","NTD")</f>
        <v>0</v>
      </c>
      <c r="AX40" s="50">
        <f ca="1">+GETPIVOTDATA("XSN4",'suoinghe (2016)'!$A$3,"MA_HT","DKG","MA_QH","SKX")</f>
        <v>0</v>
      </c>
      <c r="AY40" s="50">
        <f ca="1">+GETPIVOTDATA("XSN4",'suoinghe (2016)'!$A$3,"MA_HT","DKG","MA_QH","DSH")</f>
        <v>0</v>
      </c>
      <c r="AZ40" s="50">
        <f ca="1">+GETPIVOTDATA("XSN4",'suoinghe (2016)'!$A$3,"MA_HT","DKG","MA_QH","DKV")</f>
        <v>0</v>
      </c>
      <c r="BA40" s="88">
        <f ca="1">+GETPIVOTDATA("XSN4",'suoinghe (2016)'!$A$3,"MA_HT","DKG","MA_QH","TIN")</f>
        <v>0</v>
      </c>
      <c r="BB40" s="50">
        <f ca="1">+GETPIVOTDATA("XSN4",'suoinghe (2016)'!$A$3,"MA_HT","DKG","MA_QH","SON")</f>
        <v>0</v>
      </c>
      <c r="BC40" s="50">
        <f ca="1">+GETPIVOTDATA("XSN4",'suoinghe (2016)'!$A$3,"MA_HT","DKG","MA_QH","MNC")</f>
        <v>0</v>
      </c>
      <c r="BD40" s="50">
        <f ca="1">+GETPIVOTDATA("XSN4",'suoinghe (2016)'!$A$3,"MA_HT","DKG","MA_QH","PNK")</f>
        <v>0</v>
      </c>
      <c r="BE40" s="80">
        <f ca="1">+GETPIVOTDATA("XSN4",'suoinghe (2016)'!$A$3,"MA_HT","DKG","MA_QH","CSD")</f>
        <v>0</v>
      </c>
      <c r="BF40" s="103">
        <f ca="1" t="shared" si="13"/>
        <v>0</v>
      </c>
      <c r="BG40" s="104">
        <f ca="1">AM$59-$BF40</f>
        <v>0</v>
      </c>
      <c r="BH40" s="47" t="e">
        <f ca="1" t="shared" si="14"/>
        <v>#REF!</v>
      </c>
      <c r="BI40" s="109"/>
      <c r="BJ40" s="109" t="e">
        <f>#REF!</f>
        <v>#REF!</v>
      </c>
      <c r="BK40" s="110" t="e">
        <f ca="1" t="shared" si="19"/>
        <v>#REF!</v>
      </c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</row>
    <row r="41" s="6" customFormat="1" ht="15.75" customHeight="1" spans="1:79">
      <c r="A41" s="54" t="s">
        <v>8400</v>
      </c>
      <c r="B41" s="55" t="s">
        <v>8401</v>
      </c>
      <c r="C41" s="56" t="s">
        <v>8287</v>
      </c>
      <c r="D41" s="57" t="e">
        <f>+#REF!</f>
        <v>#REF!</v>
      </c>
      <c r="E41" s="58">
        <f ca="1" t="shared" si="15"/>
        <v>0</v>
      </c>
      <c r="F41" s="59">
        <f ca="1" t="shared" si="9"/>
        <v>0</v>
      </c>
      <c r="G41" s="60">
        <f ca="1">+GETPIVOTDATA("XSN4",'suoinghe (2016)'!$A$3,"MA_HT","DDT","MA_QH","LUC")</f>
        <v>0</v>
      </c>
      <c r="H41" s="60">
        <f ca="1">+GETPIVOTDATA("XSN4",'suoinghe (2016)'!$A$3,"MA_HT","DDT","MA_QH","LUK")</f>
        <v>0</v>
      </c>
      <c r="I41" s="60">
        <f ca="1">+GETPIVOTDATA("XSN4",'suoinghe (2016)'!$A$3,"MA_HT","DDT","MA_QH","LUN")</f>
        <v>0</v>
      </c>
      <c r="J41" s="60">
        <f ca="1">+GETPIVOTDATA("XSN4",'suoinghe (2016)'!$A$3,"MA_HT","DDT","MA_QH","HNK")</f>
        <v>0</v>
      </c>
      <c r="K41" s="60">
        <f ca="1">+GETPIVOTDATA("XSN4",'suoinghe (2016)'!$A$3,"MA_HT","DDT","MA_QH","CLN")</f>
        <v>0</v>
      </c>
      <c r="L41" s="60">
        <f ca="1">+GETPIVOTDATA("XSN4",'suoinghe (2016)'!$A$3,"MA_HT","DDT","MA_QH","RSX")</f>
        <v>0</v>
      </c>
      <c r="M41" s="60">
        <f ca="1">+GETPIVOTDATA("XSN4",'suoinghe (2016)'!$A$3,"MA_HT","DDT","MA_QH","RPH")</f>
        <v>0</v>
      </c>
      <c r="N41" s="60">
        <f ca="1">+GETPIVOTDATA("XSN4",'suoinghe (2016)'!$A$3,"MA_HT","DDT","MA_QH","RDD")</f>
        <v>0</v>
      </c>
      <c r="O41" s="60">
        <f ca="1">+GETPIVOTDATA("XSN4",'suoinghe (2016)'!$A$3,"MA_HT","DDT","MA_QH","NTS")</f>
        <v>0</v>
      </c>
      <c r="P41" s="60">
        <f ca="1">+GETPIVOTDATA("XSN4",'suoinghe (2016)'!$A$3,"MA_HT","DDT","MA_QH","LMU")</f>
        <v>0</v>
      </c>
      <c r="Q41" s="60">
        <f ca="1">+GETPIVOTDATA("XSN4",'suoinghe (2016)'!$A$3,"MA_HT","DDT","MA_QH","NKH")</f>
        <v>0</v>
      </c>
      <c r="R41" s="78">
        <f ca="1">SUM(S41:AA41,AO41:BD41)</f>
        <v>0</v>
      </c>
      <c r="S41" s="60">
        <f ca="1">+GETPIVOTDATA("XSN4",'suoinghe (2016)'!$A$3,"MA_HT","DDT","MA_QH","CQP")</f>
        <v>0</v>
      </c>
      <c r="T41" s="60">
        <f ca="1">+GETPIVOTDATA("XSN4",'suoinghe (2016)'!$A$3,"MA_HT","DDT","MA_QH","CAN")</f>
        <v>0</v>
      </c>
      <c r="U41" s="60">
        <f ca="1">+GETPIVOTDATA("XSN4",'suoinghe (2016)'!$A$3,"MA_HT","DDT","MA_QH","SKK")</f>
        <v>0</v>
      </c>
      <c r="V41" s="60">
        <f ca="1">+GETPIVOTDATA("XSN4",'suoinghe (2016)'!$A$3,"MA_HT","DDT","MA_QH","SKT")</f>
        <v>0</v>
      </c>
      <c r="W41" s="60">
        <f ca="1">+GETPIVOTDATA("XSN4",'suoinghe (2016)'!$A$3,"MA_HT","DDT","MA_QH","SKN")</f>
        <v>0</v>
      </c>
      <c r="X41" s="60">
        <f ca="1">+GETPIVOTDATA("XSN4",'suoinghe (2016)'!$A$3,"MA_HT","DDT","MA_QH","TMD")</f>
        <v>0</v>
      </c>
      <c r="Y41" s="60">
        <f ca="1">+GETPIVOTDATA("XSN4",'suoinghe (2016)'!$A$3,"MA_HT","DDT","MA_QH","SKC")</f>
        <v>0</v>
      </c>
      <c r="Z41" s="60">
        <f ca="1">+GETPIVOTDATA("XSN4",'suoinghe (2016)'!$A$3,"MA_HT","DDT","MA_QH","SKS")</f>
        <v>0</v>
      </c>
      <c r="AA41" s="59">
        <f ca="1" t="shared" ref="AA41:AA58" si="21">+SUM(AB41:AM41)</f>
        <v>0</v>
      </c>
      <c r="AB41" s="60">
        <f ca="1">+GETPIVOTDATA("XSN4",'suoinghe (2016)'!$A$3,"MA_HT","DDT","MA_QH","DGT")</f>
        <v>0</v>
      </c>
      <c r="AC41" s="60">
        <f ca="1">+GETPIVOTDATA("XSN4",'suoinghe (2016)'!$A$3,"MA_HT","DDT","MA_QH","DTL")</f>
        <v>0</v>
      </c>
      <c r="AD41" s="60">
        <f ca="1">+GETPIVOTDATA("XSN4",'suoinghe (2016)'!$A$3,"MA_HT","DDT","MA_QH","DNL")</f>
        <v>0</v>
      </c>
      <c r="AE41" s="60">
        <f ca="1">+GETPIVOTDATA("XSN4",'suoinghe (2016)'!$A$3,"MA_HT","DDT","MA_QH","DBV")</f>
        <v>0</v>
      </c>
      <c r="AF41" s="60">
        <f ca="1">+GETPIVOTDATA("XSN4",'suoinghe (2016)'!$A$3,"MA_HT","DDT","MA_QH","DVH")</f>
        <v>0</v>
      </c>
      <c r="AG41" s="60">
        <f ca="1">+GETPIVOTDATA("XSN4",'suoinghe (2016)'!$A$3,"MA_HT","DDT","MA_QH","DYT")</f>
        <v>0</v>
      </c>
      <c r="AH41" s="60">
        <f ca="1">+GETPIVOTDATA("XSN4",'suoinghe (2016)'!$A$3,"MA_HT","DDT","MA_QH","DGD")</f>
        <v>0</v>
      </c>
      <c r="AI41" s="60">
        <f ca="1">+GETPIVOTDATA("XSN4",'suoinghe (2016)'!$A$3,"MA_HT","DDT","MA_QH","DTT")</f>
        <v>0</v>
      </c>
      <c r="AJ41" s="60">
        <f ca="1">+GETPIVOTDATA("XSN4",'suoinghe (2016)'!$A$3,"MA_HT","DDT","MA_QH","NCK")</f>
        <v>0</v>
      </c>
      <c r="AK41" s="60">
        <f ca="1">+GETPIVOTDATA("XSN4",'suoinghe (2016)'!$A$3,"MA_HT","DDT","MA_QH","DXH")</f>
        <v>0</v>
      </c>
      <c r="AL41" s="60">
        <f ca="1">+GETPIVOTDATA("XSN4",'suoinghe (2016)'!$A$3,"MA_HT","DDT","MA_QH","DCH")</f>
        <v>0</v>
      </c>
      <c r="AM41" s="60">
        <f ca="1">+GETPIVOTDATA("XSN4",'suoinghe (2016)'!$A$3,"MA_HT","DDT","MA_QH","DKG")</f>
        <v>0</v>
      </c>
      <c r="AN41" s="81" t="e">
        <f ca="1">$D41-$BF41</f>
        <v>#REF!</v>
      </c>
      <c r="AO41" s="60">
        <f ca="1">+GETPIVOTDATA("XSN4",'suoinghe (2016)'!$A$3,"MA_HT","DDT","MA_QH","DDL")</f>
        <v>0</v>
      </c>
      <c r="AP41" s="60">
        <f ca="1">+GETPIVOTDATA("XSN4",'suoinghe (2016)'!$A$3,"MA_HT","DDT","MA_QH","DRA")</f>
        <v>0</v>
      </c>
      <c r="AQ41" s="60">
        <f ca="1">+GETPIVOTDATA("XSN4",'suoinghe (2016)'!$A$3,"MA_HT","DDT","MA_QH","ONT")</f>
        <v>0</v>
      </c>
      <c r="AR41" s="60">
        <f ca="1">+GETPIVOTDATA("XSN4",'suoinghe (2016)'!$A$3,"MA_HT","DDT","MA_QH","ODT")</f>
        <v>0</v>
      </c>
      <c r="AS41" s="60">
        <f ca="1">+GETPIVOTDATA("XSN4",'suoinghe (2016)'!$A$3,"MA_HT","DDT","MA_QH","TSC")</f>
        <v>0</v>
      </c>
      <c r="AT41" s="60">
        <f ca="1">+GETPIVOTDATA("XSN4",'suoinghe (2016)'!$A$3,"MA_HT","DDT","MA_QH","DTS")</f>
        <v>0</v>
      </c>
      <c r="AU41" s="60">
        <f ca="1">+GETPIVOTDATA("XSN4",'suoinghe (2016)'!$A$3,"MA_HT","DDT","MA_QH","DNG")</f>
        <v>0</v>
      </c>
      <c r="AV41" s="60">
        <f ca="1">+GETPIVOTDATA("XSN4",'suoinghe (2016)'!$A$3,"MA_HT","DDT","MA_QH","TON")</f>
        <v>0</v>
      </c>
      <c r="AW41" s="60">
        <f ca="1">+GETPIVOTDATA("XSN4",'suoinghe (2016)'!$A$3,"MA_HT","DDT","MA_QH","NTD")</f>
        <v>0</v>
      </c>
      <c r="AX41" s="60">
        <f ca="1">+GETPIVOTDATA("XSN4",'suoinghe (2016)'!$A$3,"MA_HT","DDT","MA_QH","SKX")</f>
        <v>0</v>
      </c>
      <c r="AY41" s="60">
        <f ca="1">+GETPIVOTDATA("XSN4",'suoinghe (2016)'!$A$3,"MA_HT","DDT","MA_QH","DSH")</f>
        <v>0</v>
      </c>
      <c r="AZ41" s="60">
        <f ca="1">+GETPIVOTDATA("XSN4",'suoinghe (2016)'!$A$3,"MA_HT","DDT","MA_QH","DKV")</f>
        <v>0</v>
      </c>
      <c r="BA41" s="90">
        <f ca="1">+GETPIVOTDATA("XSN4",'suoinghe (2016)'!$A$3,"MA_HT","DDT","MA_QH","TIN")</f>
        <v>0</v>
      </c>
      <c r="BB41" s="91">
        <f ca="1">+GETPIVOTDATA("XSN4",'suoinghe (2016)'!$A$3,"MA_HT","DDT","MA_QH","SON")</f>
        <v>0</v>
      </c>
      <c r="BC41" s="91">
        <f ca="1">+GETPIVOTDATA("XSN4",'suoinghe (2016)'!$A$3,"MA_HT","DDT","MA_QH","MNC")</f>
        <v>0</v>
      </c>
      <c r="BD41" s="60">
        <f ca="1">+GETPIVOTDATA("XSN4",'suoinghe (2016)'!$A$3,"MA_HT","DDT","MA_QH","PNK")</f>
        <v>0</v>
      </c>
      <c r="BE41" s="111">
        <f ca="1">+GETPIVOTDATA("XSN4",'suoinghe (2016)'!$A$3,"MA_HT","DDT","MA_QH","CSD")</f>
        <v>0</v>
      </c>
      <c r="BF41" s="112">
        <f ca="1" t="shared" si="13"/>
        <v>0</v>
      </c>
      <c r="BG41" s="113">
        <f ca="1">AN$59-$BF41</f>
        <v>0</v>
      </c>
      <c r="BH41" s="57" t="e">
        <f ca="1" t="shared" si="14"/>
        <v>#REF!</v>
      </c>
      <c r="BI41" s="114"/>
      <c r="BJ41" s="115"/>
      <c r="BK41" s="115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</row>
    <row r="42" s="2" customFormat="1" ht="15.75" customHeight="1" spans="1:79">
      <c r="A42" s="39" t="s">
        <v>8402</v>
      </c>
      <c r="B42" s="53" t="s">
        <v>8403</v>
      </c>
      <c r="C42" s="40" t="s">
        <v>8286</v>
      </c>
      <c r="D42" s="41" t="e">
        <f>+#REF!</f>
        <v>#REF!</v>
      </c>
      <c r="E42" s="42">
        <f ca="1" t="shared" si="15"/>
        <v>0</v>
      </c>
      <c r="F42" s="52">
        <f ca="1" t="shared" si="9"/>
        <v>0</v>
      </c>
      <c r="G42" s="22">
        <f ca="1">+GETPIVOTDATA("XSN4",'suoinghe (2016)'!$A$3,"MA_HT","DDL","MA_QH","LUC")</f>
        <v>0</v>
      </c>
      <c r="H42" s="22">
        <f ca="1">+GETPIVOTDATA("XSN4",'suoinghe (2016)'!$A$3,"MA_HT","DDL","MA_QH","LUK")</f>
        <v>0</v>
      </c>
      <c r="I42" s="22">
        <f ca="1">+GETPIVOTDATA("XSN4",'suoinghe (2016)'!$A$3,"MA_HT","DDL","MA_QH","LUN")</f>
        <v>0</v>
      </c>
      <c r="J42" s="22">
        <f ca="1">+GETPIVOTDATA("XSN4",'suoinghe (2016)'!$A$3,"MA_HT","DDL","MA_QH","HNK")</f>
        <v>0</v>
      </c>
      <c r="K42" s="22">
        <f ca="1">+GETPIVOTDATA("XSN4",'suoinghe (2016)'!$A$3,"MA_HT","DDL","MA_QH","CLN")</f>
        <v>0</v>
      </c>
      <c r="L42" s="22">
        <f ca="1">+GETPIVOTDATA("XSN4",'suoinghe (2016)'!$A$3,"MA_HT","DDL","MA_QH","RSX")</f>
        <v>0</v>
      </c>
      <c r="M42" s="22">
        <f ca="1">+GETPIVOTDATA("XSN4",'suoinghe (2016)'!$A$3,"MA_HT","DDL","MA_QH","RPH")</f>
        <v>0</v>
      </c>
      <c r="N42" s="22">
        <f ca="1">+GETPIVOTDATA("XSN4",'suoinghe (2016)'!$A$3,"MA_HT","DDL","MA_QH","RDD")</f>
        <v>0</v>
      </c>
      <c r="O42" s="22">
        <f ca="1">+GETPIVOTDATA("XSN4",'suoinghe (2016)'!$A$3,"MA_HT","DDL","MA_QH","NTS")</f>
        <v>0</v>
      </c>
      <c r="P42" s="22">
        <f ca="1">+GETPIVOTDATA("XSN4",'suoinghe (2016)'!$A$3,"MA_HT","DDL","MA_QH","LMU")</f>
        <v>0</v>
      </c>
      <c r="Q42" s="22">
        <f ca="1">+GETPIVOTDATA("XSN4",'suoinghe (2016)'!$A$3,"MA_HT","DDL","MA_QH","NKH")</f>
        <v>0</v>
      </c>
      <c r="R42" s="79">
        <f ca="1">SUM(S42:AA42,AN42,AP42:BD42)</f>
        <v>0</v>
      </c>
      <c r="S42" s="22">
        <f ca="1">+GETPIVOTDATA("XSN4",'suoinghe (2016)'!$A$3,"MA_HT","DDL","MA_QH","CQP")</f>
        <v>0</v>
      </c>
      <c r="T42" s="22">
        <f ca="1">+GETPIVOTDATA("XSN4",'suoinghe (2016)'!$A$3,"MA_HT","DDL","MA_QH","CAN")</f>
        <v>0</v>
      </c>
      <c r="U42" s="22">
        <f ca="1">+GETPIVOTDATA("XSN4",'suoinghe (2016)'!$A$3,"MA_HT","DDL","MA_QH","SKK")</f>
        <v>0</v>
      </c>
      <c r="V42" s="22">
        <f ca="1">+GETPIVOTDATA("XSN4",'suoinghe (2016)'!$A$3,"MA_HT","DDL","MA_QH","SKT")</f>
        <v>0</v>
      </c>
      <c r="W42" s="22">
        <f ca="1">+GETPIVOTDATA("XSN4",'suoinghe (2016)'!$A$3,"MA_HT","DDL","MA_QH","SKN")</f>
        <v>0</v>
      </c>
      <c r="X42" s="22">
        <f ca="1">+GETPIVOTDATA("XSN4",'suoinghe (2016)'!$A$3,"MA_HT","DDL","MA_QH","TMD")</f>
        <v>0</v>
      </c>
      <c r="Y42" s="22">
        <f ca="1">+GETPIVOTDATA("XSN4",'suoinghe (2016)'!$A$3,"MA_HT","DDL","MA_QH","SKC")</f>
        <v>0</v>
      </c>
      <c r="Z42" s="22">
        <f ca="1">+GETPIVOTDATA("XSN4",'suoinghe (2016)'!$A$3,"MA_HT","DDL","MA_QH","SKS")</f>
        <v>0</v>
      </c>
      <c r="AA42" s="52">
        <f ca="1" t="shared" si="21"/>
        <v>0</v>
      </c>
      <c r="AB42" s="22">
        <f ca="1">+GETPIVOTDATA("XSN4",'suoinghe (2016)'!$A$3,"MA_HT","DDL","MA_QH","DGT")</f>
        <v>0</v>
      </c>
      <c r="AC42" s="22">
        <f ca="1">+GETPIVOTDATA("XSN4",'suoinghe (2016)'!$A$3,"MA_HT","DDL","MA_QH","DTL")</f>
        <v>0</v>
      </c>
      <c r="AD42" s="22">
        <f ca="1">+GETPIVOTDATA("XSN4",'suoinghe (2016)'!$A$3,"MA_HT","DDL","MA_QH","DNL")</f>
        <v>0</v>
      </c>
      <c r="AE42" s="22">
        <f ca="1">+GETPIVOTDATA("XSN4",'suoinghe (2016)'!$A$3,"MA_HT","DDL","MA_QH","DBV")</f>
        <v>0</v>
      </c>
      <c r="AF42" s="22">
        <f ca="1">+GETPIVOTDATA("XSN4",'suoinghe (2016)'!$A$3,"MA_HT","DDL","MA_QH","DVH")</f>
        <v>0</v>
      </c>
      <c r="AG42" s="22">
        <f ca="1">+GETPIVOTDATA("XSN4",'suoinghe (2016)'!$A$3,"MA_HT","DDL","MA_QH","DYT")</f>
        <v>0</v>
      </c>
      <c r="AH42" s="22">
        <f ca="1">+GETPIVOTDATA("XSN4",'suoinghe (2016)'!$A$3,"MA_HT","DDL","MA_QH","DGD")</f>
        <v>0</v>
      </c>
      <c r="AI42" s="22">
        <f ca="1">+GETPIVOTDATA("XSN4",'suoinghe (2016)'!$A$3,"MA_HT","DDL","MA_QH","DTT")</f>
        <v>0</v>
      </c>
      <c r="AJ42" s="22">
        <f ca="1">+GETPIVOTDATA("XSN4",'suoinghe (2016)'!$A$3,"MA_HT","DDL","MA_QH","NCK")</f>
        <v>0</v>
      </c>
      <c r="AK42" s="22">
        <f ca="1">+GETPIVOTDATA("XSN4",'suoinghe (2016)'!$A$3,"MA_HT","DDL","MA_QH","DXH")</f>
        <v>0</v>
      </c>
      <c r="AL42" s="22">
        <f ca="1">+GETPIVOTDATA("XSN4",'suoinghe (2016)'!$A$3,"MA_HT","DDL","MA_QH","DCH")</f>
        <v>0</v>
      </c>
      <c r="AM42" s="22">
        <f ca="1">+GETPIVOTDATA("XSN4",'suoinghe (2016)'!$A$3,"MA_HT","DDL","MA_QH","DKG")</f>
        <v>0</v>
      </c>
      <c r="AN42" s="22">
        <f ca="1">+GETPIVOTDATA("XSN4",'suoinghe (2016)'!$A$3,"MA_HT","DDL","MA_QH","DDT")</f>
        <v>0</v>
      </c>
      <c r="AO42" s="43" t="e">
        <f ca="1">$D42-$BF42</f>
        <v>#REF!</v>
      </c>
      <c r="AP42" s="22">
        <f ca="1">+GETPIVOTDATA("XSN4",'suoinghe (2016)'!$A$3,"MA_HT","DDL","MA_QH","DRA")</f>
        <v>0</v>
      </c>
      <c r="AQ42" s="22">
        <f ca="1">+GETPIVOTDATA("XSN4",'suoinghe (2016)'!$A$3,"MA_HT","DDL","MA_QH","ONT")</f>
        <v>0</v>
      </c>
      <c r="AR42" s="22">
        <f ca="1">+GETPIVOTDATA("XSN4",'suoinghe (2016)'!$A$3,"MA_HT","DDL","MA_QH","ODT")</f>
        <v>0</v>
      </c>
      <c r="AS42" s="22">
        <f ca="1">+GETPIVOTDATA("XSN4",'suoinghe (2016)'!$A$3,"MA_HT","DDL","MA_QH","TSC")</f>
        <v>0</v>
      </c>
      <c r="AT42" s="22">
        <f ca="1">+GETPIVOTDATA("XSN4",'suoinghe (2016)'!$A$3,"MA_HT","DDL","MA_QH","DTS")</f>
        <v>0</v>
      </c>
      <c r="AU42" s="22">
        <f ca="1">+GETPIVOTDATA("XSN4",'suoinghe (2016)'!$A$3,"MA_HT","DDL","MA_QH","DNG")</f>
        <v>0</v>
      </c>
      <c r="AV42" s="22">
        <f ca="1">+GETPIVOTDATA("XSN4",'suoinghe (2016)'!$A$3,"MA_HT","DDL","MA_QH","TON")</f>
        <v>0</v>
      </c>
      <c r="AW42" s="22">
        <f ca="1">+GETPIVOTDATA("XSN4",'suoinghe (2016)'!$A$3,"MA_HT","DDL","MA_QH","NTD")</f>
        <v>0</v>
      </c>
      <c r="AX42" s="22">
        <f ca="1">+GETPIVOTDATA("XSN4",'suoinghe (2016)'!$A$3,"MA_HT","DDL","MA_QH","SKX")</f>
        <v>0</v>
      </c>
      <c r="AY42" s="22">
        <f ca="1">+GETPIVOTDATA("XSN4",'suoinghe (2016)'!$A$3,"MA_HT","DDL","MA_QH","DSH")</f>
        <v>0</v>
      </c>
      <c r="AZ42" s="22">
        <f ca="1">+GETPIVOTDATA("XSN4",'suoinghe (2016)'!$A$3,"MA_HT","DDL","MA_QH","DKV")</f>
        <v>0</v>
      </c>
      <c r="BA42" s="89">
        <f ca="1">+GETPIVOTDATA("XSN4",'suoinghe (2016)'!$A$3,"MA_HT","DDL","MA_QH","TIN")</f>
        <v>0</v>
      </c>
      <c r="BB42" s="50">
        <f ca="1">+GETPIVOTDATA("XSN4",'suoinghe (2016)'!$A$3,"MA_HT","DDL","MA_QH","SON")</f>
        <v>0</v>
      </c>
      <c r="BC42" s="50">
        <f ca="1">+GETPIVOTDATA("XSN4",'suoinghe (2016)'!$A$3,"MA_HT","DDL","MA_QH","MNC")</f>
        <v>0</v>
      </c>
      <c r="BD42" s="22">
        <f ca="1">+GETPIVOTDATA("XSN4",'suoinghe (2016)'!$A$3,"MA_HT","DDL","MA_QH","PNK")</f>
        <v>0</v>
      </c>
      <c r="BE42" s="71">
        <f ca="1">+GETPIVOTDATA("XSN4",'suoinghe (2016)'!$A$3,"MA_HT","DDL","MA_QH","CSD")</f>
        <v>0</v>
      </c>
      <c r="BF42" s="74">
        <f ca="1" t="shared" si="13"/>
        <v>0</v>
      </c>
      <c r="BG42" s="101">
        <f ca="1">AO$59-$BF42</f>
        <v>0</v>
      </c>
      <c r="BH42" s="41" t="e">
        <f ca="1" t="shared" si="14"/>
        <v>#REF!</v>
      </c>
      <c r="BI42" s="98"/>
      <c r="BJ42" s="107"/>
      <c r="BK42" s="10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</row>
    <row r="43" s="2" customFormat="1" ht="15.75" customHeight="1" spans="1:79">
      <c r="A43" s="39" t="s">
        <v>8404</v>
      </c>
      <c r="B43" s="53" t="s">
        <v>8405</v>
      </c>
      <c r="C43" s="40" t="s">
        <v>8291</v>
      </c>
      <c r="D43" s="41" t="e">
        <f>+#REF!</f>
        <v>#REF!</v>
      </c>
      <c r="E43" s="42">
        <f ca="1" t="shared" si="15"/>
        <v>0</v>
      </c>
      <c r="F43" s="52">
        <f ca="1" t="shared" si="9"/>
        <v>0</v>
      </c>
      <c r="G43" s="22">
        <f ca="1">+GETPIVOTDATA("XSN4",'suoinghe (2016)'!$A$3,"MA_HT","DRA","MA_QH","LUC")</f>
        <v>0</v>
      </c>
      <c r="H43" s="22">
        <f ca="1">+GETPIVOTDATA("XSN4",'suoinghe (2016)'!$A$3,"MA_HT","DRA","MA_QH","LUK")</f>
        <v>0</v>
      </c>
      <c r="I43" s="22">
        <f ca="1">+GETPIVOTDATA("XSN4",'suoinghe (2016)'!$A$3,"MA_HT","DRA","MA_QH","LUN")</f>
        <v>0</v>
      </c>
      <c r="J43" s="22">
        <f ca="1">+GETPIVOTDATA("XSN4",'suoinghe (2016)'!$A$3,"MA_HT","DRA","MA_QH","HNK")</f>
        <v>0</v>
      </c>
      <c r="K43" s="22">
        <f ca="1">+GETPIVOTDATA("XSN4",'suoinghe (2016)'!$A$3,"MA_HT","DRA","MA_QH","CLN")</f>
        <v>0</v>
      </c>
      <c r="L43" s="22">
        <f ca="1">+GETPIVOTDATA("XSN4",'suoinghe (2016)'!$A$3,"MA_HT","DRA","MA_QH","RSX")</f>
        <v>0</v>
      </c>
      <c r="M43" s="22">
        <f ca="1">+GETPIVOTDATA("XSN4",'suoinghe (2016)'!$A$3,"MA_HT","DRA","MA_QH","RPH")</f>
        <v>0</v>
      </c>
      <c r="N43" s="22">
        <f ca="1">+GETPIVOTDATA("XSN4",'suoinghe (2016)'!$A$3,"MA_HT","DRA","MA_QH","RDD")</f>
        <v>0</v>
      </c>
      <c r="O43" s="22">
        <f ca="1">+GETPIVOTDATA("XSN4",'suoinghe (2016)'!$A$3,"MA_HT","DRA","MA_QH","NTS")</f>
        <v>0</v>
      </c>
      <c r="P43" s="22">
        <f ca="1">+GETPIVOTDATA("XSN4",'suoinghe (2016)'!$A$3,"MA_HT","DRA","MA_QH","LMU")</f>
        <v>0</v>
      </c>
      <c r="Q43" s="22">
        <f ca="1">+GETPIVOTDATA("XSN4",'suoinghe (2016)'!$A$3,"MA_HT","DRA","MA_QH","NKH")</f>
        <v>0</v>
      </c>
      <c r="R43" s="79">
        <f ca="1">SUM(S43:AA43,AN43:AO43,AQ43:BD43)</f>
        <v>0</v>
      </c>
      <c r="S43" s="22">
        <f ca="1">+GETPIVOTDATA("XSN4",'suoinghe (2016)'!$A$3,"MA_HT","DRA","MA_QH","CQP")</f>
        <v>0</v>
      </c>
      <c r="T43" s="22">
        <f ca="1">+GETPIVOTDATA("XSN4",'suoinghe (2016)'!$A$3,"MA_HT","DRA","MA_QH","CAN")</f>
        <v>0</v>
      </c>
      <c r="U43" s="22">
        <f ca="1">+GETPIVOTDATA("XSN4",'suoinghe (2016)'!$A$3,"MA_HT","DRA","MA_QH","SKK")</f>
        <v>0</v>
      </c>
      <c r="V43" s="22">
        <f ca="1">+GETPIVOTDATA("XSN4",'suoinghe (2016)'!$A$3,"MA_HT","DRA","MA_QH","SKT")</f>
        <v>0</v>
      </c>
      <c r="W43" s="22">
        <f ca="1">+GETPIVOTDATA("XSN4",'suoinghe (2016)'!$A$3,"MA_HT","DRA","MA_QH","SKN")</f>
        <v>0</v>
      </c>
      <c r="X43" s="22">
        <f ca="1">+GETPIVOTDATA("XSN4",'suoinghe (2016)'!$A$3,"MA_HT","DRA","MA_QH","TMD")</f>
        <v>0</v>
      </c>
      <c r="Y43" s="22">
        <f ca="1">+GETPIVOTDATA("XSN4",'suoinghe (2016)'!$A$3,"MA_HT","DRA","MA_QH","SKC")</f>
        <v>0</v>
      </c>
      <c r="Z43" s="22">
        <f ca="1">+GETPIVOTDATA("XSN4",'suoinghe (2016)'!$A$3,"MA_HT","DRA","MA_QH","SKS")</f>
        <v>0</v>
      </c>
      <c r="AA43" s="52">
        <f ca="1" t="shared" si="21"/>
        <v>0</v>
      </c>
      <c r="AB43" s="22">
        <f ca="1">+GETPIVOTDATA("XSN4",'suoinghe (2016)'!$A$3,"MA_HT","DRA","MA_QH","DGT")</f>
        <v>0</v>
      </c>
      <c r="AC43" s="22">
        <f ca="1">+GETPIVOTDATA("XSN4",'suoinghe (2016)'!$A$3,"MA_HT","DRA","MA_QH","DTL")</f>
        <v>0</v>
      </c>
      <c r="AD43" s="22">
        <f ca="1">+GETPIVOTDATA("XSN4",'suoinghe (2016)'!$A$3,"MA_HT","DRA","MA_QH","DNL")</f>
        <v>0</v>
      </c>
      <c r="AE43" s="22">
        <f ca="1">+GETPIVOTDATA("XSN4",'suoinghe (2016)'!$A$3,"MA_HT","DRA","MA_QH","DBV")</f>
        <v>0</v>
      </c>
      <c r="AF43" s="22">
        <f ca="1">+GETPIVOTDATA("XSN4",'suoinghe (2016)'!$A$3,"MA_HT","DRA","MA_QH","DVH")</f>
        <v>0</v>
      </c>
      <c r="AG43" s="22">
        <f ca="1">+GETPIVOTDATA("XSN4",'suoinghe (2016)'!$A$3,"MA_HT","DRA","MA_QH","DYT")</f>
        <v>0</v>
      </c>
      <c r="AH43" s="22">
        <f ca="1">+GETPIVOTDATA("XSN4",'suoinghe (2016)'!$A$3,"MA_HT","DRA","MA_QH","DGD")</f>
        <v>0</v>
      </c>
      <c r="AI43" s="22">
        <f ca="1">+GETPIVOTDATA("XSN4",'suoinghe (2016)'!$A$3,"MA_HT","DRA","MA_QH","DTT")</f>
        <v>0</v>
      </c>
      <c r="AJ43" s="22">
        <f ca="1">+GETPIVOTDATA("XSN4",'suoinghe (2016)'!$A$3,"MA_HT","DRA","MA_QH","NCK")</f>
        <v>0</v>
      </c>
      <c r="AK43" s="22">
        <f ca="1">+GETPIVOTDATA("XSN4",'suoinghe (2016)'!$A$3,"MA_HT","DRA","MA_QH","DXH")</f>
        <v>0</v>
      </c>
      <c r="AL43" s="22">
        <f ca="1">+GETPIVOTDATA("XSN4",'suoinghe (2016)'!$A$3,"MA_HT","DRA","MA_QH","DCH")</f>
        <v>0</v>
      </c>
      <c r="AM43" s="22">
        <f ca="1">+GETPIVOTDATA("XSN4",'suoinghe (2016)'!$A$3,"MA_HT","DRA","MA_QH","DKG")</f>
        <v>0</v>
      </c>
      <c r="AN43" s="22">
        <f ca="1">+GETPIVOTDATA("XSN4",'suoinghe (2016)'!$A$3,"MA_HT","DRA","MA_QH","DDT")</f>
        <v>0</v>
      </c>
      <c r="AO43" s="22">
        <f ca="1">+GETPIVOTDATA("XSN4",'suoinghe (2016)'!$A$3,"MA_HT","DRA","MA_QH","DDL")</f>
        <v>0</v>
      </c>
      <c r="AP43" s="43" t="e">
        <f ca="1">$D43-$BF43</f>
        <v>#REF!</v>
      </c>
      <c r="AQ43" s="22">
        <f ca="1">+GETPIVOTDATA("XSN4",'suoinghe (2016)'!$A$3,"MA_HT","DRA","MA_QH","ONT")</f>
        <v>0</v>
      </c>
      <c r="AR43" s="22">
        <f ca="1">+GETPIVOTDATA("XSN4",'suoinghe (2016)'!$A$3,"MA_HT","DRA","MA_QH","ODT")</f>
        <v>0</v>
      </c>
      <c r="AS43" s="22">
        <f ca="1">+GETPIVOTDATA("XSN4",'suoinghe (2016)'!$A$3,"MA_HT","DRA","MA_QH","TSC")</f>
        <v>0</v>
      </c>
      <c r="AT43" s="22">
        <f ca="1">+GETPIVOTDATA("XSN4",'suoinghe (2016)'!$A$3,"MA_HT","DRA","MA_QH","DTS")</f>
        <v>0</v>
      </c>
      <c r="AU43" s="22">
        <f ca="1">+GETPIVOTDATA("XSN4",'suoinghe (2016)'!$A$3,"MA_HT","DRA","MA_QH","DNG")</f>
        <v>0</v>
      </c>
      <c r="AV43" s="22">
        <f ca="1">+GETPIVOTDATA("XSN4",'suoinghe (2016)'!$A$3,"MA_HT","DRA","MA_QH","TON")</f>
        <v>0</v>
      </c>
      <c r="AW43" s="22">
        <f ca="1">+GETPIVOTDATA("XSN4",'suoinghe (2016)'!$A$3,"MA_HT","DRA","MA_QH","NTD")</f>
        <v>0</v>
      </c>
      <c r="AX43" s="22">
        <f ca="1">+GETPIVOTDATA("XSN4",'suoinghe (2016)'!$A$3,"MA_HT","DRA","MA_QH","SKX")</f>
        <v>0</v>
      </c>
      <c r="AY43" s="22">
        <f ca="1">+GETPIVOTDATA("XSN4",'suoinghe (2016)'!$A$3,"MA_HT","DRA","MA_QH","DSH")</f>
        <v>0</v>
      </c>
      <c r="AZ43" s="22">
        <f ca="1">+GETPIVOTDATA("XSN4",'suoinghe (2016)'!$A$3,"MA_HT","DRA","MA_QH","DKV")</f>
        <v>0</v>
      </c>
      <c r="BA43" s="89">
        <f ca="1">+GETPIVOTDATA("XSN4",'suoinghe (2016)'!$A$3,"MA_HT","DRA","MA_QH","TIN")</f>
        <v>0</v>
      </c>
      <c r="BB43" s="50">
        <f ca="1">+GETPIVOTDATA("XSN4",'suoinghe (2016)'!$A$3,"MA_HT","DRA","MA_QH","SON")</f>
        <v>0</v>
      </c>
      <c r="BC43" s="50">
        <f ca="1">+GETPIVOTDATA("XSN4",'suoinghe (2016)'!$A$3,"MA_HT","DRA","MA_QH","MNC")</f>
        <v>0</v>
      </c>
      <c r="BD43" s="22">
        <f ca="1">+GETPIVOTDATA("XSN4",'suoinghe (2016)'!$A$3,"MA_HT","DRA","MA_QH","PNK")</f>
        <v>0</v>
      </c>
      <c r="BE43" s="71">
        <f ca="1">+GETPIVOTDATA("XSN4",'suoinghe (2016)'!$A$3,"MA_HT","DRA","MA_QH","CSD")</f>
        <v>0</v>
      </c>
      <c r="BF43" s="74">
        <f ca="1" t="shared" si="13"/>
        <v>0</v>
      </c>
      <c r="BG43" s="101">
        <f ca="1">AP$59-$BF43</f>
        <v>0</v>
      </c>
      <c r="BH43" s="41" t="e">
        <f ca="1" t="shared" si="14"/>
        <v>#REF!</v>
      </c>
      <c r="BI43" s="98"/>
      <c r="BJ43" s="107" t="e">
        <f>#REF!</f>
        <v>#REF!</v>
      </c>
      <c r="BK43" s="107" t="e">
        <f ca="1">BH43-BJ43</f>
        <v>#REF!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</row>
    <row r="44" s="2" customFormat="1" ht="15.75" customHeight="1" spans="1:79">
      <c r="A44" s="39" t="s">
        <v>8406</v>
      </c>
      <c r="B44" s="53" t="s">
        <v>8407</v>
      </c>
      <c r="C44" s="40" t="s">
        <v>188</v>
      </c>
      <c r="D44" s="41" t="e">
        <f>+#REF!</f>
        <v>#REF!</v>
      </c>
      <c r="E44" s="42">
        <f ca="1" t="shared" si="15"/>
        <v>0</v>
      </c>
      <c r="F44" s="52">
        <f ca="1" t="shared" si="9"/>
        <v>0</v>
      </c>
      <c r="G44" s="22">
        <f ca="1">+GETPIVOTDATA("XSN4",'suoinghe (2016)'!$A$3,"MA_HT","ONT","MA_QH","LUC")</f>
        <v>0</v>
      </c>
      <c r="H44" s="22">
        <f ca="1">+GETPIVOTDATA("XSN4",'suoinghe (2016)'!$A$3,"MA_HT","ONT","MA_QH","LUK")</f>
        <v>0</v>
      </c>
      <c r="I44" s="22">
        <f ca="1">+GETPIVOTDATA("XSN4",'suoinghe (2016)'!$A$3,"MA_HT","ONT","MA_QH","LUN")</f>
        <v>0</v>
      </c>
      <c r="J44" s="22">
        <f ca="1">+GETPIVOTDATA("XSN4",'suoinghe (2016)'!$A$3,"MA_HT","ONT","MA_QH","HNK")</f>
        <v>0</v>
      </c>
      <c r="K44" s="22">
        <f ca="1">+GETPIVOTDATA("XSN4",'suoinghe (2016)'!$A$3,"MA_HT","ONT","MA_QH","CLN")</f>
        <v>0</v>
      </c>
      <c r="L44" s="22">
        <f ca="1">+GETPIVOTDATA("XSN4",'suoinghe (2016)'!$A$3,"MA_HT","ONT","MA_QH","RSX")</f>
        <v>0</v>
      </c>
      <c r="M44" s="22">
        <f ca="1">+GETPIVOTDATA("XSN4",'suoinghe (2016)'!$A$3,"MA_HT","ONT","MA_QH","RPH")</f>
        <v>0</v>
      </c>
      <c r="N44" s="22">
        <f ca="1">+GETPIVOTDATA("XSN4",'suoinghe (2016)'!$A$3,"MA_HT","ONT","MA_QH","RDD")</f>
        <v>0</v>
      </c>
      <c r="O44" s="22">
        <f ca="1">+GETPIVOTDATA("XSN4",'suoinghe (2016)'!$A$3,"MA_HT","ONT","MA_QH","NTS")</f>
        <v>0</v>
      </c>
      <c r="P44" s="22">
        <f ca="1">+GETPIVOTDATA("XSN4",'suoinghe (2016)'!$A$3,"MA_HT","ONT","MA_QH","LMU")</f>
        <v>0</v>
      </c>
      <c r="Q44" s="22">
        <f ca="1">+GETPIVOTDATA("XSN4",'suoinghe (2016)'!$A$3,"MA_HT","ONT","MA_QH","NKH")</f>
        <v>0</v>
      </c>
      <c r="R44" s="79">
        <f ca="1">SUM(S44:AA44,AN44:AP44,AR44:BD44)</f>
        <v>0</v>
      </c>
      <c r="S44" s="22">
        <f ca="1">+GETPIVOTDATA("XSN4",'suoinghe (2016)'!$A$3,"MA_HT","ONT","MA_QH","CQP")</f>
        <v>0</v>
      </c>
      <c r="T44" s="22">
        <f ca="1">+GETPIVOTDATA("XSN4",'suoinghe (2016)'!$A$3,"MA_HT","ONT","MA_QH","CAN")</f>
        <v>0</v>
      </c>
      <c r="U44" s="22">
        <f ca="1">+GETPIVOTDATA("XSN4",'suoinghe (2016)'!$A$3,"MA_HT","ONT","MA_QH","SKK")</f>
        <v>0</v>
      </c>
      <c r="V44" s="22">
        <f ca="1">+GETPIVOTDATA("XSN4",'suoinghe (2016)'!$A$3,"MA_HT","ONT","MA_QH","SKT")</f>
        <v>0</v>
      </c>
      <c r="W44" s="22">
        <f ca="1">+GETPIVOTDATA("XSN4",'suoinghe (2016)'!$A$3,"MA_HT","ONT","MA_QH","SKN")</f>
        <v>0</v>
      </c>
      <c r="X44" s="22">
        <f ca="1">+GETPIVOTDATA("XSN4",'suoinghe (2016)'!$A$3,"MA_HT","ONT","MA_QH","TMD")</f>
        <v>0</v>
      </c>
      <c r="Y44" s="22">
        <f ca="1">+GETPIVOTDATA("XSN4",'suoinghe (2016)'!$A$3,"MA_HT","ONT","MA_QH","SKC")</f>
        <v>0</v>
      </c>
      <c r="Z44" s="22">
        <f ca="1">+GETPIVOTDATA("XSN4",'suoinghe (2016)'!$A$3,"MA_HT","ONT","MA_QH","SKS")</f>
        <v>0</v>
      </c>
      <c r="AA44" s="52">
        <f ca="1" t="shared" si="21"/>
        <v>0</v>
      </c>
      <c r="AB44" s="22">
        <f ca="1">+GETPIVOTDATA("XSN4",'suoinghe (2016)'!$A$3,"MA_HT","ONT","MA_QH","DGT")</f>
        <v>0</v>
      </c>
      <c r="AC44" s="22">
        <f ca="1">+GETPIVOTDATA("XSN4",'suoinghe (2016)'!$A$3,"MA_HT","ONT","MA_QH","DTL")</f>
        <v>0</v>
      </c>
      <c r="AD44" s="22">
        <f ca="1">+GETPIVOTDATA("XSN4",'suoinghe (2016)'!$A$3,"MA_HT","ONT","MA_QH","DNL")</f>
        <v>0</v>
      </c>
      <c r="AE44" s="22">
        <f ca="1">+GETPIVOTDATA("XSN4",'suoinghe (2016)'!$A$3,"MA_HT","ONT","MA_QH","DBV")</f>
        <v>0</v>
      </c>
      <c r="AF44" s="22">
        <f ca="1">+GETPIVOTDATA("XSN4",'suoinghe (2016)'!$A$3,"MA_HT","ONT","MA_QH","DVH")</f>
        <v>0</v>
      </c>
      <c r="AG44" s="22">
        <f ca="1">+GETPIVOTDATA("XSN4",'suoinghe (2016)'!$A$3,"MA_HT","ONT","MA_QH","DYT")</f>
        <v>0</v>
      </c>
      <c r="AH44" s="22">
        <f ca="1">+GETPIVOTDATA("XSN4",'suoinghe (2016)'!$A$3,"MA_HT","ONT","MA_QH","DGD")</f>
        <v>0</v>
      </c>
      <c r="AI44" s="22">
        <f ca="1">+GETPIVOTDATA("XSN4",'suoinghe (2016)'!$A$3,"MA_HT","ONT","MA_QH","DTT")</f>
        <v>0</v>
      </c>
      <c r="AJ44" s="22">
        <f ca="1">+GETPIVOTDATA("XSN4",'suoinghe (2016)'!$A$3,"MA_HT","ONT","MA_QH","NCK")</f>
        <v>0</v>
      </c>
      <c r="AK44" s="22">
        <f ca="1">+GETPIVOTDATA("XSN4",'suoinghe (2016)'!$A$3,"MA_HT","ONT","MA_QH","DXH")</f>
        <v>0</v>
      </c>
      <c r="AL44" s="22">
        <f ca="1">+GETPIVOTDATA("XSN4",'suoinghe (2016)'!$A$3,"MA_HT","ONT","MA_QH","DCH")</f>
        <v>0</v>
      </c>
      <c r="AM44" s="22">
        <f ca="1">+GETPIVOTDATA("XSN4",'suoinghe (2016)'!$A$3,"MA_HT","ONT","MA_QH","DKG")</f>
        <v>0</v>
      </c>
      <c r="AN44" s="22">
        <f ca="1">+GETPIVOTDATA("XSN4",'suoinghe (2016)'!$A$3,"MA_HT","ONT","MA_QH","DDT")</f>
        <v>0</v>
      </c>
      <c r="AO44" s="22">
        <f ca="1">+GETPIVOTDATA("XSN4",'suoinghe (2016)'!$A$3,"MA_HT","ONT","MA_QH","DDL")</f>
        <v>0</v>
      </c>
      <c r="AP44" s="22">
        <f ca="1">+GETPIVOTDATA("XSN4",'suoinghe (2016)'!$A$3,"MA_HT","ONT","MA_QH","DRA")</f>
        <v>0</v>
      </c>
      <c r="AQ44" s="43" t="e">
        <f ca="1">$D44-$BF44</f>
        <v>#REF!</v>
      </c>
      <c r="AR44" s="22">
        <f ca="1">+GETPIVOTDATA("XSN4",'suoinghe (2016)'!$A$3,"MA_HT","ONT","MA_QH","ODT")</f>
        <v>0</v>
      </c>
      <c r="AS44" s="22">
        <f ca="1">+GETPIVOTDATA("XSN4",'suoinghe (2016)'!$A$3,"MA_HT","ONT","MA_QH","TSC")</f>
        <v>0</v>
      </c>
      <c r="AT44" s="22">
        <f ca="1">+GETPIVOTDATA("XSN4",'suoinghe (2016)'!$A$3,"MA_HT","ONT","MA_QH","DTS")</f>
        <v>0</v>
      </c>
      <c r="AU44" s="22">
        <f ca="1">+GETPIVOTDATA("XSN4",'suoinghe (2016)'!$A$3,"MA_HT","ONT","MA_QH","DNG")</f>
        <v>0</v>
      </c>
      <c r="AV44" s="22">
        <f ca="1">+GETPIVOTDATA("XSN4",'suoinghe (2016)'!$A$3,"MA_HT","ONT","MA_QH","TON")</f>
        <v>0</v>
      </c>
      <c r="AW44" s="22">
        <f ca="1">+GETPIVOTDATA("XSN4",'suoinghe (2016)'!$A$3,"MA_HT","ONT","MA_QH","NTD")</f>
        <v>0</v>
      </c>
      <c r="AX44" s="22">
        <f ca="1">+GETPIVOTDATA("XSN4",'suoinghe (2016)'!$A$3,"MA_HT","ONT","MA_QH","SKX")</f>
        <v>0</v>
      </c>
      <c r="AY44" s="22">
        <f ca="1">+GETPIVOTDATA("XSN4",'suoinghe (2016)'!$A$3,"MA_HT","ONT","MA_QH","DSH")</f>
        <v>0</v>
      </c>
      <c r="AZ44" s="22">
        <f ca="1">+GETPIVOTDATA("XSN4",'suoinghe (2016)'!$A$3,"MA_HT","ONT","MA_QH","DKV")</f>
        <v>0</v>
      </c>
      <c r="BA44" s="89">
        <f ca="1">+GETPIVOTDATA("XSN4",'suoinghe (2016)'!$A$3,"MA_HT","ONT","MA_QH","TIN")</f>
        <v>0</v>
      </c>
      <c r="BB44" s="50">
        <f ca="1">+GETPIVOTDATA("XSN4",'suoinghe (2016)'!$A$3,"MA_HT","ONT","MA_QH","SON")</f>
        <v>0</v>
      </c>
      <c r="BC44" s="50">
        <f ca="1">+GETPIVOTDATA("XSN4",'suoinghe (2016)'!$A$3,"MA_HT","ONT","MA_QH","MNC")</f>
        <v>0</v>
      </c>
      <c r="BD44" s="22">
        <f ca="1">+GETPIVOTDATA("XSN4",'suoinghe (2016)'!$A$3,"MA_HT","ONT","MA_QH","PNK")</f>
        <v>0</v>
      </c>
      <c r="BE44" s="71">
        <f ca="1">+GETPIVOTDATA("XSN4",'suoinghe (2016)'!$A$3,"MA_HT","ONT","MA_QH","CSD")</f>
        <v>0</v>
      </c>
      <c r="BF44" s="74">
        <f ca="1" t="shared" si="13"/>
        <v>0</v>
      </c>
      <c r="BG44" s="101">
        <f ca="1">AQ$59-$BF44</f>
        <v>0</v>
      </c>
      <c r="BH44" s="41" t="e">
        <f ca="1" t="shared" si="14"/>
        <v>#REF!</v>
      </c>
      <c r="BI44" s="98"/>
      <c r="BJ44" s="107" t="e">
        <f>#REF!</f>
        <v>#REF!</v>
      </c>
      <c r="BK44" s="107" t="e">
        <f ca="1">BH44-BJ44</f>
        <v>#REF!</v>
      </c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</row>
    <row r="45" s="2" customFormat="1" ht="15.75" customHeight="1" spans="1:79">
      <c r="A45" s="61" t="s">
        <v>8408</v>
      </c>
      <c r="B45" s="62" t="s">
        <v>8409</v>
      </c>
      <c r="C45" s="63" t="s">
        <v>201</v>
      </c>
      <c r="D45" s="64" t="e">
        <f>+#REF!</f>
        <v>#REF!</v>
      </c>
      <c r="E45" s="65">
        <f ca="1" t="shared" si="15"/>
        <v>0</v>
      </c>
      <c r="F45" s="66">
        <f ca="1" t="shared" si="9"/>
        <v>0</v>
      </c>
      <c r="G45" s="67">
        <f ca="1">+GETPIVOTDATA("XSN4",'suoinghe (2016)'!$A$3,"MA_HT","ODT","MA_QH","LUC")</f>
        <v>0</v>
      </c>
      <c r="H45" s="67">
        <f ca="1">+GETPIVOTDATA("XSN4",'suoinghe (2016)'!$A$3,"MA_HT","ODT","MA_QH","LUK")</f>
        <v>0</v>
      </c>
      <c r="I45" s="67">
        <f ca="1">+GETPIVOTDATA("XSN4",'suoinghe (2016)'!$A$3,"MA_HT","ODT","MA_QH","LUN")</f>
        <v>0</v>
      </c>
      <c r="J45" s="67">
        <f ca="1">+GETPIVOTDATA("XSN4",'suoinghe (2016)'!$A$3,"MA_HT","ODT","MA_QH","HNK")</f>
        <v>0</v>
      </c>
      <c r="K45" s="67">
        <f ca="1">+GETPIVOTDATA("XSN4",'suoinghe (2016)'!$A$3,"MA_HT","ODT","MA_QH","CLN")</f>
        <v>0</v>
      </c>
      <c r="L45" s="67">
        <f ca="1">+GETPIVOTDATA("XSN4",'suoinghe (2016)'!$A$3,"MA_HT","ODT","MA_QH","RSX")</f>
        <v>0</v>
      </c>
      <c r="M45" s="67">
        <f ca="1">+GETPIVOTDATA("XSN4",'suoinghe (2016)'!$A$3,"MA_HT","ODT","MA_QH","RPH")</f>
        <v>0</v>
      </c>
      <c r="N45" s="67">
        <f ca="1">+GETPIVOTDATA("XSN4",'suoinghe (2016)'!$A$3,"MA_HT","ODT","MA_QH","RDD")</f>
        <v>0</v>
      </c>
      <c r="O45" s="67">
        <f ca="1">+GETPIVOTDATA("XSN4",'suoinghe (2016)'!$A$3,"MA_HT","ODT","MA_QH","NTS")</f>
        <v>0</v>
      </c>
      <c r="P45" s="67">
        <f ca="1">+GETPIVOTDATA("XSN4",'suoinghe (2016)'!$A$3,"MA_HT","ODT","MA_QH","LMU")</f>
        <v>0</v>
      </c>
      <c r="Q45" s="67">
        <f ca="1">+GETPIVOTDATA("XSN4",'suoinghe (2016)'!$A$3,"MA_HT","ODT","MA_QH","NKH")</f>
        <v>0</v>
      </c>
      <c r="R45" s="79">
        <f ca="1">SUM(S45:AA45,AN45:AQ45,AS45:BD45)</f>
        <v>0</v>
      </c>
      <c r="S45" s="67">
        <f ca="1">+GETPIVOTDATA("XSN4",'suoinghe (2016)'!$A$3,"MA_HT","ODT","MA_QH","CQP")</f>
        <v>0</v>
      </c>
      <c r="T45" s="67">
        <f ca="1">+GETPIVOTDATA("XSN4",'suoinghe (2016)'!$A$3,"MA_HT","ODT","MA_QH","CAN")</f>
        <v>0</v>
      </c>
      <c r="U45" s="67">
        <f ca="1">+GETPIVOTDATA("XSN4",'suoinghe (2016)'!$A$3,"MA_HT","ODT","MA_QH","SKK")</f>
        <v>0</v>
      </c>
      <c r="V45" s="67">
        <f ca="1">+GETPIVOTDATA("XSN4",'suoinghe (2016)'!$A$3,"MA_HT","ODT","MA_QH","SKT")</f>
        <v>0</v>
      </c>
      <c r="W45" s="67">
        <f ca="1">+GETPIVOTDATA("XSN4",'suoinghe (2016)'!$A$3,"MA_HT","ODT","MA_QH","SKN")</f>
        <v>0</v>
      </c>
      <c r="X45" s="67">
        <f ca="1">+GETPIVOTDATA("XSN4",'suoinghe (2016)'!$A$3,"MA_HT","ODT","MA_QH","TMD")</f>
        <v>0</v>
      </c>
      <c r="Y45" s="67">
        <f ca="1">+GETPIVOTDATA("XSN4",'suoinghe (2016)'!$A$3,"MA_HT","ODT","MA_QH","SKC")</f>
        <v>0</v>
      </c>
      <c r="Z45" s="67">
        <f ca="1">+GETPIVOTDATA("XSN4",'suoinghe (2016)'!$A$3,"MA_HT","ODT","MA_QH","SKS")</f>
        <v>0</v>
      </c>
      <c r="AA45" s="66">
        <f ca="1" t="shared" si="21"/>
        <v>0</v>
      </c>
      <c r="AB45" s="67">
        <f ca="1">+GETPIVOTDATA("XSN4",'suoinghe (2016)'!$A$3,"MA_HT","ODT","MA_QH","DGT")</f>
        <v>0</v>
      </c>
      <c r="AC45" s="67">
        <f ca="1">+GETPIVOTDATA("XSN4",'suoinghe (2016)'!$A$3,"MA_HT","ODT","MA_QH","DTL")</f>
        <v>0</v>
      </c>
      <c r="AD45" s="67">
        <f ca="1">+GETPIVOTDATA("XSN4",'suoinghe (2016)'!$A$3,"MA_HT","ODT","MA_QH","DNL")</f>
        <v>0</v>
      </c>
      <c r="AE45" s="67">
        <f ca="1">+GETPIVOTDATA("XSN4",'suoinghe (2016)'!$A$3,"MA_HT","ODT","MA_QH","DBV")</f>
        <v>0</v>
      </c>
      <c r="AF45" s="67">
        <f ca="1">+GETPIVOTDATA("XSN4",'suoinghe (2016)'!$A$3,"MA_HT","ODT","MA_QH","DVH")</f>
        <v>0</v>
      </c>
      <c r="AG45" s="67">
        <f ca="1">+GETPIVOTDATA("XSN4",'suoinghe (2016)'!$A$3,"MA_HT","ODT","MA_QH","DYT")</f>
        <v>0</v>
      </c>
      <c r="AH45" s="67">
        <f ca="1">+GETPIVOTDATA("XSN4",'suoinghe (2016)'!$A$3,"MA_HT","ODT","MA_QH","DGD")</f>
        <v>0</v>
      </c>
      <c r="AI45" s="67">
        <f ca="1">+GETPIVOTDATA("XSN4",'suoinghe (2016)'!$A$3,"MA_HT","ODT","MA_QH","DTT")</f>
        <v>0</v>
      </c>
      <c r="AJ45" s="67">
        <f ca="1">+GETPIVOTDATA("XSN4",'suoinghe (2016)'!$A$3,"MA_HT","ODT","MA_QH","NCK")</f>
        <v>0</v>
      </c>
      <c r="AK45" s="67">
        <f ca="1">+GETPIVOTDATA("XSN4",'suoinghe (2016)'!$A$3,"MA_HT","ODT","MA_QH","DXH")</f>
        <v>0</v>
      </c>
      <c r="AL45" s="67">
        <f ca="1">+GETPIVOTDATA("XSN4",'suoinghe (2016)'!$A$3,"MA_HT","ODT","MA_QH","DCH")</f>
        <v>0</v>
      </c>
      <c r="AM45" s="67">
        <f ca="1">+GETPIVOTDATA("XSN4",'suoinghe (2016)'!$A$3,"MA_HT","ODT","MA_QH","DKG")</f>
        <v>0</v>
      </c>
      <c r="AN45" s="67">
        <f ca="1">+GETPIVOTDATA("XSN4",'suoinghe (2016)'!$A$3,"MA_HT","ODT","MA_QH","DDT")</f>
        <v>0</v>
      </c>
      <c r="AO45" s="67">
        <f ca="1">+GETPIVOTDATA("XSN4",'suoinghe (2016)'!$A$3,"MA_HT","ODT","MA_QH","DDL")</f>
        <v>0</v>
      </c>
      <c r="AP45" s="67">
        <f ca="1">+GETPIVOTDATA("XSN4",'suoinghe (2016)'!$A$3,"MA_HT","ODT","MA_QH","DRA")</f>
        <v>0</v>
      </c>
      <c r="AQ45" s="67">
        <f ca="1">+GETPIVOTDATA("XSN4",'suoinghe (2016)'!$A$3,"MA_HT","ODT","MA_QH","ONT")</f>
        <v>0</v>
      </c>
      <c r="AR45" s="82" t="e">
        <f ca="1">$D45-$BF45</f>
        <v>#REF!</v>
      </c>
      <c r="AS45" s="67">
        <f ca="1">+GETPIVOTDATA("XSN4",'suoinghe (2016)'!$A$3,"MA_HT","ODT","MA_QH","TSC")</f>
        <v>0</v>
      </c>
      <c r="AT45" s="67">
        <f ca="1">+GETPIVOTDATA("XSN4",'suoinghe (2016)'!$A$3,"MA_HT","ODT","MA_QH","DTS")</f>
        <v>0</v>
      </c>
      <c r="AU45" s="67">
        <f ca="1">+GETPIVOTDATA("XSN4",'suoinghe (2016)'!$A$3,"MA_HT","ODT","MA_QH","DNG")</f>
        <v>0</v>
      </c>
      <c r="AV45" s="67">
        <f ca="1">+GETPIVOTDATA("XSN4",'suoinghe (2016)'!$A$3,"MA_HT","ODT","MA_QH","TON")</f>
        <v>0</v>
      </c>
      <c r="AW45" s="67">
        <f ca="1">+GETPIVOTDATA("XSN4",'suoinghe (2016)'!$A$3,"MA_HT","ODT","MA_QH","NTD")</f>
        <v>0</v>
      </c>
      <c r="AX45" s="67">
        <f ca="1">+GETPIVOTDATA("XSN4",'suoinghe (2016)'!$A$3,"MA_HT","ODT","MA_QH","SKX")</f>
        <v>0</v>
      </c>
      <c r="AY45" s="67">
        <f ca="1">+GETPIVOTDATA("XSN4",'suoinghe (2016)'!$A$3,"MA_HT","ODT","MA_QH","DSH")</f>
        <v>0</v>
      </c>
      <c r="AZ45" s="67">
        <f ca="1">+GETPIVOTDATA("XSN4",'suoinghe (2016)'!$A$3,"MA_HT","ODT","MA_QH","DKV")</f>
        <v>0</v>
      </c>
      <c r="BA45" s="92">
        <f ca="1">+GETPIVOTDATA("XSN4",'suoinghe (2016)'!$A$3,"MA_HT","ODT","MA_QH","TIN")</f>
        <v>0</v>
      </c>
      <c r="BB45" s="93">
        <f ca="1">+GETPIVOTDATA("XSN4",'suoinghe (2016)'!$A$3,"MA_HT","ODT","MA_QH","SON")</f>
        <v>0</v>
      </c>
      <c r="BC45" s="93">
        <f ca="1">+GETPIVOTDATA("XSN4",'suoinghe (2016)'!$A$3,"MA_HT","ODT","MA_QH","MNC")</f>
        <v>0</v>
      </c>
      <c r="BD45" s="67">
        <f ca="1">+GETPIVOTDATA("XSN4",'suoinghe (2016)'!$A$3,"MA_HT","ODT","MA_QH","PNK")</f>
        <v>0</v>
      </c>
      <c r="BE45" s="116">
        <f ca="1">+GETPIVOTDATA("XSN4",'suoinghe (2016)'!$A$3,"MA_HT","ODT","MA_QH","CSD")</f>
        <v>0</v>
      </c>
      <c r="BF45" s="117">
        <f ca="1" t="shared" si="13"/>
        <v>0</v>
      </c>
      <c r="BG45" s="118">
        <f ca="1">AR$59-$BF45</f>
        <v>0</v>
      </c>
      <c r="BH45" s="64" t="e">
        <f ca="1" t="shared" si="14"/>
        <v>#REF!</v>
      </c>
      <c r="BI45" s="98"/>
      <c r="BJ45" s="107" t="e">
        <f>#REF!</f>
        <v>#REF!</v>
      </c>
      <c r="BK45" s="107" t="e">
        <f ca="1">BH45-BJ45</f>
        <v>#REF!</v>
      </c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</row>
    <row r="46" s="6" customFormat="1" ht="15.75" customHeight="1" spans="1:79">
      <c r="A46" s="39" t="s">
        <v>8410</v>
      </c>
      <c r="B46" s="53" t="s">
        <v>8411</v>
      </c>
      <c r="C46" s="40" t="s">
        <v>336</v>
      </c>
      <c r="D46" s="41" t="e">
        <f>+#REF!</f>
        <v>#REF!</v>
      </c>
      <c r="E46" s="42">
        <f ca="1" t="shared" si="15"/>
        <v>0</v>
      </c>
      <c r="F46" s="52">
        <f ca="1" t="shared" si="9"/>
        <v>0</v>
      </c>
      <c r="G46" s="22">
        <f ca="1">+GETPIVOTDATA("XSN4",'suoinghe (2016)'!$A$3,"MA_HT","TSC","MA_QH","LUC")</f>
        <v>0</v>
      </c>
      <c r="H46" s="22">
        <f ca="1">+GETPIVOTDATA("XSN4",'suoinghe (2016)'!$A$3,"MA_HT","TSC","MA_QH","LUK")</f>
        <v>0</v>
      </c>
      <c r="I46" s="22">
        <f ca="1">+GETPIVOTDATA("XSN4",'suoinghe (2016)'!$A$3,"MA_HT","TSC","MA_QH","LUN")</f>
        <v>0</v>
      </c>
      <c r="J46" s="22">
        <f ca="1">+GETPIVOTDATA("XSN4",'suoinghe (2016)'!$A$3,"MA_HT","TSC","MA_QH","HNK")</f>
        <v>0</v>
      </c>
      <c r="K46" s="22">
        <f ca="1">+GETPIVOTDATA("XSN4",'suoinghe (2016)'!$A$3,"MA_HT","TSC","MA_QH","CLN")</f>
        <v>0</v>
      </c>
      <c r="L46" s="22">
        <f ca="1">+GETPIVOTDATA("XSN4",'suoinghe (2016)'!$A$3,"MA_HT","TSC","MA_QH","RSX")</f>
        <v>0</v>
      </c>
      <c r="M46" s="22">
        <f ca="1">+GETPIVOTDATA("XSN4",'suoinghe (2016)'!$A$3,"MA_HT","TSC","MA_QH","RPH")</f>
        <v>0</v>
      </c>
      <c r="N46" s="22">
        <f ca="1">+GETPIVOTDATA("XSN4",'suoinghe (2016)'!$A$3,"MA_HT","TSC","MA_QH","RDD")</f>
        <v>0</v>
      </c>
      <c r="O46" s="22">
        <f ca="1">+GETPIVOTDATA("XSN4",'suoinghe (2016)'!$A$3,"MA_HT","TSC","MA_QH","NTS")</f>
        <v>0</v>
      </c>
      <c r="P46" s="22">
        <f ca="1">+GETPIVOTDATA("XSN4",'suoinghe (2016)'!$A$3,"MA_HT","TSC","MA_QH","LMU")</f>
        <v>0</v>
      </c>
      <c r="Q46" s="22">
        <f ca="1">+GETPIVOTDATA("XSN4",'suoinghe (2016)'!$A$3,"MA_HT","TSC","MA_QH","NKH")</f>
        <v>0</v>
      </c>
      <c r="R46" s="48">
        <f ca="1">SUM(S46:AA46,AN46:AR46,AT46:BD46)</f>
        <v>0</v>
      </c>
      <c r="S46" s="22">
        <f ca="1">+GETPIVOTDATA("XSN4",'suoinghe (2016)'!$A$3,"MA_HT","TSC","MA_QH","CQP")</f>
        <v>0</v>
      </c>
      <c r="T46" s="22">
        <f ca="1">+GETPIVOTDATA("XSN4",'suoinghe (2016)'!$A$3,"MA_HT","TSC","MA_QH","CAN")</f>
        <v>0</v>
      </c>
      <c r="U46" s="22">
        <f ca="1">+GETPIVOTDATA("XSN4",'suoinghe (2016)'!$A$3,"MA_HT","TSC","MA_QH","SKK")</f>
        <v>0</v>
      </c>
      <c r="V46" s="22">
        <f ca="1">+GETPIVOTDATA("XSN4",'suoinghe (2016)'!$A$3,"MA_HT","TSC","MA_QH","SKT")</f>
        <v>0</v>
      </c>
      <c r="W46" s="22">
        <f ca="1">+GETPIVOTDATA("XSN4",'suoinghe (2016)'!$A$3,"MA_HT","TSC","MA_QH","SKN")</f>
        <v>0</v>
      </c>
      <c r="X46" s="22">
        <f ca="1">+GETPIVOTDATA("XSN4",'suoinghe (2016)'!$A$3,"MA_HT","TSC","MA_QH","TMD")</f>
        <v>0</v>
      </c>
      <c r="Y46" s="22">
        <f ca="1">+GETPIVOTDATA("XSN4",'suoinghe (2016)'!$A$3,"MA_HT","TSC","MA_QH","SKC")</f>
        <v>0</v>
      </c>
      <c r="Z46" s="22">
        <f ca="1">+GETPIVOTDATA("XSN4",'suoinghe (2016)'!$A$3,"MA_HT","TSC","MA_QH","SKS")</f>
        <v>0</v>
      </c>
      <c r="AA46" s="52">
        <f ca="1" t="shared" si="21"/>
        <v>0</v>
      </c>
      <c r="AB46" s="22">
        <f ca="1">+GETPIVOTDATA("XSN4",'suoinghe (2016)'!$A$3,"MA_HT","TSC","MA_QH","DGT")</f>
        <v>0</v>
      </c>
      <c r="AC46" s="22">
        <f ca="1">+GETPIVOTDATA("XSN4",'suoinghe (2016)'!$A$3,"MA_HT","TSC","MA_QH","DTL")</f>
        <v>0</v>
      </c>
      <c r="AD46" s="22">
        <f ca="1">+GETPIVOTDATA("XSN4",'suoinghe (2016)'!$A$3,"MA_HT","TSC","MA_QH","DNL")</f>
        <v>0</v>
      </c>
      <c r="AE46" s="22">
        <f ca="1">+GETPIVOTDATA("XSN4",'suoinghe (2016)'!$A$3,"MA_HT","TSC","MA_QH","DBV")</f>
        <v>0</v>
      </c>
      <c r="AF46" s="22">
        <f ca="1">+GETPIVOTDATA("XSN4",'suoinghe (2016)'!$A$3,"MA_HT","TSC","MA_QH","DVH")</f>
        <v>0</v>
      </c>
      <c r="AG46" s="22">
        <f ca="1">+GETPIVOTDATA("XSN4",'suoinghe (2016)'!$A$3,"MA_HT","TSC","MA_QH","DYT")</f>
        <v>0</v>
      </c>
      <c r="AH46" s="22">
        <f ca="1">+GETPIVOTDATA("XSN4",'suoinghe (2016)'!$A$3,"MA_HT","TSC","MA_QH","DGD")</f>
        <v>0</v>
      </c>
      <c r="AI46" s="22">
        <f ca="1">+GETPIVOTDATA("XSN4",'suoinghe (2016)'!$A$3,"MA_HT","TSC","MA_QH","DTT")</f>
        <v>0</v>
      </c>
      <c r="AJ46" s="22">
        <f ca="1">+GETPIVOTDATA("XSN4",'suoinghe (2016)'!$A$3,"MA_HT","TSC","MA_QH","NCK")</f>
        <v>0</v>
      </c>
      <c r="AK46" s="22">
        <f ca="1">+GETPIVOTDATA("XSN4",'suoinghe (2016)'!$A$3,"MA_HT","TSC","MA_QH","DXH")</f>
        <v>0</v>
      </c>
      <c r="AL46" s="22">
        <f ca="1">+GETPIVOTDATA("XSN4",'suoinghe (2016)'!$A$3,"MA_HT","TSC","MA_QH","DCH")</f>
        <v>0</v>
      </c>
      <c r="AM46" s="22">
        <f ca="1">+GETPIVOTDATA("XSN4",'suoinghe (2016)'!$A$3,"MA_HT","TSC","MA_QH","DKG")</f>
        <v>0</v>
      </c>
      <c r="AN46" s="22">
        <f ca="1">+GETPIVOTDATA("XSN4",'suoinghe (2016)'!$A$3,"MA_HT","TSC","MA_QH","DDT")</f>
        <v>0</v>
      </c>
      <c r="AO46" s="22">
        <f ca="1">+GETPIVOTDATA("XSN4",'suoinghe (2016)'!$A$3,"MA_HT","TSC","MA_QH","DDL")</f>
        <v>0</v>
      </c>
      <c r="AP46" s="22">
        <f ca="1">+GETPIVOTDATA("XSN4",'suoinghe (2016)'!$A$3,"MA_HT","TSC","MA_QH","DRA")</f>
        <v>0</v>
      </c>
      <c r="AQ46" s="22">
        <f ca="1">+GETPIVOTDATA("XSN4",'suoinghe (2016)'!$A$3,"MA_HT","TSC","MA_QH","ONT")</f>
        <v>0</v>
      </c>
      <c r="AR46" s="22">
        <f ca="1">+GETPIVOTDATA("XSN4",'suoinghe (2016)'!$A$3,"MA_HT","TSC","MA_QH","ODT")</f>
        <v>0</v>
      </c>
      <c r="AS46" s="43" t="e">
        <f ca="1">$D46-$BF46</f>
        <v>#REF!</v>
      </c>
      <c r="AT46" s="22">
        <f ca="1">+GETPIVOTDATA("XSN4",'suoinghe (2016)'!$A$3,"MA_HT","TSC","MA_QH","DTS")</f>
        <v>0</v>
      </c>
      <c r="AU46" s="22">
        <f ca="1">+GETPIVOTDATA("XSN4",'suoinghe (2016)'!$A$3,"MA_HT","TSC","MA_QH","DNG")</f>
        <v>0</v>
      </c>
      <c r="AV46" s="22">
        <f ca="1">+GETPIVOTDATA("XSN4",'suoinghe (2016)'!$A$3,"MA_HT","TSC","MA_QH","TON")</f>
        <v>0</v>
      </c>
      <c r="AW46" s="22">
        <f ca="1">+GETPIVOTDATA("XSN4",'suoinghe (2016)'!$A$3,"MA_HT","TSC","MA_QH","NTD")</f>
        <v>0</v>
      </c>
      <c r="AX46" s="22">
        <f ca="1">+GETPIVOTDATA("XSN4",'suoinghe (2016)'!$A$3,"MA_HT","TSC","MA_QH","SKX")</f>
        <v>0</v>
      </c>
      <c r="AY46" s="22">
        <f ca="1">+GETPIVOTDATA("XSN4",'suoinghe (2016)'!$A$3,"MA_HT","TSC","MA_QH","DSH")</f>
        <v>0</v>
      </c>
      <c r="AZ46" s="22">
        <f ca="1">+GETPIVOTDATA("XSN4",'suoinghe (2016)'!$A$3,"MA_HT","TSC","MA_QH","DKV")</f>
        <v>0</v>
      </c>
      <c r="BA46" s="89">
        <f ca="1">+GETPIVOTDATA("XSN4",'suoinghe (2016)'!$A$3,"MA_HT","TSC","MA_QH","TIN")</f>
        <v>0</v>
      </c>
      <c r="BB46" s="50">
        <f ca="1">+GETPIVOTDATA("XSN4",'suoinghe (2016)'!$A$3,"MA_HT","TSC","MA_QH","SON")</f>
        <v>0</v>
      </c>
      <c r="BC46" s="50">
        <f ca="1">+GETPIVOTDATA("XSN4",'suoinghe (2016)'!$A$3,"MA_HT","TSC","MA_QH","MNC")</f>
        <v>0</v>
      </c>
      <c r="BD46" s="22">
        <f ca="1">+GETPIVOTDATA("XSN4",'suoinghe (2016)'!$A$3,"MA_HT","TSC","MA_QH","PNK")</f>
        <v>0</v>
      </c>
      <c r="BE46" s="71">
        <f ca="1">+GETPIVOTDATA("XSN4",'suoinghe (2016)'!$A$3,"MA_HT","TSC","MA_QH","CSD")</f>
        <v>0</v>
      </c>
      <c r="BF46" s="74">
        <f ca="1" t="shared" si="13"/>
        <v>0</v>
      </c>
      <c r="BG46" s="101">
        <f ca="1">AS$59-$BF46</f>
        <v>0</v>
      </c>
      <c r="BH46" s="41" t="e">
        <f ca="1" t="shared" si="14"/>
        <v>#REF!</v>
      </c>
      <c r="BI46" s="114"/>
      <c r="BJ46" s="114" t="e">
        <f>#REF!</f>
        <v>#REF!</v>
      </c>
      <c r="BK46" s="115" t="e">
        <f ca="1">BH46-BJ46</f>
        <v>#REF!</v>
      </c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</row>
    <row r="47" s="2" customFormat="1" ht="15.75" customHeight="1" spans="1:79">
      <c r="A47" s="54" t="s">
        <v>8412</v>
      </c>
      <c r="B47" s="55" t="s">
        <v>8413</v>
      </c>
      <c r="C47" s="56" t="s">
        <v>8293</v>
      </c>
      <c r="D47" s="57" t="e">
        <f>+#REF!</f>
        <v>#REF!</v>
      </c>
      <c r="E47" s="58">
        <f ca="1" t="shared" si="15"/>
        <v>0</v>
      </c>
      <c r="F47" s="59">
        <f ca="1" t="shared" si="9"/>
        <v>0</v>
      </c>
      <c r="G47" s="60">
        <f ca="1">+GETPIVOTDATA("XSN4",'suoinghe (2016)'!$A$3,"MA_HT","DTS","MA_QH","LUC")</f>
        <v>0</v>
      </c>
      <c r="H47" s="60">
        <f ca="1">+GETPIVOTDATA("XSN4",'suoinghe (2016)'!$A$3,"MA_HT","DTS","MA_QH","LUK")</f>
        <v>0</v>
      </c>
      <c r="I47" s="60">
        <f ca="1">+GETPIVOTDATA("XSN4",'suoinghe (2016)'!$A$3,"MA_HT","DTS","MA_QH","LUN")</f>
        <v>0</v>
      </c>
      <c r="J47" s="60">
        <f ca="1">+GETPIVOTDATA("XSN4",'suoinghe (2016)'!$A$3,"MA_HT","DTS","MA_QH","HNK")</f>
        <v>0</v>
      </c>
      <c r="K47" s="60">
        <f ca="1">+GETPIVOTDATA("XSN4",'suoinghe (2016)'!$A$3,"MA_HT","DTS","MA_QH","CLN")</f>
        <v>0</v>
      </c>
      <c r="L47" s="60">
        <f ca="1">+GETPIVOTDATA("XSN4",'suoinghe (2016)'!$A$3,"MA_HT","DTS","MA_QH","RSX")</f>
        <v>0</v>
      </c>
      <c r="M47" s="60">
        <f ca="1">+GETPIVOTDATA("XSN4",'suoinghe (2016)'!$A$3,"MA_HT","DTS","MA_QH","RPH")</f>
        <v>0</v>
      </c>
      <c r="N47" s="60">
        <f ca="1">+GETPIVOTDATA("XSN4",'suoinghe (2016)'!$A$3,"MA_HT","DTS","MA_QH","RDD")</f>
        <v>0</v>
      </c>
      <c r="O47" s="60">
        <f ca="1">+GETPIVOTDATA("XSN4",'suoinghe (2016)'!$A$3,"MA_HT","DTS","MA_QH","NTS")</f>
        <v>0</v>
      </c>
      <c r="P47" s="60">
        <f ca="1">+GETPIVOTDATA("XSN4",'suoinghe (2016)'!$A$3,"MA_HT","DTS","MA_QH","LMU")</f>
        <v>0</v>
      </c>
      <c r="Q47" s="60">
        <f ca="1">+GETPIVOTDATA("XSN4",'suoinghe (2016)'!$A$3,"MA_HT","DTS","MA_QH","NKH")</f>
        <v>0</v>
      </c>
      <c r="R47" s="78">
        <f ca="1">SUM(S47:AA47,AN47:AS47,AU47:BD47)</f>
        <v>0</v>
      </c>
      <c r="S47" s="60">
        <f ca="1">+GETPIVOTDATA("XSN4",'suoinghe (2016)'!$A$3,"MA_HT","DTS","MA_QH","CQP")</f>
        <v>0</v>
      </c>
      <c r="T47" s="60">
        <f ca="1">+GETPIVOTDATA("XSN4",'suoinghe (2016)'!$A$3,"MA_HT","DTS","MA_QH","CAN")</f>
        <v>0</v>
      </c>
      <c r="U47" s="60">
        <f ca="1">+GETPIVOTDATA("XSN4",'suoinghe (2016)'!$A$3,"MA_HT","DTS","MA_QH","SKK")</f>
        <v>0</v>
      </c>
      <c r="V47" s="60">
        <f ca="1">+GETPIVOTDATA("XSN4",'suoinghe (2016)'!$A$3,"MA_HT","DTS","MA_QH","SKT")</f>
        <v>0</v>
      </c>
      <c r="W47" s="60">
        <f ca="1">+GETPIVOTDATA("XSN4",'suoinghe (2016)'!$A$3,"MA_HT","DTS","MA_QH","SKN")</f>
        <v>0</v>
      </c>
      <c r="X47" s="60">
        <f ca="1">+GETPIVOTDATA("XSN4",'suoinghe (2016)'!$A$3,"MA_HT","DTS","MA_QH","TMD")</f>
        <v>0</v>
      </c>
      <c r="Y47" s="60">
        <f ca="1">+GETPIVOTDATA("XSN4",'suoinghe (2016)'!$A$3,"MA_HT","DTS","MA_QH","SKC")</f>
        <v>0</v>
      </c>
      <c r="Z47" s="60">
        <f ca="1">+GETPIVOTDATA("XSN4",'suoinghe (2016)'!$A$3,"MA_HT","DTS","MA_QH","SKS")</f>
        <v>0</v>
      </c>
      <c r="AA47" s="59">
        <f ca="1" t="shared" si="21"/>
        <v>0</v>
      </c>
      <c r="AB47" s="60">
        <f ca="1">+GETPIVOTDATA("XSN4",'suoinghe (2016)'!$A$3,"MA_HT","DTS","MA_QH","DGT")</f>
        <v>0</v>
      </c>
      <c r="AC47" s="60">
        <f ca="1">+GETPIVOTDATA("XSN4",'suoinghe (2016)'!$A$3,"MA_HT","DTS","MA_QH","DTL")</f>
        <v>0</v>
      </c>
      <c r="AD47" s="60">
        <f ca="1">+GETPIVOTDATA("XSN4",'suoinghe (2016)'!$A$3,"MA_HT","DTS","MA_QH","DNL")</f>
        <v>0</v>
      </c>
      <c r="AE47" s="60">
        <f ca="1">+GETPIVOTDATA("XSN4",'suoinghe (2016)'!$A$3,"MA_HT","DTS","MA_QH","DBV")</f>
        <v>0</v>
      </c>
      <c r="AF47" s="60">
        <f ca="1">+GETPIVOTDATA("XSN4",'suoinghe (2016)'!$A$3,"MA_HT","DTS","MA_QH","DVH")</f>
        <v>0</v>
      </c>
      <c r="AG47" s="60">
        <f ca="1">+GETPIVOTDATA("XSN4",'suoinghe (2016)'!$A$3,"MA_HT","DTS","MA_QH","DYT")</f>
        <v>0</v>
      </c>
      <c r="AH47" s="60">
        <f ca="1">+GETPIVOTDATA("XSN4",'suoinghe (2016)'!$A$3,"MA_HT","DTS","MA_QH","DGD")</f>
        <v>0</v>
      </c>
      <c r="AI47" s="60">
        <f ca="1">+GETPIVOTDATA("XSN4",'suoinghe (2016)'!$A$3,"MA_HT","DTS","MA_QH","DTT")</f>
        <v>0</v>
      </c>
      <c r="AJ47" s="60">
        <f ca="1">+GETPIVOTDATA("XSN4",'suoinghe (2016)'!$A$3,"MA_HT","DTS","MA_QH","NCK")</f>
        <v>0</v>
      </c>
      <c r="AK47" s="60">
        <f ca="1">+GETPIVOTDATA("XSN4",'suoinghe (2016)'!$A$3,"MA_HT","DTS","MA_QH","DXH")</f>
        <v>0</v>
      </c>
      <c r="AL47" s="60">
        <f ca="1">+GETPIVOTDATA("XSN4",'suoinghe (2016)'!$A$3,"MA_HT","DTS","MA_QH","DCH")</f>
        <v>0</v>
      </c>
      <c r="AM47" s="60">
        <f ca="1">+GETPIVOTDATA("XSN4",'suoinghe (2016)'!$A$3,"MA_HT","DTS","MA_QH","DKG")</f>
        <v>0</v>
      </c>
      <c r="AN47" s="60">
        <f ca="1">+GETPIVOTDATA("XSN4",'suoinghe (2016)'!$A$3,"MA_HT","DTS","MA_QH","DDT")</f>
        <v>0</v>
      </c>
      <c r="AO47" s="60">
        <f ca="1">+GETPIVOTDATA("XSN4",'suoinghe (2016)'!$A$3,"MA_HT","DTS","MA_QH","DDL")</f>
        <v>0</v>
      </c>
      <c r="AP47" s="60">
        <f ca="1">+GETPIVOTDATA("XSN4",'suoinghe (2016)'!$A$3,"MA_HT","DTS","MA_QH","DRA")</f>
        <v>0</v>
      </c>
      <c r="AQ47" s="60">
        <f ca="1">+GETPIVOTDATA("XSN4",'suoinghe (2016)'!$A$3,"MA_HT","DTS","MA_QH","ONT")</f>
        <v>0</v>
      </c>
      <c r="AR47" s="60">
        <f ca="1">+GETPIVOTDATA("XSN4",'suoinghe (2016)'!$A$3,"MA_HT","DTS","MA_QH","ODT")</f>
        <v>0</v>
      </c>
      <c r="AS47" s="60">
        <f ca="1">+GETPIVOTDATA("XSN4",'suoinghe (2016)'!$A$3,"MA_HT","DTS","MA_QH","TSC")</f>
        <v>0</v>
      </c>
      <c r="AT47" s="81" t="e">
        <f ca="1">$D47-$BF47</f>
        <v>#REF!</v>
      </c>
      <c r="AU47" s="60">
        <f ca="1">+GETPIVOTDATA("XSN4",'suoinghe (2016)'!$A$3,"MA_HT","DTS","MA_QH","DNG")</f>
        <v>0</v>
      </c>
      <c r="AV47" s="60">
        <f ca="1">+GETPIVOTDATA("XSN4",'suoinghe (2016)'!$A$3,"MA_HT","DTS","MA_QH","TON")</f>
        <v>0</v>
      </c>
      <c r="AW47" s="60">
        <f ca="1">+GETPIVOTDATA("XSN4",'suoinghe (2016)'!$A$3,"MA_HT","DTS","MA_QH","NTD")</f>
        <v>0</v>
      </c>
      <c r="AX47" s="60">
        <f ca="1">+GETPIVOTDATA("XSN4",'suoinghe (2016)'!$A$3,"MA_HT","DTS","MA_QH","SKX")</f>
        <v>0</v>
      </c>
      <c r="AY47" s="60">
        <f ca="1">+GETPIVOTDATA("XSN4",'suoinghe (2016)'!$A$3,"MA_HT","DTS","MA_QH","DSH")</f>
        <v>0</v>
      </c>
      <c r="AZ47" s="60">
        <f ca="1">+GETPIVOTDATA("XSN4",'suoinghe (2016)'!$A$3,"MA_HT","DTS","MA_QH","DKV")</f>
        <v>0</v>
      </c>
      <c r="BA47" s="90">
        <f ca="1">+GETPIVOTDATA("XSN4",'suoinghe (2016)'!$A$3,"MA_HT","DTS","MA_QH","TIN")</f>
        <v>0</v>
      </c>
      <c r="BB47" s="91">
        <f ca="1">+GETPIVOTDATA("XSN4",'suoinghe (2016)'!$A$3,"MA_HT","DTS","MA_QH","SON")</f>
        <v>0</v>
      </c>
      <c r="BC47" s="91">
        <f ca="1">+GETPIVOTDATA("XSN4",'suoinghe (2016)'!$A$3,"MA_HT","DTS","MA_QH","MNC")</f>
        <v>0</v>
      </c>
      <c r="BD47" s="60">
        <f ca="1">+GETPIVOTDATA("XSN4",'suoinghe (2016)'!$A$3,"MA_HT","DTS","MA_QH","PNK")</f>
        <v>0</v>
      </c>
      <c r="BE47" s="111">
        <f ca="1">+GETPIVOTDATA("XSN4",'suoinghe (2016)'!$A$3,"MA_HT","DTS","MA_QH","CSD")</f>
        <v>0</v>
      </c>
      <c r="BF47" s="112">
        <f ca="1" t="shared" si="13"/>
        <v>0</v>
      </c>
      <c r="BG47" s="113">
        <f ca="1">AT$59-$BF47</f>
        <v>0</v>
      </c>
      <c r="BH47" s="57" t="e">
        <f ca="1" t="shared" si="14"/>
        <v>#REF!</v>
      </c>
      <c r="BI47" s="98"/>
      <c r="BJ47" s="98"/>
      <c r="BK47" s="107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</row>
    <row r="48" s="2" customFormat="1" ht="15.75" customHeight="1" spans="1:79">
      <c r="A48" s="39" t="s">
        <v>8414</v>
      </c>
      <c r="B48" s="53" t="s">
        <v>8415</v>
      </c>
      <c r="C48" s="40" t="s">
        <v>8290</v>
      </c>
      <c r="D48" s="41" t="e">
        <f>+#REF!</f>
        <v>#REF!</v>
      </c>
      <c r="E48" s="42">
        <f ca="1" t="shared" si="15"/>
        <v>0</v>
      </c>
      <c r="F48" s="52">
        <f ca="1" t="shared" si="9"/>
        <v>0</v>
      </c>
      <c r="G48" s="22">
        <f ca="1">+GETPIVOTDATA("XSN4",'suoinghe (2016)'!$A$3,"MA_HT","DNG","MA_QH","LUC")</f>
        <v>0</v>
      </c>
      <c r="H48" s="22">
        <f ca="1">+GETPIVOTDATA("XSN4",'suoinghe (2016)'!$A$3,"MA_HT","DNG","MA_QH","LUK")</f>
        <v>0</v>
      </c>
      <c r="I48" s="22">
        <f ca="1">+GETPIVOTDATA("XSN4",'suoinghe (2016)'!$A$3,"MA_HT","DNG","MA_QH","LUN")</f>
        <v>0</v>
      </c>
      <c r="J48" s="22">
        <f ca="1">+GETPIVOTDATA("XSN4",'suoinghe (2016)'!$A$3,"MA_HT","DNG","MA_QH","HNK")</f>
        <v>0</v>
      </c>
      <c r="K48" s="22">
        <f ca="1">+GETPIVOTDATA("XSN4",'suoinghe (2016)'!$A$3,"MA_HT","DNG","MA_QH","CLN")</f>
        <v>0</v>
      </c>
      <c r="L48" s="22">
        <f ca="1">+GETPIVOTDATA("XSN4",'suoinghe (2016)'!$A$3,"MA_HT","DNG","MA_QH","RSX")</f>
        <v>0</v>
      </c>
      <c r="M48" s="22">
        <f ca="1">+GETPIVOTDATA("XSN4",'suoinghe (2016)'!$A$3,"MA_HT","DNG","MA_QH","RPH")</f>
        <v>0</v>
      </c>
      <c r="N48" s="22">
        <f ca="1">+GETPIVOTDATA("XSN4",'suoinghe (2016)'!$A$3,"MA_HT","DNG","MA_QH","RDD")</f>
        <v>0</v>
      </c>
      <c r="O48" s="22">
        <f ca="1">+GETPIVOTDATA("XSN4",'suoinghe (2016)'!$A$3,"MA_HT","DNG","MA_QH","NTS")</f>
        <v>0</v>
      </c>
      <c r="P48" s="22">
        <f ca="1">+GETPIVOTDATA("XSN4",'suoinghe (2016)'!$A$3,"MA_HT","DNG","MA_QH","LMU")</f>
        <v>0</v>
      </c>
      <c r="Q48" s="22">
        <f ca="1">+GETPIVOTDATA("XSN4",'suoinghe (2016)'!$A$3,"MA_HT","DNG","MA_QH","NKH")</f>
        <v>0</v>
      </c>
      <c r="R48" s="79">
        <f ca="1">SUM(S48:AA48,AN48:AT48,AV48:BD48)</f>
        <v>0</v>
      </c>
      <c r="S48" s="22">
        <f ca="1">+GETPIVOTDATA("XSN4",'suoinghe (2016)'!$A$3,"MA_HT","DNG","MA_QH","CQP")</f>
        <v>0</v>
      </c>
      <c r="T48" s="22">
        <f ca="1">+GETPIVOTDATA("XSN4",'suoinghe (2016)'!$A$3,"MA_HT","DNG","MA_QH","CAN")</f>
        <v>0</v>
      </c>
      <c r="U48" s="22">
        <f ca="1">+GETPIVOTDATA("XSN4",'suoinghe (2016)'!$A$3,"MA_HT","DNG","MA_QH","SKK")</f>
        <v>0</v>
      </c>
      <c r="V48" s="22">
        <f ca="1">+GETPIVOTDATA("XSN4",'suoinghe (2016)'!$A$3,"MA_HT","DNG","MA_QH","SKT")</f>
        <v>0</v>
      </c>
      <c r="W48" s="22">
        <f ca="1">+GETPIVOTDATA("XSN4",'suoinghe (2016)'!$A$3,"MA_HT","DNG","MA_QH","SKN")</f>
        <v>0</v>
      </c>
      <c r="X48" s="22">
        <f ca="1">+GETPIVOTDATA("XSN4",'suoinghe (2016)'!$A$3,"MA_HT","DNG","MA_QH","TMD")</f>
        <v>0</v>
      </c>
      <c r="Y48" s="22">
        <f ca="1">+GETPIVOTDATA("XSN4",'suoinghe (2016)'!$A$3,"MA_HT","DNG","MA_QH","SKC")</f>
        <v>0</v>
      </c>
      <c r="Z48" s="22">
        <f ca="1">+GETPIVOTDATA("XSN4",'suoinghe (2016)'!$A$3,"MA_HT","DNG","MA_QH","SKS")</f>
        <v>0</v>
      </c>
      <c r="AA48" s="52">
        <f ca="1" t="shared" si="21"/>
        <v>0</v>
      </c>
      <c r="AB48" s="22">
        <f ca="1">+GETPIVOTDATA("XSN4",'suoinghe (2016)'!$A$3,"MA_HT","DNG","MA_QH","DGT")</f>
        <v>0</v>
      </c>
      <c r="AC48" s="22">
        <f ca="1">+GETPIVOTDATA("XSN4",'suoinghe (2016)'!$A$3,"MA_HT","DNG","MA_QH","DTL")</f>
        <v>0</v>
      </c>
      <c r="AD48" s="22">
        <f ca="1">+GETPIVOTDATA("XSN4",'suoinghe (2016)'!$A$3,"MA_HT","DNG","MA_QH","DNL")</f>
        <v>0</v>
      </c>
      <c r="AE48" s="22">
        <f ca="1">+GETPIVOTDATA("XSN4",'suoinghe (2016)'!$A$3,"MA_HT","DNG","MA_QH","DBV")</f>
        <v>0</v>
      </c>
      <c r="AF48" s="22">
        <f ca="1">+GETPIVOTDATA("XSN4",'suoinghe (2016)'!$A$3,"MA_HT","DNG","MA_QH","DVH")</f>
        <v>0</v>
      </c>
      <c r="AG48" s="22">
        <f ca="1">+GETPIVOTDATA("XSN4",'suoinghe (2016)'!$A$3,"MA_HT","DNG","MA_QH","DYT")</f>
        <v>0</v>
      </c>
      <c r="AH48" s="22">
        <f ca="1">+GETPIVOTDATA("XSN4",'suoinghe (2016)'!$A$3,"MA_HT","DNG","MA_QH","DGD")</f>
        <v>0</v>
      </c>
      <c r="AI48" s="22">
        <f ca="1">+GETPIVOTDATA("XSN4",'suoinghe (2016)'!$A$3,"MA_HT","DNG","MA_QH","DTT")</f>
        <v>0</v>
      </c>
      <c r="AJ48" s="22">
        <f ca="1">+GETPIVOTDATA("XSN4",'suoinghe (2016)'!$A$3,"MA_HT","DNG","MA_QH","NCK")</f>
        <v>0</v>
      </c>
      <c r="AK48" s="22">
        <f ca="1">+GETPIVOTDATA("XSN4",'suoinghe (2016)'!$A$3,"MA_HT","DNG","MA_QH","DXH")</f>
        <v>0</v>
      </c>
      <c r="AL48" s="22">
        <f ca="1">+GETPIVOTDATA("XSN4",'suoinghe (2016)'!$A$3,"MA_HT","DNG","MA_QH","DCH")</f>
        <v>0</v>
      </c>
      <c r="AM48" s="22">
        <f ca="1">+GETPIVOTDATA("XSN4",'suoinghe (2016)'!$A$3,"MA_HT","DNG","MA_QH","DKG")</f>
        <v>0</v>
      </c>
      <c r="AN48" s="22">
        <f ca="1">+GETPIVOTDATA("XSN4",'suoinghe (2016)'!$A$3,"MA_HT","DNG","MA_QH","DDT")</f>
        <v>0</v>
      </c>
      <c r="AO48" s="22">
        <f ca="1">+GETPIVOTDATA("XSN4",'suoinghe (2016)'!$A$3,"MA_HT","DNG","MA_QH","DDL")</f>
        <v>0</v>
      </c>
      <c r="AP48" s="22">
        <f ca="1">+GETPIVOTDATA("XSN4",'suoinghe (2016)'!$A$3,"MA_HT","DNG","MA_QH","DRA")</f>
        <v>0</v>
      </c>
      <c r="AQ48" s="22">
        <f ca="1">+GETPIVOTDATA("XSN4",'suoinghe (2016)'!$A$3,"MA_HT","DNG","MA_QH","ONT")</f>
        <v>0</v>
      </c>
      <c r="AR48" s="22">
        <f ca="1">+GETPIVOTDATA("XSN4",'suoinghe (2016)'!$A$3,"MA_HT","DNG","MA_QH","ODT")</f>
        <v>0</v>
      </c>
      <c r="AS48" s="22">
        <f ca="1">+GETPIVOTDATA("XSN4",'suoinghe (2016)'!$A$3,"MA_HT","DNG","MA_QH","TSC")</f>
        <v>0</v>
      </c>
      <c r="AT48" s="22">
        <f ca="1">+GETPIVOTDATA("XSN4",'suoinghe (2016)'!$A$3,"MA_HT","DNG","MA_QH","DTS")</f>
        <v>0</v>
      </c>
      <c r="AU48" s="43" t="e">
        <f ca="1">$D48-$BF48</f>
        <v>#REF!</v>
      </c>
      <c r="AV48" s="22">
        <f ca="1">+GETPIVOTDATA("XSN4",'suoinghe (2016)'!$A$3,"MA_HT","DNG","MA_QH","TON")</f>
        <v>0</v>
      </c>
      <c r="AW48" s="22">
        <f ca="1">+GETPIVOTDATA("XSN4",'suoinghe (2016)'!$A$3,"MA_HT","DNG","MA_QH","NTD")</f>
        <v>0</v>
      </c>
      <c r="AX48" s="22">
        <f ca="1">+GETPIVOTDATA("XSN4",'suoinghe (2016)'!$A$3,"MA_HT","DNG","MA_QH","SKX")</f>
        <v>0</v>
      </c>
      <c r="AY48" s="22">
        <f ca="1">+GETPIVOTDATA("XSN4",'suoinghe (2016)'!$A$3,"MA_HT","DNG","MA_QH","DSH")</f>
        <v>0</v>
      </c>
      <c r="AZ48" s="22">
        <f ca="1">+GETPIVOTDATA("XSN4",'suoinghe (2016)'!$A$3,"MA_HT","DNG","MA_QH","DKV")</f>
        <v>0</v>
      </c>
      <c r="BA48" s="89">
        <f ca="1">+GETPIVOTDATA("XSN4",'suoinghe (2016)'!$A$3,"MA_HT","DNG","MA_QH","TIN")</f>
        <v>0</v>
      </c>
      <c r="BB48" s="50">
        <f ca="1">+GETPIVOTDATA("XSN4",'suoinghe (2016)'!$A$3,"MA_HT","DNG","MA_QH","SON")</f>
        <v>0</v>
      </c>
      <c r="BC48" s="50">
        <f ca="1">+GETPIVOTDATA("XSN4",'suoinghe (2016)'!$A$3,"MA_HT","DNG","MA_QH","MNC")</f>
        <v>0</v>
      </c>
      <c r="BD48" s="22">
        <f ca="1">+GETPIVOTDATA("XSN4",'suoinghe (2016)'!$A$3,"MA_HT","DNG","MA_QH","PNK")</f>
        <v>0</v>
      </c>
      <c r="BE48" s="71">
        <f ca="1">+GETPIVOTDATA("XSN4",'suoinghe (2016)'!$A$3,"MA_HT","DNG","MA_QH","CSD")</f>
        <v>0</v>
      </c>
      <c r="BF48" s="74">
        <f ca="1" t="shared" si="13"/>
        <v>0</v>
      </c>
      <c r="BG48" s="101">
        <f ca="1">AU$59-$BF48</f>
        <v>0</v>
      </c>
      <c r="BH48" s="41" t="e">
        <f ca="1" t="shared" si="14"/>
        <v>#REF!</v>
      </c>
      <c r="BI48" s="98"/>
      <c r="BJ48" s="98" t="e">
        <f>#REF!</f>
        <v>#REF!</v>
      </c>
      <c r="BK48" s="107" t="e">
        <f ca="1">BH48-BJ48</f>
        <v>#REF!</v>
      </c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</row>
    <row r="49" s="2" customFormat="1" ht="15.75" customHeight="1" spans="1:79">
      <c r="A49" s="39" t="s">
        <v>8416</v>
      </c>
      <c r="B49" s="53" t="s">
        <v>8417</v>
      </c>
      <c r="C49" s="40" t="s">
        <v>324</v>
      </c>
      <c r="D49" s="41" t="e">
        <f>+#REF!</f>
        <v>#REF!</v>
      </c>
      <c r="E49" s="42">
        <f ca="1" t="shared" si="15"/>
        <v>0</v>
      </c>
      <c r="F49" s="52">
        <f ca="1" t="shared" si="9"/>
        <v>0</v>
      </c>
      <c r="G49" s="22">
        <f ca="1">+GETPIVOTDATA("XSN4",'suoinghe (2016)'!$A$3,"MA_HT","TON","MA_QH","LUC")</f>
        <v>0</v>
      </c>
      <c r="H49" s="22">
        <f ca="1">+GETPIVOTDATA("XSN4",'suoinghe (2016)'!$A$3,"MA_HT","TON","MA_QH","LUK")</f>
        <v>0</v>
      </c>
      <c r="I49" s="22">
        <f ca="1">+GETPIVOTDATA("XSN4",'suoinghe (2016)'!$A$3,"MA_HT","TON","MA_QH","LUN")</f>
        <v>0</v>
      </c>
      <c r="J49" s="22">
        <f ca="1">+GETPIVOTDATA("XSN4",'suoinghe (2016)'!$A$3,"MA_HT","TON","MA_QH","HNK")</f>
        <v>0</v>
      </c>
      <c r="K49" s="22">
        <f ca="1">+GETPIVOTDATA("XSN4",'suoinghe (2016)'!$A$3,"MA_HT","TON","MA_QH","CLN")</f>
        <v>0</v>
      </c>
      <c r="L49" s="22">
        <f ca="1">+GETPIVOTDATA("XSN4",'suoinghe (2016)'!$A$3,"MA_HT","TON","MA_QH","RSX")</f>
        <v>0</v>
      </c>
      <c r="M49" s="22">
        <f ca="1">+GETPIVOTDATA("XSN4",'suoinghe (2016)'!$A$3,"MA_HT","TON","MA_QH","RPH")</f>
        <v>0</v>
      </c>
      <c r="N49" s="22">
        <f ca="1">+GETPIVOTDATA("XSN4",'suoinghe (2016)'!$A$3,"MA_HT","TON","MA_QH","RDD")</f>
        <v>0</v>
      </c>
      <c r="O49" s="22">
        <f ca="1">+GETPIVOTDATA("XSN4",'suoinghe (2016)'!$A$3,"MA_HT","TON","MA_QH","NTS")</f>
        <v>0</v>
      </c>
      <c r="P49" s="22">
        <f ca="1">+GETPIVOTDATA("XSN4",'suoinghe (2016)'!$A$3,"MA_HT","TON","MA_QH","LMU")</f>
        <v>0</v>
      </c>
      <c r="Q49" s="22">
        <f ca="1">+GETPIVOTDATA("XSN4",'suoinghe (2016)'!$A$3,"MA_HT","TON","MA_QH","NKH")</f>
        <v>0</v>
      </c>
      <c r="R49" s="79">
        <f ca="1">SUM(S49:AA49,AN49:AU49,AW49:BD49)</f>
        <v>0</v>
      </c>
      <c r="S49" s="22">
        <f ca="1">+GETPIVOTDATA("XSN4",'suoinghe (2016)'!$A$3,"MA_HT","TON","MA_QH","CQP")</f>
        <v>0</v>
      </c>
      <c r="T49" s="22">
        <f ca="1">+GETPIVOTDATA("XSN4",'suoinghe (2016)'!$A$3,"MA_HT","TON","MA_QH","CAN")</f>
        <v>0</v>
      </c>
      <c r="U49" s="22">
        <f ca="1">+GETPIVOTDATA("XSN4",'suoinghe (2016)'!$A$3,"MA_HT","TON","MA_QH","SKK")</f>
        <v>0</v>
      </c>
      <c r="V49" s="22">
        <f ca="1">+GETPIVOTDATA("XSN4",'suoinghe (2016)'!$A$3,"MA_HT","TON","MA_QH","SKT")</f>
        <v>0</v>
      </c>
      <c r="W49" s="22">
        <f ca="1">+GETPIVOTDATA("XSN4",'suoinghe (2016)'!$A$3,"MA_HT","TON","MA_QH","SKN")</f>
        <v>0</v>
      </c>
      <c r="X49" s="22">
        <f ca="1">+GETPIVOTDATA("XSN4",'suoinghe (2016)'!$A$3,"MA_HT","TON","MA_QH","TMD")</f>
        <v>0</v>
      </c>
      <c r="Y49" s="22">
        <f ca="1">+GETPIVOTDATA("XSN4",'suoinghe (2016)'!$A$3,"MA_HT","TON","MA_QH","SKC")</f>
        <v>0</v>
      </c>
      <c r="Z49" s="22">
        <f ca="1">+GETPIVOTDATA("XSN4",'suoinghe (2016)'!$A$3,"MA_HT","TON","MA_QH","SKS")</f>
        <v>0</v>
      </c>
      <c r="AA49" s="52">
        <f ca="1" t="shared" si="21"/>
        <v>0</v>
      </c>
      <c r="AB49" s="22">
        <f ca="1">+GETPIVOTDATA("XSN4",'suoinghe (2016)'!$A$3,"MA_HT","TON","MA_QH","DGT")</f>
        <v>0</v>
      </c>
      <c r="AC49" s="22">
        <f ca="1">+GETPIVOTDATA("XSN4",'suoinghe (2016)'!$A$3,"MA_HT","TON","MA_QH","DTL")</f>
        <v>0</v>
      </c>
      <c r="AD49" s="22">
        <f ca="1">+GETPIVOTDATA("XSN4",'suoinghe (2016)'!$A$3,"MA_HT","TON","MA_QH","DNL")</f>
        <v>0</v>
      </c>
      <c r="AE49" s="22">
        <f ca="1">+GETPIVOTDATA("XSN4",'suoinghe (2016)'!$A$3,"MA_HT","TON","MA_QH","DBV")</f>
        <v>0</v>
      </c>
      <c r="AF49" s="22">
        <f ca="1">+GETPIVOTDATA("XSN4",'suoinghe (2016)'!$A$3,"MA_HT","TON","MA_QH","DVH")</f>
        <v>0</v>
      </c>
      <c r="AG49" s="22">
        <f ca="1">+GETPIVOTDATA("XSN4",'suoinghe (2016)'!$A$3,"MA_HT","TON","MA_QH","DYT")</f>
        <v>0</v>
      </c>
      <c r="AH49" s="22">
        <f ca="1">+GETPIVOTDATA("XSN4",'suoinghe (2016)'!$A$3,"MA_HT","TON","MA_QH","DGD")</f>
        <v>0</v>
      </c>
      <c r="AI49" s="22">
        <f ca="1">+GETPIVOTDATA("XSN4",'suoinghe (2016)'!$A$3,"MA_HT","TON","MA_QH","DTT")</f>
        <v>0</v>
      </c>
      <c r="AJ49" s="22">
        <f ca="1">+GETPIVOTDATA("XSN4",'suoinghe (2016)'!$A$3,"MA_HT","TON","MA_QH","NCK")</f>
        <v>0</v>
      </c>
      <c r="AK49" s="22">
        <f ca="1">+GETPIVOTDATA("XSN4",'suoinghe (2016)'!$A$3,"MA_HT","TON","MA_QH","DXH")</f>
        <v>0</v>
      </c>
      <c r="AL49" s="22">
        <f ca="1">+GETPIVOTDATA("XSN4",'suoinghe (2016)'!$A$3,"MA_HT","TON","MA_QH","DCH")</f>
        <v>0</v>
      </c>
      <c r="AM49" s="22">
        <f ca="1">+GETPIVOTDATA("XSN4",'suoinghe (2016)'!$A$3,"MA_HT","TON","MA_QH","DKG")</f>
        <v>0</v>
      </c>
      <c r="AN49" s="22">
        <f ca="1">+GETPIVOTDATA("XSN4",'suoinghe (2016)'!$A$3,"MA_HT","TON","MA_QH","DDT")</f>
        <v>0</v>
      </c>
      <c r="AO49" s="22">
        <f ca="1">+GETPIVOTDATA("XSN4",'suoinghe (2016)'!$A$3,"MA_HT","TON","MA_QH","DDL")</f>
        <v>0</v>
      </c>
      <c r="AP49" s="22">
        <f ca="1">+GETPIVOTDATA("XSN4",'suoinghe (2016)'!$A$3,"MA_HT","TON","MA_QH","DRA")</f>
        <v>0</v>
      </c>
      <c r="AQ49" s="22">
        <f ca="1">+GETPIVOTDATA("XSN4",'suoinghe (2016)'!$A$3,"MA_HT","TON","MA_QH","ONT")</f>
        <v>0</v>
      </c>
      <c r="AR49" s="22">
        <f ca="1">+GETPIVOTDATA("XSN4",'suoinghe (2016)'!$A$3,"MA_HT","TON","MA_QH","ODT")</f>
        <v>0</v>
      </c>
      <c r="AS49" s="22">
        <f ca="1">+GETPIVOTDATA("XSN4",'suoinghe (2016)'!$A$3,"MA_HT","TON","MA_QH","TSC")</f>
        <v>0</v>
      </c>
      <c r="AT49" s="22">
        <f ca="1">+GETPIVOTDATA("XSN4",'suoinghe (2016)'!$A$3,"MA_HT","TON","MA_QH","DTS")</f>
        <v>0</v>
      </c>
      <c r="AU49" s="22">
        <f ca="1">+GETPIVOTDATA("XSN4",'suoinghe (2016)'!$A$3,"MA_HT","TON","MA_QH","DNG")</f>
        <v>0</v>
      </c>
      <c r="AV49" s="43" t="e">
        <f ca="1">$D49-$BF49</f>
        <v>#REF!</v>
      </c>
      <c r="AW49" s="22">
        <f ca="1">+GETPIVOTDATA("XSN4",'suoinghe (2016)'!$A$3,"MA_HT","TON","MA_QH","NTD")</f>
        <v>0</v>
      </c>
      <c r="AX49" s="22">
        <f ca="1">+GETPIVOTDATA("XSN4",'suoinghe (2016)'!$A$3,"MA_HT","TON","MA_QH","SKX")</f>
        <v>0</v>
      </c>
      <c r="AY49" s="22">
        <f ca="1">+GETPIVOTDATA("XSN4",'suoinghe (2016)'!$A$3,"MA_HT","TON","MA_QH","DSH")</f>
        <v>0</v>
      </c>
      <c r="AZ49" s="22">
        <f ca="1">+GETPIVOTDATA("XSN4",'suoinghe (2016)'!$A$3,"MA_HT","TON","MA_QH","DKV")</f>
        <v>0</v>
      </c>
      <c r="BA49" s="89">
        <f ca="1">+GETPIVOTDATA("XSN4",'suoinghe (2016)'!$A$3,"MA_HT","TON","MA_QH","TIN")</f>
        <v>0</v>
      </c>
      <c r="BB49" s="50">
        <f ca="1">+GETPIVOTDATA("XSN4",'suoinghe (2016)'!$A$3,"MA_HT","TON","MA_QH","SON")</f>
        <v>0</v>
      </c>
      <c r="BC49" s="50">
        <f ca="1">+GETPIVOTDATA("XSN4",'suoinghe (2016)'!$A$3,"MA_HT","TON","MA_QH","MNC")</f>
        <v>0</v>
      </c>
      <c r="BD49" s="22">
        <f ca="1">+GETPIVOTDATA("XSN4",'suoinghe (2016)'!$A$3,"MA_HT","TON","MA_QH","PNK")</f>
        <v>0</v>
      </c>
      <c r="BE49" s="71">
        <f ca="1">+GETPIVOTDATA("XSN4",'suoinghe (2016)'!$A$3,"MA_HT","TON","MA_QH","CSD")</f>
        <v>0</v>
      </c>
      <c r="BF49" s="74">
        <f ca="1" t="shared" si="13"/>
        <v>0</v>
      </c>
      <c r="BG49" s="101">
        <f ca="1">AV$59-$BF49</f>
        <v>0</v>
      </c>
      <c r="BH49" s="41" t="e">
        <f ca="1" t="shared" si="14"/>
        <v>#REF!</v>
      </c>
      <c r="BI49" s="98"/>
      <c r="BJ49" s="98" t="e">
        <f>#REF!</f>
        <v>#REF!</v>
      </c>
      <c r="BK49" s="107" t="e">
        <f ca="1">BH49-BJ49</f>
        <v>#REF!</v>
      </c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</row>
    <row r="50" s="2" customFormat="1" ht="15.75" customHeight="1" spans="1:79">
      <c r="A50" s="39" t="s">
        <v>8418</v>
      </c>
      <c r="B50" s="53" t="s">
        <v>8419</v>
      </c>
      <c r="C50" s="40" t="s">
        <v>182</v>
      </c>
      <c r="D50" s="41" t="e">
        <f>+#REF!</f>
        <v>#REF!</v>
      </c>
      <c r="E50" s="42">
        <f ca="1" t="shared" si="15"/>
        <v>0</v>
      </c>
      <c r="F50" s="52">
        <f ca="1" t="shared" si="9"/>
        <v>0</v>
      </c>
      <c r="G50" s="22">
        <f ca="1">+GETPIVOTDATA("XSN4",'suoinghe (2016)'!$A$3,"MA_HT","NTD","MA_QH","LUC")</f>
        <v>0</v>
      </c>
      <c r="H50" s="22">
        <f ca="1">+GETPIVOTDATA("XSN4",'suoinghe (2016)'!$A$3,"MA_HT","NTD","MA_QH","LUK")</f>
        <v>0</v>
      </c>
      <c r="I50" s="22">
        <f ca="1">+GETPIVOTDATA("XSN4",'suoinghe (2016)'!$A$3,"MA_HT","NTD","MA_QH","LUN")</f>
        <v>0</v>
      </c>
      <c r="J50" s="22">
        <f ca="1">+GETPIVOTDATA("XSN4",'suoinghe (2016)'!$A$3,"MA_HT","NTD","MA_QH","HNK")</f>
        <v>0</v>
      </c>
      <c r="K50" s="22">
        <f ca="1">+GETPIVOTDATA("XSN4",'suoinghe (2016)'!$A$3,"MA_HT","NTD","MA_QH","CLN")</f>
        <v>0</v>
      </c>
      <c r="L50" s="22">
        <f ca="1">+GETPIVOTDATA("XSN4",'suoinghe (2016)'!$A$3,"MA_HT","NTD","MA_QH","RSX")</f>
        <v>0</v>
      </c>
      <c r="M50" s="22">
        <f ca="1">+GETPIVOTDATA("XSN4",'suoinghe (2016)'!$A$3,"MA_HT","NTD","MA_QH","RPH")</f>
        <v>0</v>
      </c>
      <c r="N50" s="22">
        <f ca="1">+GETPIVOTDATA("XSN4",'suoinghe (2016)'!$A$3,"MA_HT","NTD","MA_QH","RDD")</f>
        <v>0</v>
      </c>
      <c r="O50" s="22">
        <f ca="1">+GETPIVOTDATA("XSN4",'suoinghe (2016)'!$A$3,"MA_HT","NTD","MA_QH","NTS")</f>
        <v>0</v>
      </c>
      <c r="P50" s="22">
        <f ca="1">+GETPIVOTDATA("XSN4",'suoinghe (2016)'!$A$3,"MA_HT","NTD","MA_QH","LMU")</f>
        <v>0</v>
      </c>
      <c r="Q50" s="22">
        <f ca="1">+GETPIVOTDATA("XSN4",'suoinghe (2016)'!$A$3,"MA_HT","NTD","MA_QH","NKH")</f>
        <v>0</v>
      </c>
      <c r="R50" s="79">
        <f ca="1">SUM(S50:AA50,AN50:AV50,AX50:BD50)</f>
        <v>0</v>
      </c>
      <c r="S50" s="22">
        <f ca="1">+GETPIVOTDATA("XSN4",'suoinghe (2016)'!$A$3,"MA_HT","NTD","MA_QH","CQP")</f>
        <v>0</v>
      </c>
      <c r="T50" s="22">
        <f ca="1">+GETPIVOTDATA("XSN4",'suoinghe (2016)'!$A$3,"MA_HT","NTD","MA_QH","CAN")</f>
        <v>0</v>
      </c>
      <c r="U50" s="22">
        <f ca="1">+GETPIVOTDATA("XSN4",'suoinghe (2016)'!$A$3,"MA_HT","NTD","MA_QH","SKK")</f>
        <v>0</v>
      </c>
      <c r="V50" s="22">
        <f ca="1">+GETPIVOTDATA("XSN4",'suoinghe (2016)'!$A$3,"MA_HT","NTD","MA_QH","SKT")</f>
        <v>0</v>
      </c>
      <c r="W50" s="22">
        <f ca="1">+GETPIVOTDATA("XSN4",'suoinghe (2016)'!$A$3,"MA_HT","NTD","MA_QH","SKN")</f>
        <v>0</v>
      </c>
      <c r="X50" s="22">
        <f ca="1">+GETPIVOTDATA("XSN4",'suoinghe (2016)'!$A$3,"MA_HT","NTD","MA_QH","TMD")</f>
        <v>0</v>
      </c>
      <c r="Y50" s="22">
        <f ca="1">+GETPIVOTDATA("XSN4",'suoinghe (2016)'!$A$3,"MA_HT","NTD","MA_QH","SKC")</f>
        <v>0</v>
      </c>
      <c r="Z50" s="22">
        <f ca="1">+GETPIVOTDATA("XSN4",'suoinghe (2016)'!$A$3,"MA_HT","NTD","MA_QH","SKS")</f>
        <v>0</v>
      </c>
      <c r="AA50" s="52">
        <f ca="1" t="shared" si="21"/>
        <v>0</v>
      </c>
      <c r="AB50" s="22">
        <f ca="1">+GETPIVOTDATA("XSN4",'suoinghe (2016)'!$A$3,"MA_HT","NTD","MA_QH","DGT")</f>
        <v>0</v>
      </c>
      <c r="AC50" s="22">
        <f ca="1">+GETPIVOTDATA("XSN4",'suoinghe (2016)'!$A$3,"MA_HT","NTD","MA_QH","DTL")</f>
        <v>0</v>
      </c>
      <c r="AD50" s="22">
        <f ca="1">+GETPIVOTDATA("XSN4",'suoinghe (2016)'!$A$3,"MA_HT","NTD","MA_QH","DNL")</f>
        <v>0</v>
      </c>
      <c r="AE50" s="22">
        <f ca="1">+GETPIVOTDATA("XSN4",'suoinghe (2016)'!$A$3,"MA_HT","NTD","MA_QH","DBV")</f>
        <v>0</v>
      </c>
      <c r="AF50" s="22">
        <f ca="1">+GETPIVOTDATA("XSN4",'suoinghe (2016)'!$A$3,"MA_HT","NTD","MA_QH","DVH")</f>
        <v>0</v>
      </c>
      <c r="AG50" s="22">
        <f ca="1">+GETPIVOTDATA("XSN4",'suoinghe (2016)'!$A$3,"MA_HT","NTD","MA_QH","DYT")</f>
        <v>0</v>
      </c>
      <c r="AH50" s="22">
        <f ca="1">+GETPIVOTDATA("XSN4",'suoinghe (2016)'!$A$3,"MA_HT","NTD","MA_QH","DGD")</f>
        <v>0</v>
      </c>
      <c r="AI50" s="22">
        <f ca="1">+GETPIVOTDATA("XSN4",'suoinghe (2016)'!$A$3,"MA_HT","NTD","MA_QH","DTT")</f>
        <v>0</v>
      </c>
      <c r="AJ50" s="22">
        <f ca="1">+GETPIVOTDATA("XSN4",'suoinghe (2016)'!$A$3,"MA_HT","NTD","MA_QH","NCK")</f>
        <v>0</v>
      </c>
      <c r="AK50" s="22">
        <f ca="1">+GETPIVOTDATA("XSN4",'suoinghe (2016)'!$A$3,"MA_HT","NTD","MA_QH","DXH")</f>
        <v>0</v>
      </c>
      <c r="AL50" s="22">
        <f ca="1">+GETPIVOTDATA("XSN4",'suoinghe (2016)'!$A$3,"MA_HT","NTD","MA_QH","DCH")</f>
        <v>0</v>
      </c>
      <c r="AM50" s="22">
        <f ca="1">+GETPIVOTDATA("XSN4",'suoinghe (2016)'!$A$3,"MA_HT","NTD","MA_QH","DKG")</f>
        <v>0</v>
      </c>
      <c r="AN50" s="22">
        <f ca="1">+GETPIVOTDATA("XSN4",'suoinghe (2016)'!$A$3,"MA_HT","NTD","MA_QH","DDT")</f>
        <v>0</v>
      </c>
      <c r="AO50" s="22">
        <f ca="1">+GETPIVOTDATA("XSN4",'suoinghe (2016)'!$A$3,"MA_HT","NTD","MA_QH","DDL")</f>
        <v>0</v>
      </c>
      <c r="AP50" s="22">
        <f ca="1">+GETPIVOTDATA("XSN4",'suoinghe (2016)'!$A$3,"MA_HT","NTD","MA_QH","DRA")</f>
        <v>0</v>
      </c>
      <c r="AQ50" s="22">
        <f ca="1">+GETPIVOTDATA("XSN4",'suoinghe (2016)'!$A$3,"MA_HT","NTD","MA_QH","ONT")</f>
        <v>0</v>
      </c>
      <c r="AR50" s="22">
        <f ca="1">+GETPIVOTDATA("XSN4",'suoinghe (2016)'!$A$3,"MA_HT","NTD","MA_QH","ODT")</f>
        <v>0</v>
      </c>
      <c r="AS50" s="22">
        <f ca="1">+GETPIVOTDATA("XSN4",'suoinghe (2016)'!$A$3,"MA_HT","NTD","MA_QH","TSC")</f>
        <v>0</v>
      </c>
      <c r="AT50" s="22">
        <f ca="1">+GETPIVOTDATA("XSN4",'suoinghe (2016)'!$A$3,"MA_HT","NTD","MA_QH","DTS")</f>
        <v>0</v>
      </c>
      <c r="AU50" s="22">
        <f ca="1">+GETPIVOTDATA("XSN4",'suoinghe (2016)'!$A$3,"MA_HT","NTD","MA_QH","DNG")</f>
        <v>0</v>
      </c>
      <c r="AV50" s="22">
        <f ca="1">+GETPIVOTDATA("XSN4",'suoinghe (2016)'!$A$3,"MA_HT","NTD","MA_QH","TON")</f>
        <v>0</v>
      </c>
      <c r="AW50" s="43" t="e">
        <f ca="1">$D50-$BF50</f>
        <v>#REF!</v>
      </c>
      <c r="AX50" s="22">
        <f ca="1">+GETPIVOTDATA("XSN4",'suoinghe (2016)'!$A$3,"MA_HT","NTD","MA_QH","SKX")</f>
        <v>0</v>
      </c>
      <c r="AY50" s="22">
        <f ca="1">+GETPIVOTDATA("XSN4",'suoinghe (2016)'!$A$3,"MA_HT","NTD","MA_QH","DSH")</f>
        <v>0</v>
      </c>
      <c r="AZ50" s="22">
        <f ca="1">+GETPIVOTDATA("XSN4",'suoinghe (2016)'!$A$3,"MA_HT","NTD","MA_QH","DKV")</f>
        <v>0</v>
      </c>
      <c r="BA50" s="89">
        <f ca="1">+GETPIVOTDATA("XSN4",'suoinghe (2016)'!$A$3,"MA_HT","NTD","MA_QH","TIN")</f>
        <v>0</v>
      </c>
      <c r="BB50" s="50">
        <f ca="1">+GETPIVOTDATA("XSN4",'suoinghe (2016)'!$A$3,"MA_HT","NTD","MA_QH","SON")</f>
        <v>0</v>
      </c>
      <c r="BC50" s="50">
        <f ca="1">+GETPIVOTDATA("XSN4",'suoinghe (2016)'!$A$3,"MA_HT","NTD","MA_QH","MNC")</f>
        <v>0</v>
      </c>
      <c r="BD50" s="22">
        <f ca="1">+GETPIVOTDATA("XSN4",'suoinghe (2016)'!$A$3,"MA_HT","NTD","MA_QH","PNK")</f>
        <v>0</v>
      </c>
      <c r="BE50" s="71">
        <f ca="1">+GETPIVOTDATA("XSN4",'suoinghe (2016)'!$A$3,"MA_HT","NTD","MA_QH","CSD")</f>
        <v>0</v>
      </c>
      <c r="BF50" s="74">
        <f ca="1" t="shared" si="13"/>
        <v>0</v>
      </c>
      <c r="BG50" s="101">
        <f ca="1">AW$59-$BF50</f>
        <v>0</v>
      </c>
      <c r="BH50" s="41" t="e">
        <f ca="1" t="shared" si="14"/>
        <v>#REF!</v>
      </c>
      <c r="BI50" s="98"/>
      <c r="BJ50" s="98"/>
      <c r="BK50" s="107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</row>
    <row r="51" s="2" customFormat="1" ht="15.75" customHeight="1" spans="1:79">
      <c r="A51" s="39" t="s">
        <v>8420</v>
      </c>
      <c r="B51" s="39" t="s">
        <v>8421</v>
      </c>
      <c r="C51" s="40" t="s">
        <v>236</v>
      </c>
      <c r="D51" s="41" t="e">
        <f>+#REF!</f>
        <v>#REF!</v>
      </c>
      <c r="E51" s="42">
        <f ca="1" t="shared" si="15"/>
        <v>0</v>
      </c>
      <c r="F51" s="52">
        <f ca="1" t="shared" si="9"/>
        <v>0</v>
      </c>
      <c r="G51" s="22">
        <f ca="1">+GETPIVOTDATA("XSN4",'suoinghe (2016)'!$A$3,"MA_HT","SKX","MA_QH","LUC")</f>
        <v>0</v>
      </c>
      <c r="H51" s="22">
        <f ca="1">+GETPIVOTDATA("XSN4",'suoinghe (2016)'!$A$3,"MA_HT","SKX","MA_QH","LUK")</f>
        <v>0</v>
      </c>
      <c r="I51" s="22">
        <f ca="1">+GETPIVOTDATA("XSN4",'suoinghe (2016)'!$A$3,"MA_HT","SKX","MA_QH","LUN")</f>
        <v>0</v>
      </c>
      <c r="J51" s="22">
        <f ca="1">+GETPIVOTDATA("XSN4",'suoinghe (2016)'!$A$3,"MA_HT","SKX","MA_QH","HNK")</f>
        <v>0</v>
      </c>
      <c r="K51" s="22">
        <f ca="1">+GETPIVOTDATA("XSN4",'suoinghe (2016)'!$A$3,"MA_HT","SKX","MA_QH","CLN")</f>
        <v>0</v>
      </c>
      <c r="L51" s="22">
        <f ca="1">+GETPIVOTDATA("XSN4",'suoinghe (2016)'!$A$3,"MA_HT","SKX","MA_QH","RSX")</f>
        <v>0</v>
      </c>
      <c r="M51" s="22">
        <f ca="1">+GETPIVOTDATA("XSN4",'suoinghe (2016)'!$A$3,"MA_HT","SKX","MA_QH","RPH")</f>
        <v>0</v>
      </c>
      <c r="N51" s="22">
        <f ca="1">+GETPIVOTDATA("XSN4",'suoinghe (2016)'!$A$3,"MA_HT","SKX","MA_QH","RDD")</f>
        <v>0</v>
      </c>
      <c r="O51" s="22">
        <f ca="1">+GETPIVOTDATA("XSN4",'suoinghe (2016)'!$A$3,"MA_HT","SKX","MA_QH","NTS")</f>
        <v>0</v>
      </c>
      <c r="P51" s="22">
        <f ca="1">+GETPIVOTDATA("XSN4",'suoinghe (2016)'!$A$3,"MA_HT","SKX","MA_QH","LMU")</f>
        <v>0</v>
      </c>
      <c r="Q51" s="22">
        <f ca="1">+GETPIVOTDATA("XSN4",'suoinghe (2016)'!$A$3,"MA_HT","SKX","MA_QH","NKH")</f>
        <v>0</v>
      </c>
      <c r="R51" s="79">
        <f ca="1">SUM(S51:AA51,AN51:AW51,AY51:BD51)</f>
        <v>0</v>
      </c>
      <c r="S51" s="22">
        <f ca="1">+GETPIVOTDATA("XSN4",'suoinghe (2016)'!$A$3,"MA_HT","SKX","MA_QH","CQP")</f>
        <v>0</v>
      </c>
      <c r="T51" s="22">
        <f ca="1">+GETPIVOTDATA("XSN4",'suoinghe (2016)'!$A$3,"MA_HT","SKX","MA_QH","CAN")</f>
        <v>0</v>
      </c>
      <c r="U51" s="22">
        <f ca="1">+GETPIVOTDATA("XSN4",'suoinghe (2016)'!$A$3,"MA_HT","SKX","MA_QH","SKK")</f>
        <v>0</v>
      </c>
      <c r="V51" s="22">
        <f ca="1">+GETPIVOTDATA("XSN4",'suoinghe (2016)'!$A$3,"MA_HT","SKX","MA_QH","SKT")</f>
        <v>0</v>
      </c>
      <c r="W51" s="22">
        <f ca="1">+GETPIVOTDATA("XSN4",'suoinghe (2016)'!$A$3,"MA_HT","SKX","MA_QH","SKN")</f>
        <v>0</v>
      </c>
      <c r="X51" s="22">
        <f ca="1">+GETPIVOTDATA("XSN4",'suoinghe (2016)'!$A$3,"MA_HT","SKX","MA_QH","TMD")</f>
        <v>0</v>
      </c>
      <c r="Y51" s="22">
        <f ca="1">+GETPIVOTDATA("XSN4",'suoinghe (2016)'!$A$3,"MA_HT","SKX","MA_QH","SKC")</f>
        <v>0</v>
      </c>
      <c r="Z51" s="22">
        <f ca="1">+GETPIVOTDATA("XSN4",'suoinghe (2016)'!$A$3,"MA_HT","SKX","MA_QH","SKS")</f>
        <v>0</v>
      </c>
      <c r="AA51" s="52">
        <f ca="1" t="shared" si="21"/>
        <v>0</v>
      </c>
      <c r="AB51" s="22">
        <f ca="1">+GETPIVOTDATA("XSN4",'suoinghe (2016)'!$A$3,"MA_HT","SKX","MA_QH","DGT")</f>
        <v>0</v>
      </c>
      <c r="AC51" s="22">
        <f ca="1">+GETPIVOTDATA("XSN4",'suoinghe (2016)'!$A$3,"MA_HT","SKX","MA_QH","DTL")</f>
        <v>0</v>
      </c>
      <c r="AD51" s="22">
        <f ca="1">+GETPIVOTDATA("XSN4",'suoinghe (2016)'!$A$3,"MA_HT","SKX","MA_QH","DNL")</f>
        <v>0</v>
      </c>
      <c r="AE51" s="22">
        <f ca="1">+GETPIVOTDATA("XSN4",'suoinghe (2016)'!$A$3,"MA_HT","SKX","MA_QH","DBV")</f>
        <v>0</v>
      </c>
      <c r="AF51" s="22">
        <f ca="1">+GETPIVOTDATA("XSN4",'suoinghe (2016)'!$A$3,"MA_HT","SKX","MA_QH","DVH")</f>
        <v>0</v>
      </c>
      <c r="AG51" s="22">
        <f ca="1">+GETPIVOTDATA("XSN4",'suoinghe (2016)'!$A$3,"MA_HT","SKX","MA_QH","DYT")</f>
        <v>0</v>
      </c>
      <c r="AH51" s="22">
        <f ca="1">+GETPIVOTDATA("XSN4",'suoinghe (2016)'!$A$3,"MA_HT","SKX","MA_QH","DGD")</f>
        <v>0</v>
      </c>
      <c r="AI51" s="22">
        <f ca="1">+GETPIVOTDATA("XSN4",'suoinghe (2016)'!$A$3,"MA_HT","SKX","MA_QH","DTT")</f>
        <v>0</v>
      </c>
      <c r="AJ51" s="22">
        <f ca="1">+GETPIVOTDATA("XSN4",'suoinghe (2016)'!$A$3,"MA_HT","SKX","MA_QH","NCK")</f>
        <v>0</v>
      </c>
      <c r="AK51" s="22">
        <f ca="1">+GETPIVOTDATA("XSN4",'suoinghe (2016)'!$A$3,"MA_HT","SKX","MA_QH","DXH")</f>
        <v>0</v>
      </c>
      <c r="AL51" s="22">
        <f ca="1">+GETPIVOTDATA("XSN4",'suoinghe (2016)'!$A$3,"MA_HT","SKX","MA_QH","DCH")</f>
        <v>0</v>
      </c>
      <c r="AM51" s="22">
        <f ca="1">+GETPIVOTDATA("XSN4",'suoinghe (2016)'!$A$3,"MA_HT","SKX","MA_QH","DKG")</f>
        <v>0</v>
      </c>
      <c r="AN51" s="22">
        <f ca="1">+GETPIVOTDATA("XSN4",'suoinghe (2016)'!$A$3,"MA_HT","SKX","MA_QH","DDT")</f>
        <v>0</v>
      </c>
      <c r="AO51" s="22">
        <f ca="1">+GETPIVOTDATA("XSN4",'suoinghe (2016)'!$A$3,"MA_HT","SKX","MA_QH","DDL")</f>
        <v>0</v>
      </c>
      <c r="AP51" s="22">
        <f ca="1">+GETPIVOTDATA("XSN4",'suoinghe (2016)'!$A$3,"MA_HT","SKX","MA_QH","DRA")</f>
        <v>0</v>
      </c>
      <c r="AQ51" s="22">
        <f ca="1">+GETPIVOTDATA("XSN4",'suoinghe (2016)'!$A$3,"MA_HT","SKX","MA_QH","ONT")</f>
        <v>0</v>
      </c>
      <c r="AR51" s="22">
        <f ca="1">+GETPIVOTDATA("XSN4",'suoinghe (2016)'!$A$3,"MA_HT","SKX","MA_QH","ODT")</f>
        <v>0</v>
      </c>
      <c r="AS51" s="22">
        <f ca="1">+GETPIVOTDATA("XSN4",'suoinghe (2016)'!$A$3,"MA_HT","SKX","MA_QH","TSC")</f>
        <v>0</v>
      </c>
      <c r="AT51" s="22">
        <f ca="1">+GETPIVOTDATA("XSN4",'suoinghe (2016)'!$A$3,"MA_HT","SKX","MA_QH","DTS")</f>
        <v>0</v>
      </c>
      <c r="AU51" s="22">
        <f ca="1">+GETPIVOTDATA("XSN4",'suoinghe (2016)'!$A$3,"MA_HT","SKX","MA_QH","DNG")</f>
        <v>0</v>
      </c>
      <c r="AV51" s="22">
        <f ca="1">+GETPIVOTDATA("XSN4",'suoinghe (2016)'!$A$3,"MA_HT","SKX","MA_QH","TON")</f>
        <v>0</v>
      </c>
      <c r="AW51" s="22">
        <f ca="1">+GETPIVOTDATA("XSN4",'suoinghe (2016)'!$A$3,"MA_HT","SKX","MA_QH","NTD")</f>
        <v>0</v>
      </c>
      <c r="AX51" s="43" t="e">
        <f ca="1">$D51-$BF51</f>
        <v>#REF!</v>
      </c>
      <c r="AY51" s="22">
        <f ca="1">+GETPIVOTDATA("XSN4",'suoinghe (2016)'!$A$3,"MA_HT","SKX","MA_QH","DSH")</f>
        <v>0</v>
      </c>
      <c r="AZ51" s="22">
        <f ca="1">+GETPIVOTDATA("XSN4",'suoinghe (2016)'!$A$3,"MA_HT","SKX","MA_QH","DKV")</f>
        <v>0</v>
      </c>
      <c r="BA51" s="89">
        <f ca="1">+GETPIVOTDATA("XSN4",'suoinghe (2016)'!$A$3,"MA_HT","SKX","MA_QH","TIN")</f>
        <v>0</v>
      </c>
      <c r="BB51" s="50">
        <f ca="1">+GETPIVOTDATA("XSN4",'suoinghe (2016)'!$A$3,"MA_HT","SKX","MA_QH","SON")</f>
        <v>0</v>
      </c>
      <c r="BC51" s="50">
        <f ca="1">+GETPIVOTDATA("XSN4",'suoinghe (2016)'!$A$3,"MA_HT","SKX","MA_QH","MNC")</f>
        <v>0</v>
      </c>
      <c r="BD51" s="22">
        <f ca="1">+GETPIVOTDATA("XSN4",'suoinghe (2016)'!$A$3,"MA_HT","SKX","MA_QH","PNK")</f>
        <v>0</v>
      </c>
      <c r="BE51" s="71">
        <f ca="1">+GETPIVOTDATA("XSN4",'suoinghe (2016)'!$A$3,"MA_HT","SKX","MA_QH","CSD")</f>
        <v>0</v>
      </c>
      <c r="BF51" s="74">
        <f ca="1" t="shared" si="13"/>
        <v>0</v>
      </c>
      <c r="BG51" s="101">
        <f ca="1">AX$59-$BF51</f>
        <v>0</v>
      </c>
      <c r="BH51" s="41" t="e">
        <f ca="1" t="shared" si="14"/>
        <v>#REF!</v>
      </c>
      <c r="BI51" s="98"/>
      <c r="BJ51" s="98" t="e">
        <f>#REF!</f>
        <v>#REF!</v>
      </c>
      <c r="BK51" s="107" t="e">
        <f ca="1">BH51-BJ51</f>
        <v>#REF!</v>
      </c>
      <c r="BL51" s="98"/>
      <c r="BM51" s="122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</row>
    <row r="52" s="2" customFormat="1" ht="15.75" customHeight="1" spans="1:79">
      <c r="A52" s="39" t="s">
        <v>8422</v>
      </c>
      <c r="B52" s="39" t="s">
        <v>8423</v>
      </c>
      <c r="C52" s="40" t="s">
        <v>8292</v>
      </c>
      <c r="D52" s="41" t="e">
        <f>+#REF!</f>
        <v>#REF!</v>
      </c>
      <c r="E52" s="42">
        <f ca="1" t="shared" si="15"/>
        <v>0</v>
      </c>
      <c r="F52" s="52">
        <f ca="1" t="shared" si="9"/>
        <v>0</v>
      </c>
      <c r="G52" s="22">
        <f ca="1">+GETPIVOTDATA("XSN4",'suoinghe (2016)'!$A$3,"MA_HT","DSH","MA_QH","LUC")</f>
        <v>0</v>
      </c>
      <c r="H52" s="22">
        <f ca="1">+GETPIVOTDATA("XSN4",'suoinghe (2016)'!$A$3,"MA_HT","DSH","MA_QH","LUK")</f>
        <v>0</v>
      </c>
      <c r="I52" s="22">
        <f ca="1">+GETPIVOTDATA("XSN4",'suoinghe (2016)'!$A$3,"MA_HT","DSH","MA_QH","LUN")</f>
        <v>0</v>
      </c>
      <c r="J52" s="22">
        <f ca="1">+GETPIVOTDATA("XSN4",'suoinghe (2016)'!$A$3,"MA_HT","DSH","MA_QH","HNK")</f>
        <v>0</v>
      </c>
      <c r="K52" s="22">
        <f ca="1">+GETPIVOTDATA("XSN4",'suoinghe (2016)'!$A$3,"MA_HT","DSH","MA_QH","CLN")</f>
        <v>0</v>
      </c>
      <c r="L52" s="22">
        <f ca="1">+GETPIVOTDATA("XSN4",'suoinghe (2016)'!$A$3,"MA_HT","DSH","MA_QH","RSX")</f>
        <v>0</v>
      </c>
      <c r="M52" s="22">
        <f ca="1">+GETPIVOTDATA("XSN4",'suoinghe (2016)'!$A$3,"MA_HT","DSH","MA_QH","RPH")</f>
        <v>0</v>
      </c>
      <c r="N52" s="22">
        <f ca="1">+GETPIVOTDATA("XSN4",'suoinghe (2016)'!$A$3,"MA_HT","DSH","MA_QH","RDD")</f>
        <v>0</v>
      </c>
      <c r="O52" s="22">
        <f ca="1">+GETPIVOTDATA("XSN4",'suoinghe (2016)'!$A$3,"MA_HT","DSH","MA_QH","NTS")</f>
        <v>0</v>
      </c>
      <c r="P52" s="22">
        <f ca="1">+GETPIVOTDATA("XSN4",'suoinghe (2016)'!$A$3,"MA_HT","DSH","MA_QH","LMU")</f>
        <v>0</v>
      </c>
      <c r="Q52" s="22">
        <f ca="1">+GETPIVOTDATA("XSN4",'suoinghe (2016)'!$A$3,"MA_HT","DSH","MA_QH","NKH")</f>
        <v>0</v>
      </c>
      <c r="R52" s="79">
        <f ca="1">SUM(S52:AA52,AN52:AX52,AZ52:BD52)</f>
        <v>0</v>
      </c>
      <c r="S52" s="22">
        <f ca="1">+GETPIVOTDATA("XSN4",'suoinghe (2016)'!$A$3,"MA_HT","DSH","MA_QH","CQP")</f>
        <v>0</v>
      </c>
      <c r="T52" s="22">
        <f ca="1">+GETPIVOTDATA("XSN4",'suoinghe (2016)'!$A$3,"MA_HT","DSH","MA_QH","CAN")</f>
        <v>0</v>
      </c>
      <c r="U52" s="22">
        <f ca="1">+GETPIVOTDATA("XSN4",'suoinghe (2016)'!$A$3,"MA_HT","DSH","MA_QH","SKK")</f>
        <v>0</v>
      </c>
      <c r="V52" s="22">
        <f ca="1">+GETPIVOTDATA("XSN4",'suoinghe (2016)'!$A$3,"MA_HT","DSH","MA_QH","SKT")</f>
        <v>0</v>
      </c>
      <c r="W52" s="22">
        <f ca="1">+GETPIVOTDATA("XSN4",'suoinghe (2016)'!$A$3,"MA_HT","DSH","MA_QH","SKN")</f>
        <v>0</v>
      </c>
      <c r="X52" s="22">
        <f ca="1">+GETPIVOTDATA("XSN4",'suoinghe (2016)'!$A$3,"MA_HT","DSH","MA_QH","TMD")</f>
        <v>0</v>
      </c>
      <c r="Y52" s="22">
        <f ca="1">+GETPIVOTDATA("XSN4",'suoinghe (2016)'!$A$3,"MA_HT","DSH","MA_QH","SKC")</f>
        <v>0</v>
      </c>
      <c r="Z52" s="22">
        <f ca="1">+GETPIVOTDATA("XSN4",'suoinghe (2016)'!$A$3,"MA_HT","DSH","MA_QH","SKS")</f>
        <v>0</v>
      </c>
      <c r="AA52" s="52">
        <f ca="1" t="shared" si="21"/>
        <v>0</v>
      </c>
      <c r="AB52" s="22">
        <f ca="1">+GETPIVOTDATA("XSN4",'suoinghe (2016)'!$A$3,"MA_HT","DSH","MA_QH","DGT")</f>
        <v>0</v>
      </c>
      <c r="AC52" s="22">
        <f ca="1">+GETPIVOTDATA("XSN4",'suoinghe (2016)'!$A$3,"MA_HT","DSH","MA_QH","DTL")</f>
        <v>0</v>
      </c>
      <c r="AD52" s="22">
        <f ca="1">+GETPIVOTDATA("XSN4",'suoinghe (2016)'!$A$3,"MA_HT","DSH","MA_QH","DNL")</f>
        <v>0</v>
      </c>
      <c r="AE52" s="22">
        <f ca="1">+GETPIVOTDATA("XSN4",'suoinghe (2016)'!$A$3,"MA_HT","DSH","MA_QH","DBV")</f>
        <v>0</v>
      </c>
      <c r="AF52" s="22">
        <f ca="1">+GETPIVOTDATA("XSN4",'suoinghe (2016)'!$A$3,"MA_HT","DSH","MA_QH","DVH")</f>
        <v>0</v>
      </c>
      <c r="AG52" s="22">
        <f ca="1">+GETPIVOTDATA("XSN4",'suoinghe (2016)'!$A$3,"MA_HT","DSH","MA_QH","DYT")</f>
        <v>0</v>
      </c>
      <c r="AH52" s="22">
        <f ca="1">+GETPIVOTDATA("XSN4",'suoinghe (2016)'!$A$3,"MA_HT","DSH","MA_QH","DGD")</f>
        <v>0</v>
      </c>
      <c r="AI52" s="22">
        <f ca="1">+GETPIVOTDATA("XSN4",'suoinghe (2016)'!$A$3,"MA_HT","DSH","MA_QH","DTT")</f>
        <v>0</v>
      </c>
      <c r="AJ52" s="22">
        <f ca="1">+GETPIVOTDATA("XSN4",'suoinghe (2016)'!$A$3,"MA_HT","DSH","MA_QH","NCK")</f>
        <v>0</v>
      </c>
      <c r="AK52" s="22">
        <f ca="1">+GETPIVOTDATA("XSN4",'suoinghe (2016)'!$A$3,"MA_HT","DSH","MA_QH","DXH")</f>
        <v>0</v>
      </c>
      <c r="AL52" s="22">
        <f ca="1">+GETPIVOTDATA("XSN4",'suoinghe (2016)'!$A$3,"MA_HT","DSH","MA_QH","DCH")</f>
        <v>0</v>
      </c>
      <c r="AM52" s="22">
        <f ca="1">+GETPIVOTDATA("XSN4",'suoinghe (2016)'!$A$3,"MA_HT","DSH","MA_QH","DKG")</f>
        <v>0</v>
      </c>
      <c r="AN52" s="22">
        <f ca="1">+GETPIVOTDATA("XSN4",'suoinghe (2016)'!$A$3,"MA_HT","DSH","MA_QH","DDT")</f>
        <v>0</v>
      </c>
      <c r="AO52" s="22">
        <f ca="1">+GETPIVOTDATA("XSN4",'suoinghe (2016)'!$A$3,"MA_HT","DSH","MA_QH","DDL")</f>
        <v>0</v>
      </c>
      <c r="AP52" s="22">
        <f ca="1">+GETPIVOTDATA("XSN4",'suoinghe (2016)'!$A$3,"MA_HT","DSH","MA_QH","DRA")</f>
        <v>0</v>
      </c>
      <c r="AQ52" s="22">
        <f ca="1">+GETPIVOTDATA("XSN4",'suoinghe (2016)'!$A$3,"MA_HT","DSH","MA_QH","ONT")</f>
        <v>0</v>
      </c>
      <c r="AR52" s="22">
        <f ca="1">+GETPIVOTDATA("XSN4",'suoinghe (2016)'!$A$3,"MA_HT","DSH","MA_QH","ODT")</f>
        <v>0</v>
      </c>
      <c r="AS52" s="22">
        <f ca="1">+GETPIVOTDATA("XSN4",'suoinghe (2016)'!$A$3,"MA_HT","DSH","MA_QH","TSC")</f>
        <v>0</v>
      </c>
      <c r="AT52" s="22">
        <f ca="1">+GETPIVOTDATA("XSN4",'suoinghe (2016)'!$A$3,"MA_HT","DSH","MA_QH","DTS")</f>
        <v>0</v>
      </c>
      <c r="AU52" s="22">
        <f ca="1">+GETPIVOTDATA("XSN4",'suoinghe (2016)'!$A$3,"MA_HT","DSH","MA_QH","DNG")</f>
        <v>0</v>
      </c>
      <c r="AV52" s="22">
        <f ca="1">+GETPIVOTDATA("XSN4",'suoinghe (2016)'!$A$3,"MA_HT","DSH","MA_QH","TON")</f>
        <v>0</v>
      </c>
      <c r="AW52" s="22">
        <f ca="1">+GETPIVOTDATA("XSN4",'suoinghe (2016)'!$A$3,"MA_HT","DSH","MA_QH","NTD")</f>
        <v>0</v>
      </c>
      <c r="AX52" s="22">
        <f ca="1">+GETPIVOTDATA("XSN4",'suoinghe (2016)'!$A$3,"MA_HT","DSH","MA_QH","SKX")</f>
        <v>0</v>
      </c>
      <c r="AY52" s="43" t="e">
        <f ca="1">$D52-$BF52</f>
        <v>#REF!</v>
      </c>
      <c r="AZ52" s="22">
        <f ca="1">+GETPIVOTDATA("XSN4",'suoinghe (2016)'!$A$3,"MA_HT","DSH","MA_QH","DKV")</f>
        <v>0</v>
      </c>
      <c r="BA52" s="89">
        <f ca="1">+GETPIVOTDATA("XSN4",'suoinghe (2016)'!$A$3,"MA_HT","DSH","MA_QH","TIN")</f>
        <v>0</v>
      </c>
      <c r="BB52" s="50">
        <f ca="1">+GETPIVOTDATA("XSN4",'suoinghe (2016)'!$A$3,"MA_HT","DSH","MA_QH","SON")</f>
        <v>0</v>
      </c>
      <c r="BC52" s="50">
        <f ca="1">+GETPIVOTDATA("XSN4",'suoinghe (2016)'!$A$3,"MA_HT","DSH","MA_QH","MNC")</f>
        <v>0</v>
      </c>
      <c r="BD52" s="22">
        <f ca="1">+GETPIVOTDATA("XSN4",'suoinghe (2016)'!$A$3,"MA_HT","DSH","MA_QH","PNK")</f>
        <v>0</v>
      </c>
      <c r="BE52" s="71">
        <f ca="1">+GETPIVOTDATA("XSN4",'suoinghe (2016)'!$A$3,"MA_HT","DSH","MA_QH","CSD")</f>
        <v>0</v>
      </c>
      <c r="BF52" s="74">
        <f ca="1" t="shared" si="13"/>
        <v>0</v>
      </c>
      <c r="BG52" s="101">
        <f ca="1">AY$59-$BF52</f>
        <v>0</v>
      </c>
      <c r="BH52" s="41" t="e">
        <f ca="1" t="shared" si="14"/>
        <v>#REF!</v>
      </c>
      <c r="BI52" s="98"/>
      <c r="BJ52" s="98" t="e">
        <f>#REF!</f>
        <v>#REF!</v>
      </c>
      <c r="BK52" s="107" t="e">
        <f ca="1">BH52-BJ52</f>
        <v>#REF!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</row>
    <row r="53" s="2" customFormat="1" ht="15.75" customHeight="1" spans="1:79">
      <c r="A53" s="39" t="s">
        <v>8424</v>
      </c>
      <c r="B53" s="39" t="s">
        <v>8425</v>
      </c>
      <c r="C53" s="40" t="s">
        <v>8289</v>
      </c>
      <c r="D53" s="41" t="e">
        <f>+#REF!</f>
        <v>#REF!</v>
      </c>
      <c r="E53" s="42">
        <f ca="1" t="shared" si="15"/>
        <v>0</v>
      </c>
      <c r="F53" s="52">
        <f ca="1" t="shared" si="9"/>
        <v>0</v>
      </c>
      <c r="G53" s="22">
        <f ca="1">+GETPIVOTDATA("XSN4",'suoinghe (2016)'!$A$3,"MA_HT","DKV","MA_QH","LUC")</f>
        <v>0</v>
      </c>
      <c r="H53" s="22">
        <f ca="1">+GETPIVOTDATA("XSN4",'suoinghe (2016)'!$A$3,"MA_HT","DKV","MA_QH","LUK")</f>
        <v>0</v>
      </c>
      <c r="I53" s="22">
        <f ca="1">+GETPIVOTDATA("XSN4",'suoinghe (2016)'!$A$3,"MA_HT","DKV","MA_QH","LUN")</f>
        <v>0</v>
      </c>
      <c r="J53" s="22">
        <f ca="1">+GETPIVOTDATA("XSN4",'suoinghe (2016)'!$A$3,"MA_HT","DKV","MA_QH","HNK")</f>
        <v>0</v>
      </c>
      <c r="K53" s="22">
        <f ca="1">+GETPIVOTDATA("XSN4",'suoinghe (2016)'!$A$3,"MA_HT","DKV","MA_QH","CLN")</f>
        <v>0</v>
      </c>
      <c r="L53" s="22">
        <f ca="1">+GETPIVOTDATA("XSN4",'suoinghe (2016)'!$A$3,"MA_HT","DKV","MA_QH","RSX")</f>
        <v>0</v>
      </c>
      <c r="M53" s="22">
        <f ca="1">+GETPIVOTDATA("XSN4",'suoinghe (2016)'!$A$3,"MA_HT","DKV","MA_QH","RPH")</f>
        <v>0</v>
      </c>
      <c r="N53" s="22">
        <f ca="1">+GETPIVOTDATA("XSN4",'suoinghe (2016)'!$A$3,"MA_HT","DKV","MA_QH","RDD")</f>
        <v>0</v>
      </c>
      <c r="O53" s="22">
        <f ca="1">+GETPIVOTDATA("XSN4",'suoinghe (2016)'!$A$3,"MA_HT","DKV","MA_QH","NTS")</f>
        <v>0</v>
      </c>
      <c r="P53" s="22">
        <f ca="1">+GETPIVOTDATA("XSN4",'suoinghe (2016)'!$A$3,"MA_HT","DKV","MA_QH","LMU")</f>
        <v>0</v>
      </c>
      <c r="Q53" s="22">
        <f ca="1">+GETPIVOTDATA("XSN4",'suoinghe (2016)'!$A$3,"MA_HT","DKV","MA_QH","NKH")</f>
        <v>0</v>
      </c>
      <c r="R53" s="79">
        <f ca="1">SUM(S53:AA53,AN53:AY53,BB53:BD53)</f>
        <v>0</v>
      </c>
      <c r="S53" s="22">
        <f ca="1">+GETPIVOTDATA("XSN4",'suoinghe (2016)'!$A$3,"MA_HT","DKV","MA_QH","CQP")</f>
        <v>0</v>
      </c>
      <c r="T53" s="22">
        <f ca="1">+GETPIVOTDATA("XSN4",'suoinghe (2016)'!$A$3,"MA_HT","DKV","MA_QH","CAN")</f>
        <v>0</v>
      </c>
      <c r="U53" s="22">
        <f ca="1">+GETPIVOTDATA("XSN4",'suoinghe (2016)'!$A$3,"MA_HT","DKV","MA_QH","SKK")</f>
        <v>0</v>
      </c>
      <c r="V53" s="22">
        <f ca="1">+GETPIVOTDATA("XSN4",'suoinghe (2016)'!$A$3,"MA_HT","DKV","MA_QH","SKT")</f>
        <v>0</v>
      </c>
      <c r="W53" s="22">
        <f ca="1">+GETPIVOTDATA("XSN4",'suoinghe (2016)'!$A$3,"MA_HT","DKV","MA_QH","SKN")</f>
        <v>0</v>
      </c>
      <c r="X53" s="22">
        <f ca="1">+GETPIVOTDATA("XSN4",'suoinghe (2016)'!$A$3,"MA_HT","DKV","MA_QH","TMD")</f>
        <v>0</v>
      </c>
      <c r="Y53" s="22">
        <f ca="1">+GETPIVOTDATA("XSN4",'suoinghe (2016)'!$A$3,"MA_HT","DKV","MA_QH","SKC")</f>
        <v>0</v>
      </c>
      <c r="Z53" s="22">
        <f ca="1">+GETPIVOTDATA("XSN4",'suoinghe (2016)'!$A$3,"MA_HT","DKV","MA_QH","SKS")</f>
        <v>0</v>
      </c>
      <c r="AA53" s="52">
        <f ca="1" t="shared" si="21"/>
        <v>0</v>
      </c>
      <c r="AB53" s="22">
        <f ca="1">+GETPIVOTDATA("XSN4",'suoinghe (2016)'!$A$3,"MA_HT","DKV","MA_QH","DGT")</f>
        <v>0</v>
      </c>
      <c r="AC53" s="22">
        <f ca="1">+GETPIVOTDATA("XSN4",'suoinghe (2016)'!$A$3,"MA_HT","DKV","MA_QH","DTL")</f>
        <v>0</v>
      </c>
      <c r="AD53" s="22">
        <f ca="1">+GETPIVOTDATA("XSN4",'suoinghe (2016)'!$A$3,"MA_HT","DKV","MA_QH","DNL")</f>
        <v>0</v>
      </c>
      <c r="AE53" s="22">
        <f ca="1">+GETPIVOTDATA("XSN4",'suoinghe (2016)'!$A$3,"MA_HT","DKV","MA_QH","DBV")</f>
        <v>0</v>
      </c>
      <c r="AF53" s="22">
        <f ca="1">+GETPIVOTDATA("XSN4",'suoinghe (2016)'!$A$3,"MA_HT","DKV","MA_QH","DVH")</f>
        <v>0</v>
      </c>
      <c r="AG53" s="22">
        <f ca="1">+GETPIVOTDATA("XSN4",'suoinghe (2016)'!$A$3,"MA_HT","DKV","MA_QH","DYT")</f>
        <v>0</v>
      </c>
      <c r="AH53" s="22">
        <f ca="1">+GETPIVOTDATA("XSN4",'suoinghe (2016)'!$A$3,"MA_HT","DKV","MA_QH","DGD")</f>
        <v>0</v>
      </c>
      <c r="AI53" s="22">
        <f ca="1">+GETPIVOTDATA("XSN4",'suoinghe (2016)'!$A$3,"MA_HT","DKV","MA_QH","DTT")</f>
        <v>0</v>
      </c>
      <c r="AJ53" s="22">
        <f ca="1">+GETPIVOTDATA("XSN4",'suoinghe (2016)'!$A$3,"MA_HT","DKV","MA_QH","NCK")</f>
        <v>0</v>
      </c>
      <c r="AK53" s="22">
        <f ca="1">+GETPIVOTDATA("XSN4",'suoinghe (2016)'!$A$3,"MA_HT","DKV","MA_QH","DXH")</f>
        <v>0</v>
      </c>
      <c r="AL53" s="22">
        <f ca="1">+GETPIVOTDATA("XSN4",'suoinghe (2016)'!$A$3,"MA_HT","DKV","MA_QH","DCH")</f>
        <v>0</v>
      </c>
      <c r="AM53" s="22">
        <f ca="1">+GETPIVOTDATA("XSN4",'suoinghe (2016)'!$A$3,"MA_HT","DKV","MA_QH","DKG")</f>
        <v>0</v>
      </c>
      <c r="AN53" s="22">
        <f ca="1">+GETPIVOTDATA("XSN4",'suoinghe (2016)'!$A$3,"MA_HT","DKV","MA_QH","DDT")</f>
        <v>0</v>
      </c>
      <c r="AO53" s="22">
        <f ca="1">+GETPIVOTDATA("XSN4",'suoinghe (2016)'!$A$3,"MA_HT","DKV","MA_QH","DDL")</f>
        <v>0</v>
      </c>
      <c r="AP53" s="22">
        <f ca="1">+GETPIVOTDATA("XSN4",'suoinghe (2016)'!$A$3,"MA_HT","DKV","MA_QH","DRA")</f>
        <v>0</v>
      </c>
      <c r="AQ53" s="22">
        <f ca="1">+GETPIVOTDATA("XSN4",'suoinghe (2016)'!$A$3,"MA_HT","DKV","MA_QH","ONT")</f>
        <v>0</v>
      </c>
      <c r="AR53" s="22">
        <f ca="1">+GETPIVOTDATA("XSN4",'suoinghe (2016)'!$A$3,"MA_HT","DKV","MA_QH","ODT")</f>
        <v>0</v>
      </c>
      <c r="AS53" s="22">
        <f ca="1">+GETPIVOTDATA("XSN4",'suoinghe (2016)'!$A$3,"MA_HT","DKV","MA_QH","TSC")</f>
        <v>0</v>
      </c>
      <c r="AT53" s="22">
        <f ca="1">+GETPIVOTDATA("XSN4",'suoinghe (2016)'!$A$3,"MA_HT","DKV","MA_QH","DTS")</f>
        <v>0</v>
      </c>
      <c r="AU53" s="22">
        <f ca="1">+GETPIVOTDATA("XSN4",'suoinghe (2016)'!$A$3,"MA_HT","DKV","MA_QH","DNG")</f>
        <v>0</v>
      </c>
      <c r="AV53" s="22">
        <f ca="1">+GETPIVOTDATA("XSN4",'suoinghe (2016)'!$A$3,"MA_HT","DKV","MA_QH","TON")</f>
        <v>0</v>
      </c>
      <c r="AW53" s="22">
        <f ca="1">+GETPIVOTDATA("XSN4",'suoinghe (2016)'!$A$3,"MA_HT","DKV","MA_QH","NTD")</f>
        <v>0</v>
      </c>
      <c r="AX53" s="22">
        <f ca="1">+GETPIVOTDATA("XSN4",'suoinghe (2016)'!$A$3,"MA_HT","DKV","MA_QH","SKX")</f>
        <v>0</v>
      </c>
      <c r="AY53" s="22">
        <f ca="1">+GETPIVOTDATA("XSN4",'suoinghe (2016)'!$A$3,"MA_HT","DKV","MA_QH","DSH")</f>
        <v>0</v>
      </c>
      <c r="AZ53" s="43" t="e">
        <f ca="1">$D53-$BF53</f>
        <v>#REF!</v>
      </c>
      <c r="BA53" s="89">
        <f ca="1">+GETPIVOTDATA("XSN4",'suoinghe (2016)'!$A$3,"MA_HT","DKV","MA_QH","TIN")</f>
        <v>0</v>
      </c>
      <c r="BB53" s="50">
        <f ca="1">+GETPIVOTDATA("XSN4",'suoinghe (2016)'!$A$3,"MA_HT","DKV","MA_QH","SON")</f>
        <v>0</v>
      </c>
      <c r="BC53" s="50">
        <f ca="1">+GETPIVOTDATA("XSN4",'suoinghe (2016)'!$A$3,"MA_HT","DKV","MA_QH","MNC")</f>
        <v>0</v>
      </c>
      <c r="BD53" s="22">
        <f ca="1">+GETPIVOTDATA("XSN4",'suoinghe (2016)'!$A$3,"MA_HT","DKV","MA_QH","PNK")</f>
        <v>0</v>
      </c>
      <c r="BE53" s="71">
        <f ca="1">+GETPIVOTDATA("XSN4",'suoinghe (2016)'!$A$3,"MA_HT","DKV","MA_QH","CSD")</f>
        <v>0</v>
      </c>
      <c r="BF53" s="74">
        <f ca="1" t="shared" si="13"/>
        <v>0</v>
      </c>
      <c r="BG53" s="101">
        <f ca="1">AZ$59-$BF53</f>
        <v>0</v>
      </c>
      <c r="BH53" s="41" t="e">
        <f ca="1" t="shared" si="14"/>
        <v>#REF!</v>
      </c>
      <c r="BI53" s="98"/>
      <c r="BJ53" s="98" t="e">
        <f>#REF!</f>
        <v>#REF!</v>
      </c>
      <c r="BK53" s="107" t="e">
        <f ca="1">BH53-BJ53</f>
        <v>#REF!</v>
      </c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</row>
    <row r="54" s="2" customFormat="1" ht="15.75" customHeight="1" spans="1:75">
      <c r="A54" s="39" t="s">
        <v>8426</v>
      </c>
      <c r="B54" s="39" t="s">
        <v>8427</v>
      </c>
      <c r="C54" s="40" t="s">
        <v>8310</v>
      </c>
      <c r="D54" s="41" t="e">
        <f>+#REF!</f>
        <v>#REF!</v>
      </c>
      <c r="E54" s="33">
        <f ca="1" t="shared" si="15"/>
        <v>0</v>
      </c>
      <c r="F54" s="52">
        <f ca="1">SUM(F29:F39)</f>
        <v>0</v>
      </c>
      <c r="G54" s="22">
        <f ca="1">+GETPIVOTDATA("XSN4",'suoinghe (2016)'!$A$3,"MA_HT","TIN","MA_QH","LUC")</f>
        <v>0</v>
      </c>
      <c r="H54" s="22">
        <f ca="1">+GETPIVOTDATA("XSN4",'suoinghe (2016)'!$A$3,"MA_HT","TIN","MA_QH","LUK")</f>
        <v>0</v>
      </c>
      <c r="I54" s="22">
        <f ca="1">+GETPIVOTDATA("XSN4",'suoinghe (2016)'!$A$3,"MA_HT","TIN","MA_QH","LUN")</f>
        <v>0</v>
      </c>
      <c r="J54" s="22">
        <f ca="1">+GETPIVOTDATA("XSN4",'suoinghe (2016)'!$A$3,"MA_HT","TIN","MA_QH","HNK")</f>
        <v>0</v>
      </c>
      <c r="K54" s="22">
        <f ca="1">+GETPIVOTDATA("XSN4",'suoinghe (2016)'!$A$3,"MA_HT","TIN","MA_QH","CLN")</f>
        <v>0</v>
      </c>
      <c r="L54" s="22">
        <f ca="1">+GETPIVOTDATA("XSN4",'suoinghe (2016)'!$A$3,"MA_HT","TIN","MA_QH","RSX")</f>
        <v>0</v>
      </c>
      <c r="M54" s="22">
        <f ca="1">+GETPIVOTDATA("XSN4",'suoinghe (2016)'!$A$3,"MA_HT","TIN","MA_QH","RPH")</f>
        <v>0</v>
      </c>
      <c r="N54" s="22">
        <f ca="1">+GETPIVOTDATA("XSN4",'suoinghe (2016)'!$A$3,"MA_HT","TIN","MA_QH","RDD")</f>
        <v>0</v>
      </c>
      <c r="O54" s="22">
        <f ca="1">+GETPIVOTDATA("XSN4",'suoinghe (2016)'!$A$3,"MA_HT","TIN","MA_QH","NTS")</f>
        <v>0</v>
      </c>
      <c r="P54" s="22">
        <f ca="1">+GETPIVOTDATA("XSN4",'suoinghe (2016)'!$A$3,"MA_HT","TIN","MA_QH","LMU")</f>
        <v>0</v>
      </c>
      <c r="Q54" s="22">
        <f ca="1">+GETPIVOTDATA("XSN4",'suoinghe (2016)'!$A$3,"MA_HT","TIN","MA_QH","NKH")</f>
        <v>0</v>
      </c>
      <c r="R54" s="79">
        <f ca="1">SUM(S54:AA54,AN54:AZ54,BB54:BD54)</f>
        <v>0</v>
      </c>
      <c r="S54" s="22">
        <f ca="1">+GETPIVOTDATA("XSN4",'suoinghe (2016)'!$A$3,"MA_HT","TIN","MA_QH","CQP")</f>
        <v>0</v>
      </c>
      <c r="T54" s="22">
        <f ca="1">+GETPIVOTDATA("XSN4",'suoinghe (2016)'!$A$3,"MA_HT","TIN","MA_QH","CAN")</f>
        <v>0</v>
      </c>
      <c r="U54" s="22">
        <f ca="1">+GETPIVOTDATA("XSN4",'suoinghe (2016)'!$A$3,"MA_HT","TIN","MA_QH","SKK")</f>
        <v>0</v>
      </c>
      <c r="V54" s="22">
        <f ca="1">+GETPIVOTDATA("XSN4",'suoinghe (2016)'!$A$3,"MA_HT","TIN","MA_QH","SKT")</f>
        <v>0</v>
      </c>
      <c r="W54" s="22">
        <f ca="1">+GETPIVOTDATA("XSN4",'suoinghe (2016)'!$A$3,"MA_HT","TIN","MA_QH","SKN")</f>
        <v>0</v>
      </c>
      <c r="X54" s="22">
        <f ca="1">+GETPIVOTDATA("XSN4",'suoinghe (2016)'!$A$3,"MA_HT","TIN","MA_QH","TMD")</f>
        <v>0</v>
      </c>
      <c r="Y54" s="22">
        <f ca="1">+GETPIVOTDATA("XSN4",'suoinghe (2016)'!$A$3,"MA_HT","TIN","MA_QH","SKC")</f>
        <v>0</v>
      </c>
      <c r="Z54" s="22">
        <f ca="1">+GETPIVOTDATA("XSN4",'suoinghe (2016)'!$A$3,"MA_HT","TIN","MA_QH","SKS")</f>
        <v>0</v>
      </c>
      <c r="AA54" s="52">
        <f ca="1" t="shared" si="21"/>
        <v>0</v>
      </c>
      <c r="AB54" s="22">
        <f ca="1">+GETPIVOTDATA("XSN4",'suoinghe (2016)'!$A$3,"MA_HT","TIN","MA_QH","DGT")</f>
        <v>0</v>
      </c>
      <c r="AC54" s="22">
        <f ca="1">+GETPIVOTDATA("XSN4",'suoinghe (2016)'!$A$3,"MA_HT","TIN","MA_QH","DTL")</f>
        <v>0</v>
      </c>
      <c r="AD54" s="22">
        <f ca="1">+GETPIVOTDATA("XSN4",'suoinghe (2016)'!$A$3,"MA_HT","TIN","MA_QH","DNL")</f>
        <v>0</v>
      </c>
      <c r="AE54" s="22">
        <f ca="1">+GETPIVOTDATA("XSN4",'suoinghe (2016)'!$A$3,"MA_HT","TIN","MA_QH","DBV")</f>
        <v>0</v>
      </c>
      <c r="AF54" s="22">
        <f ca="1">+GETPIVOTDATA("XSN4",'suoinghe (2016)'!$A$3,"MA_HT","TIN","MA_QH","DVH")</f>
        <v>0</v>
      </c>
      <c r="AG54" s="22">
        <f ca="1">+GETPIVOTDATA("XSN4",'suoinghe (2016)'!$A$3,"MA_HT","TIN","MA_QH","DYT")</f>
        <v>0</v>
      </c>
      <c r="AH54" s="22">
        <f ca="1">+GETPIVOTDATA("XSN4",'suoinghe (2016)'!$A$3,"MA_HT","TIN","MA_QH","DGD")</f>
        <v>0</v>
      </c>
      <c r="AI54" s="22">
        <f ca="1">+GETPIVOTDATA("XSN4",'suoinghe (2016)'!$A$3,"MA_HT","TIN","MA_QH","DTT")</f>
        <v>0</v>
      </c>
      <c r="AJ54" s="22">
        <f ca="1">+GETPIVOTDATA("XSN4",'suoinghe (2016)'!$A$3,"MA_HT","TIN","MA_QH","NCK")</f>
        <v>0</v>
      </c>
      <c r="AK54" s="22">
        <f ca="1">+GETPIVOTDATA("XSN4",'suoinghe (2016)'!$A$3,"MA_HT","TIN","MA_QH","DXH")</f>
        <v>0</v>
      </c>
      <c r="AL54" s="22">
        <f ca="1">+GETPIVOTDATA("XSN4",'suoinghe (2016)'!$A$3,"MA_HT","TIN","MA_QH","DCH")</f>
        <v>0</v>
      </c>
      <c r="AM54" s="22">
        <f ca="1">+GETPIVOTDATA("XSN4",'suoinghe (2016)'!$A$3,"MA_HT","TIN","MA_QH","DKG")</f>
        <v>0</v>
      </c>
      <c r="AN54" s="22">
        <f ca="1">+GETPIVOTDATA("XSN4",'suoinghe (2016)'!$A$3,"MA_HT","TIN","MA_QH","DDT")</f>
        <v>0</v>
      </c>
      <c r="AO54" s="22">
        <f ca="1">+GETPIVOTDATA("XSN4",'suoinghe (2016)'!$A$3,"MA_HT","TIN","MA_QH","DDL")</f>
        <v>0</v>
      </c>
      <c r="AP54" s="22">
        <f ca="1">+GETPIVOTDATA("XSN4",'suoinghe (2016)'!$A$3,"MA_HT","TIN","MA_QH","DRA")</f>
        <v>0</v>
      </c>
      <c r="AQ54" s="22">
        <f ca="1">+GETPIVOTDATA("XSN4",'suoinghe (2016)'!$A$3,"MA_HT","TIN","MA_QH","ONT")</f>
        <v>0</v>
      </c>
      <c r="AR54" s="22">
        <f ca="1">+GETPIVOTDATA("XSN4",'suoinghe (2016)'!$A$3,"MA_HT","TIN","MA_QH","ODT")</f>
        <v>0</v>
      </c>
      <c r="AS54" s="22">
        <f ca="1">+GETPIVOTDATA("XSN4",'suoinghe (2016)'!$A$3,"MA_HT","TIN","MA_QH","TSC")</f>
        <v>0</v>
      </c>
      <c r="AT54" s="22">
        <f ca="1">+GETPIVOTDATA("XSN4",'suoinghe (2016)'!$A$3,"MA_HT","TIN","MA_QH","DTS")</f>
        <v>0</v>
      </c>
      <c r="AU54" s="22">
        <f ca="1">+GETPIVOTDATA("XSN4",'suoinghe (2016)'!$A$3,"MA_HT","TIN","MA_QH","DNG")</f>
        <v>0</v>
      </c>
      <c r="AV54" s="22">
        <f ca="1">+GETPIVOTDATA("XSN4",'suoinghe (2016)'!$A$3,"MA_HT","TIN","MA_QH","TON")</f>
        <v>0</v>
      </c>
      <c r="AW54" s="22">
        <f ca="1">+GETPIVOTDATA("XSN4",'suoinghe (2016)'!$A$3,"MA_HT","TIN","MA_QH","NTD")</f>
        <v>0</v>
      </c>
      <c r="AX54" s="22">
        <f ca="1">+GETPIVOTDATA("XSN4",'suoinghe (2016)'!$A$3,"MA_HT","TIN","MA_QH","SKX")</f>
        <v>0</v>
      </c>
      <c r="AY54" s="22">
        <f ca="1">+GETPIVOTDATA("XSN4",'suoinghe (2016)'!$A$3,"MA_HT","TIN","MA_QH","DSH")</f>
        <v>0</v>
      </c>
      <c r="AZ54" s="22">
        <f ca="1">+GETPIVOTDATA("XSN4",'suoinghe (2016)'!$A$3,"MA_HT","TIN","MA_QH","DKV")</f>
        <v>0</v>
      </c>
      <c r="BA54" s="43" t="e">
        <f ca="1">$D54-$BF54</f>
        <v>#REF!</v>
      </c>
      <c r="BB54" s="22">
        <f ca="1">+GETPIVOTDATA("XSN4",'suoinghe (2016)'!$A$3,"MA_HT","TIN","MA_QH","SON")</f>
        <v>0</v>
      </c>
      <c r="BC54" s="22">
        <f ca="1">+GETPIVOTDATA("XSN4",'suoinghe (2016)'!$A$3,"MA_HT","TIN","MA_QH","MNC")</f>
        <v>0</v>
      </c>
      <c r="BD54" s="22">
        <f ca="1">+GETPIVOTDATA("XSN4",'suoinghe (2016)'!$A$3,"MA_HT","TIN","MA_QH","PNK")</f>
        <v>0</v>
      </c>
      <c r="BE54" s="71">
        <f ca="1">+GETPIVOTDATA("XSN4",'suoinghe (2016)'!$A$3,"MA_HT","TIN","MA_QH","CSD")</f>
        <v>0</v>
      </c>
      <c r="BF54" s="74">
        <f ca="1" t="shared" si="13"/>
        <v>0</v>
      </c>
      <c r="BG54" s="101">
        <f ca="1">BA59-BF54</f>
        <v>0</v>
      </c>
      <c r="BH54" s="41" t="e">
        <f ca="1" t="shared" si="14"/>
        <v>#REF!</v>
      </c>
      <c r="BI54" s="98"/>
      <c r="BJ54" s="39" t="e">
        <f>SUM(BJ29:BJ39)</f>
        <v>#REF!</v>
      </c>
      <c r="BK54" s="107" t="e">
        <f ca="1">BH54-BJ54</f>
        <v>#REF!</v>
      </c>
      <c r="BL54" s="107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</row>
    <row r="55" s="2" customFormat="1" ht="15.75" customHeight="1" spans="1:79">
      <c r="A55" s="68" t="s">
        <v>8428</v>
      </c>
      <c r="B55" s="69" t="s">
        <v>8429</v>
      </c>
      <c r="C55" s="40" t="s">
        <v>8309</v>
      </c>
      <c r="D55" s="41" t="e">
        <f>+#REF!</f>
        <v>#REF!</v>
      </c>
      <c r="E55" s="42">
        <f ca="1" t="shared" si="15"/>
        <v>0</v>
      </c>
      <c r="F55" s="52">
        <f ca="1" t="shared" si="9"/>
        <v>0</v>
      </c>
      <c r="G55" s="22">
        <f ca="1">+GETPIVOTDATA("XSN4",'suoinghe (2016)'!$A$3,"MA_HT","SON","MA_QH","LUC")</f>
        <v>0</v>
      </c>
      <c r="H55" s="22">
        <f ca="1">+GETPIVOTDATA("XSN4",'suoinghe (2016)'!$A$3,"MA_HT","SON","MA_QH","LUK")</f>
        <v>0</v>
      </c>
      <c r="I55" s="22">
        <f ca="1">+GETPIVOTDATA("XSN4",'suoinghe (2016)'!$A$3,"MA_HT","SON","MA_QH","LUN")</f>
        <v>0</v>
      </c>
      <c r="J55" s="22">
        <f ca="1">+GETPIVOTDATA("XSN4",'suoinghe (2016)'!$A$3,"MA_HT","SON","MA_QH","HNK")</f>
        <v>0</v>
      </c>
      <c r="K55" s="22">
        <f ca="1">+GETPIVOTDATA("XSN4",'suoinghe (2016)'!$A$3,"MA_HT","SON","MA_QH","CLN")</f>
        <v>0</v>
      </c>
      <c r="L55" s="22">
        <f ca="1">+GETPIVOTDATA("XSN4",'suoinghe (2016)'!$A$3,"MA_HT","SON","MA_QH","RSX")</f>
        <v>0</v>
      </c>
      <c r="M55" s="22">
        <f ca="1">+GETPIVOTDATA("XSN4",'suoinghe (2016)'!$A$3,"MA_HT","SON","MA_QH","RPH")</f>
        <v>0</v>
      </c>
      <c r="N55" s="22">
        <f ca="1">+GETPIVOTDATA("XSN4",'suoinghe (2016)'!$A$3,"MA_HT","SON","MA_QH","RDD")</f>
        <v>0</v>
      </c>
      <c r="O55" s="22">
        <f ca="1">+GETPIVOTDATA("XSN4",'suoinghe (2016)'!$A$3,"MA_HT","SON","MA_QH","NTS")</f>
        <v>0</v>
      </c>
      <c r="P55" s="22">
        <f ca="1">+GETPIVOTDATA("XSN4",'suoinghe (2016)'!$A$3,"MA_HT","SON","MA_QH","LMU")</f>
        <v>0</v>
      </c>
      <c r="Q55" s="22">
        <f ca="1">+GETPIVOTDATA("XSN4",'suoinghe (2016)'!$A$3,"MA_HT","SON","MA_QH","NKH")</f>
        <v>0</v>
      </c>
      <c r="R55" s="79">
        <f ca="1">SUM(S55:AA55,AN55:AZ55,BC55:BD55)</f>
        <v>0</v>
      </c>
      <c r="S55" s="22">
        <f ca="1">+GETPIVOTDATA("XSN4",'suoinghe (2016)'!$A$3,"MA_HT","SON","MA_QH","CQP")</f>
        <v>0</v>
      </c>
      <c r="T55" s="22">
        <f ca="1">+GETPIVOTDATA("XSN4",'suoinghe (2016)'!$A$3,"MA_HT","SON","MA_QH","CAN")</f>
        <v>0</v>
      </c>
      <c r="U55" s="22">
        <f ca="1">+GETPIVOTDATA("XSN4",'suoinghe (2016)'!$A$3,"MA_HT","SON","MA_QH","SKK")</f>
        <v>0</v>
      </c>
      <c r="V55" s="22">
        <f ca="1">+GETPIVOTDATA("XSN4",'suoinghe (2016)'!$A$3,"MA_HT","SON","MA_QH","SKT")</f>
        <v>0</v>
      </c>
      <c r="W55" s="22">
        <f ca="1">+GETPIVOTDATA("XSN4",'suoinghe (2016)'!$A$3,"MA_HT","SON","MA_QH","SKN")</f>
        <v>0</v>
      </c>
      <c r="X55" s="22">
        <f ca="1">+GETPIVOTDATA("XSN4",'suoinghe (2016)'!$A$3,"MA_HT","SON","MA_QH","TMD")</f>
        <v>0</v>
      </c>
      <c r="Y55" s="22">
        <f ca="1">+GETPIVOTDATA("XSN4",'suoinghe (2016)'!$A$3,"MA_HT","SON","MA_QH","SKC")</f>
        <v>0</v>
      </c>
      <c r="Z55" s="22">
        <f ca="1">+GETPIVOTDATA("XSN4",'suoinghe (2016)'!$A$3,"MA_HT","SON","MA_QH","SKS")</f>
        <v>0</v>
      </c>
      <c r="AA55" s="52">
        <f ca="1" t="shared" si="21"/>
        <v>0</v>
      </c>
      <c r="AB55" s="22">
        <f ca="1">+GETPIVOTDATA("XSN4",'suoinghe (2016)'!$A$3,"MA_HT","SON","MA_QH","DGT")</f>
        <v>0</v>
      </c>
      <c r="AC55" s="22">
        <f ca="1">+GETPIVOTDATA("XSN4",'suoinghe (2016)'!$A$3,"MA_HT","SON","MA_QH","DTL")</f>
        <v>0</v>
      </c>
      <c r="AD55" s="22">
        <f ca="1">+GETPIVOTDATA("XSN4",'suoinghe (2016)'!$A$3,"MA_HT","SON","MA_QH","DNL")</f>
        <v>0</v>
      </c>
      <c r="AE55" s="22">
        <f ca="1">+GETPIVOTDATA("XSN4",'suoinghe (2016)'!$A$3,"MA_HT","SON","MA_QH","DBV")</f>
        <v>0</v>
      </c>
      <c r="AF55" s="22">
        <f ca="1">+GETPIVOTDATA("XSN4",'suoinghe (2016)'!$A$3,"MA_HT","SON","MA_QH","DVH")</f>
        <v>0</v>
      </c>
      <c r="AG55" s="22">
        <f ca="1">+GETPIVOTDATA("XSN4",'suoinghe (2016)'!$A$3,"MA_HT","SON","MA_QH","DYT")</f>
        <v>0</v>
      </c>
      <c r="AH55" s="22">
        <f ca="1">+GETPIVOTDATA("XSN4",'suoinghe (2016)'!$A$3,"MA_HT","SON","MA_QH","DGD")</f>
        <v>0</v>
      </c>
      <c r="AI55" s="22">
        <f ca="1">+GETPIVOTDATA("XSN4",'suoinghe (2016)'!$A$3,"MA_HT","SON","MA_QH","DTT")</f>
        <v>0</v>
      </c>
      <c r="AJ55" s="22">
        <f ca="1">+GETPIVOTDATA("XSN4",'suoinghe (2016)'!$A$3,"MA_HT","SON","MA_QH","NCK")</f>
        <v>0</v>
      </c>
      <c r="AK55" s="22">
        <f ca="1">+GETPIVOTDATA("XSN4",'suoinghe (2016)'!$A$3,"MA_HT","SON","MA_QH","DXH")</f>
        <v>0</v>
      </c>
      <c r="AL55" s="22">
        <f ca="1">+GETPIVOTDATA("XSN4",'suoinghe (2016)'!$A$3,"MA_HT","SON","MA_QH","DCH")</f>
        <v>0</v>
      </c>
      <c r="AM55" s="22">
        <f ca="1">+GETPIVOTDATA("XSN4",'suoinghe (2016)'!$A$3,"MA_HT","SON","MA_QH","DKG")</f>
        <v>0</v>
      </c>
      <c r="AN55" s="22">
        <f ca="1">+GETPIVOTDATA("XSN4",'suoinghe (2016)'!$A$3,"MA_HT","SON","MA_QH","DDT")</f>
        <v>0</v>
      </c>
      <c r="AO55" s="22">
        <f ca="1">+GETPIVOTDATA("XSN4",'suoinghe (2016)'!$A$3,"MA_HT","SON","MA_QH","DDL")</f>
        <v>0</v>
      </c>
      <c r="AP55" s="22">
        <f ca="1">+GETPIVOTDATA("XSN4",'suoinghe (2016)'!$A$3,"MA_HT","SON","MA_QH","DRA")</f>
        <v>0</v>
      </c>
      <c r="AQ55" s="22">
        <f ca="1">+GETPIVOTDATA("XSN4",'suoinghe (2016)'!$A$3,"MA_HT","SON","MA_QH","ONT")</f>
        <v>0</v>
      </c>
      <c r="AR55" s="22">
        <f ca="1">+GETPIVOTDATA("XSN4",'suoinghe (2016)'!$A$3,"MA_HT","SON","MA_QH","ODT")</f>
        <v>0</v>
      </c>
      <c r="AS55" s="22">
        <f ca="1">+GETPIVOTDATA("XSN4",'suoinghe (2016)'!$A$3,"MA_HT","SON","MA_QH","TSC")</f>
        <v>0</v>
      </c>
      <c r="AT55" s="22">
        <f ca="1">+GETPIVOTDATA("XSN4",'suoinghe (2016)'!$A$3,"MA_HT","SON","MA_QH","DTS")</f>
        <v>0</v>
      </c>
      <c r="AU55" s="22">
        <f ca="1">+GETPIVOTDATA("XSN4",'suoinghe (2016)'!$A$3,"MA_HT","SON","MA_QH","DNG")</f>
        <v>0</v>
      </c>
      <c r="AV55" s="22">
        <f ca="1">+GETPIVOTDATA("XSN4",'suoinghe (2016)'!$A$3,"MA_HT","SON","MA_QH","TON")</f>
        <v>0</v>
      </c>
      <c r="AW55" s="22">
        <f ca="1">+GETPIVOTDATA("XSN4",'suoinghe (2016)'!$A$3,"MA_HT","SON","MA_QH","NTD")</f>
        <v>0</v>
      </c>
      <c r="AX55" s="22">
        <f ca="1">+GETPIVOTDATA("XSN4",'suoinghe (2016)'!$A$3,"MA_HT","SON","MA_QH","SKX")</f>
        <v>0</v>
      </c>
      <c r="AY55" s="22">
        <f ca="1">+GETPIVOTDATA("XSN4",'suoinghe (2016)'!$A$3,"MA_HT","SON","MA_QH","DSH")</f>
        <v>0</v>
      </c>
      <c r="AZ55" s="22">
        <f ca="1">+GETPIVOTDATA("XSN4",'suoinghe (2016)'!$A$3,"MA_HT","SON","MA_QH","DKV")</f>
        <v>0</v>
      </c>
      <c r="BA55" s="89">
        <f ca="1">+GETPIVOTDATA("XSN4",'suoinghe (2016)'!$A$3,"MA_HT","SON","MA_QH","TIN")</f>
        <v>0</v>
      </c>
      <c r="BB55" s="43" t="e">
        <f ca="1">$D55-$BF55</f>
        <v>#REF!</v>
      </c>
      <c r="BC55" s="50">
        <f ca="1">+GETPIVOTDATA("XSN4",'suoinghe (2016)'!$A$3,"MA_HT","SON","MA_QH","MNC")</f>
        <v>0</v>
      </c>
      <c r="BD55" s="22">
        <f ca="1">+GETPIVOTDATA("XSN4",'suoinghe (2016)'!$A$3,"MA_HT","SON","MA_QH","PNK")</f>
        <v>0</v>
      </c>
      <c r="BE55" s="71">
        <f ca="1">+GETPIVOTDATA("XSN4",'suoinghe (2016)'!$A$3,"MA_HT","SON","MA_QH","CSD")</f>
        <v>0</v>
      </c>
      <c r="BF55" s="74">
        <f ca="1" t="shared" si="13"/>
        <v>0</v>
      </c>
      <c r="BG55" s="101">
        <f ca="1">BB$59-$BF55</f>
        <v>0</v>
      </c>
      <c r="BH55" s="41" t="e">
        <f ca="1" t="shared" si="14"/>
        <v>#REF!</v>
      </c>
      <c r="BI55" s="98"/>
      <c r="BJ55" s="98"/>
      <c r="BK55" s="107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</row>
    <row r="56" s="2" customFormat="1" ht="15.75" customHeight="1" spans="1:79">
      <c r="A56" s="68" t="s">
        <v>8430</v>
      </c>
      <c r="B56" s="69" t="s">
        <v>8431</v>
      </c>
      <c r="C56" s="40" t="s">
        <v>8301</v>
      </c>
      <c r="D56" s="41" t="e">
        <f>+#REF!</f>
        <v>#REF!</v>
      </c>
      <c r="E56" s="42">
        <f ca="1" t="shared" si="15"/>
        <v>0</v>
      </c>
      <c r="F56" s="52">
        <f ca="1" t="shared" si="9"/>
        <v>0</v>
      </c>
      <c r="G56" s="22">
        <f ca="1">+GETPIVOTDATA("XSN4",'suoinghe (2016)'!$A$3,"MA_HT","MNC","MA_QH","LUC")</f>
        <v>0</v>
      </c>
      <c r="H56" s="22">
        <f ca="1">+GETPIVOTDATA("XSN4",'suoinghe (2016)'!$A$3,"MA_HT","MNC","MA_QH","LUK")</f>
        <v>0</v>
      </c>
      <c r="I56" s="22">
        <f ca="1">+GETPIVOTDATA("XSN4",'suoinghe (2016)'!$A$3,"MA_HT","MNC","MA_QH","LUN")</f>
        <v>0</v>
      </c>
      <c r="J56" s="22">
        <f ca="1">+GETPIVOTDATA("XSN4",'suoinghe (2016)'!$A$3,"MA_HT","MNC","MA_QH","HNK")</f>
        <v>0</v>
      </c>
      <c r="K56" s="22">
        <f ca="1">+GETPIVOTDATA("XSN4",'suoinghe (2016)'!$A$3,"MA_HT","MNC","MA_QH","CLN")</f>
        <v>0</v>
      </c>
      <c r="L56" s="22">
        <f ca="1">+GETPIVOTDATA("XSN4",'suoinghe (2016)'!$A$3,"MA_HT","MNC","MA_QH","RSX")</f>
        <v>0</v>
      </c>
      <c r="M56" s="22">
        <f ca="1">+GETPIVOTDATA("XSN4",'suoinghe (2016)'!$A$3,"MA_HT","MNC","MA_QH","RPH")</f>
        <v>0</v>
      </c>
      <c r="N56" s="22">
        <f ca="1">+GETPIVOTDATA("XSN4",'suoinghe (2016)'!$A$3,"MA_HT","MNC","MA_QH","RDD")</f>
        <v>0</v>
      </c>
      <c r="O56" s="22">
        <f ca="1">+GETPIVOTDATA("XSN4",'suoinghe (2016)'!$A$3,"MA_HT","MNC","MA_QH","NTS")</f>
        <v>0</v>
      </c>
      <c r="P56" s="22">
        <f ca="1">+GETPIVOTDATA("XSN4",'suoinghe (2016)'!$A$3,"MA_HT","MNC","MA_QH","LMU")</f>
        <v>0</v>
      </c>
      <c r="Q56" s="22">
        <f ca="1">+GETPIVOTDATA("XSN4",'suoinghe (2016)'!$A$3,"MA_HT","MNC","MA_QH","NKH")</f>
        <v>0</v>
      </c>
      <c r="R56" s="79">
        <f ca="1">SUM(S56:AA56,AN56:BB56,BD56)</f>
        <v>0</v>
      </c>
      <c r="S56" s="22">
        <f ca="1">+GETPIVOTDATA("XSN4",'suoinghe (2016)'!$A$3,"MA_HT","MNC","MA_QH","CQP")</f>
        <v>0</v>
      </c>
      <c r="T56" s="22">
        <f ca="1">+GETPIVOTDATA("XSN4",'suoinghe (2016)'!$A$3,"MA_HT","MNC","MA_QH","CAN")</f>
        <v>0</v>
      </c>
      <c r="U56" s="22">
        <f ca="1">+GETPIVOTDATA("XSN4",'suoinghe (2016)'!$A$3,"MA_HT","MNC","MA_QH","SKK")</f>
        <v>0</v>
      </c>
      <c r="V56" s="22">
        <f ca="1">+GETPIVOTDATA("XSN4",'suoinghe (2016)'!$A$3,"MA_HT","MNC","MA_QH","SKT")</f>
        <v>0</v>
      </c>
      <c r="W56" s="22">
        <f ca="1">+GETPIVOTDATA("XSN4",'suoinghe (2016)'!$A$3,"MA_HT","MNC","MA_QH","SKN")</f>
        <v>0</v>
      </c>
      <c r="X56" s="22">
        <f ca="1">+GETPIVOTDATA("XSN4",'suoinghe (2016)'!$A$3,"MA_HT","MNC","MA_QH","TMD")</f>
        <v>0</v>
      </c>
      <c r="Y56" s="22">
        <f ca="1">+GETPIVOTDATA("XSN4",'suoinghe (2016)'!$A$3,"MA_HT","MNC","MA_QH","SKC")</f>
        <v>0</v>
      </c>
      <c r="Z56" s="22">
        <f ca="1">+GETPIVOTDATA("XSN4",'suoinghe (2016)'!$A$3,"MA_HT","MNC","MA_QH","SKS")</f>
        <v>0</v>
      </c>
      <c r="AA56" s="52">
        <f ca="1" t="shared" si="21"/>
        <v>0</v>
      </c>
      <c r="AB56" s="22">
        <f ca="1">+GETPIVOTDATA("XSN4",'suoinghe (2016)'!$A$3,"MA_HT","MNC","MA_QH","DGT")</f>
        <v>0</v>
      </c>
      <c r="AC56" s="22">
        <f ca="1">+GETPIVOTDATA("XSN4",'suoinghe (2016)'!$A$3,"MA_HT","MNC","MA_QH","DTL")</f>
        <v>0</v>
      </c>
      <c r="AD56" s="22">
        <f ca="1">+GETPIVOTDATA("XSN4",'suoinghe (2016)'!$A$3,"MA_HT","MNC","MA_QH","DNL")</f>
        <v>0</v>
      </c>
      <c r="AE56" s="22">
        <f ca="1">+GETPIVOTDATA("XSN4",'suoinghe (2016)'!$A$3,"MA_HT","MNC","MA_QH","DBV")</f>
        <v>0</v>
      </c>
      <c r="AF56" s="22">
        <f ca="1">+GETPIVOTDATA("XSN4",'suoinghe (2016)'!$A$3,"MA_HT","MNC","MA_QH","DVH")</f>
        <v>0</v>
      </c>
      <c r="AG56" s="22">
        <f ca="1">+GETPIVOTDATA("XSN4",'suoinghe (2016)'!$A$3,"MA_HT","MNC","MA_QH","DYT")</f>
        <v>0</v>
      </c>
      <c r="AH56" s="22">
        <f ca="1">+GETPIVOTDATA("XSN4",'suoinghe (2016)'!$A$3,"MA_HT","MNC","MA_QH","DGD")</f>
        <v>0</v>
      </c>
      <c r="AI56" s="22">
        <f ca="1">+GETPIVOTDATA("XSN4",'suoinghe (2016)'!$A$3,"MA_HT","MNC","MA_QH","DTT")</f>
        <v>0</v>
      </c>
      <c r="AJ56" s="22">
        <f ca="1">+GETPIVOTDATA("XSN4",'suoinghe (2016)'!$A$3,"MA_HT","MNC","MA_QH","NCK")</f>
        <v>0</v>
      </c>
      <c r="AK56" s="22">
        <f ca="1">+GETPIVOTDATA("XSN4",'suoinghe (2016)'!$A$3,"MA_HT","MNC","MA_QH","DXH")</f>
        <v>0</v>
      </c>
      <c r="AL56" s="22">
        <f ca="1">+GETPIVOTDATA("XSN4",'suoinghe (2016)'!$A$3,"MA_HT","MNC","MA_QH","DCH")</f>
        <v>0</v>
      </c>
      <c r="AM56" s="22">
        <f ca="1">+GETPIVOTDATA("XSN4",'suoinghe (2016)'!$A$3,"MA_HT","MNC","MA_QH","DKG")</f>
        <v>0</v>
      </c>
      <c r="AN56" s="22">
        <f ca="1">+GETPIVOTDATA("XSN4",'suoinghe (2016)'!$A$3,"MA_HT","MNC","MA_QH","DDT")</f>
        <v>0</v>
      </c>
      <c r="AO56" s="22">
        <f ca="1">+GETPIVOTDATA("XSN4",'suoinghe (2016)'!$A$3,"MA_HT","MNC","MA_QH","DDL")</f>
        <v>0</v>
      </c>
      <c r="AP56" s="22">
        <f ca="1">+GETPIVOTDATA("XSN4",'suoinghe (2016)'!$A$3,"MA_HT","MNC","MA_QH","DRA")</f>
        <v>0</v>
      </c>
      <c r="AQ56" s="22">
        <f ca="1">+GETPIVOTDATA("XSN4",'suoinghe (2016)'!$A$3,"MA_HT","MNC","MA_QH","ONT")</f>
        <v>0</v>
      </c>
      <c r="AR56" s="22">
        <f ca="1">+GETPIVOTDATA("XSN4",'suoinghe (2016)'!$A$3,"MA_HT","MNC","MA_QH","ODT")</f>
        <v>0</v>
      </c>
      <c r="AS56" s="22">
        <f ca="1">+GETPIVOTDATA("XSN4",'suoinghe (2016)'!$A$3,"MA_HT","MNC","MA_QH","TSC")</f>
        <v>0</v>
      </c>
      <c r="AT56" s="22">
        <f ca="1">+GETPIVOTDATA("XSN4",'suoinghe (2016)'!$A$3,"MA_HT","MNC","MA_QH","DTS")</f>
        <v>0</v>
      </c>
      <c r="AU56" s="22">
        <f ca="1">+GETPIVOTDATA("XSN4",'suoinghe (2016)'!$A$3,"MA_HT","MNC","MA_QH","DNG")</f>
        <v>0</v>
      </c>
      <c r="AV56" s="22">
        <f ca="1">+GETPIVOTDATA("XSN4",'suoinghe (2016)'!$A$3,"MA_HT","MNC","MA_QH","TON")</f>
        <v>0</v>
      </c>
      <c r="AW56" s="22">
        <f ca="1">+GETPIVOTDATA("XSN4",'suoinghe (2016)'!$A$3,"MA_HT","MNC","MA_QH","NTD")</f>
        <v>0</v>
      </c>
      <c r="AX56" s="22">
        <f ca="1">+GETPIVOTDATA("XSN4",'suoinghe (2016)'!$A$3,"MA_HT","MNC","MA_QH","SKX")</f>
        <v>0</v>
      </c>
      <c r="AY56" s="22">
        <f ca="1">+GETPIVOTDATA("XSN4",'suoinghe (2016)'!$A$3,"MA_HT","MNC","MA_QH","DSH")</f>
        <v>0</v>
      </c>
      <c r="AZ56" s="22">
        <f ca="1">+GETPIVOTDATA("XSN4",'suoinghe (2016)'!$A$3,"MA_HT","MNC","MA_QH","DKV")</f>
        <v>0</v>
      </c>
      <c r="BA56" s="89">
        <f ca="1">+GETPIVOTDATA("XSN4",'suoinghe (2016)'!$A$3,"MA_HT","MNC","MA_QH","TIN")</f>
        <v>0</v>
      </c>
      <c r="BB56" s="50">
        <f ca="1">+GETPIVOTDATA("XSN4",'suoinghe (2016)'!$A$3,"MA_HT","MNC","MA_QH","SON")</f>
        <v>0</v>
      </c>
      <c r="BC56" s="43" t="e">
        <f ca="1">$D56-$BF56</f>
        <v>#REF!</v>
      </c>
      <c r="BD56" s="22">
        <f ca="1">+GETPIVOTDATA("XSN4",'suoinghe (2016)'!$A$3,"MA_HT","MNC","MA_QH","PNK")</f>
        <v>0</v>
      </c>
      <c r="BE56" s="71">
        <f ca="1">+GETPIVOTDATA("XSN4",'suoinghe (2016)'!$A$3,"MA_HT","MNC","MA_QH","CSD")</f>
        <v>0</v>
      </c>
      <c r="BF56" s="74">
        <f ca="1" t="shared" si="13"/>
        <v>0</v>
      </c>
      <c r="BG56" s="101">
        <f ca="1">BC$59-$BF56</f>
        <v>0</v>
      </c>
      <c r="BH56" s="41" t="e">
        <f ca="1" t="shared" si="14"/>
        <v>#REF!</v>
      </c>
      <c r="BI56" s="98"/>
      <c r="BJ56" s="98"/>
      <c r="BK56" s="107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</row>
    <row r="57" s="2" customFormat="1" ht="15.75" customHeight="1" spans="1:79">
      <c r="A57" s="68" t="s">
        <v>8432</v>
      </c>
      <c r="B57" s="69" t="s">
        <v>8433</v>
      </c>
      <c r="C57" s="40" t="s">
        <v>59</v>
      </c>
      <c r="D57" s="41" t="e">
        <f>+#REF!</f>
        <v>#REF!</v>
      </c>
      <c r="E57" s="42">
        <f ca="1" t="shared" si="15"/>
        <v>0</v>
      </c>
      <c r="F57" s="52">
        <f ca="1" t="shared" si="9"/>
        <v>0</v>
      </c>
      <c r="G57" s="22">
        <f ca="1">+GETPIVOTDATA("XSN4",'suoinghe (2016)'!$A$3,"MA_HT","PNK","MA_QH","LUC")</f>
        <v>0</v>
      </c>
      <c r="H57" s="22">
        <f ca="1">+GETPIVOTDATA("XSN4",'suoinghe (2016)'!$A$3,"MA_HT","PNK","MA_QH","LUK")</f>
        <v>0</v>
      </c>
      <c r="I57" s="22">
        <f ca="1">+GETPIVOTDATA("XSN4",'suoinghe (2016)'!$A$3,"MA_HT","PNK","MA_QH","LUN")</f>
        <v>0</v>
      </c>
      <c r="J57" s="22">
        <f ca="1">+GETPIVOTDATA("XSN4",'suoinghe (2016)'!$A$3,"MA_HT","PNK","MA_QH","HNK")</f>
        <v>0</v>
      </c>
      <c r="K57" s="22">
        <f ca="1">+GETPIVOTDATA("XSN4",'suoinghe (2016)'!$A$3,"MA_HT","PNK","MA_QH","CLN")</f>
        <v>0</v>
      </c>
      <c r="L57" s="22">
        <f ca="1">+GETPIVOTDATA("XSN4",'suoinghe (2016)'!$A$3,"MA_HT","PNK","MA_QH","RSX")</f>
        <v>0</v>
      </c>
      <c r="M57" s="22">
        <f ca="1">+GETPIVOTDATA("XSN4",'suoinghe (2016)'!$A$3,"MA_HT","PNK","MA_QH","RPH")</f>
        <v>0</v>
      </c>
      <c r="N57" s="22">
        <f ca="1">+GETPIVOTDATA("XSN4",'suoinghe (2016)'!$A$3,"MA_HT","PNK","MA_QH","RDD")</f>
        <v>0</v>
      </c>
      <c r="O57" s="22">
        <f ca="1">+GETPIVOTDATA("XSN4",'suoinghe (2016)'!$A$3,"MA_HT","PNK","MA_QH","NTS")</f>
        <v>0</v>
      </c>
      <c r="P57" s="22">
        <f ca="1">+GETPIVOTDATA("XSN4",'suoinghe (2016)'!$A$3,"MA_HT","PNK","MA_QH","LMU")</f>
        <v>0</v>
      </c>
      <c r="Q57" s="22">
        <f ca="1">+GETPIVOTDATA("XSN4",'suoinghe (2016)'!$A$3,"MA_HT","PNK","MA_QH","NKH")</f>
        <v>0</v>
      </c>
      <c r="R57" s="79">
        <f ca="1">SUM(S57:AA57,AN57:BC57)</f>
        <v>0</v>
      </c>
      <c r="S57" s="22">
        <f ca="1">+GETPIVOTDATA("XSN4",'suoinghe (2016)'!$A$3,"MA_HT","PNK","MA_QH","CQP")</f>
        <v>0</v>
      </c>
      <c r="T57" s="22">
        <f ca="1">+GETPIVOTDATA("XSN4",'suoinghe (2016)'!$A$3,"MA_HT","PNK","MA_QH","CAN")</f>
        <v>0</v>
      </c>
      <c r="U57" s="22">
        <f ca="1">+GETPIVOTDATA("XSN4",'suoinghe (2016)'!$A$3,"MA_HT","PNK","MA_QH","SKK")</f>
        <v>0</v>
      </c>
      <c r="V57" s="22">
        <f ca="1">+GETPIVOTDATA("XSN4",'suoinghe (2016)'!$A$3,"MA_HT","PNK","MA_QH","SKT")</f>
        <v>0</v>
      </c>
      <c r="W57" s="22">
        <f ca="1">+GETPIVOTDATA("XSN4",'suoinghe (2016)'!$A$3,"MA_HT","PNK","MA_QH","SKN")</f>
        <v>0</v>
      </c>
      <c r="X57" s="22">
        <f ca="1">+GETPIVOTDATA("XSN4",'suoinghe (2016)'!$A$3,"MA_HT","PNK","MA_QH","TMD")</f>
        <v>0</v>
      </c>
      <c r="Y57" s="22">
        <f ca="1">+GETPIVOTDATA("XSN4",'suoinghe (2016)'!$A$3,"MA_HT","PNK","MA_QH","SKC")</f>
        <v>0</v>
      </c>
      <c r="Z57" s="22">
        <f ca="1">+GETPIVOTDATA("XSN4",'suoinghe (2016)'!$A$3,"MA_HT","PNK","MA_QH","SKS")</f>
        <v>0</v>
      </c>
      <c r="AA57" s="52">
        <f ca="1" t="shared" si="21"/>
        <v>0</v>
      </c>
      <c r="AB57" s="22">
        <f ca="1">+GETPIVOTDATA("XSN4",'suoinghe (2016)'!$A$3,"MA_HT","PNK","MA_QH","DGT")</f>
        <v>0</v>
      </c>
      <c r="AC57" s="22">
        <f ca="1">+GETPIVOTDATA("XSN4",'suoinghe (2016)'!$A$3,"MA_HT","PNK","MA_QH","DTL")</f>
        <v>0</v>
      </c>
      <c r="AD57" s="22">
        <f ca="1">+GETPIVOTDATA("XSN4",'suoinghe (2016)'!$A$3,"MA_HT","PNK","MA_QH","DNL")</f>
        <v>0</v>
      </c>
      <c r="AE57" s="22">
        <f ca="1">+GETPIVOTDATA("XSN4",'suoinghe (2016)'!$A$3,"MA_HT","PNK","MA_QH","DBV")</f>
        <v>0</v>
      </c>
      <c r="AF57" s="22">
        <f ca="1">+GETPIVOTDATA("XSN4",'suoinghe (2016)'!$A$3,"MA_HT","PNK","MA_QH","DVH")</f>
        <v>0</v>
      </c>
      <c r="AG57" s="22">
        <f ca="1">+GETPIVOTDATA("XSN4",'suoinghe (2016)'!$A$3,"MA_HT","PNK","MA_QH","DYT")</f>
        <v>0</v>
      </c>
      <c r="AH57" s="22">
        <f ca="1">+GETPIVOTDATA("XSN4",'suoinghe (2016)'!$A$3,"MA_HT","PNK","MA_QH","DGD")</f>
        <v>0</v>
      </c>
      <c r="AI57" s="22">
        <f ca="1">+GETPIVOTDATA("XSN4",'suoinghe (2016)'!$A$3,"MA_HT","PNK","MA_QH","DTT")</f>
        <v>0</v>
      </c>
      <c r="AJ57" s="22">
        <f ca="1">+GETPIVOTDATA("XSN4",'suoinghe (2016)'!$A$3,"MA_HT","PNK","MA_QH","NCK")</f>
        <v>0</v>
      </c>
      <c r="AK57" s="22">
        <f ca="1">+GETPIVOTDATA("XSN4",'suoinghe (2016)'!$A$3,"MA_HT","PNK","MA_QH","DXH")</f>
        <v>0</v>
      </c>
      <c r="AL57" s="22">
        <f ca="1">+GETPIVOTDATA("XSN4",'suoinghe (2016)'!$A$3,"MA_HT","PNK","MA_QH","DCH")</f>
        <v>0</v>
      </c>
      <c r="AM57" s="22">
        <f ca="1">+GETPIVOTDATA("XSN4",'suoinghe (2016)'!$A$3,"MA_HT","PNK","MA_QH","DKG")</f>
        <v>0</v>
      </c>
      <c r="AN57" s="22">
        <f ca="1">+GETPIVOTDATA("XSN4",'suoinghe (2016)'!$A$3,"MA_HT","PNK","MA_QH","DDT")</f>
        <v>0</v>
      </c>
      <c r="AO57" s="22">
        <f ca="1">+GETPIVOTDATA("XSN4",'suoinghe (2016)'!$A$3,"MA_HT","PNK","MA_QH","DDL")</f>
        <v>0</v>
      </c>
      <c r="AP57" s="22">
        <f ca="1">+GETPIVOTDATA("XSN4",'suoinghe (2016)'!$A$3,"MA_HT","PNK","MA_QH","DRA")</f>
        <v>0</v>
      </c>
      <c r="AQ57" s="22">
        <f ca="1">+GETPIVOTDATA("XSN4",'suoinghe (2016)'!$A$3,"MA_HT","PNK","MA_QH","ONT")</f>
        <v>0</v>
      </c>
      <c r="AR57" s="22">
        <f ca="1">+GETPIVOTDATA("XSN4",'suoinghe (2016)'!$A$3,"MA_HT","PNK","MA_QH","ODT")</f>
        <v>0</v>
      </c>
      <c r="AS57" s="22">
        <f ca="1">+GETPIVOTDATA("XSN4",'suoinghe (2016)'!$A$3,"MA_HT","PNK","MA_QH","TSC")</f>
        <v>0</v>
      </c>
      <c r="AT57" s="22">
        <f ca="1">+GETPIVOTDATA("XSN4",'suoinghe (2016)'!$A$3,"MA_HT","PNK","MA_QH","DTS")</f>
        <v>0</v>
      </c>
      <c r="AU57" s="22">
        <f ca="1">+GETPIVOTDATA("XSN4",'suoinghe (2016)'!$A$3,"MA_HT","PNK","MA_QH","DNG")</f>
        <v>0</v>
      </c>
      <c r="AV57" s="22">
        <f ca="1">+GETPIVOTDATA("XSN4",'suoinghe (2016)'!$A$3,"MA_HT","PNK","MA_QH","TON")</f>
        <v>0</v>
      </c>
      <c r="AW57" s="22">
        <f ca="1">+GETPIVOTDATA("XSN4",'suoinghe (2016)'!$A$3,"MA_HT","PNK","MA_QH","NTD")</f>
        <v>0</v>
      </c>
      <c r="AX57" s="22">
        <f ca="1">+GETPIVOTDATA("XSN4",'suoinghe (2016)'!$A$3,"MA_HT","PNK","MA_QH","SKX")</f>
        <v>0</v>
      </c>
      <c r="AY57" s="22">
        <f ca="1">+GETPIVOTDATA("XSN4",'suoinghe (2016)'!$A$3,"MA_HT","PNK","MA_QH","DSH")</f>
        <v>0</v>
      </c>
      <c r="AZ57" s="22">
        <f ca="1">+GETPIVOTDATA("XSN4",'suoinghe (2016)'!$A$3,"MA_HT","PNK","MA_QH","DKV")</f>
        <v>0</v>
      </c>
      <c r="BA57" s="89">
        <f ca="1">+GETPIVOTDATA("XSN4",'suoinghe (2016)'!$A$3,"MA_HT","PNK","MA_QH","TIN")</f>
        <v>0</v>
      </c>
      <c r="BB57" s="50">
        <f ca="1">+GETPIVOTDATA("XSN4",'suoinghe (2016)'!$A$3,"MA_HT","PNK","MA_QH","SON")</f>
        <v>0</v>
      </c>
      <c r="BC57" s="50">
        <f ca="1">+GETPIVOTDATA("XSN4",'suoinghe (2016)'!$A$3,"MA_HT","PNK","MA_QH","MNC")</f>
        <v>0</v>
      </c>
      <c r="BD57" s="43" t="e">
        <f ca="1">$D57-$BF57</f>
        <v>#REF!</v>
      </c>
      <c r="BE57" s="71">
        <f ca="1">+GETPIVOTDATA("XSN4",'suoinghe (2016)'!$A$3,"MA_HT","PNK","MA_QH","CSD")</f>
        <v>0</v>
      </c>
      <c r="BF57" s="74">
        <f ca="1" t="shared" si="13"/>
        <v>0</v>
      </c>
      <c r="BG57" s="101">
        <f ca="1">BD$59-$BF57</f>
        <v>0</v>
      </c>
      <c r="BH57" s="41" t="e">
        <f ca="1" t="shared" si="14"/>
        <v>#REF!</v>
      </c>
      <c r="BI57" s="98"/>
      <c r="BJ57" s="98" t="e">
        <f>#REF!</f>
        <v>#REF!</v>
      </c>
      <c r="BK57" s="107" t="e">
        <f ca="1">BH57-BJ57</f>
        <v>#REF!</v>
      </c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</row>
    <row r="58" s="3" customFormat="1" ht="15.75" customHeight="1" spans="1:79">
      <c r="A58" s="70" t="s">
        <v>8434</v>
      </c>
      <c r="B58" s="36" t="s">
        <v>8435</v>
      </c>
      <c r="C58" s="37" t="s">
        <v>8284</v>
      </c>
      <c r="D58" s="32" t="e">
        <f>+#REF!</f>
        <v>#REF!</v>
      </c>
      <c r="E58" s="42">
        <f ca="1" t="shared" si="15"/>
        <v>0</v>
      </c>
      <c r="F58" s="33">
        <f ca="1" t="shared" si="9"/>
        <v>0</v>
      </c>
      <c r="G58" s="71">
        <f ca="1">+GETPIVOTDATA("XSN4",'suoinghe (2016)'!$A$3,"MA_HT","CSD","MA_QH","LUC")</f>
        <v>0</v>
      </c>
      <c r="H58" s="71">
        <f ca="1">+GETPIVOTDATA("XSN4",'suoinghe (2016)'!$A$3,"MA_HT","CSD","MA_QH","LUK")</f>
        <v>0</v>
      </c>
      <c r="I58" s="71">
        <f ca="1">+GETPIVOTDATA("XSN4",'suoinghe (2016)'!$A$3,"MA_HT","CSD","MA_QH","LUN")</f>
        <v>0</v>
      </c>
      <c r="J58" s="71">
        <f ca="1">+GETPIVOTDATA("XSN4",'suoinghe (2016)'!$A$3,"MA_HT","CSD","MA_QH","HNK")</f>
        <v>0</v>
      </c>
      <c r="K58" s="71">
        <f ca="1">+GETPIVOTDATA("XSN4",'suoinghe (2016)'!$A$3,"MA_HT","CSD","MA_QH","CLN")</f>
        <v>0</v>
      </c>
      <c r="L58" s="71">
        <f ca="1">+GETPIVOTDATA("XSN4",'suoinghe (2016)'!$A$3,"MA_HT","CSD","MA_QH","RSX")</f>
        <v>0</v>
      </c>
      <c r="M58" s="71">
        <f ca="1">+GETPIVOTDATA("XSN4",'suoinghe (2016)'!$A$3,"MA_HT","CSD","MA_QH","RPH")</f>
        <v>0</v>
      </c>
      <c r="N58" s="71">
        <f ca="1">+GETPIVOTDATA("XSN4",'suoinghe (2016)'!$A$3,"MA_HT","CSD","MA_QH","RDD")</f>
        <v>0</v>
      </c>
      <c r="O58" s="71">
        <f ca="1">+GETPIVOTDATA("XSN4",'suoinghe (2016)'!$A$3,"MA_HT","CSD","MA_QH","NTS")</f>
        <v>0</v>
      </c>
      <c r="P58" s="71">
        <f ca="1">+GETPIVOTDATA("XSN4",'suoinghe (2016)'!$A$3,"MA_HT","CSD","MA_QH","LMU")</f>
        <v>0</v>
      </c>
      <c r="Q58" s="71">
        <f ca="1">+GETPIVOTDATA("XSN4",'suoinghe (2016)'!$A$3,"MA_HT","CSD","MA_QH","NKH")</f>
        <v>0</v>
      </c>
      <c r="R58" s="79">
        <f ca="1">SUM(S58:AA58,AN58:BD58)</f>
        <v>0</v>
      </c>
      <c r="S58" s="80">
        <f ca="1">+GETPIVOTDATA("XSN4",'suoinghe (2016)'!$A$3,"MA_HT","CSD","MA_QH","CQP")</f>
        <v>0</v>
      </c>
      <c r="T58" s="80">
        <f ca="1">+GETPIVOTDATA("XSN4",'suoinghe (2016)'!$A$3,"MA_HT","CSD","MA_QH","CAN")</f>
        <v>0</v>
      </c>
      <c r="U58" s="71">
        <f ca="1">+GETPIVOTDATA("XSN4",'suoinghe (2016)'!$A$3,"MA_HT","CSD","MA_QH","SKK")</f>
        <v>0</v>
      </c>
      <c r="V58" s="71">
        <f ca="1">+GETPIVOTDATA("XSN4",'suoinghe (2016)'!$A$3,"MA_HT","CSD","MA_QH","SKT")</f>
        <v>0</v>
      </c>
      <c r="W58" s="71">
        <f ca="1">+GETPIVOTDATA("XSN4",'suoinghe (2016)'!$A$3,"MA_HT","CSD","MA_QH","SKN")</f>
        <v>0</v>
      </c>
      <c r="X58" s="71">
        <f ca="1">+GETPIVOTDATA("XSN4",'suoinghe (2016)'!$A$3,"MA_HT","CSD","MA_QH","TMD")</f>
        <v>0</v>
      </c>
      <c r="Y58" s="71">
        <f ca="1">+GETPIVOTDATA("XSN4",'suoinghe (2016)'!$A$3,"MA_HT","CSD","MA_QH","SKC")</f>
        <v>0</v>
      </c>
      <c r="Z58" s="71">
        <f ca="1">+GETPIVOTDATA("XSN4",'suoinghe (2016)'!$A$3,"MA_HT","CSD","MA_QH","SKS")</f>
        <v>0</v>
      </c>
      <c r="AA58" s="52">
        <f ca="1" t="shared" si="21"/>
        <v>0</v>
      </c>
      <c r="AB58" s="80">
        <f ca="1">+GETPIVOTDATA("XSN4",'suoinghe (2016)'!$A$3,"MA_HT","CSD","MA_QH","DGT")</f>
        <v>0</v>
      </c>
      <c r="AC58" s="80">
        <f ca="1">+GETPIVOTDATA("XSN4",'suoinghe (2016)'!$A$3,"MA_HT","CSD","MA_QH","DTL")</f>
        <v>0</v>
      </c>
      <c r="AD58" s="80">
        <f ca="1">+GETPIVOTDATA("XSN4",'suoinghe (2016)'!$A$3,"MA_HT","CSD","MA_QH","DNL")</f>
        <v>0</v>
      </c>
      <c r="AE58" s="80">
        <f ca="1">+GETPIVOTDATA("XSN4",'suoinghe (2016)'!$A$3,"MA_HT","CSD","MA_QH","DBV")</f>
        <v>0</v>
      </c>
      <c r="AF58" s="80">
        <f ca="1">+GETPIVOTDATA("XSN4",'suoinghe (2016)'!$A$3,"MA_HT","CSD","MA_QH","DVH")</f>
        <v>0</v>
      </c>
      <c r="AG58" s="80">
        <f ca="1">+GETPIVOTDATA("XSN4",'suoinghe (2016)'!$A$3,"MA_HT","CSD","MA_QH","DYT")</f>
        <v>0</v>
      </c>
      <c r="AH58" s="80">
        <f ca="1">+GETPIVOTDATA("XSN4",'suoinghe (2016)'!$A$3,"MA_HT","CSD","MA_QH","DGD")</f>
        <v>0</v>
      </c>
      <c r="AI58" s="80">
        <f ca="1">+GETPIVOTDATA("XSN4",'suoinghe (2016)'!$A$3,"MA_HT","CSD","MA_QH","DTT")</f>
        <v>0</v>
      </c>
      <c r="AJ58" s="80">
        <f ca="1">+GETPIVOTDATA("XSN4",'suoinghe (2016)'!$A$3,"MA_HT","CSD","MA_QH","NCK")</f>
        <v>0</v>
      </c>
      <c r="AK58" s="80">
        <f ca="1">+GETPIVOTDATA("XSN4",'suoinghe (2016)'!$A$3,"MA_HT","CSD","MA_QH","DXH")</f>
        <v>0</v>
      </c>
      <c r="AL58" s="80">
        <f ca="1">+GETPIVOTDATA("XSN4",'suoinghe (2016)'!$A$3,"MA_HT","CSD","MA_QH","DCH")</f>
        <v>0</v>
      </c>
      <c r="AM58" s="80">
        <f ca="1">+GETPIVOTDATA("XSN4",'suoinghe (2016)'!$A$3,"MA_HT","CSD","MA_QH","DKG")</f>
        <v>0</v>
      </c>
      <c r="AN58" s="71">
        <f ca="1">+GETPIVOTDATA("XSN4",'suoinghe (2016)'!$A$3,"MA_HT","CSD","MA_QH","DDT")</f>
        <v>0</v>
      </c>
      <c r="AO58" s="71">
        <f ca="1">+GETPIVOTDATA("XSN4",'suoinghe (2016)'!$A$3,"MA_HT","CSD","MA_QH","DDL")</f>
        <v>0</v>
      </c>
      <c r="AP58" s="71">
        <f ca="1">+GETPIVOTDATA("XSN4",'suoinghe (2016)'!$A$3,"MA_HT","CSD","MA_QH","DRA")</f>
        <v>0</v>
      </c>
      <c r="AQ58" s="71">
        <f ca="1">+GETPIVOTDATA("XSN4",'suoinghe (2016)'!$A$3,"MA_HT","CSD","MA_QH","ONT")</f>
        <v>0</v>
      </c>
      <c r="AR58" s="71">
        <f ca="1">+GETPIVOTDATA("XSN4",'suoinghe (2016)'!$A$3,"MA_HT","CSD","MA_QH","ODT")</f>
        <v>0</v>
      </c>
      <c r="AS58" s="71">
        <f ca="1">+GETPIVOTDATA("XSN4",'suoinghe (2016)'!$A$3,"MA_HT","CSD","MA_QH","TSC")</f>
        <v>0</v>
      </c>
      <c r="AT58" s="71">
        <f ca="1">+GETPIVOTDATA("XSN4",'suoinghe (2016)'!$A$3,"MA_HT","CSD","MA_QH","DTS")</f>
        <v>0</v>
      </c>
      <c r="AU58" s="71">
        <f ca="1">+GETPIVOTDATA("XSN4",'suoinghe (2016)'!$A$3,"MA_HT","CSD","MA_QH","DNG")</f>
        <v>0</v>
      </c>
      <c r="AV58" s="71">
        <f ca="1">+GETPIVOTDATA("XSN4",'suoinghe (2016)'!$A$3,"MA_HT","CSD","MA_QH","TON")</f>
        <v>0</v>
      </c>
      <c r="AW58" s="71">
        <f ca="1">+GETPIVOTDATA("XSN4",'suoinghe (2016)'!$A$3,"MA_HT","CSD","MA_QH","NTD")</f>
        <v>0</v>
      </c>
      <c r="AX58" s="71">
        <f ca="1">+GETPIVOTDATA("XSN4",'suoinghe (2016)'!$A$3,"MA_HT","CSD","MA_QH","SKX")</f>
        <v>0</v>
      </c>
      <c r="AY58" s="71">
        <f ca="1">+GETPIVOTDATA("XSN4",'suoinghe (2016)'!$A$3,"MA_HT","CSD","MA_QH","DSH")</f>
        <v>0</v>
      </c>
      <c r="AZ58" s="71">
        <f ca="1">+GETPIVOTDATA("XSN4",'suoinghe (2016)'!$A$3,"MA_HT","CSD","MA_QH","DKV")</f>
        <v>0</v>
      </c>
      <c r="BA58" s="89">
        <f ca="1">+GETPIVOTDATA("XSN4",'suoinghe (2016)'!$A$3,"MA_HT","CSD","MA_QH","TIN")</f>
        <v>0</v>
      </c>
      <c r="BB58" s="80">
        <f ca="1">+GETPIVOTDATA("XSN4",'suoinghe (2016)'!$A$3,"MA_HT","CSD","MA_QH","SON")</f>
        <v>0</v>
      </c>
      <c r="BC58" s="80">
        <f ca="1">+GETPIVOTDATA("XSN4",'suoinghe (2016)'!$A$3,"MA_HT","CSD","MA_QH","MNC")</f>
        <v>0</v>
      </c>
      <c r="BD58" s="71">
        <f ca="1">+GETPIVOTDATA("XSN4",'suoinghe (2016)'!$A$3,"MA_HT","CSD","MA_QH","PNK")</f>
        <v>0</v>
      </c>
      <c r="BE58" s="38" t="e">
        <f ca="1">$D58-$BF58</f>
        <v>#REF!</v>
      </c>
      <c r="BF58" s="74">
        <f ca="1">R58+E58</f>
        <v>0</v>
      </c>
      <c r="BG58" s="119">
        <f ca="1">BE$59-$BF58</f>
        <v>0</v>
      </c>
      <c r="BH58" s="41" t="e">
        <f ca="1" t="shared" si="14"/>
        <v>#REF!</v>
      </c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</row>
    <row r="59" s="2" customFormat="1" ht="13.5" spans="1:246">
      <c r="A59" s="72"/>
      <c r="B59" s="72" t="s">
        <v>8436</v>
      </c>
      <c r="C59" s="73"/>
      <c r="D59" s="74"/>
      <c r="E59" s="75">
        <f ca="1">E58+E19</f>
        <v>0</v>
      </c>
      <c r="F59" s="74">
        <f ca="1" t="shared" ref="F59:Q59" si="22">F58+F19+F6</f>
        <v>0</v>
      </c>
      <c r="G59" s="74">
        <f ca="1" t="shared" si="22"/>
        <v>0</v>
      </c>
      <c r="H59" s="74">
        <f ca="1" t="shared" si="22"/>
        <v>0</v>
      </c>
      <c r="I59" s="74">
        <f ca="1" t="shared" si="22"/>
        <v>0</v>
      </c>
      <c r="J59" s="74">
        <f ca="1" t="shared" si="22"/>
        <v>0</v>
      </c>
      <c r="K59" s="74">
        <f ca="1" t="shared" si="22"/>
        <v>0</v>
      </c>
      <c r="L59" s="74">
        <f ca="1" t="shared" si="22"/>
        <v>0</v>
      </c>
      <c r="M59" s="74">
        <f ca="1" t="shared" si="22"/>
        <v>0</v>
      </c>
      <c r="N59" s="74">
        <f ca="1" t="shared" si="22"/>
        <v>0</v>
      </c>
      <c r="O59" s="74">
        <f ca="1" t="shared" si="22"/>
        <v>0</v>
      </c>
      <c r="P59" s="74">
        <f ca="1" t="shared" si="22"/>
        <v>0</v>
      </c>
      <c r="Q59" s="74">
        <f ca="1" t="shared" si="22"/>
        <v>0</v>
      </c>
      <c r="R59" s="75">
        <f ca="1">+R58+R6</f>
        <v>0</v>
      </c>
      <c r="S59" s="74">
        <f ca="1" t="shared" ref="S59:BD59" si="23">S58+S19+S6</f>
        <v>0</v>
      </c>
      <c r="T59" s="74">
        <f ca="1" t="shared" si="23"/>
        <v>0</v>
      </c>
      <c r="U59" s="74">
        <f ca="1" t="shared" si="23"/>
        <v>0</v>
      </c>
      <c r="V59" s="74">
        <f ca="1" t="shared" si="23"/>
        <v>0</v>
      </c>
      <c r="W59" s="74">
        <f ca="1" t="shared" si="23"/>
        <v>0</v>
      </c>
      <c r="X59" s="74">
        <f ca="1" t="shared" si="23"/>
        <v>0</v>
      </c>
      <c r="Y59" s="74">
        <f ca="1" t="shared" si="23"/>
        <v>0</v>
      </c>
      <c r="Z59" s="74">
        <f ca="1" t="shared" si="23"/>
        <v>0</v>
      </c>
      <c r="AA59" s="74">
        <f ca="1" t="shared" si="23"/>
        <v>0</v>
      </c>
      <c r="AB59" s="74">
        <f ca="1" t="shared" si="23"/>
        <v>0</v>
      </c>
      <c r="AC59" s="74">
        <f ca="1" t="shared" si="23"/>
        <v>0</v>
      </c>
      <c r="AD59" s="74">
        <f ca="1" t="shared" si="23"/>
        <v>0</v>
      </c>
      <c r="AE59" s="74">
        <f ca="1" t="shared" si="23"/>
        <v>0</v>
      </c>
      <c r="AF59" s="74">
        <f ca="1" t="shared" si="23"/>
        <v>0</v>
      </c>
      <c r="AG59" s="74">
        <f ca="1" t="shared" si="23"/>
        <v>0</v>
      </c>
      <c r="AH59" s="74">
        <f ca="1" t="shared" si="23"/>
        <v>0</v>
      </c>
      <c r="AI59" s="74">
        <f ca="1" t="shared" si="23"/>
        <v>0</v>
      </c>
      <c r="AJ59" s="74">
        <f ca="1" t="shared" si="23"/>
        <v>0</v>
      </c>
      <c r="AK59" s="74">
        <f ca="1" t="shared" si="23"/>
        <v>0</v>
      </c>
      <c r="AL59" s="74">
        <f ca="1" t="shared" si="23"/>
        <v>0</v>
      </c>
      <c r="AM59" s="74">
        <f ca="1" t="shared" si="23"/>
        <v>0</v>
      </c>
      <c r="AN59" s="74">
        <f ca="1" t="shared" si="23"/>
        <v>0</v>
      </c>
      <c r="AO59" s="74">
        <f ca="1" t="shared" si="23"/>
        <v>0</v>
      </c>
      <c r="AP59" s="74">
        <f ca="1" t="shared" si="23"/>
        <v>0</v>
      </c>
      <c r="AQ59" s="74">
        <f ca="1" t="shared" si="23"/>
        <v>0</v>
      </c>
      <c r="AR59" s="74">
        <f ca="1" t="shared" si="23"/>
        <v>0</v>
      </c>
      <c r="AS59" s="74">
        <f ca="1" t="shared" si="23"/>
        <v>0</v>
      </c>
      <c r="AT59" s="74">
        <f ca="1" t="shared" si="23"/>
        <v>0</v>
      </c>
      <c r="AU59" s="74">
        <f ca="1" t="shared" si="23"/>
        <v>0</v>
      </c>
      <c r="AV59" s="74">
        <f ca="1" t="shared" si="23"/>
        <v>0</v>
      </c>
      <c r="AW59" s="74">
        <f ca="1" t="shared" si="23"/>
        <v>0</v>
      </c>
      <c r="AX59" s="74">
        <f ca="1" t="shared" si="23"/>
        <v>0</v>
      </c>
      <c r="AY59" s="74">
        <f ca="1" t="shared" si="23"/>
        <v>0</v>
      </c>
      <c r="AZ59" s="74">
        <f ca="1" t="shared" si="23"/>
        <v>0</v>
      </c>
      <c r="BA59" s="75">
        <f ca="1" t="shared" si="23"/>
        <v>0</v>
      </c>
      <c r="BB59" s="74">
        <f ca="1" t="shared" si="23"/>
        <v>0</v>
      </c>
      <c r="BC59" s="74">
        <f ca="1" t="shared" si="23"/>
        <v>0</v>
      </c>
      <c r="BD59" s="74">
        <f ca="1" t="shared" si="23"/>
        <v>0</v>
      </c>
      <c r="BE59" s="120">
        <f ca="1">BE19+BE6</f>
        <v>0</v>
      </c>
      <c r="BF59" s="74"/>
      <c r="BG59" s="74"/>
      <c r="BH59" s="74"/>
      <c r="BI59" s="121"/>
      <c r="BJ59" s="121"/>
      <c r="BK59" s="121"/>
      <c r="BL59" s="1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3"/>
      <c r="CB59" s="123"/>
      <c r="CC59" s="124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</row>
    <row r="61" spans="61:76"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</row>
  </sheetData>
  <mergeCells count="3">
    <mergeCell ref="A3:A4"/>
    <mergeCell ref="B3:B4"/>
    <mergeCell ref="C3:C4"/>
  </mergeCells>
  <pageMargins left="0.65" right="0" top="0.5" bottom="0.25" header="0.5" footer="0.5"/>
  <pageSetup paperSize="8" orientation="landscape" horizontalDpi="360" verticalDpi="36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2">
    <tabColor rgb="FFFF0000"/>
  </sheetPr>
  <dimension ref="A1:IL61"/>
  <sheetViews>
    <sheetView workbookViewId="0">
      <selection activeCell="A1" sqref="A1"/>
    </sheetView>
  </sheetViews>
  <sheetFormatPr defaultColWidth="9" defaultRowHeight="15"/>
  <cols>
    <col min="1" max="1" width="6.375" style="7" customWidth="1"/>
    <col min="2" max="2" width="29.125" style="7" customWidth="1"/>
    <col min="3" max="3" width="6" style="7" customWidth="1"/>
    <col min="4" max="4" width="9.75" style="8" customWidth="1"/>
    <col min="5" max="5" width="9.375" style="9" customWidth="1"/>
    <col min="6" max="6" width="7" style="8" customWidth="1"/>
    <col min="7" max="7" width="7.75" style="8" customWidth="1"/>
    <col min="8" max="8" width="7" style="8" customWidth="1"/>
    <col min="9" max="9" width="6.875" style="8" customWidth="1"/>
    <col min="10" max="10" width="7.625" style="8" customWidth="1"/>
    <col min="11" max="11" width="9.125" style="8" customWidth="1"/>
    <col min="12" max="12" width="8.25" style="8" customWidth="1"/>
    <col min="13" max="13" width="6" style="8" customWidth="1"/>
    <col min="14" max="14" width="6.25" style="8" customWidth="1"/>
    <col min="15" max="15" width="5.875" style="8" customWidth="1"/>
    <col min="16" max="16" width="5.75" style="8" customWidth="1"/>
    <col min="17" max="17" width="6.25" style="8" customWidth="1"/>
    <col min="18" max="18" width="8.75" style="10" customWidth="1"/>
    <col min="19" max="19" width="7.125" style="8" customWidth="1"/>
    <col min="20" max="20" width="7.75" style="8" customWidth="1"/>
    <col min="21" max="23" width="6.125" style="8" customWidth="1"/>
    <col min="24" max="24" width="7.125" style="8" customWidth="1"/>
    <col min="25" max="25" width="7.75" style="8" customWidth="1"/>
    <col min="26" max="26" width="6.875" style="8" customWidth="1"/>
    <col min="27" max="27" width="7.375" style="8" customWidth="1"/>
    <col min="28" max="28" width="9" style="8"/>
    <col min="29" max="29" width="7.25" style="8" customWidth="1"/>
    <col min="30" max="30" width="7" style="8" customWidth="1"/>
    <col min="31" max="31" width="6.125" style="8" customWidth="1"/>
    <col min="32" max="33" width="6.625" style="8" customWidth="1"/>
    <col min="34" max="34" width="6.125" style="8" customWidth="1"/>
    <col min="35" max="35" width="8.5" style="8" customWidth="1"/>
    <col min="36" max="36" width="8.875" style="8" customWidth="1"/>
    <col min="37" max="37" width="8.75" style="8" customWidth="1"/>
    <col min="38" max="39" width="6.625" style="8" customWidth="1"/>
    <col min="40" max="41" width="6.875" style="8" customWidth="1"/>
    <col min="42" max="42" width="6.75" style="8" customWidth="1"/>
    <col min="43" max="43" width="6.375" style="8" customWidth="1"/>
    <col min="44" max="44" width="6.125" style="8" customWidth="1"/>
    <col min="45" max="46" width="5.75" style="8" customWidth="1"/>
    <col min="47" max="47" width="6.5" style="8" customWidth="1"/>
    <col min="48" max="49" width="5.625" style="8" customWidth="1"/>
    <col min="50" max="51" width="6.125" style="8" customWidth="1"/>
    <col min="52" max="52" width="7.625" style="8" customWidth="1"/>
    <col min="53" max="53" width="9.375" style="11" customWidth="1"/>
    <col min="54" max="54" width="6.625" style="12" customWidth="1"/>
    <col min="55" max="55" width="6.25" style="12" customWidth="1"/>
    <col min="56" max="56" width="7.125" style="8" customWidth="1"/>
    <col min="57" max="57" width="6.25" style="9" customWidth="1"/>
    <col min="58" max="58" width="7.25" style="11" customWidth="1"/>
    <col min="59" max="59" width="8.25" style="11" customWidth="1"/>
    <col min="60" max="60" width="10.125" style="11" customWidth="1"/>
    <col min="61" max="61" width="5.125" style="7" customWidth="1"/>
    <col min="62" max="62" width="8.375" style="7" hidden="1" customWidth="1"/>
    <col min="63" max="63" width="9" style="7" hidden="1" customWidth="1"/>
    <col min="64" max="64" width="4.875" style="7" customWidth="1"/>
    <col min="65" max="65" width="6.25" style="7" customWidth="1"/>
    <col min="66" max="66" width="5" style="7" customWidth="1"/>
    <col min="67" max="67" width="4.25" style="7" customWidth="1"/>
    <col min="68" max="68" width="5.375" style="7" customWidth="1"/>
    <col min="69" max="69" width="5.125" style="7" customWidth="1"/>
    <col min="70" max="70" width="4.625" style="7" customWidth="1"/>
    <col min="71" max="71" width="5.625" style="7" customWidth="1"/>
    <col min="72" max="72" width="5.875" style="7" customWidth="1"/>
    <col min="73" max="73" width="5" style="7" customWidth="1"/>
    <col min="74" max="74" width="3.875" style="7" customWidth="1"/>
    <col min="75" max="75" width="4.625" style="7" customWidth="1"/>
    <col min="76" max="76" width="5.5" style="7" customWidth="1"/>
    <col min="77" max="77" width="7.625" style="13" customWidth="1"/>
    <col min="78" max="79" width="8.375" style="13" customWidth="1"/>
    <col min="80" max="80" width="7.5" style="7" customWidth="1"/>
    <col min="81" max="16384" width="9" style="7"/>
  </cols>
  <sheetData>
    <row r="1" ht="21" customHeight="1" spans="1:82">
      <c r="A1" s="14" t="s">
        <v>8330</v>
      </c>
      <c r="B1" s="15"/>
      <c r="C1" s="16" t="e">
        <f>+"CHU CHUYỂN ĐẤT ĐAI TRONG KẾ HOẠCH SỬ DỤNG ĐẤT NĂM 2015 CỦA "&amp;#REF!</f>
        <v>#REF!</v>
      </c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83"/>
      <c r="BC1" s="83"/>
      <c r="BD1" s="18"/>
      <c r="BE1" s="18"/>
      <c r="BF1" s="18"/>
      <c r="BG1" s="18"/>
      <c r="BH1" s="18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7"/>
      <c r="BZ1" s="7"/>
      <c r="CA1" s="7"/>
      <c r="CB1" s="8"/>
      <c r="CC1" s="8"/>
      <c r="CD1" s="8"/>
    </row>
    <row r="2" s="1" customFormat="1" ht="7.5" customHeight="1" spans="1:82">
      <c r="A2" s="1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9"/>
      <c r="BA2" s="20"/>
      <c r="BB2" s="84"/>
      <c r="BC2" s="84"/>
      <c r="BD2" s="20"/>
      <c r="BE2" s="20"/>
      <c r="BF2" s="20"/>
      <c r="BG2" s="20"/>
      <c r="BH2" s="95" t="s">
        <v>8331</v>
      </c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CB2" s="9"/>
      <c r="CC2" s="9"/>
      <c r="CD2" s="9"/>
    </row>
    <row r="3" s="2" customFormat="1" ht="15.75" customHeight="1" spans="1:79">
      <c r="A3" s="21" t="s">
        <v>3</v>
      </c>
      <c r="B3" s="21" t="s">
        <v>8332</v>
      </c>
      <c r="C3" s="21" t="s">
        <v>8333</v>
      </c>
      <c r="D3" s="22"/>
      <c r="E3" s="23" t="s">
        <v>8334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7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85"/>
      <c r="BC3" s="85"/>
      <c r="BD3" s="24"/>
      <c r="BE3" s="97"/>
      <c r="BF3" s="22"/>
      <c r="BG3" s="22"/>
      <c r="BH3" s="22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</row>
    <row r="4" s="2" customFormat="1" ht="31.5" customHeight="1" spans="1:79">
      <c r="A4" s="25"/>
      <c r="B4" s="25"/>
      <c r="C4" s="25"/>
      <c r="D4" s="26" t="s">
        <v>8335</v>
      </c>
      <c r="E4" s="27" t="s">
        <v>8303</v>
      </c>
      <c r="F4" s="28" t="s">
        <v>8298</v>
      </c>
      <c r="G4" s="29" t="s">
        <v>8299</v>
      </c>
      <c r="H4" s="29" t="s">
        <v>221</v>
      </c>
      <c r="I4" s="29" t="s">
        <v>8300</v>
      </c>
      <c r="J4" s="28" t="s">
        <v>2492</v>
      </c>
      <c r="K4" s="28" t="s">
        <v>30</v>
      </c>
      <c r="L4" s="28" t="s">
        <v>8307</v>
      </c>
      <c r="M4" s="28" t="s">
        <v>8306</v>
      </c>
      <c r="N4" s="28" t="s">
        <v>8305</v>
      </c>
      <c r="O4" s="76" t="s">
        <v>318</v>
      </c>
      <c r="P4" s="28" t="s">
        <v>8297</v>
      </c>
      <c r="Q4" s="28" t="s">
        <v>553</v>
      </c>
      <c r="R4" s="37" t="s">
        <v>8304</v>
      </c>
      <c r="S4" s="40" t="s">
        <v>31</v>
      </c>
      <c r="T4" s="40" t="s">
        <v>8283</v>
      </c>
      <c r="U4" s="40" t="s">
        <v>47</v>
      </c>
      <c r="V4" s="40" t="s">
        <v>8308</v>
      </c>
      <c r="W4" s="40" t="s">
        <v>56</v>
      </c>
      <c r="X4" s="40" t="s">
        <v>265</v>
      </c>
      <c r="Y4" s="40" t="s">
        <v>204</v>
      </c>
      <c r="Z4" s="40" t="s">
        <v>174</v>
      </c>
      <c r="AA4" s="40" t="s">
        <v>8288</v>
      </c>
      <c r="AB4" s="46" t="s">
        <v>94</v>
      </c>
      <c r="AC4" s="46" t="s">
        <v>216</v>
      </c>
      <c r="AD4" s="46" t="s">
        <v>71</v>
      </c>
      <c r="AE4" s="46" t="s">
        <v>8285</v>
      </c>
      <c r="AF4" s="46" t="s">
        <v>212</v>
      </c>
      <c r="AG4" s="46" t="s">
        <v>8296</v>
      </c>
      <c r="AH4" s="46" t="s">
        <v>165</v>
      </c>
      <c r="AI4" s="46" t="s">
        <v>8294</v>
      </c>
      <c r="AJ4" s="46" t="s">
        <v>8302</v>
      </c>
      <c r="AK4" s="46" t="s">
        <v>8295</v>
      </c>
      <c r="AL4" s="46" t="s">
        <v>178</v>
      </c>
      <c r="AM4" s="46" t="s">
        <v>8312</v>
      </c>
      <c r="AN4" s="40" t="s">
        <v>8287</v>
      </c>
      <c r="AO4" s="40" t="s">
        <v>8286</v>
      </c>
      <c r="AP4" s="40" t="s">
        <v>8291</v>
      </c>
      <c r="AQ4" s="40" t="s">
        <v>188</v>
      </c>
      <c r="AR4" s="40" t="s">
        <v>201</v>
      </c>
      <c r="AS4" s="40" t="s">
        <v>336</v>
      </c>
      <c r="AT4" s="40" t="s">
        <v>8293</v>
      </c>
      <c r="AU4" s="40" t="s">
        <v>8290</v>
      </c>
      <c r="AV4" s="40" t="s">
        <v>324</v>
      </c>
      <c r="AW4" s="40" t="s">
        <v>182</v>
      </c>
      <c r="AX4" s="40" t="s">
        <v>236</v>
      </c>
      <c r="AY4" s="40" t="s">
        <v>8292</v>
      </c>
      <c r="AZ4" s="40" t="s">
        <v>8289</v>
      </c>
      <c r="BA4" s="40" t="s">
        <v>8310</v>
      </c>
      <c r="BB4" s="40" t="s">
        <v>8309</v>
      </c>
      <c r="BC4" s="40" t="s">
        <v>8301</v>
      </c>
      <c r="BD4" s="40" t="s">
        <v>59</v>
      </c>
      <c r="BE4" s="27" t="s">
        <v>8284</v>
      </c>
      <c r="BF4" s="99" t="s">
        <v>8336</v>
      </c>
      <c r="BG4" s="100" t="s">
        <v>8337</v>
      </c>
      <c r="BH4" s="26" t="s">
        <v>8335</v>
      </c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</row>
    <row r="5" s="2" customFormat="1" ht="15.75" customHeight="1" spans="1:79">
      <c r="A5" s="30"/>
      <c r="B5" s="30" t="s">
        <v>8338</v>
      </c>
      <c r="C5" s="31"/>
      <c r="D5" s="32" t="e">
        <f>+#REF!</f>
        <v>#REF!</v>
      </c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86"/>
      <c r="BC5" s="86"/>
      <c r="BD5" s="34"/>
      <c r="BE5" s="33"/>
      <c r="BF5" s="34"/>
      <c r="BG5" s="34"/>
      <c r="BH5" s="34" t="e">
        <f ca="1">BH6+BH19+BH58</f>
        <v>#REF!</v>
      </c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</row>
    <row r="6" s="3" customFormat="1" ht="15.75" customHeight="1" spans="1:79">
      <c r="A6" s="35">
        <v>1</v>
      </c>
      <c r="B6" s="36" t="s">
        <v>8339</v>
      </c>
      <c r="C6" s="37" t="s">
        <v>8303</v>
      </c>
      <c r="D6" s="33" t="e">
        <f>+#REF!</f>
        <v>#REF!</v>
      </c>
      <c r="E6" s="38" t="e">
        <f ca="1">$D6-$BF6</f>
        <v>#REF!</v>
      </c>
      <c r="F6" s="33">
        <f ca="1">SUM(F11:F18)</f>
        <v>0</v>
      </c>
      <c r="G6" s="33">
        <f ca="1">SUM(G7,G11:G18)</f>
        <v>0</v>
      </c>
      <c r="H6" s="33">
        <f ca="1">SUM(H7,H11:H18)</f>
        <v>0</v>
      </c>
      <c r="I6" s="33">
        <f ca="1">SUM(I7,I11:I18)</f>
        <v>0</v>
      </c>
      <c r="J6" s="33">
        <f ca="1">SUM(J7,J12:J18)</f>
        <v>0</v>
      </c>
      <c r="K6" s="33">
        <f ca="1">SUM(K7,K11,K13:K18)</f>
        <v>0</v>
      </c>
      <c r="L6" s="33">
        <f ca="1">SUM(L7,L11:L12,L14:L18)</f>
        <v>0</v>
      </c>
      <c r="M6" s="33">
        <f ca="1">SUM(M7,M11:M13,M15:M18)</f>
        <v>0</v>
      </c>
      <c r="N6" s="33">
        <f ca="1">SUM(N7,N11:N14,N16:N18)</f>
        <v>0</v>
      </c>
      <c r="O6" s="33">
        <f ca="1">SUM(O7,O11:O15,O17:O18)</f>
        <v>0</v>
      </c>
      <c r="P6" s="33">
        <f ca="1">SUM(P7,P11:P16,P18:P18)</f>
        <v>0</v>
      </c>
      <c r="Q6" s="33">
        <f ca="1">SUM(Q7,Q11:Q17)</f>
        <v>0</v>
      </c>
      <c r="R6" s="33">
        <f ca="1">SUM(R7,R11:R18)</f>
        <v>0</v>
      </c>
      <c r="S6" s="33">
        <f ca="1">SUM(S7,S11:S18)</f>
        <v>0</v>
      </c>
      <c r="T6" s="33">
        <f ca="1" t="shared" ref="T6:BE6" si="0">SUM(T7,T11:T18)</f>
        <v>0</v>
      </c>
      <c r="U6" s="33">
        <f ca="1" t="shared" si="0"/>
        <v>0</v>
      </c>
      <c r="V6" s="33">
        <f ca="1" t="shared" si="0"/>
        <v>0</v>
      </c>
      <c r="W6" s="33">
        <f ca="1" t="shared" si="0"/>
        <v>0</v>
      </c>
      <c r="X6" s="33">
        <f ca="1" t="shared" si="0"/>
        <v>0</v>
      </c>
      <c r="Y6" s="33">
        <f ca="1" t="shared" si="0"/>
        <v>0</v>
      </c>
      <c r="Z6" s="33">
        <f ca="1" t="shared" si="0"/>
        <v>0</v>
      </c>
      <c r="AA6" s="33">
        <f ca="1" t="shared" si="0"/>
        <v>0</v>
      </c>
      <c r="AB6" s="33">
        <f ca="1" t="shared" si="0"/>
        <v>0</v>
      </c>
      <c r="AC6" s="33">
        <f ca="1" t="shared" si="0"/>
        <v>0</v>
      </c>
      <c r="AD6" s="33">
        <f ca="1" t="shared" si="0"/>
        <v>0</v>
      </c>
      <c r="AE6" s="33">
        <f ca="1" t="shared" si="0"/>
        <v>0</v>
      </c>
      <c r="AF6" s="33">
        <f ca="1" t="shared" si="0"/>
        <v>0</v>
      </c>
      <c r="AG6" s="33">
        <f ca="1" t="shared" si="0"/>
        <v>0</v>
      </c>
      <c r="AH6" s="33">
        <f ca="1" t="shared" si="0"/>
        <v>0</v>
      </c>
      <c r="AI6" s="33">
        <f ca="1" t="shared" si="0"/>
        <v>0</v>
      </c>
      <c r="AJ6" s="33">
        <f ca="1" t="shared" si="0"/>
        <v>0</v>
      </c>
      <c r="AK6" s="33">
        <f ca="1" t="shared" si="0"/>
        <v>0</v>
      </c>
      <c r="AL6" s="33">
        <f ca="1" t="shared" si="0"/>
        <v>0</v>
      </c>
      <c r="AM6" s="33">
        <f ca="1" t="shared" si="0"/>
        <v>0</v>
      </c>
      <c r="AN6" s="33">
        <f ca="1" t="shared" si="0"/>
        <v>0</v>
      </c>
      <c r="AO6" s="33">
        <f ca="1" t="shared" si="0"/>
        <v>0</v>
      </c>
      <c r="AP6" s="33">
        <f ca="1" t="shared" si="0"/>
        <v>0</v>
      </c>
      <c r="AQ6" s="33">
        <f ca="1" t="shared" si="0"/>
        <v>0</v>
      </c>
      <c r="AR6" s="33">
        <f ca="1" t="shared" si="0"/>
        <v>0</v>
      </c>
      <c r="AS6" s="33">
        <f ca="1" t="shared" si="0"/>
        <v>0</v>
      </c>
      <c r="AT6" s="33">
        <f ca="1" t="shared" si="0"/>
        <v>0</v>
      </c>
      <c r="AU6" s="33">
        <f ca="1" t="shared" si="0"/>
        <v>0</v>
      </c>
      <c r="AV6" s="33">
        <f ca="1" t="shared" si="0"/>
        <v>0</v>
      </c>
      <c r="AW6" s="33">
        <f ca="1" t="shared" si="0"/>
        <v>0</v>
      </c>
      <c r="AX6" s="33">
        <f ca="1" t="shared" si="0"/>
        <v>0</v>
      </c>
      <c r="AY6" s="33">
        <f ca="1" t="shared" si="0"/>
        <v>0</v>
      </c>
      <c r="AZ6" s="33">
        <f ca="1" t="shared" si="0"/>
        <v>0</v>
      </c>
      <c r="BA6" s="33">
        <f ca="1" t="shared" si="0"/>
        <v>0</v>
      </c>
      <c r="BB6" s="33">
        <f ca="1" t="shared" si="0"/>
        <v>0</v>
      </c>
      <c r="BC6" s="33">
        <f ca="1" t="shared" si="0"/>
        <v>0</v>
      </c>
      <c r="BD6" s="33">
        <f ca="1" t="shared" si="0"/>
        <v>0</v>
      </c>
      <c r="BE6" s="33">
        <f ca="1" t="shared" si="0"/>
        <v>0</v>
      </c>
      <c r="BF6" s="74">
        <f ca="1">BE6+R6</f>
        <v>0</v>
      </c>
      <c r="BG6" s="101">
        <f ca="1">E$59-$BF6</f>
        <v>0</v>
      </c>
      <c r="BH6" s="33" t="e">
        <f ca="1">SUM(BH7,BH11:BH18)</f>
        <v>#REF!</v>
      </c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</row>
    <row r="7" s="2" customFormat="1" ht="15.75" customHeight="1" spans="1:79">
      <c r="A7" s="39" t="s">
        <v>27</v>
      </c>
      <c r="B7" s="39" t="s">
        <v>8340</v>
      </c>
      <c r="C7" s="40" t="s">
        <v>8298</v>
      </c>
      <c r="D7" s="41" t="e">
        <f>+#REF!</f>
        <v>#REF!</v>
      </c>
      <c r="E7" s="42">
        <f ca="1">SUM(J7:Q7)</f>
        <v>0</v>
      </c>
      <c r="F7" s="43" t="e">
        <f ca="1">$D7-$BF7</f>
        <v>#REF!</v>
      </c>
      <c r="G7" s="44">
        <f ca="1">SUM(G9:G10)</f>
        <v>0</v>
      </c>
      <c r="H7" s="44">
        <f ca="1">SUM(H8,H10)</f>
        <v>0</v>
      </c>
      <c r="I7" s="44">
        <f ca="1">SUM(I8:I9)</f>
        <v>0</v>
      </c>
      <c r="J7" s="44">
        <f ca="1">SUM(J8:J10)</f>
        <v>0</v>
      </c>
      <c r="K7" s="44">
        <f ca="1" t="shared" ref="K7:Q7" si="1">SUM(K8:K10)</f>
        <v>0</v>
      </c>
      <c r="L7" s="44">
        <f ca="1" t="shared" si="1"/>
        <v>0</v>
      </c>
      <c r="M7" s="44">
        <f ca="1" t="shared" si="1"/>
        <v>0</v>
      </c>
      <c r="N7" s="44">
        <f ca="1" t="shared" si="1"/>
        <v>0</v>
      </c>
      <c r="O7" s="44">
        <f ca="1" t="shared" si="1"/>
        <v>0</v>
      </c>
      <c r="P7" s="44">
        <f ca="1" t="shared" si="1"/>
        <v>0</v>
      </c>
      <c r="Q7" s="44">
        <f ca="1" t="shared" si="1"/>
        <v>0</v>
      </c>
      <c r="R7" s="42">
        <f ca="1" t="shared" ref="R7:R18" si="2">SUM(S7:AA7,AN7:BD7)</f>
        <v>0</v>
      </c>
      <c r="S7" s="52">
        <f ca="1" t="shared" ref="S7:AY7" si="3">SUM(S8:S10)</f>
        <v>0</v>
      </c>
      <c r="T7" s="52">
        <f ca="1" t="shared" si="3"/>
        <v>0</v>
      </c>
      <c r="U7" s="52">
        <f ca="1" t="shared" si="3"/>
        <v>0</v>
      </c>
      <c r="V7" s="52">
        <f ca="1" t="shared" si="3"/>
        <v>0</v>
      </c>
      <c r="W7" s="52">
        <f ca="1" t="shared" si="3"/>
        <v>0</v>
      </c>
      <c r="X7" s="52">
        <f ca="1" t="shared" si="3"/>
        <v>0</v>
      </c>
      <c r="Y7" s="52">
        <f ca="1" t="shared" si="3"/>
        <v>0</v>
      </c>
      <c r="Z7" s="52">
        <f ca="1" t="shared" si="3"/>
        <v>0</v>
      </c>
      <c r="AA7" s="52">
        <f ca="1" t="shared" ref="AA7:AA18" si="4">+SUM(AB7:AM7)</f>
        <v>0</v>
      </c>
      <c r="AB7" s="52">
        <f ca="1" t="shared" ref="AB7:AM7" si="5">SUM(AB8:AB10)</f>
        <v>0</v>
      </c>
      <c r="AC7" s="52">
        <f ca="1" t="shared" si="5"/>
        <v>0</v>
      </c>
      <c r="AD7" s="52">
        <f ca="1" t="shared" si="5"/>
        <v>0</v>
      </c>
      <c r="AE7" s="52">
        <f ca="1" t="shared" si="5"/>
        <v>0</v>
      </c>
      <c r="AF7" s="52">
        <f ca="1" t="shared" si="5"/>
        <v>0</v>
      </c>
      <c r="AG7" s="52">
        <f ca="1" t="shared" si="5"/>
        <v>0</v>
      </c>
      <c r="AH7" s="52">
        <f ca="1" t="shared" si="5"/>
        <v>0</v>
      </c>
      <c r="AI7" s="52">
        <f ca="1" t="shared" si="5"/>
        <v>0</v>
      </c>
      <c r="AJ7" s="52">
        <f ca="1" t="shared" si="5"/>
        <v>0</v>
      </c>
      <c r="AK7" s="52">
        <f ca="1" t="shared" si="5"/>
        <v>0</v>
      </c>
      <c r="AL7" s="52">
        <f ca="1" t="shared" si="5"/>
        <v>0</v>
      </c>
      <c r="AM7" s="52">
        <f ca="1" t="shared" si="5"/>
        <v>0</v>
      </c>
      <c r="AN7" s="52">
        <f ca="1" t="shared" si="3"/>
        <v>0</v>
      </c>
      <c r="AO7" s="52">
        <f ca="1" t="shared" si="3"/>
        <v>0</v>
      </c>
      <c r="AP7" s="52">
        <f ca="1" t="shared" si="3"/>
        <v>0</v>
      </c>
      <c r="AQ7" s="52">
        <f ca="1" t="shared" si="3"/>
        <v>0</v>
      </c>
      <c r="AR7" s="52">
        <f ca="1" t="shared" si="3"/>
        <v>0</v>
      </c>
      <c r="AS7" s="52">
        <f ca="1" t="shared" si="3"/>
        <v>0</v>
      </c>
      <c r="AT7" s="52">
        <f ca="1" t="shared" si="3"/>
        <v>0</v>
      </c>
      <c r="AU7" s="52">
        <f ca="1" t="shared" si="3"/>
        <v>0</v>
      </c>
      <c r="AV7" s="52">
        <f ca="1" t="shared" si="3"/>
        <v>0</v>
      </c>
      <c r="AW7" s="52">
        <f ca="1" t="shared" si="3"/>
        <v>0</v>
      </c>
      <c r="AX7" s="52">
        <f ca="1" t="shared" si="3"/>
        <v>0</v>
      </c>
      <c r="AY7" s="52">
        <f ca="1" t="shared" si="3"/>
        <v>0</v>
      </c>
      <c r="AZ7" s="52">
        <f ca="1" t="shared" ref="AZ7:BE7" si="6">SUM(AZ8:AZ10)</f>
        <v>0</v>
      </c>
      <c r="BA7" s="87">
        <f ca="1" t="shared" si="6"/>
        <v>0</v>
      </c>
      <c r="BB7" s="52">
        <f ca="1" t="shared" si="6"/>
        <v>0</v>
      </c>
      <c r="BC7" s="52">
        <f ca="1" t="shared" si="6"/>
        <v>0</v>
      </c>
      <c r="BD7" s="52">
        <f ca="1" t="shared" si="6"/>
        <v>0</v>
      </c>
      <c r="BE7" s="52">
        <f ca="1" t="shared" si="6"/>
        <v>0</v>
      </c>
      <c r="BF7" s="74">
        <f ca="1" t="shared" ref="BF7:BF18" si="7">BE7+R7+E7</f>
        <v>0</v>
      </c>
      <c r="BG7" s="101">
        <f ca="1">F$59-$BF7</f>
        <v>0</v>
      </c>
      <c r="BH7" s="41" t="e">
        <f ca="1" t="shared" ref="BH7:BH18" si="8">BG7+D7</f>
        <v>#REF!</v>
      </c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</row>
    <row r="8" s="4" customFormat="1" ht="15.75" customHeight="1" spans="1:79">
      <c r="A8" s="45"/>
      <c r="B8" s="316" t="s">
        <v>8341</v>
      </c>
      <c r="C8" s="46" t="s">
        <v>8299</v>
      </c>
      <c r="D8" s="47" t="e">
        <f>+#REF!</f>
        <v>#REF!</v>
      </c>
      <c r="E8" s="48">
        <f ca="1">SUM(F8,J8:Q8)</f>
        <v>0</v>
      </c>
      <c r="F8" s="44">
        <f ca="1">SUM(H8:I8)</f>
        <v>0</v>
      </c>
      <c r="G8" s="49" t="e">
        <f ca="1">$D8-$BF8</f>
        <v>#REF!</v>
      </c>
      <c r="H8" s="50">
        <f ca="1">+GETPIVOTDATA("XSR4",'suoirao (2016)'!$A$3,"MA_HT","LUC","MA_QH","LUK")</f>
        <v>0</v>
      </c>
      <c r="I8" s="50">
        <f ca="1">+GETPIVOTDATA("XSR4",'suoirao (2016)'!$A$3,"MA_HT","LUC","MA_QH","LUN")</f>
        <v>0</v>
      </c>
      <c r="J8" s="50">
        <f ca="1">+GETPIVOTDATA("XSR4",'suoirao (2016)'!$A$3,"MA_HT","LUC","MA_QH","HNK")</f>
        <v>0</v>
      </c>
      <c r="K8" s="50">
        <f ca="1">+GETPIVOTDATA("XSR4",'suoirao (2016)'!$A$3,"MA_HT","LUC","MA_QH","CLN")</f>
        <v>0</v>
      </c>
      <c r="L8" s="50">
        <f ca="1">+GETPIVOTDATA("XSR4",'suoirao (2016)'!$A$3,"MA_HT","LUC","MA_QH","RSX")</f>
        <v>0</v>
      </c>
      <c r="M8" s="50">
        <f ca="1">+GETPIVOTDATA("XSR4",'suoirao (2016)'!$A$3,"MA_HT","LUC","MA_QH","RPH")</f>
        <v>0</v>
      </c>
      <c r="N8" s="50">
        <f ca="1">+GETPIVOTDATA("XSR4",'suoirao (2016)'!$A$3,"MA_HT","LUC","MA_QH","RDD")</f>
        <v>0</v>
      </c>
      <c r="O8" s="50">
        <f ca="1">+GETPIVOTDATA("XSR4",'suoirao (2016)'!$A$3,"MA_HT","LUC","MA_QH","NTS")</f>
        <v>0</v>
      </c>
      <c r="P8" s="50">
        <f ca="1">+GETPIVOTDATA("XSR4",'suoirao (2016)'!$A$3,"MA_HT","LUC","MA_QH","LMU")</f>
        <v>0</v>
      </c>
      <c r="Q8" s="50">
        <f ca="1">+GETPIVOTDATA("XSR4",'suoirao (2016)'!$A$3,"MA_HT","LUC","MA_QH","NKH")</f>
        <v>0</v>
      </c>
      <c r="R8" s="48">
        <f ca="1" t="shared" si="2"/>
        <v>0</v>
      </c>
      <c r="S8" s="50">
        <f ca="1">+GETPIVOTDATA("XSR4",'suoirao (2016)'!$A$3,"MA_HT","LUC","MA_QH","CQP")</f>
        <v>0</v>
      </c>
      <c r="T8" s="50">
        <f ca="1">+GETPIVOTDATA("XSR4",'suoirao (2016)'!$A$3,"MA_HT","LUC","MA_QH","CAN")</f>
        <v>0</v>
      </c>
      <c r="U8" s="50">
        <f ca="1">+GETPIVOTDATA("XSR4",'suoirao (2016)'!$A$3,"MA_HT","LUC","MA_QH","SKK")</f>
        <v>0</v>
      </c>
      <c r="V8" s="50">
        <f ca="1">+GETPIVOTDATA("XSR4",'suoirao (2016)'!$A$3,"MA_HT","LUC","MA_QH","SKT")</f>
        <v>0</v>
      </c>
      <c r="W8" s="50">
        <f ca="1">+GETPIVOTDATA("XSR4",'suoirao (2016)'!$A$3,"MA_HT","LUC","MA_QH","SKN")</f>
        <v>0</v>
      </c>
      <c r="X8" s="50">
        <f ca="1">+GETPIVOTDATA("XSR4",'suoirao (2016)'!$A$3,"MA_HT","LUC","MA_QH","TMD")</f>
        <v>0</v>
      </c>
      <c r="Y8" s="50">
        <f ca="1">+GETPIVOTDATA("XSR4",'suoirao (2016)'!$A$3,"MA_HT","LUC","MA_QH","SKC")</f>
        <v>0</v>
      </c>
      <c r="Z8" s="50">
        <f ca="1">+GETPIVOTDATA("XSR4",'suoirao (2016)'!$A$3,"MA_HT","LUC","MA_QH","SKS")</f>
        <v>0</v>
      </c>
      <c r="AA8" s="52">
        <f ca="1" t="shared" si="4"/>
        <v>0</v>
      </c>
      <c r="AB8" s="50">
        <f ca="1">+GETPIVOTDATA("XSR4",'suoirao (2016)'!$A$3,"MA_HT","LUC","MA_QH","DGT")</f>
        <v>0</v>
      </c>
      <c r="AC8" s="50">
        <f ca="1">+GETPIVOTDATA("XSR4",'suoirao (2016)'!$A$3,"MA_HT","LUC","MA_QH","DTL")</f>
        <v>0</v>
      </c>
      <c r="AD8" s="50">
        <f ca="1">+GETPIVOTDATA("XSR4",'suoirao (2016)'!$A$3,"MA_HT","LUC","MA_QH","DNL")</f>
        <v>0</v>
      </c>
      <c r="AE8" s="50">
        <f ca="1">+GETPIVOTDATA("XSR4",'suoirao (2016)'!$A$3,"MA_HT","LUC","MA_QH","DBV")</f>
        <v>0</v>
      </c>
      <c r="AF8" s="50">
        <f ca="1">+GETPIVOTDATA("XSR4",'suoirao (2016)'!$A$3,"MA_HT","LUC","MA_QH","DVH")</f>
        <v>0</v>
      </c>
      <c r="AG8" s="50">
        <f ca="1">+GETPIVOTDATA("XSR4",'suoirao (2016)'!$A$3,"MA_HT","LUC","MA_QH","DYT")</f>
        <v>0</v>
      </c>
      <c r="AH8" s="50">
        <f ca="1">+GETPIVOTDATA("XSR4",'suoirao (2016)'!$A$3,"MA_HT","LUC","MA_QH","DGD")</f>
        <v>0</v>
      </c>
      <c r="AI8" s="50">
        <f ca="1">+GETPIVOTDATA("XSR4",'suoirao (2016)'!$A$3,"MA_HT","LUC","MA_QH","DTT")</f>
        <v>0</v>
      </c>
      <c r="AJ8" s="50">
        <f ca="1">+GETPIVOTDATA("XSR4",'suoirao (2016)'!$A$3,"MA_HT","LUC","MA_QH","NCK")</f>
        <v>0</v>
      </c>
      <c r="AK8" s="50">
        <f ca="1">+GETPIVOTDATA("XSR4",'suoirao (2016)'!$A$3,"MA_HT","LUC","MA_QH","DXH")</f>
        <v>0</v>
      </c>
      <c r="AL8" s="50">
        <f ca="1">+GETPIVOTDATA("XSR4",'suoirao (2016)'!$A$3,"MA_HT","LUC","MA_QH","DCH")</f>
        <v>0</v>
      </c>
      <c r="AM8" s="50">
        <f ca="1">+GETPIVOTDATA("XSR4",'suoirao (2016)'!$A$3,"MA_HT","LUC","MA_QH","DKG")</f>
        <v>0</v>
      </c>
      <c r="AN8" s="50">
        <f ca="1">+GETPIVOTDATA("XSR4",'suoirao (2016)'!$A$3,"MA_HT","LUC","MA_QH","DDT")</f>
        <v>0</v>
      </c>
      <c r="AO8" s="50">
        <f ca="1">+GETPIVOTDATA("XSR4",'suoirao (2016)'!$A$3,"MA_HT","LUC","MA_QH","DDL")</f>
        <v>0</v>
      </c>
      <c r="AP8" s="50">
        <f ca="1">+GETPIVOTDATA("XSR4",'suoirao (2016)'!$A$3,"MA_HT","LUC","MA_QH","DRA")</f>
        <v>0</v>
      </c>
      <c r="AQ8" s="50">
        <f ca="1">+GETPIVOTDATA("XSR4",'suoirao (2016)'!$A$3,"MA_HT","LUC","MA_QH","ONT")</f>
        <v>0</v>
      </c>
      <c r="AR8" s="50">
        <f ca="1">+GETPIVOTDATA("XSR4",'suoirao (2016)'!$A$3,"MA_HT","LUC","MA_QH","ODT")</f>
        <v>0</v>
      </c>
      <c r="AS8" s="50">
        <f ca="1">+GETPIVOTDATA("XSR4",'suoirao (2016)'!$A$3,"MA_HT","LUC","MA_QH","TSC")</f>
        <v>0</v>
      </c>
      <c r="AT8" s="50">
        <f ca="1">+GETPIVOTDATA("XSR4",'suoirao (2016)'!$A$3,"MA_HT","LUC","MA_QH","DTS")</f>
        <v>0</v>
      </c>
      <c r="AU8" s="50">
        <f ca="1">+GETPIVOTDATA("XSR4",'suoirao (2016)'!$A$3,"MA_HT","LUC","MA_QH","DNG")</f>
        <v>0</v>
      </c>
      <c r="AV8" s="50">
        <f ca="1">+GETPIVOTDATA("XSR4",'suoirao (2016)'!$A$3,"MA_HT","LUC","MA_QH","TON")</f>
        <v>0</v>
      </c>
      <c r="AW8" s="50">
        <f ca="1">+GETPIVOTDATA("XSR4",'suoirao (2016)'!$A$3,"MA_HT","LUC","MA_QH","NTD")</f>
        <v>0</v>
      </c>
      <c r="AX8" s="50">
        <f ca="1">+GETPIVOTDATA("XSR4",'suoirao (2016)'!$A$3,"MA_HT","LUC","MA_QH","SKX")</f>
        <v>0</v>
      </c>
      <c r="AY8" s="50">
        <f ca="1">+GETPIVOTDATA("XSR4",'suoirao (2016)'!$A$3,"MA_HT","LUC","MA_QH","DSH")</f>
        <v>0</v>
      </c>
      <c r="AZ8" s="50">
        <f ca="1">+GETPIVOTDATA("XSR4",'suoirao (2016)'!$A$3,"MA_HT","LUC","MA_QH","DKV")</f>
        <v>0</v>
      </c>
      <c r="BA8" s="88">
        <f ca="1">+GETPIVOTDATA("XSR4",'suoirao (2016)'!$A$3,"MA_HT","LUC","MA_QH","TIN")</f>
        <v>0</v>
      </c>
      <c r="BB8" s="50">
        <f ca="1">+GETPIVOTDATA("XSR4",'suoirao (2016)'!$A$3,"MA_HT","LUC","MA_QH","SON")</f>
        <v>0</v>
      </c>
      <c r="BC8" s="50">
        <f ca="1">+GETPIVOTDATA("XSR4",'suoirao (2016)'!$A$3,"MA_HT","LUC","MA_QH","MNC")</f>
        <v>0</v>
      </c>
      <c r="BD8" s="50">
        <f ca="1">+GETPIVOTDATA("XSR4",'suoirao (2016)'!$A$3,"MA_HT","LUC","MA_QH","PNK")</f>
        <v>0</v>
      </c>
      <c r="BE8" s="80">
        <f ca="1">+GETPIVOTDATA("XSR4",'suoirao (2016)'!$A$3,"MA_HT","LUC","MA_QH","CSD")</f>
        <v>0</v>
      </c>
      <c r="BF8" s="103">
        <f ca="1" t="shared" si="7"/>
        <v>0</v>
      </c>
      <c r="BG8" s="104">
        <f ca="1">G$59-$BF8</f>
        <v>0</v>
      </c>
      <c r="BH8" s="47" t="e">
        <f ca="1" t="shared" si="8"/>
        <v>#REF!</v>
      </c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</row>
    <row r="9" s="4" customFormat="1" ht="15.75" customHeight="1" spans="1:79">
      <c r="A9" s="45"/>
      <c r="B9" s="316" t="s">
        <v>8342</v>
      </c>
      <c r="C9" s="46" t="s">
        <v>221</v>
      </c>
      <c r="D9" s="47" t="e">
        <f>+#REF!</f>
        <v>#REF!</v>
      </c>
      <c r="E9" s="48">
        <f ca="1">SUM(F9,J9:Q9)</f>
        <v>0</v>
      </c>
      <c r="F9" s="44">
        <f ca="1">SUM(G9,I9)</f>
        <v>0</v>
      </c>
      <c r="G9" s="51">
        <f ca="1">+GETPIVOTDATA("XSR4",'suoirao (2016)'!$A$3,"MA_HT","LUK","MA_QH","LUC")</f>
        <v>0</v>
      </c>
      <c r="H9" s="49" t="e">
        <f ca="1">$D9-$BF9</f>
        <v>#REF!</v>
      </c>
      <c r="I9" s="50">
        <f ca="1">+GETPIVOTDATA("XSR4",'suoirao (2016)'!$A$3,"MA_HT","LUK","MA_QH","LUN")</f>
        <v>0</v>
      </c>
      <c r="J9" s="50">
        <f ca="1">+GETPIVOTDATA("XSR4",'suoirao (2016)'!$A$3,"MA_HT","LUK","MA_QH","HNK")</f>
        <v>0</v>
      </c>
      <c r="K9" s="50">
        <f ca="1">+GETPIVOTDATA("XSR4",'suoirao (2016)'!$A$3,"MA_HT","LUK","MA_QH","CLN")</f>
        <v>0</v>
      </c>
      <c r="L9" s="50">
        <f ca="1">+GETPIVOTDATA("XSR4",'suoirao (2016)'!$A$3,"MA_HT","LUK","MA_QH","RSX")</f>
        <v>0</v>
      </c>
      <c r="M9" s="50">
        <f ca="1">+GETPIVOTDATA("XSR4",'suoirao (2016)'!$A$3,"MA_HT","LUK","MA_QH","RPH")</f>
        <v>0</v>
      </c>
      <c r="N9" s="50">
        <f ca="1">+GETPIVOTDATA("XSR4",'suoirao (2016)'!$A$3,"MA_HT","LUK","MA_QH","RDD")</f>
        <v>0</v>
      </c>
      <c r="O9" s="50">
        <f ca="1">+GETPIVOTDATA("XSR4",'suoirao (2016)'!$A$3,"MA_HT","LUK","MA_QH","NTS")</f>
        <v>0</v>
      </c>
      <c r="P9" s="50">
        <f ca="1">+GETPIVOTDATA("XSR4",'suoirao (2016)'!$A$3,"MA_HT","LUK","MA_QH","LMU")</f>
        <v>0</v>
      </c>
      <c r="Q9" s="50">
        <f ca="1">+GETPIVOTDATA("XSR4",'suoirao (2016)'!$A$3,"MA_HT","LUK","MA_QH","NKH")</f>
        <v>0</v>
      </c>
      <c r="R9" s="48">
        <f ca="1" t="shared" si="2"/>
        <v>0</v>
      </c>
      <c r="S9" s="50">
        <f ca="1">+GETPIVOTDATA("XSR4",'suoirao (2016)'!$A$3,"MA_HT","LUK","MA_QH","CQP")</f>
        <v>0</v>
      </c>
      <c r="T9" s="50">
        <f ca="1">+GETPIVOTDATA("XSR4",'suoirao (2016)'!$A$3,"MA_HT","LUK","MA_QH","CAN")</f>
        <v>0</v>
      </c>
      <c r="U9" s="50">
        <f ca="1">+GETPIVOTDATA("XSR4",'suoirao (2016)'!$A$3,"MA_HT","LUK","MA_QH","SKK")</f>
        <v>0</v>
      </c>
      <c r="V9" s="50">
        <f ca="1">+GETPIVOTDATA("XSR4",'suoirao (2016)'!$A$3,"MA_HT","LUK","MA_QH","SKT")</f>
        <v>0</v>
      </c>
      <c r="W9" s="50">
        <f ca="1">+GETPIVOTDATA("XSR4",'suoirao (2016)'!$A$3,"MA_HT","LUK","MA_QH","SKN")</f>
        <v>0</v>
      </c>
      <c r="X9" s="50">
        <f ca="1">+GETPIVOTDATA("XSR4",'suoirao (2016)'!$A$3,"MA_HT","LUK","MA_QH","TMD")</f>
        <v>0</v>
      </c>
      <c r="Y9" s="50">
        <f ca="1">+GETPIVOTDATA("XSR4",'suoirao (2016)'!$A$3,"MA_HT","LUK","MA_QH","SKC")</f>
        <v>0</v>
      </c>
      <c r="Z9" s="50">
        <f ca="1">+GETPIVOTDATA("XSR4",'suoirao (2016)'!$A$3,"MA_HT","LUK","MA_QH","SKS")</f>
        <v>0</v>
      </c>
      <c r="AA9" s="52">
        <f ca="1" t="shared" si="4"/>
        <v>0</v>
      </c>
      <c r="AB9" s="50">
        <f ca="1">+GETPIVOTDATA("XSR4",'suoirao (2016)'!$A$3,"MA_HT","LUK","MA_QH","DGT")</f>
        <v>0</v>
      </c>
      <c r="AC9" s="50">
        <f ca="1">+GETPIVOTDATA("XSR4",'suoirao (2016)'!$A$3,"MA_HT","LUK","MA_QH","DTL")</f>
        <v>0</v>
      </c>
      <c r="AD9" s="50">
        <f ca="1">+GETPIVOTDATA("XSR4",'suoirao (2016)'!$A$3,"MA_HT","LUK","MA_QH","DNL")</f>
        <v>0</v>
      </c>
      <c r="AE9" s="50">
        <f ca="1">+GETPIVOTDATA("XSR4",'suoirao (2016)'!$A$3,"MA_HT","LUK","MA_QH","DBV")</f>
        <v>0</v>
      </c>
      <c r="AF9" s="50">
        <f ca="1">+GETPIVOTDATA("XSR4",'suoirao (2016)'!$A$3,"MA_HT","LUK","MA_QH","DVH")</f>
        <v>0</v>
      </c>
      <c r="AG9" s="50">
        <f ca="1">+GETPIVOTDATA("XSR4",'suoirao (2016)'!$A$3,"MA_HT","LUK","MA_QH","DYT")</f>
        <v>0</v>
      </c>
      <c r="AH9" s="50">
        <f ca="1">+GETPIVOTDATA("XSR4",'suoirao (2016)'!$A$3,"MA_HT","LUK","MA_QH","DGD")</f>
        <v>0</v>
      </c>
      <c r="AI9" s="50">
        <f ca="1">+GETPIVOTDATA("XSR4",'suoirao (2016)'!$A$3,"MA_HT","LUK","MA_QH","DTT")</f>
        <v>0</v>
      </c>
      <c r="AJ9" s="50">
        <f ca="1">+GETPIVOTDATA("XSR4",'suoirao (2016)'!$A$3,"MA_HT","LUK","MA_QH","NCK")</f>
        <v>0</v>
      </c>
      <c r="AK9" s="50">
        <f ca="1">+GETPIVOTDATA("XSR4",'suoirao (2016)'!$A$3,"MA_HT","LUK","MA_QH","DXH")</f>
        <v>0</v>
      </c>
      <c r="AL9" s="50">
        <f ca="1">+GETPIVOTDATA("XSR4",'suoirao (2016)'!$A$3,"MA_HT","LUK","MA_QH","DCH")</f>
        <v>0</v>
      </c>
      <c r="AM9" s="50">
        <f ca="1">+GETPIVOTDATA("XSR4",'suoirao (2016)'!$A$3,"MA_HT","LUK","MA_QH","DKG")</f>
        <v>0</v>
      </c>
      <c r="AN9" s="50">
        <f ca="1">+GETPIVOTDATA("XSR4",'suoirao (2016)'!$A$3,"MA_HT","LUK","MA_QH","DDT")</f>
        <v>0</v>
      </c>
      <c r="AO9" s="50">
        <f ca="1">+GETPIVOTDATA("XSR4",'suoirao (2016)'!$A$3,"MA_HT","LUK","MA_QH","DDL")</f>
        <v>0</v>
      </c>
      <c r="AP9" s="50">
        <f ca="1">+GETPIVOTDATA("XSR4",'suoirao (2016)'!$A$3,"MA_HT","LUK","MA_QH","DRA")</f>
        <v>0</v>
      </c>
      <c r="AQ9" s="50">
        <f ca="1">+GETPIVOTDATA("XSR4",'suoirao (2016)'!$A$3,"MA_HT","LUK","MA_QH","ONT")</f>
        <v>0</v>
      </c>
      <c r="AR9" s="50">
        <f ca="1">+GETPIVOTDATA("XSR4",'suoirao (2016)'!$A$3,"MA_HT","LUK","MA_QH","ODT")</f>
        <v>0</v>
      </c>
      <c r="AS9" s="50">
        <f ca="1">+GETPIVOTDATA("XSR4",'suoirao (2016)'!$A$3,"MA_HT","LUK","MA_QH","TSC")</f>
        <v>0</v>
      </c>
      <c r="AT9" s="50">
        <f ca="1">+GETPIVOTDATA("XSR4",'suoirao (2016)'!$A$3,"MA_HT","LUK","MA_QH","DTS")</f>
        <v>0</v>
      </c>
      <c r="AU9" s="50">
        <f ca="1">+GETPIVOTDATA("XSR4",'suoirao (2016)'!$A$3,"MA_HT","LUK","MA_QH","DNG")</f>
        <v>0</v>
      </c>
      <c r="AV9" s="50">
        <f ca="1">+GETPIVOTDATA("XSR4",'suoirao (2016)'!$A$3,"MA_HT","LUK","MA_QH","TON")</f>
        <v>0</v>
      </c>
      <c r="AW9" s="50">
        <f ca="1">+GETPIVOTDATA("XSR4",'suoirao (2016)'!$A$3,"MA_HT","LUK","MA_QH","NTD")</f>
        <v>0</v>
      </c>
      <c r="AX9" s="50">
        <f ca="1">+GETPIVOTDATA("XSR4",'suoirao (2016)'!$A$3,"MA_HT","LUK","MA_QH","SKX")</f>
        <v>0</v>
      </c>
      <c r="AY9" s="50">
        <f ca="1">+GETPIVOTDATA("XSR4",'suoirao (2016)'!$A$3,"MA_HT","LUK","MA_QH","DSH")</f>
        <v>0</v>
      </c>
      <c r="AZ9" s="50">
        <f ca="1">+GETPIVOTDATA("XSR4",'suoirao (2016)'!$A$3,"MA_HT","LUK","MA_QH","DKV")</f>
        <v>0</v>
      </c>
      <c r="BA9" s="88">
        <f ca="1">+GETPIVOTDATA("XSR4",'suoirao (2016)'!$A$3,"MA_HT","LUK","MA_QH","TIN")</f>
        <v>0</v>
      </c>
      <c r="BB9" s="50">
        <f ca="1">+GETPIVOTDATA("XSR4",'suoirao (2016)'!$A$3,"MA_HT","LUK","MA_QH","SON")</f>
        <v>0</v>
      </c>
      <c r="BC9" s="50">
        <f ca="1">+GETPIVOTDATA("XSR4",'suoirao (2016)'!$A$3,"MA_HT","LUK","MA_QH","MNC")</f>
        <v>0</v>
      </c>
      <c r="BD9" s="50">
        <f ca="1">+GETPIVOTDATA("XSR4",'suoirao (2016)'!$A$3,"MA_HT","LUK","MA_QH","PNK")</f>
        <v>0</v>
      </c>
      <c r="BE9" s="80">
        <f ca="1">+GETPIVOTDATA("XSR4",'suoirao (2016)'!$A$3,"MA_HT","LUK","MA_QH","CSD")</f>
        <v>0</v>
      </c>
      <c r="BF9" s="103">
        <f ca="1" t="shared" si="7"/>
        <v>0</v>
      </c>
      <c r="BG9" s="104">
        <f ca="1">H$59-$BF9</f>
        <v>0</v>
      </c>
      <c r="BH9" s="47" t="e">
        <f ca="1" t="shared" si="8"/>
        <v>#REF!</v>
      </c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</row>
    <row r="10" s="4" customFormat="1" ht="15.75" customHeight="1" spans="1:79">
      <c r="A10" s="45"/>
      <c r="B10" s="316" t="s">
        <v>8343</v>
      </c>
      <c r="C10" s="46" t="s">
        <v>8300</v>
      </c>
      <c r="D10" s="47" t="e">
        <f>+#REF!</f>
        <v>#REF!</v>
      </c>
      <c r="E10" s="48">
        <f ca="1">SUM(J10:Q10,F10)</f>
        <v>0</v>
      </c>
      <c r="F10" s="44">
        <f ca="1">SUM(G10:H10)</f>
        <v>0</v>
      </c>
      <c r="G10" s="50">
        <f ca="1">+GETPIVOTDATA("XSR4",'suoirao (2016)'!$A$3,"MA_HT","LUN","MA_QH","LUC")</f>
        <v>0</v>
      </c>
      <c r="H10" s="50">
        <f ca="1">+GETPIVOTDATA("XSR4",'suoirao (2016)'!$A$3,"MA_HT","LUN","MA_QH","LUK")</f>
        <v>0</v>
      </c>
      <c r="I10" s="49" t="e">
        <f ca="1">$D10-$BF10</f>
        <v>#REF!</v>
      </c>
      <c r="J10" s="50">
        <f ca="1">+GETPIVOTDATA("XSR4",'suoirao (2016)'!$A$3,"MA_HT","LUN","MA_QH","HNK")</f>
        <v>0</v>
      </c>
      <c r="K10" s="50">
        <f ca="1">+GETPIVOTDATA("XSR4",'suoirao (2016)'!$A$3,"MA_HT","LUN","MA_QH","CLN")</f>
        <v>0</v>
      </c>
      <c r="L10" s="50">
        <f ca="1">+GETPIVOTDATA("XSR4",'suoirao (2016)'!$A$3,"MA_HT","LUN","MA_QH","RSX")</f>
        <v>0</v>
      </c>
      <c r="M10" s="50">
        <f ca="1">+GETPIVOTDATA("XSR4",'suoirao (2016)'!$A$3,"MA_HT","LUN","MA_QH","RPH")</f>
        <v>0</v>
      </c>
      <c r="N10" s="50">
        <f ca="1">+GETPIVOTDATA("XSR4",'suoirao (2016)'!$A$3,"MA_HT","LUN","MA_QH","RDD")</f>
        <v>0</v>
      </c>
      <c r="O10" s="50">
        <f ca="1">+GETPIVOTDATA("XSR4",'suoirao (2016)'!$A$3,"MA_HT","LUN","MA_QH","NTS")</f>
        <v>0</v>
      </c>
      <c r="P10" s="50">
        <f ca="1">+GETPIVOTDATA("XSR4",'suoirao (2016)'!$A$3,"MA_HT","LUN","MA_QH","LMU")</f>
        <v>0</v>
      </c>
      <c r="Q10" s="50">
        <f ca="1">+GETPIVOTDATA("XSR4",'suoirao (2016)'!$A$3,"MA_HT","LUN","MA_QH","NKH")</f>
        <v>0</v>
      </c>
      <c r="R10" s="48">
        <f ca="1" t="shared" si="2"/>
        <v>0</v>
      </c>
      <c r="S10" s="50">
        <f ca="1">+GETPIVOTDATA("XSR4",'suoirao (2016)'!$A$3,"MA_HT","LUN","MA_QH","CQP")</f>
        <v>0</v>
      </c>
      <c r="T10" s="50">
        <f ca="1">+GETPIVOTDATA("XSR4",'suoirao (2016)'!$A$3,"MA_HT","LUN","MA_QH","CAN")</f>
        <v>0</v>
      </c>
      <c r="U10" s="50">
        <f ca="1">+GETPIVOTDATA("XSR4",'suoirao (2016)'!$A$3,"MA_HT","LUN","MA_QH","SKK")</f>
        <v>0</v>
      </c>
      <c r="V10" s="50">
        <f ca="1">+GETPIVOTDATA("XSR4",'suoirao (2016)'!$A$3,"MA_HT","LUN","MA_QH","SKT")</f>
        <v>0</v>
      </c>
      <c r="W10" s="50">
        <f ca="1">+GETPIVOTDATA("XSR4",'suoirao (2016)'!$A$3,"MA_HT","LUN","MA_QH","SKN")</f>
        <v>0</v>
      </c>
      <c r="X10" s="50">
        <f ca="1">+GETPIVOTDATA("XSR4",'suoirao (2016)'!$A$3,"MA_HT","LUN","MA_QH","TMD")</f>
        <v>0</v>
      </c>
      <c r="Y10" s="50">
        <f ca="1">+GETPIVOTDATA("XSR4",'suoirao (2016)'!$A$3,"MA_HT","LUN","MA_QH","SKC")</f>
        <v>0</v>
      </c>
      <c r="Z10" s="50">
        <f ca="1">+GETPIVOTDATA("XSR4",'suoirao (2016)'!$A$3,"MA_HT","LUN","MA_QH","SKS")</f>
        <v>0</v>
      </c>
      <c r="AA10" s="52">
        <f ca="1" t="shared" si="4"/>
        <v>0</v>
      </c>
      <c r="AB10" s="50">
        <f ca="1">+GETPIVOTDATA("XSR4",'suoirao (2016)'!$A$3,"MA_HT","LUN","MA_QH","DGT")</f>
        <v>0</v>
      </c>
      <c r="AC10" s="50">
        <f ca="1">+GETPIVOTDATA("XSR4",'suoirao (2016)'!$A$3,"MA_HT","LUN","MA_QH","DTL")</f>
        <v>0</v>
      </c>
      <c r="AD10" s="50">
        <f ca="1">+GETPIVOTDATA("XSR4",'suoirao (2016)'!$A$3,"MA_HT","LUN","MA_QH","DNL")</f>
        <v>0</v>
      </c>
      <c r="AE10" s="50">
        <f ca="1">+GETPIVOTDATA("XSR4",'suoirao (2016)'!$A$3,"MA_HT","LUN","MA_QH","DBV")</f>
        <v>0</v>
      </c>
      <c r="AF10" s="50">
        <f ca="1">+GETPIVOTDATA("XSR4",'suoirao (2016)'!$A$3,"MA_HT","LUN","MA_QH","DVH")</f>
        <v>0</v>
      </c>
      <c r="AG10" s="50">
        <f ca="1">+GETPIVOTDATA("XSR4",'suoirao (2016)'!$A$3,"MA_HT","LUN","MA_QH","DYT")</f>
        <v>0</v>
      </c>
      <c r="AH10" s="50">
        <f ca="1">+GETPIVOTDATA("XSR4",'suoirao (2016)'!$A$3,"MA_HT","LUN","MA_QH","DGD")</f>
        <v>0</v>
      </c>
      <c r="AI10" s="50">
        <f ca="1">+GETPIVOTDATA("XSR4",'suoirao (2016)'!$A$3,"MA_HT","LUN","MA_QH","DTT")</f>
        <v>0</v>
      </c>
      <c r="AJ10" s="50">
        <f ca="1">+GETPIVOTDATA("XSR4",'suoirao (2016)'!$A$3,"MA_HT","LUN","MA_QH","NCK")</f>
        <v>0</v>
      </c>
      <c r="AK10" s="50">
        <f ca="1">+GETPIVOTDATA("XSR4",'suoirao (2016)'!$A$3,"MA_HT","LUN","MA_QH","DXH")</f>
        <v>0</v>
      </c>
      <c r="AL10" s="50">
        <f ca="1">+GETPIVOTDATA("XSR4",'suoirao (2016)'!$A$3,"MA_HT","LUN","MA_QH","DCH")</f>
        <v>0</v>
      </c>
      <c r="AM10" s="50">
        <f ca="1">+GETPIVOTDATA("XSR4",'suoirao (2016)'!$A$3,"MA_HT","LUN","MA_QH","DKG")</f>
        <v>0</v>
      </c>
      <c r="AN10" s="50">
        <f ca="1">+GETPIVOTDATA("XSR4",'suoirao (2016)'!$A$3,"MA_HT","LUN","MA_QH","DDT")</f>
        <v>0</v>
      </c>
      <c r="AO10" s="50">
        <f ca="1">+GETPIVOTDATA("XSR4",'suoirao (2016)'!$A$3,"MA_HT","LUN","MA_QH","DDL")</f>
        <v>0</v>
      </c>
      <c r="AP10" s="50">
        <f ca="1">+GETPIVOTDATA("XSR4",'suoirao (2016)'!$A$3,"MA_HT","LUN","MA_QH","DRA")</f>
        <v>0</v>
      </c>
      <c r="AQ10" s="50">
        <f ca="1">+GETPIVOTDATA("XSR4",'suoirao (2016)'!$A$3,"MA_HT","LUN","MA_QH","ONT")</f>
        <v>0</v>
      </c>
      <c r="AR10" s="50">
        <f ca="1">+GETPIVOTDATA("XSR4",'suoirao (2016)'!$A$3,"MA_HT","LUN","MA_QH","ODT")</f>
        <v>0</v>
      </c>
      <c r="AS10" s="50">
        <f ca="1">+GETPIVOTDATA("XSR4",'suoirao (2016)'!$A$3,"MA_HT","LUN","MA_QH","TSC")</f>
        <v>0</v>
      </c>
      <c r="AT10" s="50">
        <f ca="1">+GETPIVOTDATA("XSR4",'suoirao (2016)'!$A$3,"MA_HT","LUN","MA_QH","DTS")</f>
        <v>0</v>
      </c>
      <c r="AU10" s="50">
        <f ca="1">+GETPIVOTDATA("XSR4",'suoirao (2016)'!$A$3,"MA_HT","LUN","MA_QH","DNG")</f>
        <v>0</v>
      </c>
      <c r="AV10" s="50">
        <f ca="1">+GETPIVOTDATA("XSR4",'suoirao (2016)'!$A$3,"MA_HT","LUN","MA_QH","TON")</f>
        <v>0</v>
      </c>
      <c r="AW10" s="50">
        <f ca="1">+GETPIVOTDATA("XSR4",'suoirao (2016)'!$A$3,"MA_HT","LUN","MA_QH","NTD")</f>
        <v>0</v>
      </c>
      <c r="AX10" s="50">
        <f ca="1">+GETPIVOTDATA("XSR4",'suoirao (2016)'!$A$3,"MA_HT","LUN","MA_QH","SKX")</f>
        <v>0</v>
      </c>
      <c r="AY10" s="50">
        <f ca="1">+GETPIVOTDATA("XSR4",'suoirao (2016)'!$A$3,"MA_HT","LUN","MA_QH","DSH")</f>
        <v>0</v>
      </c>
      <c r="AZ10" s="50">
        <f ca="1">+GETPIVOTDATA("XSR4",'suoirao (2016)'!$A$3,"MA_HT","LUN","MA_QH","DKV")</f>
        <v>0</v>
      </c>
      <c r="BA10" s="88">
        <f ca="1">+GETPIVOTDATA("XSR4",'suoirao (2016)'!$A$3,"MA_HT","LUN","MA_QH","TIN")</f>
        <v>0</v>
      </c>
      <c r="BB10" s="50">
        <f ca="1">+GETPIVOTDATA("XSR4",'suoirao (2016)'!$A$3,"MA_HT","LUN","MA_QH","SON")</f>
        <v>0</v>
      </c>
      <c r="BC10" s="50">
        <f ca="1">+GETPIVOTDATA("XSR4",'suoirao (2016)'!$A$3,"MA_HT","LUN","MA_QH","MNC")</f>
        <v>0</v>
      </c>
      <c r="BD10" s="50">
        <f ca="1">+GETPIVOTDATA("XSR4",'suoirao (2016)'!$A$3,"MA_HT","LUN","MA_QH","PNK")</f>
        <v>0</v>
      </c>
      <c r="BE10" s="80">
        <f ca="1">+GETPIVOTDATA("XSR4",'suoirao (2016)'!$A$3,"MA_HT","LUN","MA_QH","CSD")</f>
        <v>0</v>
      </c>
      <c r="BF10" s="103">
        <f ca="1" t="shared" si="7"/>
        <v>0</v>
      </c>
      <c r="BG10" s="104">
        <f ca="1">I$59-$BF10</f>
        <v>0</v>
      </c>
      <c r="BH10" s="47" t="e">
        <f ca="1" t="shared" si="8"/>
        <v>#REF!</v>
      </c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</row>
    <row r="11" s="2" customFormat="1" ht="15.75" customHeight="1" spans="1:79">
      <c r="A11" s="39" t="s">
        <v>40</v>
      </c>
      <c r="B11" s="39" t="s">
        <v>8344</v>
      </c>
      <c r="C11" s="40" t="s">
        <v>2492</v>
      </c>
      <c r="D11" s="47" t="e">
        <f>+#REF!</f>
        <v>#REF!</v>
      </c>
      <c r="E11" s="42">
        <f ca="1">SUM(K11:Q11,F11)</f>
        <v>0</v>
      </c>
      <c r="F11" s="52">
        <f ca="1">SUM(G11:I11)</f>
        <v>0</v>
      </c>
      <c r="G11" s="22">
        <f ca="1">+GETPIVOTDATA("XSR4",'suoirao (2016)'!$A$3,"MA_HT","HNK","MA_QH","LUC")</f>
        <v>0</v>
      </c>
      <c r="H11" s="22">
        <f ca="1">+GETPIVOTDATA("XSR4",'suoirao (2016)'!$A$3,"MA_HT","HNK","MA_QH","LUK")</f>
        <v>0</v>
      </c>
      <c r="I11" s="22">
        <f ca="1">+GETPIVOTDATA("XSR4",'suoirao (2016)'!$A$3,"MA_HT","HNK","MA_QH","LUN")</f>
        <v>0</v>
      </c>
      <c r="J11" s="43" t="e">
        <f ca="1">$D11-$BF11</f>
        <v>#REF!</v>
      </c>
      <c r="K11" s="22">
        <f ca="1">+GETPIVOTDATA("XSR4",'suoirao (2016)'!$A$3,"MA_HT","HNK","MA_QH","CLN")</f>
        <v>0</v>
      </c>
      <c r="L11" s="22">
        <f ca="1">+GETPIVOTDATA("XSR4",'suoirao (2016)'!$A$3,"MA_HT","HNK","MA_QH","RSX")</f>
        <v>0</v>
      </c>
      <c r="M11" s="22">
        <f ca="1">+GETPIVOTDATA("XSR4",'suoirao (2016)'!$A$3,"MA_HT","HNK","MA_QH","RPH")</f>
        <v>0</v>
      </c>
      <c r="N11" s="22">
        <f ca="1">+GETPIVOTDATA("XSR4",'suoirao (2016)'!$A$3,"MA_HT","HNK","MA_QH","RDD")</f>
        <v>0</v>
      </c>
      <c r="O11" s="22">
        <f ca="1">+GETPIVOTDATA("XSR4",'suoirao (2016)'!$A$3,"MA_HT","HNK","MA_QH","NTS")</f>
        <v>0</v>
      </c>
      <c r="P11" s="22">
        <f ca="1">+GETPIVOTDATA("XSR4",'suoirao (2016)'!$A$3,"MA_HT","HNK","MA_QH","LMU")</f>
        <v>0</v>
      </c>
      <c r="Q11" s="22">
        <f ca="1">+GETPIVOTDATA("XSR4",'suoirao (2016)'!$A$3,"MA_HT","HNK","MA_QH","NKH")</f>
        <v>0</v>
      </c>
      <c r="R11" s="42">
        <f ca="1" t="shared" si="2"/>
        <v>0</v>
      </c>
      <c r="S11" s="22">
        <f ca="1">+GETPIVOTDATA("XSR4",'suoirao (2016)'!$A$3,"MA_HT","HNK","MA_QH","CQP")</f>
        <v>0</v>
      </c>
      <c r="T11" s="22">
        <f ca="1">+GETPIVOTDATA("XSR4",'suoirao (2016)'!$A$3,"MA_HT","HNK","MA_QH","CAN")</f>
        <v>0</v>
      </c>
      <c r="U11" s="22">
        <f ca="1">+GETPIVOTDATA("XSR4",'suoirao (2016)'!$A$3,"MA_HT","HNK","MA_QH","SKK")</f>
        <v>0</v>
      </c>
      <c r="V11" s="22">
        <f ca="1">+GETPIVOTDATA("XSR4",'suoirao (2016)'!$A$3,"MA_HT","HNK","MA_QH","SKT")</f>
        <v>0</v>
      </c>
      <c r="W11" s="22">
        <f ca="1">+GETPIVOTDATA("XSR4",'suoirao (2016)'!$A$3,"MA_HT","HNK","MA_QH","SKN")</f>
        <v>0</v>
      </c>
      <c r="X11" s="22">
        <f ca="1">+GETPIVOTDATA("XSR4",'suoirao (2016)'!$A$3,"MA_HT","HNK","MA_QH","TMD")</f>
        <v>0</v>
      </c>
      <c r="Y11" s="22">
        <f ca="1">+GETPIVOTDATA("XSR4",'suoirao (2016)'!$A$3,"MA_HT","HNK","MA_QH","SKC")</f>
        <v>0</v>
      </c>
      <c r="Z11" s="22">
        <f ca="1">+GETPIVOTDATA("XSR4",'suoirao (2016)'!$A$3,"MA_HT","HNK","MA_QH","SKS")</f>
        <v>0</v>
      </c>
      <c r="AA11" s="52">
        <f ca="1" t="shared" si="4"/>
        <v>0</v>
      </c>
      <c r="AB11" s="22">
        <f ca="1">+GETPIVOTDATA("XSR4",'suoirao (2016)'!$A$3,"MA_HT","HNK","MA_QH","DGT")</f>
        <v>0</v>
      </c>
      <c r="AC11" s="22">
        <f ca="1">+GETPIVOTDATA("XSR4",'suoirao (2016)'!$A$3,"MA_HT","HNK","MA_QH","DTL")</f>
        <v>0</v>
      </c>
      <c r="AD11" s="22">
        <f ca="1">+GETPIVOTDATA("XSR4",'suoirao (2016)'!$A$3,"MA_HT","HNK","MA_QH","DNL")</f>
        <v>0</v>
      </c>
      <c r="AE11" s="22">
        <f ca="1">+GETPIVOTDATA("XSR4",'suoirao (2016)'!$A$3,"MA_HT","HNK","MA_QH","DBV")</f>
        <v>0</v>
      </c>
      <c r="AF11" s="22">
        <f ca="1">+GETPIVOTDATA("XSR4",'suoirao (2016)'!$A$3,"MA_HT","HNK","MA_QH","DVH")</f>
        <v>0</v>
      </c>
      <c r="AG11" s="22">
        <f ca="1">+GETPIVOTDATA("XSR4",'suoirao (2016)'!$A$3,"MA_HT","HNK","MA_QH","DYT")</f>
        <v>0</v>
      </c>
      <c r="AH11" s="22">
        <f ca="1">+GETPIVOTDATA("XSR4",'suoirao (2016)'!$A$3,"MA_HT","HNK","MA_QH","DGD")</f>
        <v>0</v>
      </c>
      <c r="AI11" s="22">
        <f ca="1">+GETPIVOTDATA("XSR4",'suoirao (2016)'!$A$3,"MA_HT","HNK","MA_QH","DTT")</f>
        <v>0</v>
      </c>
      <c r="AJ11" s="22">
        <f ca="1">+GETPIVOTDATA("XSR4",'suoirao (2016)'!$A$3,"MA_HT","HNK","MA_QH","NCK")</f>
        <v>0</v>
      </c>
      <c r="AK11" s="22">
        <f ca="1">+GETPIVOTDATA("XSR4",'suoirao (2016)'!$A$3,"MA_HT","HNK","MA_QH","DXH")</f>
        <v>0</v>
      </c>
      <c r="AL11" s="22">
        <f ca="1">+GETPIVOTDATA("XSR4",'suoirao (2016)'!$A$3,"MA_HT","HNK","MA_QH","DCH")</f>
        <v>0</v>
      </c>
      <c r="AM11" s="22">
        <f ca="1">+GETPIVOTDATA("XSR4",'suoirao (2016)'!$A$3,"MA_HT","HNK","MA_QH","DKG")</f>
        <v>0</v>
      </c>
      <c r="AN11" s="22">
        <f ca="1">+GETPIVOTDATA("XSR4",'suoirao (2016)'!$A$3,"MA_HT","HNK","MA_QH","DDT")</f>
        <v>0</v>
      </c>
      <c r="AO11" s="22">
        <f ca="1">+GETPIVOTDATA("XSR4",'suoirao (2016)'!$A$3,"MA_HT","HNK","MA_QH","DDL")</f>
        <v>0</v>
      </c>
      <c r="AP11" s="22">
        <f ca="1">+GETPIVOTDATA("XSR4",'suoirao (2016)'!$A$3,"MA_HT","HNK","MA_QH","DRA")</f>
        <v>0</v>
      </c>
      <c r="AQ11" s="22">
        <f ca="1">+GETPIVOTDATA("XSR4",'suoirao (2016)'!$A$3,"MA_HT","HNK","MA_QH","ONT")</f>
        <v>0</v>
      </c>
      <c r="AR11" s="22">
        <f ca="1">+GETPIVOTDATA("XSR4",'suoirao (2016)'!$A$3,"MA_HT","HNK","MA_QH","ODT")</f>
        <v>0</v>
      </c>
      <c r="AS11" s="22">
        <f ca="1">+GETPIVOTDATA("XSR4",'suoirao (2016)'!$A$3,"MA_HT","HNK","MA_QH","TSC")</f>
        <v>0</v>
      </c>
      <c r="AT11" s="22">
        <f ca="1">+GETPIVOTDATA("XSR4",'suoirao (2016)'!$A$3,"MA_HT","HNK","MA_QH","DTS")</f>
        <v>0</v>
      </c>
      <c r="AU11" s="22">
        <f ca="1">+GETPIVOTDATA("XSR4",'suoirao (2016)'!$A$3,"MA_HT","HNK","MA_QH","DNG")</f>
        <v>0</v>
      </c>
      <c r="AV11" s="22">
        <f ca="1">+GETPIVOTDATA("XSR4",'suoirao (2016)'!$A$3,"MA_HT","HNK","MA_QH","TON")</f>
        <v>0</v>
      </c>
      <c r="AW11" s="22">
        <f ca="1">+GETPIVOTDATA("XSR4",'suoirao (2016)'!$A$3,"MA_HT","HNK","MA_QH","NTD")</f>
        <v>0</v>
      </c>
      <c r="AX11" s="22">
        <f ca="1">+GETPIVOTDATA("XSR4",'suoirao (2016)'!$A$3,"MA_HT","HNK","MA_QH","SKX")</f>
        <v>0</v>
      </c>
      <c r="AY11" s="22">
        <f ca="1">+GETPIVOTDATA("XSR4",'suoirao (2016)'!$A$3,"MA_HT","HNK","MA_QH","DSH")</f>
        <v>0</v>
      </c>
      <c r="AZ11" s="22">
        <f ca="1">+GETPIVOTDATA("XSR4",'suoirao (2016)'!$A$3,"MA_HT","HNK","MA_QH","DKV")</f>
        <v>0</v>
      </c>
      <c r="BA11" s="89">
        <f ca="1">+GETPIVOTDATA("XSR4",'suoirao (2016)'!$A$3,"MA_HT","HNK","MA_QH","TIN")</f>
        <v>0</v>
      </c>
      <c r="BB11" s="50">
        <f ca="1">+GETPIVOTDATA("XSR4",'suoirao (2016)'!$A$3,"MA_HT","HNK","MA_QH","SON")</f>
        <v>0</v>
      </c>
      <c r="BC11" s="50">
        <f ca="1">+GETPIVOTDATA("XSR4",'suoirao (2016)'!$A$3,"MA_HT","HNK","MA_QH","MNC")</f>
        <v>0</v>
      </c>
      <c r="BD11" s="22">
        <f ca="1">+GETPIVOTDATA("XSR4",'suoirao (2016)'!$A$3,"MA_HT","HNK","MA_QH","PNK")</f>
        <v>0</v>
      </c>
      <c r="BE11" s="71">
        <f ca="1">+GETPIVOTDATA("XSR4",'suoirao (2016)'!$A$3,"MA_HT","HNK","MA_QH","CSD")</f>
        <v>0</v>
      </c>
      <c r="BF11" s="74">
        <f ca="1" t="shared" si="7"/>
        <v>0</v>
      </c>
      <c r="BG11" s="101">
        <f ca="1">J$59-$BF11</f>
        <v>0</v>
      </c>
      <c r="BH11" s="41" t="e">
        <f ca="1" t="shared" si="8"/>
        <v>#REF!</v>
      </c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</row>
    <row r="12" s="2" customFormat="1" ht="15.75" customHeight="1" spans="1:79">
      <c r="A12" s="39" t="s">
        <v>8345</v>
      </c>
      <c r="B12" s="39" t="s">
        <v>8346</v>
      </c>
      <c r="C12" s="40" t="s">
        <v>30</v>
      </c>
      <c r="D12" s="47" t="e">
        <f>+#REF!</f>
        <v>#REF!</v>
      </c>
      <c r="E12" s="42">
        <f ca="1">SUM(L12:Q12,F12,J12)</f>
        <v>0</v>
      </c>
      <c r="F12" s="52">
        <f ca="1" t="shared" ref="F12:F58" si="9">SUM(G12:I12)</f>
        <v>0</v>
      </c>
      <c r="G12" s="22">
        <f ca="1">+GETPIVOTDATA("XSR4",'suoirao (2016)'!$A$3,"MA_HT","CLN","MA_QH","LUC")</f>
        <v>0</v>
      </c>
      <c r="H12" s="22">
        <f ca="1">+GETPIVOTDATA("XSR4",'suoirao (2016)'!$A$3,"MA_HT","CLN","MA_QH","LUK")</f>
        <v>0</v>
      </c>
      <c r="I12" s="22">
        <f ca="1">+GETPIVOTDATA("XSR4",'suoirao (2016)'!$A$3,"MA_HT","CLN","MA_QH","LUN")</f>
        <v>0</v>
      </c>
      <c r="J12" s="22">
        <f ca="1">+GETPIVOTDATA("XSR4",'suoirao (2016)'!$A$3,"MA_HT","CLN","MA_QH","HNK")</f>
        <v>0</v>
      </c>
      <c r="K12" s="43" t="e">
        <f ca="1">$D12-$BF12</f>
        <v>#REF!</v>
      </c>
      <c r="L12" s="22">
        <f ca="1">+GETPIVOTDATA("XSR4",'suoirao (2016)'!$A$3,"MA_HT","CLN","MA_QH","RSX")</f>
        <v>0</v>
      </c>
      <c r="M12" s="22">
        <f ca="1">+GETPIVOTDATA("XSR4",'suoirao (2016)'!$A$3,"MA_HT","CLN","MA_QH","RPH")</f>
        <v>0</v>
      </c>
      <c r="N12" s="22">
        <f ca="1">+GETPIVOTDATA("XSR4",'suoirao (2016)'!$A$3,"MA_HT","CLN","MA_QH","RDD")</f>
        <v>0</v>
      </c>
      <c r="O12" s="22">
        <f ca="1">+GETPIVOTDATA("XSR4",'suoirao (2016)'!$A$3,"MA_HT","CLN","MA_QH","NTS")</f>
        <v>0</v>
      </c>
      <c r="P12" s="22">
        <f ca="1">+GETPIVOTDATA("XSR4",'suoirao (2016)'!$A$3,"MA_HT","CLN","MA_QH","LMU")</f>
        <v>0</v>
      </c>
      <c r="Q12" s="22">
        <f ca="1">+GETPIVOTDATA("XSR4",'suoirao (2016)'!$A$3,"MA_HT","CLN","MA_QH","NKH")</f>
        <v>0</v>
      </c>
      <c r="R12" s="42">
        <f ca="1" t="shared" si="2"/>
        <v>0</v>
      </c>
      <c r="S12" s="22">
        <f ca="1">+GETPIVOTDATA("XSR4",'suoirao (2016)'!$A$3,"MA_HT","CLN","MA_QH","CQP")</f>
        <v>0</v>
      </c>
      <c r="T12" s="22">
        <f ca="1">+GETPIVOTDATA("XSR4",'suoirao (2016)'!$A$3,"MA_HT","CLN","MA_QH","CAN")</f>
        <v>0</v>
      </c>
      <c r="U12" s="22">
        <f ca="1">+GETPIVOTDATA("XSR4",'suoirao (2016)'!$A$3,"MA_HT","CLN","MA_QH","SKK")</f>
        <v>0</v>
      </c>
      <c r="V12" s="22">
        <f ca="1">+GETPIVOTDATA("XSR4",'suoirao (2016)'!$A$3,"MA_HT","CLN","MA_QH","SKT")</f>
        <v>0</v>
      </c>
      <c r="W12" s="22">
        <f ca="1">+GETPIVOTDATA("XSR4",'suoirao (2016)'!$A$3,"MA_HT","CLN","MA_QH","SKN")</f>
        <v>0</v>
      </c>
      <c r="X12" s="22">
        <f ca="1">+GETPIVOTDATA("XSR4",'suoirao (2016)'!$A$3,"MA_HT","CLN","MA_QH","TMD")</f>
        <v>0</v>
      </c>
      <c r="Y12" s="22">
        <f ca="1">+GETPIVOTDATA("XSR4",'suoirao (2016)'!$A$3,"MA_HT","CLN","MA_QH","SKC")</f>
        <v>0</v>
      </c>
      <c r="Z12" s="22">
        <f ca="1">+GETPIVOTDATA("XSR4",'suoirao (2016)'!$A$3,"MA_HT","CLN","MA_QH","SKS")</f>
        <v>0</v>
      </c>
      <c r="AA12" s="52">
        <f ca="1" t="shared" si="4"/>
        <v>0</v>
      </c>
      <c r="AB12" s="22">
        <f ca="1">+GETPIVOTDATA("XSR4",'suoirao (2016)'!$A$3,"MA_HT","CLN","MA_QH","DGT")</f>
        <v>0</v>
      </c>
      <c r="AC12" s="22">
        <f ca="1">+GETPIVOTDATA("XSR4",'suoirao (2016)'!$A$3,"MA_HT","CLN","MA_QH","DTL")</f>
        <v>0</v>
      </c>
      <c r="AD12" s="22">
        <f ca="1">+GETPIVOTDATA("XSR4",'suoirao (2016)'!$A$3,"MA_HT","CLN","MA_QH","DNL")</f>
        <v>0</v>
      </c>
      <c r="AE12" s="22">
        <f ca="1">+GETPIVOTDATA("XSR4",'suoirao (2016)'!$A$3,"MA_HT","CLN","MA_QH","DBV")</f>
        <v>0</v>
      </c>
      <c r="AF12" s="22">
        <f ca="1">+GETPIVOTDATA("XSR4",'suoirao (2016)'!$A$3,"MA_HT","CLN","MA_QH","DVH")</f>
        <v>0</v>
      </c>
      <c r="AG12" s="22">
        <f ca="1">+GETPIVOTDATA("XSR4",'suoirao (2016)'!$A$3,"MA_HT","CLN","MA_QH","DYT")</f>
        <v>0</v>
      </c>
      <c r="AH12" s="22">
        <f ca="1">+GETPIVOTDATA("XSR4",'suoirao (2016)'!$A$3,"MA_HT","CLN","MA_QH","DGD")</f>
        <v>0</v>
      </c>
      <c r="AI12" s="22">
        <f ca="1">+GETPIVOTDATA("XSR4",'suoirao (2016)'!$A$3,"MA_HT","CLN","MA_QH","DTT")</f>
        <v>0</v>
      </c>
      <c r="AJ12" s="22">
        <f ca="1">+GETPIVOTDATA("XSR4",'suoirao (2016)'!$A$3,"MA_HT","CLN","MA_QH","NCK")</f>
        <v>0</v>
      </c>
      <c r="AK12" s="22">
        <f ca="1">+GETPIVOTDATA("XSR4",'suoirao (2016)'!$A$3,"MA_HT","CLN","MA_QH","DXH")</f>
        <v>0</v>
      </c>
      <c r="AL12" s="22">
        <f ca="1">+GETPIVOTDATA("XSR4",'suoirao (2016)'!$A$3,"MA_HT","CLN","MA_QH","DCH")</f>
        <v>0</v>
      </c>
      <c r="AM12" s="22">
        <f ca="1">+GETPIVOTDATA("XSR4",'suoirao (2016)'!$A$3,"MA_HT","CLN","MA_QH","DKG")</f>
        <v>0</v>
      </c>
      <c r="AN12" s="22">
        <f ca="1">+GETPIVOTDATA("XSR4",'suoirao (2016)'!$A$3,"MA_HT","CLN","MA_QH","DDT")</f>
        <v>0</v>
      </c>
      <c r="AO12" s="22">
        <f ca="1">+GETPIVOTDATA("XSR4",'suoirao (2016)'!$A$3,"MA_HT","CLN","MA_QH","DDL")</f>
        <v>0</v>
      </c>
      <c r="AP12" s="22">
        <f ca="1">+GETPIVOTDATA("XSR4",'suoirao (2016)'!$A$3,"MA_HT","CLN","MA_QH","DRA")</f>
        <v>0</v>
      </c>
      <c r="AQ12" s="22">
        <f ca="1">+GETPIVOTDATA("XSR4",'suoirao (2016)'!$A$3,"MA_HT","CLN","MA_QH","ONT")</f>
        <v>0</v>
      </c>
      <c r="AR12" s="22">
        <f ca="1">+GETPIVOTDATA("XSR4",'suoirao (2016)'!$A$3,"MA_HT","CLN","MA_QH","ODT")</f>
        <v>0</v>
      </c>
      <c r="AS12" s="22">
        <f ca="1">+GETPIVOTDATA("XSR4",'suoirao (2016)'!$A$3,"MA_HT","CLN","MA_QH","TSC")</f>
        <v>0</v>
      </c>
      <c r="AT12" s="22">
        <f ca="1">+GETPIVOTDATA("XSR4",'suoirao (2016)'!$A$3,"MA_HT","CLN","MA_QH","DTS")</f>
        <v>0</v>
      </c>
      <c r="AU12" s="22">
        <f ca="1">+GETPIVOTDATA("XSR4",'suoirao (2016)'!$A$3,"MA_HT","CLN","MA_QH","DNG")</f>
        <v>0</v>
      </c>
      <c r="AV12" s="22">
        <f ca="1">+GETPIVOTDATA("XSR4",'suoirao (2016)'!$A$3,"MA_HT","CLN","MA_QH","TON")</f>
        <v>0</v>
      </c>
      <c r="AW12" s="22">
        <f ca="1">+GETPIVOTDATA("XSR4",'suoirao (2016)'!$A$3,"MA_HT","CLN","MA_QH","NTD")</f>
        <v>0</v>
      </c>
      <c r="AX12" s="22">
        <f ca="1">+GETPIVOTDATA("XSR4",'suoirao (2016)'!$A$3,"MA_HT","CLN","MA_QH","SKX")</f>
        <v>0</v>
      </c>
      <c r="AY12" s="22">
        <f ca="1">+GETPIVOTDATA("XSR4",'suoirao (2016)'!$A$3,"MA_HT","CLN","MA_QH","DSH")</f>
        <v>0</v>
      </c>
      <c r="AZ12" s="22">
        <f ca="1">+GETPIVOTDATA("XSR4",'suoirao (2016)'!$A$3,"MA_HT","CLN","MA_QH","DKV")</f>
        <v>0</v>
      </c>
      <c r="BA12" s="89">
        <f ca="1">+GETPIVOTDATA("XSR4",'suoirao (2016)'!$A$3,"MA_HT","CLN","MA_QH","TIN")</f>
        <v>0</v>
      </c>
      <c r="BB12" s="50">
        <f ca="1">+GETPIVOTDATA("XSR4",'suoirao (2016)'!$A$3,"MA_HT","CLN","MA_QH","SON")</f>
        <v>0</v>
      </c>
      <c r="BC12" s="50">
        <f ca="1">+GETPIVOTDATA("XSR4",'suoirao (2016)'!$A$3,"MA_HT","CLN","MA_QH","MNC")</f>
        <v>0</v>
      </c>
      <c r="BD12" s="22">
        <f ca="1">+GETPIVOTDATA("XSR4",'suoirao (2016)'!$A$3,"MA_HT","CLN","MA_QH","PNK")</f>
        <v>0</v>
      </c>
      <c r="BE12" s="71">
        <f ca="1">+GETPIVOTDATA("XSR4",'suoirao (2016)'!$A$3,"MA_HT","CLN","MA_QH","CSD")</f>
        <v>0</v>
      </c>
      <c r="BF12" s="74">
        <f ca="1" t="shared" si="7"/>
        <v>0</v>
      </c>
      <c r="BG12" s="101">
        <f ca="1">K$59-$BF12</f>
        <v>0</v>
      </c>
      <c r="BH12" s="41" t="e">
        <f ca="1" t="shared" si="8"/>
        <v>#REF!</v>
      </c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</row>
    <row r="13" s="2" customFormat="1" ht="15.75" customHeight="1" spans="1:79">
      <c r="A13" s="39" t="s">
        <v>8347</v>
      </c>
      <c r="B13" s="39" t="s">
        <v>8348</v>
      </c>
      <c r="C13" s="40" t="s">
        <v>8307</v>
      </c>
      <c r="D13" s="47" t="e">
        <f>+#REF!</f>
        <v>#REF!</v>
      </c>
      <c r="E13" s="42">
        <f ca="1">SUM(F13,J13:K13,M13:Q13)</f>
        <v>0</v>
      </c>
      <c r="F13" s="52">
        <f ca="1" t="shared" si="9"/>
        <v>0</v>
      </c>
      <c r="G13" s="22">
        <f ca="1">+GETPIVOTDATA("XSR4",'suoirao (2016)'!$A$3,"MA_HT","RSX","MA_QH","LUC")</f>
        <v>0</v>
      </c>
      <c r="H13" s="22">
        <f ca="1">+GETPIVOTDATA("XSR4",'suoirao (2016)'!$A$3,"MA_HT","RSX","MA_QH","LUK")</f>
        <v>0</v>
      </c>
      <c r="I13" s="22">
        <f ca="1">+GETPIVOTDATA("XSR4",'suoirao (2016)'!$A$3,"MA_HT","RSX","MA_QH","LUN")</f>
        <v>0</v>
      </c>
      <c r="J13" s="22">
        <f ca="1">+GETPIVOTDATA("XSR4",'suoirao (2016)'!$A$3,"MA_HT","RSX","MA_QH","HNK")</f>
        <v>0</v>
      </c>
      <c r="K13" s="22">
        <f ca="1">+GETPIVOTDATA("XSR4",'suoirao (2016)'!$A$3,"MA_HT","RSX","MA_QH","CLN")</f>
        <v>0</v>
      </c>
      <c r="L13" s="43" t="e">
        <f ca="1">$D13-$BF13</f>
        <v>#REF!</v>
      </c>
      <c r="M13" s="22">
        <f ca="1">+GETPIVOTDATA("XSR4",'suoirao (2016)'!$A$3,"MA_HT","RSX","MA_QH","RPH")</f>
        <v>0</v>
      </c>
      <c r="N13" s="22">
        <f ca="1">+GETPIVOTDATA("XSR4",'suoirao (2016)'!$A$3,"MA_HT","RSX","MA_QH","RDD")</f>
        <v>0</v>
      </c>
      <c r="O13" s="22">
        <f ca="1">+GETPIVOTDATA("XSR4",'suoirao (2016)'!$A$3,"MA_HT","RSX","MA_QH","NTS")</f>
        <v>0</v>
      </c>
      <c r="P13" s="22">
        <f ca="1">+GETPIVOTDATA("XSR4",'suoirao (2016)'!$A$3,"MA_HT","RSX","MA_QH","LMU")</f>
        <v>0</v>
      </c>
      <c r="Q13" s="22">
        <f ca="1">+GETPIVOTDATA("XSR4",'suoirao (2016)'!$A$3,"MA_HT","RSX","MA_QH","NKH")</f>
        <v>0</v>
      </c>
      <c r="R13" s="42">
        <f ca="1" t="shared" si="2"/>
        <v>0</v>
      </c>
      <c r="S13" s="22">
        <f ca="1">+GETPIVOTDATA("XSR4",'suoirao (2016)'!$A$3,"MA_HT","RSX","MA_QH","CQP")</f>
        <v>0</v>
      </c>
      <c r="T13" s="22">
        <f ca="1">+GETPIVOTDATA("XSR4",'suoirao (2016)'!$A$3,"MA_HT","RSX","MA_QH","CAN")</f>
        <v>0</v>
      </c>
      <c r="U13" s="22">
        <f ca="1">+GETPIVOTDATA("XSR4",'suoirao (2016)'!$A$3,"MA_HT","RSX","MA_QH","SKK")</f>
        <v>0</v>
      </c>
      <c r="V13" s="22">
        <f ca="1">+GETPIVOTDATA("XSR4",'suoirao (2016)'!$A$3,"MA_HT","RSX","MA_QH","SKT")</f>
        <v>0</v>
      </c>
      <c r="W13" s="22">
        <f ca="1">+GETPIVOTDATA("XSR4",'suoirao (2016)'!$A$3,"MA_HT","RSX","MA_QH","SKN")</f>
        <v>0</v>
      </c>
      <c r="X13" s="22">
        <f ca="1">+GETPIVOTDATA("XSR4",'suoirao (2016)'!$A$3,"MA_HT","RSX","MA_QH","TMD")</f>
        <v>0</v>
      </c>
      <c r="Y13" s="22">
        <f ca="1">+GETPIVOTDATA("XSR4",'suoirao (2016)'!$A$3,"MA_HT","RSX","MA_QH","SKC")</f>
        <v>0</v>
      </c>
      <c r="Z13" s="22">
        <f ca="1">+GETPIVOTDATA("XSR4",'suoirao (2016)'!$A$3,"MA_HT","RSX","MA_QH","SKS")</f>
        <v>0</v>
      </c>
      <c r="AA13" s="52">
        <f ca="1" t="shared" si="4"/>
        <v>0</v>
      </c>
      <c r="AB13" s="22">
        <f ca="1">+GETPIVOTDATA("XSR4",'suoirao (2016)'!$A$3,"MA_HT","RSX","MA_QH","DGT")</f>
        <v>0</v>
      </c>
      <c r="AC13" s="22">
        <f ca="1">+GETPIVOTDATA("XSR4",'suoirao (2016)'!$A$3,"MA_HT","RSX","MA_QH","DTL")</f>
        <v>0</v>
      </c>
      <c r="AD13" s="22">
        <f ca="1">+GETPIVOTDATA("XSR4",'suoirao (2016)'!$A$3,"MA_HT","RSX","MA_QH","DNL")</f>
        <v>0</v>
      </c>
      <c r="AE13" s="22">
        <f ca="1">+GETPIVOTDATA("XSR4",'suoirao (2016)'!$A$3,"MA_HT","RSX","MA_QH","DBV")</f>
        <v>0</v>
      </c>
      <c r="AF13" s="22">
        <f ca="1">+GETPIVOTDATA("XSR4",'suoirao (2016)'!$A$3,"MA_HT","RSX","MA_QH","DVH")</f>
        <v>0</v>
      </c>
      <c r="AG13" s="22">
        <f ca="1">+GETPIVOTDATA("XSR4",'suoirao (2016)'!$A$3,"MA_HT","RSX","MA_QH","DYT")</f>
        <v>0</v>
      </c>
      <c r="AH13" s="22">
        <f ca="1">+GETPIVOTDATA("XSR4",'suoirao (2016)'!$A$3,"MA_HT","RSX","MA_QH","DGD")</f>
        <v>0</v>
      </c>
      <c r="AI13" s="22">
        <f ca="1">+GETPIVOTDATA("XSR4",'suoirao (2016)'!$A$3,"MA_HT","RSX","MA_QH","DTT")</f>
        <v>0</v>
      </c>
      <c r="AJ13" s="22">
        <f ca="1">+GETPIVOTDATA("XSR4",'suoirao (2016)'!$A$3,"MA_HT","RSX","MA_QH","NCK")</f>
        <v>0</v>
      </c>
      <c r="AK13" s="22">
        <f ca="1">+GETPIVOTDATA("XSR4",'suoirao (2016)'!$A$3,"MA_HT","RSX","MA_QH","DXH")</f>
        <v>0</v>
      </c>
      <c r="AL13" s="22">
        <f ca="1">+GETPIVOTDATA("XSR4",'suoirao (2016)'!$A$3,"MA_HT","RSX","MA_QH","DCH")</f>
        <v>0</v>
      </c>
      <c r="AM13" s="22">
        <f ca="1">+GETPIVOTDATA("XSR4",'suoirao (2016)'!$A$3,"MA_HT","RSX","MA_QH","DKG")</f>
        <v>0</v>
      </c>
      <c r="AN13" s="22">
        <f ca="1">+GETPIVOTDATA("XSR4",'suoirao (2016)'!$A$3,"MA_HT","RSX","MA_QH","DDT")</f>
        <v>0</v>
      </c>
      <c r="AO13" s="22">
        <f ca="1">+GETPIVOTDATA("XSR4",'suoirao (2016)'!$A$3,"MA_HT","RSX","MA_QH","DDL")</f>
        <v>0</v>
      </c>
      <c r="AP13" s="22">
        <f ca="1">+GETPIVOTDATA("XSR4",'suoirao (2016)'!$A$3,"MA_HT","RSX","MA_QH","DRA")</f>
        <v>0</v>
      </c>
      <c r="AQ13" s="22">
        <f ca="1">+GETPIVOTDATA("XSR4",'suoirao (2016)'!$A$3,"MA_HT","RSX","MA_QH","ONT")</f>
        <v>0</v>
      </c>
      <c r="AR13" s="22">
        <f ca="1">+GETPIVOTDATA("XSR4",'suoirao (2016)'!$A$3,"MA_HT","RSX","MA_QH","ODT")</f>
        <v>0</v>
      </c>
      <c r="AS13" s="22">
        <f ca="1">+GETPIVOTDATA("XSR4",'suoirao (2016)'!$A$3,"MA_HT","RSX","MA_QH","TSC")</f>
        <v>0</v>
      </c>
      <c r="AT13" s="22">
        <f ca="1">+GETPIVOTDATA("XSR4",'suoirao (2016)'!$A$3,"MA_HT","RSX","MA_QH","DTS")</f>
        <v>0</v>
      </c>
      <c r="AU13" s="22">
        <f ca="1">+GETPIVOTDATA("XSR4",'suoirao (2016)'!$A$3,"MA_HT","RSX","MA_QH","DNG")</f>
        <v>0</v>
      </c>
      <c r="AV13" s="22">
        <f ca="1">+GETPIVOTDATA("XSR4",'suoirao (2016)'!$A$3,"MA_HT","RSX","MA_QH","TON")</f>
        <v>0</v>
      </c>
      <c r="AW13" s="22">
        <f ca="1">+GETPIVOTDATA("XSR4",'suoirao (2016)'!$A$3,"MA_HT","RSX","MA_QH","NTD")</f>
        <v>0</v>
      </c>
      <c r="AX13" s="22">
        <f ca="1">+GETPIVOTDATA("XSR4",'suoirao (2016)'!$A$3,"MA_HT","RSX","MA_QH","SKX")</f>
        <v>0</v>
      </c>
      <c r="AY13" s="22">
        <f ca="1">+GETPIVOTDATA("XSR4",'suoirao (2016)'!$A$3,"MA_HT","RSX","MA_QH","DSH")</f>
        <v>0</v>
      </c>
      <c r="AZ13" s="22">
        <f ca="1">+GETPIVOTDATA("XSR4",'suoirao (2016)'!$A$3,"MA_HT","RSX","MA_QH","DKV")</f>
        <v>0</v>
      </c>
      <c r="BA13" s="89">
        <f ca="1">+GETPIVOTDATA("XSR4",'suoirao (2016)'!$A$3,"MA_HT","RSX","MA_QH","TIN")</f>
        <v>0</v>
      </c>
      <c r="BB13" s="50">
        <f ca="1">+GETPIVOTDATA("XSR4",'suoirao (2016)'!$A$3,"MA_HT","RSX","MA_QH","SON")</f>
        <v>0</v>
      </c>
      <c r="BC13" s="50">
        <f ca="1">+GETPIVOTDATA("XSR4",'suoirao (2016)'!$A$3,"MA_HT","RSX","MA_QH","MNC")</f>
        <v>0</v>
      </c>
      <c r="BD13" s="22">
        <f ca="1">+GETPIVOTDATA("XSR4",'suoirao (2016)'!$A$3,"MA_HT","RSX","MA_QH","PNK")</f>
        <v>0</v>
      </c>
      <c r="BE13" s="71">
        <f ca="1">+GETPIVOTDATA("XSR4",'suoirao (2016)'!$A$3,"MA_HT","RSX","MA_QH","CSD")</f>
        <v>0</v>
      </c>
      <c r="BF13" s="74">
        <f ca="1" t="shared" si="7"/>
        <v>0</v>
      </c>
      <c r="BG13" s="101">
        <f ca="1">L$59-$BF13</f>
        <v>0</v>
      </c>
      <c r="BH13" s="41" t="e">
        <f ca="1" t="shared" si="8"/>
        <v>#REF!</v>
      </c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</row>
    <row r="14" s="2" customFormat="1" ht="15.75" customHeight="1" spans="1:79">
      <c r="A14" s="39" t="s">
        <v>8349</v>
      </c>
      <c r="B14" s="39" t="s">
        <v>8350</v>
      </c>
      <c r="C14" s="40" t="s">
        <v>8306</v>
      </c>
      <c r="D14" s="47" t="e">
        <f>+#REF!</f>
        <v>#REF!</v>
      </c>
      <c r="E14" s="42">
        <f ca="1">SUM(F14,J14:L14,N14:Q14)</f>
        <v>0</v>
      </c>
      <c r="F14" s="52">
        <f ca="1" t="shared" si="9"/>
        <v>0</v>
      </c>
      <c r="G14" s="22">
        <f ca="1">+GETPIVOTDATA("XSR4",'suoirao (2016)'!$A$3,"MA_HT","RPH","MA_QH","LUC")</f>
        <v>0</v>
      </c>
      <c r="H14" s="22">
        <f ca="1">+GETPIVOTDATA("XSR4",'suoirao (2016)'!$A$3,"MA_HT","RPH","MA_QH","LUK")</f>
        <v>0</v>
      </c>
      <c r="I14" s="22">
        <f ca="1">+GETPIVOTDATA("XSR4",'suoirao (2016)'!$A$3,"MA_HT","RPH","MA_QH","LUN")</f>
        <v>0</v>
      </c>
      <c r="J14" s="22">
        <f ca="1">+GETPIVOTDATA("XSR4",'suoirao (2016)'!$A$3,"MA_HT","RPH","MA_QH","HNK")</f>
        <v>0</v>
      </c>
      <c r="K14" s="22">
        <f ca="1">+GETPIVOTDATA("XSR4",'suoirao (2016)'!$A$3,"MA_HT","RPH","MA_QH","CLN")</f>
        <v>0</v>
      </c>
      <c r="L14" s="22">
        <f ca="1">+GETPIVOTDATA("XSR4",'suoirao (2016)'!$A$3,"MA_HT","RPH","MA_QH","RSX")</f>
        <v>0</v>
      </c>
      <c r="M14" s="43" t="e">
        <f ca="1">$D14-$BF14</f>
        <v>#REF!</v>
      </c>
      <c r="N14" s="22">
        <f ca="1">+GETPIVOTDATA("XSR4",'suoirao (2016)'!$A$3,"MA_HT","RPH","MA_QH","RDD")</f>
        <v>0</v>
      </c>
      <c r="O14" s="22">
        <f ca="1">+GETPIVOTDATA("XSR4",'suoirao (2016)'!$A$3,"MA_HT","RPH","MA_QH","NTS")</f>
        <v>0</v>
      </c>
      <c r="P14" s="22">
        <f ca="1">+GETPIVOTDATA("XSR4",'suoirao (2016)'!$A$3,"MA_HT","RPH","MA_QH","LMU")</f>
        <v>0</v>
      </c>
      <c r="Q14" s="22">
        <f ca="1">+GETPIVOTDATA("XSR4",'suoirao (2016)'!$A$3,"MA_HT","RPH","MA_QH","NKH")</f>
        <v>0</v>
      </c>
      <c r="R14" s="42">
        <f ca="1" t="shared" si="2"/>
        <v>0</v>
      </c>
      <c r="S14" s="22">
        <f ca="1">+GETPIVOTDATA("XSR4",'suoirao (2016)'!$A$3,"MA_HT","RPH","MA_QH","CQP")</f>
        <v>0</v>
      </c>
      <c r="T14" s="22">
        <f ca="1">+GETPIVOTDATA("XSR4",'suoirao (2016)'!$A$3,"MA_HT","RPH","MA_QH","CAN")</f>
        <v>0</v>
      </c>
      <c r="U14" s="22">
        <f ca="1">+GETPIVOTDATA("XSR4",'suoirao (2016)'!$A$3,"MA_HT","RPH","MA_QH","SKK")</f>
        <v>0</v>
      </c>
      <c r="V14" s="22">
        <f ca="1">+GETPIVOTDATA("XSR4",'suoirao (2016)'!$A$3,"MA_HT","RPH","MA_QH","SKT")</f>
        <v>0</v>
      </c>
      <c r="W14" s="22">
        <f ca="1">+GETPIVOTDATA("XSR4",'suoirao (2016)'!$A$3,"MA_HT","RPH","MA_QH","SKN")</f>
        <v>0</v>
      </c>
      <c r="X14" s="22">
        <f ca="1">+GETPIVOTDATA("XSR4",'suoirao (2016)'!$A$3,"MA_HT","RPH","MA_QH","TMD")</f>
        <v>0</v>
      </c>
      <c r="Y14" s="22">
        <f ca="1">+GETPIVOTDATA("XSR4",'suoirao (2016)'!$A$3,"MA_HT","RPH","MA_QH","SKC")</f>
        <v>0</v>
      </c>
      <c r="Z14" s="22">
        <f ca="1">+GETPIVOTDATA("XSR4",'suoirao (2016)'!$A$3,"MA_HT","RPH","MA_QH","SKS")</f>
        <v>0</v>
      </c>
      <c r="AA14" s="52">
        <f ca="1" t="shared" si="4"/>
        <v>0</v>
      </c>
      <c r="AB14" s="22">
        <f ca="1">+GETPIVOTDATA("XSR4",'suoirao (2016)'!$A$3,"MA_HT","RPH","MA_QH","DGT")</f>
        <v>0</v>
      </c>
      <c r="AC14" s="22">
        <f ca="1">+GETPIVOTDATA("XSR4",'suoirao (2016)'!$A$3,"MA_HT","RPH","MA_QH","DTL")</f>
        <v>0</v>
      </c>
      <c r="AD14" s="22">
        <f ca="1">+GETPIVOTDATA("XSR4",'suoirao (2016)'!$A$3,"MA_HT","RPH","MA_QH","DNL")</f>
        <v>0</v>
      </c>
      <c r="AE14" s="22">
        <f ca="1">+GETPIVOTDATA("XSR4",'suoirao (2016)'!$A$3,"MA_HT","RPH","MA_QH","DBV")</f>
        <v>0</v>
      </c>
      <c r="AF14" s="22">
        <f ca="1">+GETPIVOTDATA("XSR4",'suoirao (2016)'!$A$3,"MA_HT","RPH","MA_QH","DVH")</f>
        <v>0</v>
      </c>
      <c r="AG14" s="22">
        <f ca="1">+GETPIVOTDATA("XSR4",'suoirao (2016)'!$A$3,"MA_HT","RPH","MA_QH","DYT")</f>
        <v>0</v>
      </c>
      <c r="AH14" s="22">
        <f ca="1">+GETPIVOTDATA("XSR4",'suoirao (2016)'!$A$3,"MA_HT","RPH","MA_QH","DGD")</f>
        <v>0</v>
      </c>
      <c r="AI14" s="22">
        <f ca="1">+GETPIVOTDATA("XSR4",'suoirao (2016)'!$A$3,"MA_HT","RPH","MA_QH","DTT")</f>
        <v>0</v>
      </c>
      <c r="AJ14" s="22">
        <f ca="1">+GETPIVOTDATA("XSR4",'suoirao (2016)'!$A$3,"MA_HT","RPH","MA_QH","NCK")</f>
        <v>0</v>
      </c>
      <c r="AK14" s="22">
        <f ca="1">+GETPIVOTDATA("XSR4",'suoirao (2016)'!$A$3,"MA_HT","RPH","MA_QH","DXH")</f>
        <v>0</v>
      </c>
      <c r="AL14" s="22">
        <f ca="1">+GETPIVOTDATA("XSR4",'suoirao (2016)'!$A$3,"MA_HT","RPH","MA_QH","DCH")</f>
        <v>0</v>
      </c>
      <c r="AM14" s="22">
        <f ca="1">+GETPIVOTDATA("XSR4",'suoirao (2016)'!$A$3,"MA_HT","RPH","MA_QH","DKG")</f>
        <v>0</v>
      </c>
      <c r="AN14" s="22">
        <f ca="1">+GETPIVOTDATA("XSR4",'suoirao (2016)'!$A$3,"MA_HT","RPH","MA_QH","DDT")</f>
        <v>0</v>
      </c>
      <c r="AO14" s="22">
        <f ca="1">+GETPIVOTDATA("XSR4",'suoirao (2016)'!$A$3,"MA_HT","RPH","MA_QH","DDL")</f>
        <v>0</v>
      </c>
      <c r="AP14" s="22">
        <f ca="1">+GETPIVOTDATA("XSR4",'suoirao (2016)'!$A$3,"MA_HT","RPH","MA_QH","DRA")</f>
        <v>0</v>
      </c>
      <c r="AQ14" s="22">
        <f ca="1">+GETPIVOTDATA("XSR4",'suoirao (2016)'!$A$3,"MA_HT","RPH","MA_QH","ONT")</f>
        <v>0</v>
      </c>
      <c r="AR14" s="22">
        <f ca="1">+GETPIVOTDATA("XSR4",'suoirao (2016)'!$A$3,"MA_HT","RPH","MA_QH","ODT")</f>
        <v>0</v>
      </c>
      <c r="AS14" s="22">
        <f ca="1">+GETPIVOTDATA("XSR4",'suoirao (2016)'!$A$3,"MA_HT","RPH","MA_QH","TSC")</f>
        <v>0</v>
      </c>
      <c r="AT14" s="22">
        <f ca="1">+GETPIVOTDATA("XSR4",'suoirao (2016)'!$A$3,"MA_HT","RPH","MA_QH","DTS")</f>
        <v>0</v>
      </c>
      <c r="AU14" s="22">
        <f ca="1">+GETPIVOTDATA("XSR4",'suoirao (2016)'!$A$3,"MA_HT","RPH","MA_QH","DNG")</f>
        <v>0</v>
      </c>
      <c r="AV14" s="22">
        <f ca="1">+GETPIVOTDATA("XSR4",'suoirao (2016)'!$A$3,"MA_HT","RPH","MA_QH","TON")</f>
        <v>0</v>
      </c>
      <c r="AW14" s="22">
        <f ca="1">+GETPIVOTDATA("XSR4",'suoirao (2016)'!$A$3,"MA_HT","RPH","MA_QH","NTD")</f>
        <v>0</v>
      </c>
      <c r="AX14" s="22">
        <f ca="1">+GETPIVOTDATA("XSR4",'suoirao (2016)'!$A$3,"MA_HT","RPH","MA_QH","SKX")</f>
        <v>0</v>
      </c>
      <c r="AY14" s="22">
        <f ca="1">+GETPIVOTDATA("XSR4",'suoirao (2016)'!$A$3,"MA_HT","RPH","MA_QH","DSH")</f>
        <v>0</v>
      </c>
      <c r="AZ14" s="22">
        <f ca="1">+GETPIVOTDATA("XSR4",'suoirao (2016)'!$A$3,"MA_HT","RPH","MA_QH","DKV")</f>
        <v>0</v>
      </c>
      <c r="BA14" s="89">
        <f ca="1">+GETPIVOTDATA("XSR4",'suoirao (2016)'!$A$3,"MA_HT","RPH","MA_QH","TIN")</f>
        <v>0</v>
      </c>
      <c r="BB14" s="50">
        <f ca="1">+GETPIVOTDATA("XSR4",'suoirao (2016)'!$A$3,"MA_HT","RPH","MA_QH","SON")</f>
        <v>0</v>
      </c>
      <c r="BC14" s="50">
        <f ca="1">+GETPIVOTDATA("XSR4",'suoirao (2016)'!$A$3,"MA_HT","RPH","MA_QH","MNC")</f>
        <v>0</v>
      </c>
      <c r="BD14" s="22">
        <f ca="1">+GETPIVOTDATA("XSR4",'suoirao (2016)'!$A$3,"MA_HT","RPH","MA_QH","PNK")</f>
        <v>0</v>
      </c>
      <c r="BE14" s="71">
        <f ca="1">+GETPIVOTDATA("XSR4",'suoirao (2016)'!$A$3,"MA_HT","RPH","MA_QH","CSD")</f>
        <v>0</v>
      </c>
      <c r="BF14" s="74">
        <f ca="1" t="shared" si="7"/>
        <v>0</v>
      </c>
      <c r="BG14" s="101">
        <f ca="1">M$59-$BF14</f>
        <v>0</v>
      </c>
      <c r="BH14" s="41" t="e">
        <f ca="1" t="shared" si="8"/>
        <v>#REF!</v>
      </c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</row>
    <row r="15" s="2" customFormat="1" ht="15.75" customHeight="1" spans="1:79">
      <c r="A15" s="39" t="s">
        <v>8351</v>
      </c>
      <c r="B15" s="39" t="s">
        <v>8352</v>
      </c>
      <c r="C15" s="40" t="s">
        <v>8305</v>
      </c>
      <c r="D15" s="47" t="e">
        <f>+#REF!</f>
        <v>#REF!</v>
      </c>
      <c r="E15" s="42">
        <f ca="1">SUM(F15,J15:M15,O15:Q15)</f>
        <v>0</v>
      </c>
      <c r="F15" s="52">
        <f ca="1" t="shared" si="9"/>
        <v>0</v>
      </c>
      <c r="G15" s="22">
        <f ca="1">+GETPIVOTDATA("XSR4",'suoirao (2016)'!$A$3,"MA_HT","RDD","MA_QH","LUC")</f>
        <v>0</v>
      </c>
      <c r="H15" s="22">
        <f ca="1">+GETPIVOTDATA("XSR4",'suoirao (2016)'!$A$3,"MA_HT","RDD","MA_QH","LUK")</f>
        <v>0</v>
      </c>
      <c r="I15" s="22">
        <f ca="1">+GETPIVOTDATA("XSR4",'suoirao (2016)'!$A$3,"MA_HT","RDD","MA_QH","LUN")</f>
        <v>0</v>
      </c>
      <c r="J15" s="22">
        <f ca="1">+GETPIVOTDATA("XSR4",'suoirao (2016)'!$A$3,"MA_HT","RDD","MA_QH","HNK")</f>
        <v>0</v>
      </c>
      <c r="K15" s="22">
        <f ca="1">+GETPIVOTDATA("XSR4",'suoirao (2016)'!$A$3,"MA_HT","RDD","MA_QH","CLN")</f>
        <v>0</v>
      </c>
      <c r="L15" s="22">
        <f ca="1">+GETPIVOTDATA("XSR4",'suoirao (2016)'!$A$3,"MA_HT","RDD","MA_QH","RSX")</f>
        <v>0</v>
      </c>
      <c r="M15" s="22">
        <f ca="1">+GETPIVOTDATA("XSR4",'suoirao (2016)'!$A$3,"MA_HT","RDD","MA_QH","RPH")</f>
        <v>0</v>
      </c>
      <c r="N15" s="43" t="e">
        <f ca="1">$D15-$BF15</f>
        <v>#REF!</v>
      </c>
      <c r="O15" s="22">
        <f ca="1">+GETPIVOTDATA("XSR4",'suoirao (2016)'!$A$3,"MA_HT","RDD","MA_QH","NTS")</f>
        <v>0</v>
      </c>
      <c r="P15" s="22">
        <f ca="1">+GETPIVOTDATA("XSR4",'suoirao (2016)'!$A$3,"MA_HT","RDD","MA_QH","LMU")</f>
        <v>0</v>
      </c>
      <c r="Q15" s="22">
        <f ca="1">+GETPIVOTDATA("XSR4",'suoirao (2016)'!$A$3,"MA_HT","RDD","MA_QH","NKH")</f>
        <v>0</v>
      </c>
      <c r="R15" s="42">
        <f ca="1" t="shared" si="2"/>
        <v>0</v>
      </c>
      <c r="S15" s="22">
        <f ca="1">+GETPIVOTDATA("XSR4",'suoirao (2016)'!$A$3,"MA_HT","RDD","MA_QH","CQP")</f>
        <v>0</v>
      </c>
      <c r="T15" s="22">
        <f ca="1">+GETPIVOTDATA("XSR4",'suoirao (2016)'!$A$3,"MA_HT","RDD","MA_QH","CAN")</f>
        <v>0</v>
      </c>
      <c r="U15" s="22">
        <f ca="1">+GETPIVOTDATA("XSR4",'suoirao (2016)'!$A$3,"MA_HT","RDD","MA_QH","SKK")</f>
        <v>0</v>
      </c>
      <c r="V15" s="22">
        <f ca="1">+GETPIVOTDATA("XSR4",'suoirao (2016)'!$A$3,"MA_HT","RDD","MA_QH","SKT")</f>
        <v>0</v>
      </c>
      <c r="W15" s="22">
        <f ca="1">+GETPIVOTDATA("XSR4",'suoirao (2016)'!$A$3,"MA_HT","RDD","MA_QH","SKN")</f>
        <v>0</v>
      </c>
      <c r="X15" s="22">
        <f ca="1">+GETPIVOTDATA("XSR4",'suoirao (2016)'!$A$3,"MA_HT","RDD","MA_QH","TMD")</f>
        <v>0</v>
      </c>
      <c r="Y15" s="22">
        <f ca="1">+GETPIVOTDATA("XSR4",'suoirao (2016)'!$A$3,"MA_HT","RDD","MA_QH","SKC")</f>
        <v>0</v>
      </c>
      <c r="Z15" s="22">
        <f ca="1">+GETPIVOTDATA("XSR4",'suoirao (2016)'!$A$3,"MA_HT","RDD","MA_QH","SKS")</f>
        <v>0</v>
      </c>
      <c r="AA15" s="52">
        <f ca="1" t="shared" si="4"/>
        <v>0</v>
      </c>
      <c r="AB15" s="22">
        <f ca="1">+GETPIVOTDATA("XSR4",'suoirao (2016)'!$A$3,"MA_HT","RDD","MA_QH","DGT")</f>
        <v>0</v>
      </c>
      <c r="AC15" s="22">
        <f ca="1">+GETPIVOTDATA("XSR4",'suoirao (2016)'!$A$3,"MA_HT","RDD","MA_QH","DTL")</f>
        <v>0</v>
      </c>
      <c r="AD15" s="22">
        <f ca="1">+GETPIVOTDATA("XSR4",'suoirao (2016)'!$A$3,"MA_HT","RDD","MA_QH","DNL")</f>
        <v>0</v>
      </c>
      <c r="AE15" s="22">
        <f ca="1">+GETPIVOTDATA("XSR4",'suoirao (2016)'!$A$3,"MA_HT","RDD","MA_QH","DBV")</f>
        <v>0</v>
      </c>
      <c r="AF15" s="22">
        <f ca="1">+GETPIVOTDATA("XSR4",'suoirao (2016)'!$A$3,"MA_HT","RDD","MA_QH","DVH")</f>
        <v>0</v>
      </c>
      <c r="AG15" s="22">
        <f ca="1">+GETPIVOTDATA("XSR4",'suoirao (2016)'!$A$3,"MA_HT","RDD","MA_QH","DYT")</f>
        <v>0</v>
      </c>
      <c r="AH15" s="22">
        <f ca="1">+GETPIVOTDATA("XSR4",'suoirao (2016)'!$A$3,"MA_HT","RDD","MA_QH","DGD")</f>
        <v>0</v>
      </c>
      <c r="AI15" s="22">
        <f ca="1">+GETPIVOTDATA("XSR4",'suoirao (2016)'!$A$3,"MA_HT","RDD","MA_QH","DTT")</f>
        <v>0</v>
      </c>
      <c r="AJ15" s="22">
        <f ca="1">+GETPIVOTDATA("XSR4",'suoirao (2016)'!$A$3,"MA_HT","RDD","MA_QH","NCK")</f>
        <v>0</v>
      </c>
      <c r="AK15" s="22">
        <f ca="1">+GETPIVOTDATA("XSR4",'suoirao (2016)'!$A$3,"MA_HT","RDD","MA_QH","DXH")</f>
        <v>0</v>
      </c>
      <c r="AL15" s="22">
        <f ca="1">+GETPIVOTDATA("XSR4",'suoirao (2016)'!$A$3,"MA_HT","RDD","MA_QH","DCH")</f>
        <v>0</v>
      </c>
      <c r="AM15" s="22">
        <f ca="1">+GETPIVOTDATA("XSR4",'suoirao (2016)'!$A$3,"MA_HT","RDD","MA_QH","DKG")</f>
        <v>0</v>
      </c>
      <c r="AN15" s="22">
        <f ca="1">+GETPIVOTDATA("XSR4",'suoirao (2016)'!$A$3,"MA_HT","RDD","MA_QH","DDT")</f>
        <v>0</v>
      </c>
      <c r="AO15" s="22">
        <f ca="1">+GETPIVOTDATA("XSR4",'suoirao (2016)'!$A$3,"MA_HT","RDD","MA_QH","DDL")</f>
        <v>0</v>
      </c>
      <c r="AP15" s="22">
        <f ca="1">+GETPIVOTDATA("XSR4",'suoirao (2016)'!$A$3,"MA_HT","RDD","MA_QH","DRA")</f>
        <v>0</v>
      </c>
      <c r="AQ15" s="22">
        <f ca="1">+GETPIVOTDATA("XSR4",'suoirao (2016)'!$A$3,"MA_HT","RDD","MA_QH","ONT")</f>
        <v>0</v>
      </c>
      <c r="AR15" s="22">
        <f ca="1">+GETPIVOTDATA("XSR4",'suoirao (2016)'!$A$3,"MA_HT","RDD","MA_QH","ODT")</f>
        <v>0</v>
      </c>
      <c r="AS15" s="22">
        <f ca="1">+GETPIVOTDATA("XSR4",'suoirao (2016)'!$A$3,"MA_HT","RDD","MA_QH","TSC")</f>
        <v>0</v>
      </c>
      <c r="AT15" s="22">
        <f ca="1">+GETPIVOTDATA("XSR4",'suoirao (2016)'!$A$3,"MA_HT","RDD","MA_QH","DTS")</f>
        <v>0</v>
      </c>
      <c r="AU15" s="22">
        <f ca="1">+GETPIVOTDATA("XSR4",'suoirao (2016)'!$A$3,"MA_HT","RDD","MA_QH","DNG")</f>
        <v>0</v>
      </c>
      <c r="AV15" s="22">
        <f ca="1">+GETPIVOTDATA("XSR4",'suoirao (2016)'!$A$3,"MA_HT","RDD","MA_QH","TON")</f>
        <v>0</v>
      </c>
      <c r="AW15" s="22">
        <f ca="1">+GETPIVOTDATA("XSR4",'suoirao (2016)'!$A$3,"MA_HT","RDD","MA_QH","NTD")</f>
        <v>0</v>
      </c>
      <c r="AX15" s="22">
        <f ca="1">+GETPIVOTDATA("XSR4",'suoirao (2016)'!$A$3,"MA_HT","RDD","MA_QH","SKX")</f>
        <v>0</v>
      </c>
      <c r="AY15" s="22">
        <f ca="1">+GETPIVOTDATA("XSR4",'suoirao (2016)'!$A$3,"MA_HT","RDD","MA_QH","DSH")</f>
        <v>0</v>
      </c>
      <c r="AZ15" s="22">
        <f ca="1">+GETPIVOTDATA("XSR4",'suoirao (2016)'!$A$3,"MA_HT","RDD","MA_QH","DKV")</f>
        <v>0</v>
      </c>
      <c r="BA15" s="89">
        <f ca="1">+GETPIVOTDATA("XSR4",'suoirao (2016)'!$A$3,"MA_HT","RDD","MA_QH","TIN")</f>
        <v>0</v>
      </c>
      <c r="BB15" s="50">
        <f ca="1">+GETPIVOTDATA("XSR4",'suoirao (2016)'!$A$3,"MA_HT","RDD","MA_QH","SON")</f>
        <v>0</v>
      </c>
      <c r="BC15" s="50">
        <f ca="1">+GETPIVOTDATA("XSR4",'suoirao (2016)'!$A$3,"MA_HT","RDD","MA_QH","MNC")</f>
        <v>0</v>
      </c>
      <c r="BD15" s="22">
        <f ca="1">+GETPIVOTDATA("XSR4",'suoirao (2016)'!$A$3,"MA_HT","RDD","MA_QH","PNK")</f>
        <v>0</v>
      </c>
      <c r="BE15" s="71">
        <f ca="1">+GETPIVOTDATA("XSR4",'suoirao (2016)'!$A$3,"MA_HT","RDD","MA_QH","CSD")</f>
        <v>0</v>
      </c>
      <c r="BF15" s="74">
        <f ca="1" t="shared" si="7"/>
        <v>0</v>
      </c>
      <c r="BG15" s="101">
        <f ca="1">N$59-$BF15</f>
        <v>0</v>
      </c>
      <c r="BH15" s="41" t="e">
        <f ca="1" t="shared" si="8"/>
        <v>#REF!</v>
      </c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</row>
    <row r="16" s="2" customFormat="1" ht="15.75" customHeight="1" spans="1:79">
      <c r="A16" s="39" t="s">
        <v>8353</v>
      </c>
      <c r="B16" s="39" t="s">
        <v>8354</v>
      </c>
      <c r="C16" s="40" t="s">
        <v>318</v>
      </c>
      <c r="D16" s="47" t="e">
        <f>+#REF!</f>
        <v>#REF!</v>
      </c>
      <c r="E16" s="42">
        <f ca="1">SUM(F16,J16:N16,P16:Q16)</f>
        <v>0</v>
      </c>
      <c r="F16" s="52">
        <f ca="1" t="shared" si="9"/>
        <v>0</v>
      </c>
      <c r="G16" s="22">
        <f ca="1">+GETPIVOTDATA("XSR4",'suoirao (2016)'!$A$3,"MA_HT","NTS","MA_QH","LUC")</f>
        <v>0</v>
      </c>
      <c r="H16" s="22">
        <f ca="1">+GETPIVOTDATA("XSR4",'suoirao (2016)'!$A$3,"MA_HT","NTS","MA_QH","LUK")</f>
        <v>0</v>
      </c>
      <c r="I16" s="22">
        <f ca="1">+GETPIVOTDATA("XSR4",'suoirao (2016)'!$A$3,"MA_HT","NTS","MA_QH","LUN")</f>
        <v>0</v>
      </c>
      <c r="J16" s="22">
        <f ca="1">+GETPIVOTDATA("XSR4",'suoirao (2016)'!$A$3,"MA_HT","NTS","MA_QH","HNK")</f>
        <v>0</v>
      </c>
      <c r="K16" s="22">
        <f ca="1">+GETPIVOTDATA("XSR4",'suoirao (2016)'!$A$3,"MA_HT","NTS","MA_QH","CLN")</f>
        <v>0</v>
      </c>
      <c r="L16" s="22">
        <f ca="1">+GETPIVOTDATA("XSR4",'suoirao (2016)'!$A$3,"MA_HT","NTS","MA_QH","RSX")</f>
        <v>0</v>
      </c>
      <c r="M16" s="22">
        <f ca="1">+GETPIVOTDATA("XSR4",'suoirao (2016)'!$A$3,"MA_HT","NTS","MA_QH","RPH")</f>
        <v>0</v>
      </c>
      <c r="N16" s="22">
        <f ca="1">+GETPIVOTDATA("XSR4",'suoirao (2016)'!$A$3,"MA_HT","NTS","MA_QH","RDD")</f>
        <v>0</v>
      </c>
      <c r="O16" s="43" t="e">
        <f ca="1">$D16-$BF16</f>
        <v>#REF!</v>
      </c>
      <c r="P16" s="22">
        <f ca="1">+GETPIVOTDATA("XSR4",'suoirao (2016)'!$A$3,"MA_HT","NTS","MA_QH","LMU")</f>
        <v>0</v>
      </c>
      <c r="Q16" s="22">
        <f ca="1">+GETPIVOTDATA("XSR4",'suoirao (2016)'!$A$3,"MA_HT","NTS","MA_QH","NKH")</f>
        <v>0</v>
      </c>
      <c r="R16" s="42">
        <f ca="1" t="shared" si="2"/>
        <v>0</v>
      </c>
      <c r="S16" s="22">
        <f ca="1">+GETPIVOTDATA("XSR4",'suoirao (2016)'!$A$3,"MA_HT","NTS","MA_QH","CQP")</f>
        <v>0</v>
      </c>
      <c r="T16" s="22">
        <f ca="1">+GETPIVOTDATA("XSR4",'suoirao (2016)'!$A$3,"MA_HT","NTS","MA_QH","CAN")</f>
        <v>0</v>
      </c>
      <c r="U16" s="22">
        <f ca="1">+GETPIVOTDATA("XSR4",'suoirao (2016)'!$A$3,"MA_HT","NTS","MA_QH","SKK")</f>
        <v>0</v>
      </c>
      <c r="V16" s="22">
        <f ca="1">+GETPIVOTDATA("XSR4",'suoirao (2016)'!$A$3,"MA_HT","NTS","MA_QH","SKT")</f>
        <v>0</v>
      </c>
      <c r="W16" s="22">
        <f ca="1">+GETPIVOTDATA("XSR4",'suoirao (2016)'!$A$3,"MA_HT","NTS","MA_QH","SKN")</f>
        <v>0</v>
      </c>
      <c r="X16" s="22">
        <f ca="1">+GETPIVOTDATA("XSR4",'suoirao (2016)'!$A$3,"MA_HT","NTS","MA_QH","TMD")</f>
        <v>0</v>
      </c>
      <c r="Y16" s="22">
        <f ca="1">+GETPIVOTDATA("XSR4",'suoirao (2016)'!$A$3,"MA_HT","NTS","MA_QH","SKC")</f>
        <v>0</v>
      </c>
      <c r="Z16" s="22">
        <f ca="1">+GETPIVOTDATA("XSR4",'suoirao (2016)'!$A$3,"MA_HT","NTS","MA_QH","SKS")</f>
        <v>0</v>
      </c>
      <c r="AA16" s="52">
        <f ca="1" t="shared" si="4"/>
        <v>0</v>
      </c>
      <c r="AB16" s="22">
        <f ca="1">+GETPIVOTDATA("XSR4",'suoirao (2016)'!$A$3,"MA_HT","NTS","MA_QH","DGT")</f>
        <v>0</v>
      </c>
      <c r="AC16" s="22">
        <f ca="1">+GETPIVOTDATA("XSR4",'suoirao (2016)'!$A$3,"MA_HT","NTS","MA_QH","DTL")</f>
        <v>0</v>
      </c>
      <c r="AD16" s="22">
        <f ca="1">+GETPIVOTDATA("XSR4",'suoirao (2016)'!$A$3,"MA_HT","NTS","MA_QH","DNL")</f>
        <v>0</v>
      </c>
      <c r="AE16" s="22">
        <f ca="1">+GETPIVOTDATA("XSR4",'suoirao (2016)'!$A$3,"MA_HT","NTS","MA_QH","DBV")</f>
        <v>0</v>
      </c>
      <c r="AF16" s="22">
        <f ca="1">+GETPIVOTDATA("XSR4",'suoirao (2016)'!$A$3,"MA_HT","NTS","MA_QH","DVH")</f>
        <v>0</v>
      </c>
      <c r="AG16" s="22">
        <f ca="1">+GETPIVOTDATA("XSR4",'suoirao (2016)'!$A$3,"MA_HT","NTS","MA_QH","DYT")</f>
        <v>0</v>
      </c>
      <c r="AH16" s="22">
        <f ca="1">+GETPIVOTDATA("XSR4",'suoirao (2016)'!$A$3,"MA_HT","NTS","MA_QH","DGD")</f>
        <v>0</v>
      </c>
      <c r="AI16" s="22">
        <f ca="1">+GETPIVOTDATA("XSR4",'suoirao (2016)'!$A$3,"MA_HT","NTS","MA_QH","DTT")</f>
        <v>0</v>
      </c>
      <c r="AJ16" s="22">
        <f ca="1">+GETPIVOTDATA("XSR4",'suoirao (2016)'!$A$3,"MA_HT","NTS","MA_QH","NCK")</f>
        <v>0</v>
      </c>
      <c r="AK16" s="22">
        <f ca="1">+GETPIVOTDATA("XSR4",'suoirao (2016)'!$A$3,"MA_HT","NTS","MA_QH","DXH")</f>
        <v>0</v>
      </c>
      <c r="AL16" s="22">
        <f ca="1">+GETPIVOTDATA("XSR4",'suoirao (2016)'!$A$3,"MA_HT","NTS","MA_QH","DCH")</f>
        <v>0</v>
      </c>
      <c r="AM16" s="22">
        <f ca="1">+GETPIVOTDATA("XSR4",'suoirao (2016)'!$A$3,"MA_HT","NTS","MA_QH","DKG")</f>
        <v>0</v>
      </c>
      <c r="AN16" s="22">
        <f ca="1">+GETPIVOTDATA("XSR4",'suoirao (2016)'!$A$3,"MA_HT","NTS","MA_QH","DDT")</f>
        <v>0</v>
      </c>
      <c r="AO16" s="22">
        <f ca="1">+GETPIVOTDATA("XSR4",'suoirao (2016)'!$A$3,"MA_HT","NTS","MA_QH","DDL")</f>
        <v>0</v>
      </c>
      <c r="AP16" s="22">
        <f ca="1">+GETPIVOTDATA("XSR4",'suoirao (2016)'!$A$3,"MA_HT","NTS","MA_QH","DRA")</f>
        <v>0</v>
      </c>
      <c r="AQ16" s="22">
        <f ca="1">+GETPIVOTDATA("XSR4",'suoirao (2016)'!$A$3,"MA_HT","NTS","MA_QH","ONT")</f>
        <v>0</v>
      </c>
      <c r="AR16" s="22">
        <f ca="1">+GETPIVOTDATA("XSR4",'suoirao (2016)'!$A$3,"MA_HT","NTS","MA_QH","ODT")</f>
        <v>0</v>
      </c>
      <c r="AS16" s="22">
        <f ca="1">+GETPIVOTDATA("XSR4",'suoirao (2016)'!$A$3,"MA_HT","NTS","MA_QH","TSC")</f>
        <v>0</v>
      </c>
      <c r="AT16" s="22">
        <f ca="1">+GETPIVOTDATA("XSR4",'suoirao (2016)'!$A$3,"MA_HT","NTS","MA_QH","DTS")</f>
        <v>0</v>
      </c>
      <c r="AU16" s="22">
        <f ca="1">+GETPIVOTDATA("XSR4",'suoirao (2016)'!$A$3,"MA_HT","NTS","MA_QH","DNG")</f>
        <v>0</v>
      </c>
      <c r="AV16" s="22">
        <f ca="1">+GETPIVOTDATA("XSR4",'suoirao (2016)'!$A$3,"MA_HT","NTS","MA_QH","TON")</f>
        <v>0</v>
      </c>
      <c r="AW16" s="22">
        <f ca="1">+GETPIVOTDATA("XSR4",'suoirao (2016)'!$A$3,"MA_HT","NTS","MA_QH","NTD")</f>
        <v>0</v>
      </c>
      <c r="AX16" s="22">
        <f ca="1">+GETPIVOTDATA("XSR4",'suoirao (2016)'!$A$3,"MA_HT","NTS","MA_QH","SKX")</f>
        <v>0</v>
      </c>
      <c r="AY16" s="22">
        <f ca="1">+GETPIVOTDATA("XSR4",'suoirao (2016)'!$A$3,"MA_HT","NTS","MA_QH","DSH")</f>
        <v>0</v>
      </c>
      <c r="AZ16" s="22">
        <f ca="1">+GETPIVOTDATA("XSR4",'suoirao (2016)'!$A$3,"MA_HT","NTS","MA_QH","DKV")</f>
        <v>0</v>
      </c>
      <c r="BA16" s="89">
        <f ca="1">+GETPIVOTDATA("XSR4",'suoirao (2016)'!$A$3,"MA_HT","NTS","MA_QH","TIN")</f>
        <v>0</v>
      </c>
      <c r="BB16" s="50">
        <f ca="1">+GETPIVOTDATA("XSR4",'suoirao (2016)'!$A$3,"MA_HT","NTS","MA_QH","SON")</f>
        <v>0</v>
      </c>
      <c r="BC16" s="50">
        <f ca="1">+GETPIVOTDATA("XSR4",'suoirao (2016)'!$A$3,"MA_HT","NTS","MA_QH","MNC")</f>
        <v>0</v>
      </c>
      <c r="BD16" s="22">
        <f ca="1">+GETPIVOTDATA("XSR4",'suoirao (2016)'!$A$3,"MA_HT","NTS","MA_QH","PNK")</f>
        <v>0</v>
      </c>
      <c r="BE16" s="71">
        <f ca="1">+GETPIVOTDATA("XSR4",'suoirao (2016)'!$A$3,"MA_HT","NTS","MA_QH","CSD")</f>
        <v>0</v>
      </c>
      <c r="BF16" s="74">
        <f ca="1" t="shared" si="7"/>
        <v>0</v>
      </c>
      <c r="BG16" s="101">
        <f ca="1">O$59-$BF16</f>
        <v>0</v>
      </c>
      <c r="BH16" s="41" t="e">
        <f ca="1" t="shared" si="8"/>
        <v>#REF!</v>
      </c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</row>
    <row r="17" s="2" customFormat="1" ht="15.75" customHeight="1" spans="1:79">
      <c r="A17" s="39" t="s">
        <v>8355</v>
      </c>
      <c r="B17" s="39" t="s">
        <v>8356</v>
      </c>
      <c r="C17" s="40" t="s">
        <v>8297</v>
      </c>
      <c r="D17" s="47" t="e">
        <f>+#REF!</f>
        <v>#REF!</v>
      </c>
      <c r="E17" s="42">
        <f ca="1">SUM(F17,J17:O17,Q17:Q17)</f>
        <v>0</v>
      </c>
      <c r="F17" s="52">
        <f ca="1" t="shared" si="9"/>
        <v>0</v>
      </c>
      <c r="G17" s="22">
        <f ca="1">+GETPIVOTDATA("XSR4",'suoirao (2016)'!$A$3,"MA_HT","LMU","MA_QH","LUC")</f>
        <v>0</v>
      </c>
      <c r="H17" s="22">
        <f ca="1">+GETPIVOTDATA("XSR4",'suoirao (2016)'!$A$3,"MA_HT","LMU","MA_QH","LUK")</f>
        <v>0</v>
      </c>
      <c r="I17" s="22">
        <f ca="1">+GETPIVOTDATA("XSR4",'suoirao (2016)'!$A$3,"MA_HT","LMU","MA_QH","LUN")</f>
        <v>0</v>
      </c>
      <c r="J17" s="22">
        <f ca="1">+GETPIVOTDATA("XSR4",'suoirao (2016)'!$A$3,"MA_HT","LMU","MA_QH","HNK")</f>
        <v>0</v>
      </c>
      <c r="K17" s="22">
        <f ca="1">+GETPIVOTDATA("XSR4",'suoirao (2016)'!$A$3,"MA_HT","LMU","MA_QH","CLN")</f>
        <v>0</v>
      </c>
      <c r="L17" s="22">
        <f ca="1">+GETPIVOTDATA("XSR4",'suoirao (2016)'!$A$3,"MA_HT","LMU","MA_QH","RSX")</f>
        <v>0</v>
      </c>
      <c r="M17" s="22">
        <f ca="1">+GETPIVOTDATA("XSR4",'suoirao (2016)'!$A$3,"MA_HT","LMU","MA_QH","RPH")</f>
        <v>0</v>
      </c>
      <c r="N17" s="22">
        <f ca="1">+GETPIVOTDATA("XSR4",'suoirao (2016)'!$A$3,"MA_HT","LMU","MA_QH","RDD")</f>
        <v>0</v>
      </c>
      <c r="O17" s="22">
        <f ca="1">+GETPIVOTDATA("XSR4",'suoirao (2016)'!$A$3,"MA_HT","LMU","MA_QH","NTS")</f>
        <v>0</v>
      </c>
      <c r="P17" s="43" t="e">
        <f ca="1">$D17-$BF17</f>
        <v>#REF!</v>
      </c>
      <c r="Q17" s="22">
        <f ca="1">+GETPIVOTDATA("XSR4",'suoirao (2016)'!$A$3,"MA_HT","LMU","MA_QH","NKH")</f>
        <v>0</v>
      </c>
      <c r="R17" s="42">
        <f ca="1" t="shared" si="2"/>
        <v>0</v>
      </c>
      <c r="S17" s="22">
        <f ca="1">+GETPIVOTDATA("XSR4",'suoirao (2016)'!$A$3,"MA_HT","LMU","MA_QH","CQP")</f>
        <v>0</v>
      </c>
      <c r="T17" s="22">
        <f ca="1">+GETPIVOTDATA("XSR4",'suoirao (2016)'!$A$3,"MA_HT","LMU","MA_QH","CAN")</f>
        <v>0</v>
      </c>
      <c r="U17" s="22">
        <f ca="1">+GETPIVOTDATA("XSR4",'suoirao (2016)'!$A$3,"MA_HT","LMU","MA_QH","SKK")</f>
        <v>0</v>
      </c>
      <c r="V17" s="22">
        <f ca="1">+GETPIVOTDATA("XSR4",'suoirao (2016)'!$A$3,"MA_HT","LMU","MA_QH","SKT")</f>
        <v>0</v>
      </c>
      <c r="W17" s="22">
        <f ca="1">+GETPIVOTDATA("XSR4",'suoirao (2016)'!$A$3,"MA_HT","LMU","MA_QH","SKN")</f>
        <v>0</v>
      </c>
      <c r="X17" s="22">
        <f ca="1">+GETPIVOTDATA("XSR4",'suoirao (2016)'!$A$3,"MA_HT","LMU","MA_QH","TMD")</f>
        <v>0</v>
      </c>
      <c r="Y17" s="22">
        <f ca="1">+GETPIVOTDATA("XSR4",'suoirao (2016)'!$A$3,"MA_HT","LMU","MA_QH","SKC")</f>
        <v>0</v>
      </c>
      <c r="Z17" s="22">
        <f ca="1">+GETPIVOTDATA("XSR4",'suoirao (2016)'!$A$3,"MA_HT","LMU","MA_QH","SKS")</f>
        <v>0</v>
      </c>
      <c r="AA17" s="52">
        <f ca="1" t="shared" si="4"/>
        <v>0</v>
      </c>
      <c r="AB17" s="22">
        <f ca="1">+GETPIVOTDATA("XSR4",'suoirao (2016)'!$A$3,"MA_HT","LMU","MA_QH","DGT")</f>
        <v>0</v>
      </c>
      <c r="AC17" s="22">
        <f ca="1">+GETPIVOTDATA("XSR4",'suoirao (2016)'!$A$3,"MA_HT","LMU","MA_QH","DTL")</f>
        <v>0</v>
      </c>
      <c r="AD17" s="22">
        <f ca="1">+GETPIVOTDATA("XSR4",'suoirao (2016)'!$A$3,"MA_HT","LMU","MA_QH","DNL")</f>
        <v>0</v>
      </c>
      <c r="AE17" s="22">
        <f ca="1">+GETPIVOTDATA("XSR4",'suoirao (2016)'!$A$3,"MA_HT","LMU","MA_QH","DBV")</f>
        <v>0</v>
      </c>
      <c r="AF17" s="22">
        <f ca="1">+GETPIVOTDATA("XSR4",'suoirao (2016)'!$A$3,"MA_HT","LMU","MA_QH","DVH")</f>
        <v>0</v>
      </c>
      <c r="AG17" s="22">
        <f ca="1">+GETPIVOTDATA("XSR4",'suoirao (2016)'!$A$3,"MA_HT","LMU","MA_QH","DYT")</f>
        <v>0</v>
      </c>
      <c r="AH17" s="22">
        <f ca="1">+GETPIVOTDATA("XSR4",'suoirao (2016)'!$A$3,"MA_HT","LMU","MA_QH","DGD")</f>
        <v>0</v>
      </c>
      <c r="AI17" s="22">
        <f ca="1">+GETPIVOTDATA("XSR4",'suoirao (2016)'!$A$3,"MA_HT","LMU","MA_QH","DTT")</f>
        <v>0</v>
      </c>
      <c r="AJ17" s="22">
        <f ca="1">+GETPIVOTDATA("XSR4",'suoirao (2016)'!$A$3,"MA_HT","LMU","MA_QH","NCK")</f>
        <v>0</v>
      </c>
      <c r="AK17" s="22">
        <f ca="1">+GETPIVOTDATA("XSR4",'suoirao (2016)'!$A$3,"MA_HT","LMU","MA_QH","DXH")</f>
        <v>0</v>
      </c>
      <c r="AL17" s="22">
        <f ca="1">+GETPIVOTDATA("XSR4",'suoirao (2016)'!$A$3,"MA_HT","LMU","MA_QH","DCH")</f>
        <v>0</v>
      </c>
      <c r="AM17" s="22">
        <f ca="1">+GETPIVOTDATA("XSR4",'suoirao (2016)'!$A$3,"MA_HT","LMU","MA_QH","DKG")</f>
        <v>0</v>
      </c>
      <c r="AN17" s="22">
        <f ca="1">+GETPIVOTDATA("XSR4",'suoirao (2016)'!$A$3,"MA_HT","LMU","MA_QH","DDT")</f>
        <v>0</v>
      </c>
      <c r="AO17" s="22">
        <f ca="1">+GETPIVOTDATA("XSR4",'suoirao (2016)'!$A$3,"MA_HT","LMU","MA_QH","DDL")</f>
        <v>0</v>
      </c>
      <c r="AP17" s="22">
        <f ca="1">+GETPIVOTDATA("XSR4",'suoirao (2016)'!$A$3,"MA_HT","LMU","MA_QH","DRA")</f>
        <v>0</v>
      </c>
      <c r="AQ17" s="22">
        <f ca="1">+GETPIVOTDATA("XSR4",'suoirao (2016)'!$A$3,"MA_HT","LMU","MA_QH","ONT")</f>
        <v>0</v>
      </c>
      <c r="AR17" s="22">
        <f ca="1">+GETPIVOTDATA("XSR4",'suoirao (2016)'!$A$3,"MA_HT","LMU","MA_QH","ODT")</f>
        <v>0</v>
      </c>
      <c r="AS17" s="22">
        <f ca="1">+GETPIVOTDATA("XSR4",'suoirao (2016)'!$A$3,"MA_HT","LMU","MA_QH","TSC")</f>
        <v>0</v>
      </c>
      <c r="AT17" s="22">
        <f ca="1">+GETPIVOTDATA("XSR4",'suoirao (2016)'!$A$3,"MA_HT","LMU","MA_QH","DTS")</f>
        <v>0</v>
      </c>
      <c r="AU17" s="22">
        <f ca="1">+GETPIVOTDATA("XSR4",'suoirao (2016)'!$A$3,"MA_HT","LMU","MA_QH","DNG")</f>
        <v>0</v>
      </c>
      <c r="AV17" s="22">
        <f ca="1">+GETPIVOTDATA("XSR4",'suoirao (2016)'!$A$3,"MA_HT","LMU","MA_QH","TON")</f>
        <v>0</v>
      </c>
      <c r="AW17" s="22">
        <f ca="1">+GETPIVOTDATA("XSR4",'suoirao (2016)'!$A$3,"MA_HT","LMU","MA_QH","NTD")</f>
        <v>0</v>
      </c>
      <c r="AX17" s="22">
        <f ca="1">+GETPIVOTDATA("XSR4",'suoirao (2016)'!$A$3,"MA_HT","LMU","MA_QH","SKX")</f>
        <v>0</v>
      </c>
      <c r="AY17" s="22">
        <f ca="1">+GETPIVOTDATA("XSR4",'suoirao (2016)'!$A$3,"MA_HT","LMU","MA_QH","DSH")</f>
        <v>0</v>
      </c>
      <c r="AZ17" s="22">
        <f ca="1">+GETPIVOTDATA("XSR4",'suoirao (2016)'!$A$3,"MA_HT","LMU","MA_QH","DKV")</f>
        <v>0</v>
      </c>
      <c r="BA17" s="89">
        <f ca="1">+GETPIVOTDATA("XSR4",'suoirao (2016)'!$A$3,"MA_HT","LMU","MA_QH","TIN")</f>
        <v>0</v>
      </c>
      <c r="BB17" s="50">
        <f ca="1">+GETPIVOTDATA("XSR4",'suoirao (2016)'!$A$3,"MA_HT","LMU","MA_QH","SON")</f>
        <v>0</v>
      </c>
      <c r="BC17" s="50">
        <f ca="1">+GETPIVOTDATA("XSR4",'suoirao (2016)'!$A$3,"MA_HT","LMU","MA_QH","MNC")</f>
        <v>0</v>
      </c>
      <c r="BD17" s="22">
        <f ca="1">+GETPIVOTDATA("XSR4",'suoirao (2016)'!$A$3,"MA_HT","LMU","MA_QH","PNK")</f>
        <v>0</v>
      </c>
      <c r="BE17" s="71">
        <f ca="1">+GETPIVOTDATA("XSR4",'suoirao (2016)'!$A$3,"MA_HT","LMU","MA_QH","CSD")</f>
        <v>0</v>
      </c>
      <c r="BF17" s="74">
        <f ca="1" t="shared" si="7"/>
        <v>0</v>
      </c>
      <c r="BG17" s="101">
        <f ca="1">P$59-$BF17</f>
        <v>0</v>
      </c>
      <c r="BH17" s="41" t="e">
        <f ca="1" t="shared" si="8"/>
        <v>#REF!</v>
      </c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</row>
    <row r="18" s="2" customFormat="1" ht="15.75" customHeight="1" spans="1:79">
      <c r="A18" s="39" t="s">
        <v>8357</v>
      </c>
      <c r="B18" s="39" t="s">
        <v>8358</v>
      </c>
      <c r="C18" s="40" t="s">
        <v>553</v>
      </c>
      <c r="D18" s="47" t="e">
        <f>+#REF!</f>
        <v>#REF!</v>
      </c>
      <c r="E18" s="42">
        <f ca="1">SUM(F18,J18:P18)</f>
        <v>0</v>
      </c>
      <c r="F18" s="52">
        <f ca="1" t="shared" si="9"/>
        <v>0</v>
      </c>
      <c r="G18" s="22">
        <f ca="1">+GETPIVOTDATA("XSR4",'suoirao (2016)'!$A$3,"MA_HT","NKH","MA_QH","LUC")</f>
        <v>0</v>
      </c>
      <c r="H18" s="22">
        <f ca="1">+GETPIVOTDATA("XSR4",'suoirao (2016)'!$A$3,"MA_HT","NKH","MA_QH","LUK")</f>
        <v>0</v>
      </c>
      <c r="I18" s="22">
        <f ca="1">+GETPIVOTDATA("XSR4",'suoirao (2016)'!$A$3,"MA_HT","NKH","MA_QH","LUN")</f>
        <v>0</v>
      </c>
      <c r="J18" s="22">
        <f ca="1">+GETPIVOTDATA("XSR4",'suoirao (2016)'!$A$3,"MA_HT","NKH","MA_QH","HNK")</f>
        <v>0</v>
      </c>
      <c r="K18" s="22">
        <f ca="1">+GETPIVOTDATA("XSR4",'suoirao (2016)'!$A$3,"MA_HT","NKH","MA_QH","CLN")</f>
        <v>0</v>
      </c>
      <c r="L18" s="22">
        <f ca="1">+GETPIVOTDATA("XSR4",'suoirao (2016)'!$A$3,"MA_HT","NKH","MA_QH","RSX")</f>
        <v>0</v>
      </c>
      <c r="M18" s="22">
        <f ca="1">+GETPIVOTDATA("XSR4",'suoirao (2016)'!$A$3,"MA_HT","NKH","MA_QH","RPH")</f>
        <v>0</v>
      </c>
      <c r="N18" s="22">
        <f ca="1">+GETPIVOTDATA("XSR4",'suoirao (2016)'!$A$3,"MA_HT","NKH","MA_QH","RDD")</f>
        <v>0</v>
      </c>
      <c r="O18" s="22">
        <f ca="1">+GETPIVOTDATA("XSR4",'suoirao (2016)'!$A$3,"MA_HT","NKH","MA_QH","NTS")</f>
        <v>0</v>
      </c>
      <c r="P18" s="22">
        <f ca="1">+GETPIVOTDATA("XSR4",'suoirao (2016)'!$A$3,"MA_HT","NKH","MA_QH","LMU")</f>
        <v>0</v>
      </c>
      <c r="Q18" s="43" t="e">
        <f ca="1">$D18-$BF18</f>
        <v>#REF!</v>
      </c>
      <c r="R18" s="42">
        <f ca="1" t="shared" si="2"/>
        <v>0</v>
      </c>
      <c r="S18" s="22">
        <f ca="1">+GETPIVOTDATA("XSR4",'suoirao (2016)'!$A$3,"MA_HT","NKH","MA_QH","CQP")</f>
        <v>0</v>
      </c>
      <c r="T18" s="22">
        <f ca="1">+GETPIVOTDATA("XSR4",'suoirao (2016)'!$A$3,"MA_HT","NKH","MA_QH","CAN")</f>
        <v>0</v>
      </c>
      <c r="U18" s="22">
        <f ca="1">+GETPIVOTDATA("XSR4",'suoirao (2016)'!$A$3,"MA_HT","NKH","MA_QH","SKK")</f>
        <v>0</v>
      </c>
      <c r="V18" s="22">
        <f ca="1">+GETPIVOTDATA("XSR4",'suoirao (2016)'!$A$3,"MA_HT","NKH","MA_QH","SKT")</f>
        <v>0</v>
      </c>
      <c r="W18" s="22">
        <f ca="1">+GETPIVOTDATA("XSR4",'suoirao (2016)'!$A$3,"MA_HT","NKH","MA_QH","SKN")</f>
        <v>0</v>
      </c>
      <c r="X18" s="22">
        <f ca="1">+GETPIVOTDATA("XSR4",'suoirao (2016)'!$A$3,"MA_HT","NKH","MA_QH","TMD")</f>
        <v>0</v>
      </c>
      <c r="Y18" s="22">
        <f ca="1">+GETPIVOTDATA("XSR4",'suoirao (2016)'!$A$3,"MA_HT","NKH","MA_QH","SKC")</f>
        <v>0</v>
      </c>
      <c r="Z18" s="22">
        <f ca="1">+GETPIVOTDATA("XSR4",'suoirao (2016)'!$A$3,"MA_HT","NKH","MA_QH","SKS")</f>
        <v>0</v>
      </c>
      <c r="AA18" s="52">
        <f ca="1" t="shared" si="4"/>
        <v>0</v>
      </c>
      <c r="AB18" s="22">
        <f ca="1">+GETPIVOTDATA("XSR4",'suoirao (2016)'!$A$3,"MA_HT","NKH","MA_QH","DGT")</f>
        <v>0</v>
      </c>
      <c r="AC18" s="22">
        <f ca="1">+GETPIVOTDATA("XSR4",'suoirao (2016)'!$A$3,"MA_HT","NKH","MA_QH","DTL")</f>
        <v>0</v>
      </c>
      <c r="AD18" s="22">
        <f ca="1">+GETPIVOTDATA("XSR4",'suoirao (2016)'!$A$3,"MA_HT","NKH","MA_QH","DNL")</f>
        <v>0</v>
      </c>
      <c r="AE18" s="22">
        <f ca="1">+GETPIVOTDATA("XSR4",'suoirao (2016)'!$A$3,"MA_HT","NKH","MA_QH","DBV")</f>
        <v>0</v>
      </c>
      <c r="AF18" s="22">
        <f ca="1">+GETPIVOTDATA("XSR4",'suoirao (2016)'!$A$3,"MA_HT","NKH","MA_QH","DVH")</f>
        <v>0</v>
      </c>
      <c r="AG18" s="22">
        <f ca="1">+GETPIVOTDATA("XSR4",'suoirao (2016)'!$A$3,"MA_HT","NKH","MA_QH","DYT")</f>
        <v>0</v>
      </c>
      <c r="AH18" s="22">
        <f ca="1">+GETPIVOTDATA("XSR4",'suoirao (2016)'!$A$3,"MA_HT","NKH","MA_QH","DGD")</f>
        <v>0</v>
      </c>
      <c r="AI18" s="22">
        <f ca="1">+GETPIVOTDATA("XSR4",'suoirao (2016)'!$A$3,"MA_HT","NKH","MA_QH","DTT")</f>
        <v>0</v>
      </c>
      <c r="AJ18" s="22">
        <f ca="1">+GETPIVOTDATA("XSR4",'suoirao (2016)'!$A$3,"MA_HT","NKH","MA_QH","NCK")</f>
        <v>0</v>
      </c>
      <c r="AK18" s="22">
        <f ca="1">+GETPIVOTDATA("XSR4",'suoirao (2016)'!$A$3,"MA_HT","NKH","MA_QH","DXH")</f>
        <v>0</v>
      </c>
      <c r="AL18" s="22">
        <f ca="1">+GETPIVOTDATA("XSR4",'suoirao (2016)'!$A$3,"MA_HT","NKH","MA_QH","DCH")</f>
        <v>0</v>
      </c>
      <c r="AM18" s="22">
        <f ca="1">+GETPIVOTDATA("XSR4",'suoirao (2016)'!$A$3,"MA_HT","NKH","MA_QH","DKG")</f>
        <v>0</v>
      </c>
      <c r="AN18" s="22">
        <f ca="1">+GETPIVOTDATA("XSR4",'suoirao (2016)'!$A$3,"MA_HT","NKH","MA_QH","DDT")</f>
        <v>0</v>
      </c>
      <c r="AO18" s="22">
        <f ca="1">+GETPIVOTDATA("XSR4",'suoirao (2016)'!$A$3,"MA_HT","NKH","MA_QH","DDL")</f>
        <v>0</v>
      </c>
      <c r="AP18" s="22">
        <f ca="1">+GETPIVOTDATA("XSR4",'suoirao (2016)'!$A$3,"MA_HT","NKH","MA_QH","DRA")</f>
        <v>0</v>
      </c>
      <c r="AQ18" s="22">
        <f ca="1">+GETPIVOTDATA("XSR4",'suoirao (2016)'!$A$3,"MA_HT","NKH","MA_QH","ONT")</f>
        <v>0</v>
      </c>
      <c r="AR18" s="22">
        <f ca="1">+GETPIVOTDATA("XSR4",'suoirao (2016)'!$A$3,"MA_HT","NKH","MA_QH","ODT")</f>
        <v>0</v>
      </c>
      <c r="AS18" s="22">
        <f ca="1">+GETPIVOTDATA("XSR4",'suoirao (2016)'!$A$3,"MA_HT","NKH","MA_QH","TSC")</f>
        <v>0</v>
      </c>
      <c r="AT18" s="22">
        <f ca="1">+GETPIVOTDATA("XSR4",'suoirao (2016)'!$A$3,"MA_HT","NKH","MA_QH","DTS")</f>
        <v>0</v>
      </c>
      <c r="AU18" s="22">
        <f ca="1">+GETPIVOTDATA("XSR4",'suoirao (2016)'!$A$3,"MA_HT","NKH","MA_QH","DNG")</f>
        <v>0</v>
      </c>
      <c r="AV18" s="22">
        <f ca="1">+GETPIVOTDATA("XSR4",'suoirao (2016)'!$A$3,"MA_HT","NKH","MA_QH","TON")</f>
        <v>0</v>
      </c>
      <c r="AW18" s="22">
        <f ca="1">+GETPIVOTDATA("XSR4",'suoirao (2016)'!$A$3,"MA_HT","NKH","MA_QH","NTD")</f>
        <v>0</v>
      </c>
      <c r="AX18" s="22">
        <f ca="1">+GETPIVOTDATA("XSR4",'suoirao (2016)'!$A$3,"MA_HT","NKH","MA_QH","SKX")</f>
        <v>0</v>
      </c>
      <c r="AY18" s="22">
        <f ca="1">+GETPIVOTDATA("XSR4",'suoirao (2016)'!$A$3,"MA_HT","NKH","MA_QH","DSH")</f>
        <v>0</v>
      </c>
      <c r="AZ18" s="22">
        <f ca="1">+GETPIVOTDATA("XSR4",'suoirao (2016)'!$A$3,"MA_HT","NKH","MA_QH","DKV")</f>
        <v>0</v>
      </c>
      <c r="BA18" s="89">
        <f ca="1">+GETPIVOTDATA("XSR4",'suoirao (2016)'!$A$3,"MA_HT","NKH","MA_QH","TIN")</f>
        <v>0</v>
      </c>
      <c r="BB18" s="50">
        <f ca="1">+GETPIVOTDATA("XSR4",'suoirao (2016)'!$A$3,"MA_HT","NKH","MA_QH","SON")</f>
        <v>0</v>
      </c>
      <c r="BC18" s="50">
        <f ca="1">+GETPIVOTDATA("XSR4",'suoirao (2016)'!$A$3,"MA_HT","NKH","MA_QH","MNC")</f>
        <v>0</v>
      </c>
      <c r="BD18" s="22">
        <f ca="1">+GETPIVOTDATA("XSR4",'suoirao (2016)'!$A$3,"MA_HT","NKH","MA_QH","PNK")</f>
        <v>0</v>
      </c>
      <c r="BE18" s="71">
        <f ca="1">+GETPIVOTDATA("XSR4",'suoirao (2016)'!$A$3,"MA_HT","NKH","MA_QH","CSD")</f>
        <v>0</v>
      </c>
      <c r="BF18" s="74">
        <f ca="1" t="shared" si="7"/>
        <v>0</v>
      </c>
      <c r="BG18" s="101">
        <f ca="1">Q$59-$BF18</f>
        <v>0</v>
      </c>
      <c r="BH18" s="41" t="e">
        <f ca="1" t="shared" si="8"/>
        <v>#REF!</v>
      </c>
      <c r="BI18" s="98"/>
      <c r="BJ18" s="98"/>
      <c r="BK18" s="98"/>
      <c r="BL18" s="98"/>
      <c r="BM18" s="107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</row>
    <row r="19" s="3" customFormat="1" ht="15.75" customHeight="1" spans="1:75">
      <c r="A19" s="35">
        <v>2</v>
      </c>
      <c r="B19" s="36" t="s">
        <v>8359</v>
      </c>
      <c r="C19" s="37" t="s">
        <v>8304</v>
      </c>
      <c r="D19" s="33" t="e">
        <f>+#REF!</f>
        <v>#REF!</v>
      </c>
      <c r="E19" s="33">
        <f ca="1">SUM(E20:E28,E41:E57)</f>
        <v>0</v>
      </c>
      <c r="F19" s="33">
        <f ca="1">SUM(F20:F28,F41:F57)</f>
        <v>0</v>
      </c>
      <c r="G19" s="33">
        <f ca="1">SUM(G20:G28,G41:G57)</f>
        <v>0</v>
      </c>
      <c r="H19" s="33">
        <f ca="1">SUM(H20:H28,H41:H57)</f>
        <v>0</v>
      </c>
      <c r="I19" s="33">
        <f ca="1">SUM(I20:I28,I41:I57)</f>
        <v>0</v>
      </c>
      <c r="J19" s="33">
        <f ca="1" t="shared" ref="J19:Q19" si="10">SUM(J20:J28,J41:J57)</f>
        <v>0</v>
      </c>
      <c r="K19" s="33">
        <f ca="1" t="shared" si="10"/>
        <v>0</v>
      </c>
      <c r="L19" s="33">
        <f ca="1" t="shared" si="10"/>
        <v>0</v>
      </c>
      <c r="M19" s="33">
        <f ca="1" t="shared" si="10"/>
        <v>0</v>
      </c>
      <c r="N19" s="33">
        <f ca="1" t="shared" si="10"/>
        <v>0</v>
      </c>
      <c r="O19" s="33">
        <f ca="1" t="shared" si="10"/>
        <v>0</v>
      </c>
      <c r="P19" s="33">
        <f ca="1" t="shared" si="10"/>
        <v>0</v>
      </c>
      <c r="Q19" s="33">
        <f ca="1" t="shared" si="10"/>
        <v>0</v>
      </c>
      <c r="R19" s="38" t="e">
        <f ca="1">$D19-$BF19</f>
        <v>#REF!</v>
      </c>
      <c r="S19" s="33">
        <f ca="1">SUM(S21:S28,S41:S57)</f>
        <v>0</v>
      </c>
      <c r="T19" s="33">
        <f ca="1">SUM(T20,T22:T28,T41:T57)</f>
        <v>0</v>
      </c>
      <c r="U19" s="33">
        <f ca="1">SUM(U20:U21,U23:U28,U41:U57)</f>
        <v>0</v>
      </c>
      <c r="V19" s="33">
        <f ca="1">SUM(V20:V22,V24:V28,V41:V57)</f>
        <v>0</v>
      </c>
      <c r="W19" s="33">
        <f ca="1">SUM(W20:W23,W25:W28,W41:W57)</f>
        <v>0</v>
      </c>
      <c r="X19" s="33">
        <f ca="1">SUM(X20:X24,X26:X28,X41:X57)</f>
        <v>0</v>
      </c>
      <c r="Y19" s="33">
        <f ca="1">SUM(Y20:Y25,Y27:Y28,Y41:Y57)</f>
        <v>0</v>
      </c>
      <c r="Z19" s="33">
        <f ca="1">SUM(Z20:Z26,Z28,Z41:Z57)</f>
        <v>0</v>
      </c>
      <c r="AA19" s="33">
        <f ca="1">SUM(AA20:AA27,AA41:AA57)</f>
        <v>0</v>
      </c>
      <c r="AB19" s="33">
        <f ca="1" t="shared" ref="AB19:AM19" si="11">SUM(AB20:AB28,AB41:AB57)</f>
        <v>0</v>
      </c>
      <c r="AC19" s="33">
        <f ca="1" t="shared" si="11"/>
        <v>0</v>
      </c>
      <c r="AD19" s="33">
        <f ca="1" t="shared" si="11"/>
        <v>0</v>
      </c>
      <c r="AE19" s="33">
        <f ca="1" t="shared" si="11"/>
        <v>0</v>
      </c>
      <c r="AF19" s="33">
        <f ca="1" t="shared" si="11"/>
        <v>0</v>
      </c>
      <c r="AG19" s="33">
        <f ca="1" t="shared" si="11"/>
        <v>0</v>
      </c>
      <c r="AH19" s="33">
        <f ca="1" t="shared" si="11"/>
        <v>0</v>
      </c>
      <c r="AI19" s="33">
        <f ca="1" t="shared" si="11"/>
        <v>0</v>
      </c>
      <c r="AJ19" s="33">
        <f ca="1" t="shared" si="11"/>
        <v>0</v>
      </c>
      <c r="AK19" s="33">
        <f ca="1" t="shared" si="11"/>
        <v>0</v>
      </c>
      <c r="AL19" s="33">
        <f ca="1" t="shared" si="11"/>
        <v>0</v>
      </c>
      <c r="AM19" s="33">
        <f ca="1" t="shared" si="11"/>
        <v>0</v>
      </c>
      <c r="AN19" s="33">
        <f ca="1">SUM(AN20:AN28,AN42:AN57)</f>
        <v>0</v>
      </c>
      <c r="AO19" s="33">
        <f ca="1">SUM(AO20:AO28,AO41,AO43:AO57)</f>
        <v>0</v>
      </c>
      <c r="AP19" s="33">
        <f ca="1">SUM(AP20:AP28,AP41:AP42,AP44:AP57)</f>
        <v>0</v>
      </c>
      <c r="AQ19" s="33">
        <f ca="1">SUM(AQ20:AQ28,AQ41:AQ43,AQ45:AQ57)</f>
        <v>0</v>
      </c>
      <c r="AR19" s="33">
        <f ca="1">SUM(AR20:AR28,AR41:AR44,AR46:AR57)</f>
        <v>0</v>
      </c>
      <c r="AS19" s="33">
        <f ca="1">SUM(AS20:AS28,AS41:AS45,AS47:AS57)</f>
        <v>0</v>
      </c>
      <c r="AT19" s="33">
        <f ca="1">SUM(AT20:AT28,AT41:AT46,AT48:AT57)</f>
        <v>0</v>
      </c>
      <c r="AU19" s="33">
        <f ca="1">SUM(AU20:AU28,AU41:AU47,AU49:AU57)</f>
        <v>0</v>
      </c>
      <c r="AV19" s="33">
        <f ca="1">SUM(AV20:AV28,AV41:AV48,AV50:AV57)</f>
        <v>0</v>
      </c>
      <c r="AW19" s="33">
        <f ca="1">SUM(AW20:AW28,AW41:AW49,AW51:AW57)</f>
        <v>0</v>
      </c>
      <c r="AX19" s="33">
        <f ca="1">SUM(AX20:AX28,AX41:AX50,AX52:AX57)</f>
        <v>0</v>
      </c>
      <c r="AY19" s="33">
        <f ca="1">SUM(AY20:AY28,AY41:AY51,AY53:AY57)</f>
        <v>0</v>
      </c>
      <c r="AZ19" s="33">
        <f ca="1">SUM(AZ20:AZ28,AZ41:AZ52,AZ54:AZ57)</f>
        <v>0</v>
      </c>
      <c r="BA19" s="33">
        <f ca="1">SUM(BA20:BA28,BA41:BA53,BA55:BA57)</f>
        <v>0</v>
      </c>
      <c r="BB19" s="33">
        <f ca="1">SUM(BB20:BB28,BB41:BB54,BB56:BB57)</f>
        <v>0</v>
      </c>
      <c r="BC19" s="33">
        <f ca="1">SUM(BC20:BC28,BC41:BC55,BC57)</f>
        <v>0</v>
      </c>
      <c r="BD19" s="33">
        <f ca="1">SUM(BD20:BD28,BD41:BD56,BD58)</f>
        <v>0</v>
      </c>
      <c r="BE19" s="33">
        <f ca="1">SUM(BE20:BE28,BE41:BE57)</f>
        <v>0</v>
      </c>
      <c r="BF19" s="74">
        <f ca="1">SUM(BE19,E19)</f>
        <v>0</v>
      </c>
      <c r="BG19" s="101">
        <f ca="1">R$59-$BF19</f>
        <v>0</v>
      </c>
      <c r="BH19" s="33" t="e">
        <f ca="1">SUM(BH20:BH28,BH41:BH57)</f>
        <v>#REF!</v>
      </c>
      <c r="BI19" s="102"/>
      <c r="BJ19" s="36" t="e">
        <f>SUM(BJ22:BJ54,BJ57:BJ57)</f>
        <v>#REF!</v>
      </c>
      <c r="BK19" s="106" t="e">
        <f ca="1">BH19-BJ19</f>
        <v>#REF!</v>
      </c>
      <c r="BL19" s="106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</row>
    <row r="20" s="2" customFormat="1" ht="15.75" customHeight="1" spans="1:79">
      <c r="A20" s="39" t="s">
        <v>69</v>
      </c>
      <c r="B20" s="39" t="s">
        <v>8360</v>
      </c>
      <c r="C20" s="40" t="s">
        <v>31</v>
      </c>
      <c r="D20" s="41" t="e">
        <f>+#REF!</f>
        <v>#REF!</v>
      </c>
      <c r="E20" s="42">
        <f ca="1">SUM(F20,J20:Q20)</f>
        <v>0</v>
      </c>
      <c r="F20" s="52">
        <f ca="1" t="shared" si="9"/>
        <v>0</v>
      </c>
      <c r="G20" s="22">
        <f ca="1">+GETPIVOTDATA("XSR4",'suoirao (2016)'!$A$3,"MA_HT","CQP","MA_QH","LUC")</f>
        <v>0</v>
      </c>
      <c r="H20" s="22">
        <f ca="1">+GETPIVOTDATA("XSR4",'suoirao (2016)'!$A$3,"MA_HT","CQP","MA_QH","LUK")</f>
        <v>0</v>
      </c>
      <c r="I20" s="22">
        <f ca="1">+GETPIVOTDATA("XSR4",'suoirao (2016)'!$A$3,"MA_HT","CQP","MA_QH","LUN")</f>
        <v>0</v>
      </c>
      <c r="J20" s="22">
        <f ca="1">+GETPIVOTDATA("XSR4",'suoirao (2016)'!$A$3,"MA_HT","CQP","MA_QH","HNK")</f>
        <v>0</v>
      </c>
      <c r="K20" s="22">
        <f ca="1">+GETPIVOTDATA("XSR4",'suoirao (2016)'!$A$3,"MA_HT","CQP","MA_QH","CLN")</f>
        <v>0</v>
      </c>
      <c r="L20" s="22">
        <f ca="1">+GETPIVOTDATA("XSR4",'suoirao (2016)'!$A$3,"MA_HT","CQP","MA_QH","RSX")</f>
        <v>0</v>
      </c>
      <c r="M20" s="22">
        <f ca="1">+GETPIVOTDATA("XSR4",'suoirao (2016)'!$A$3,"MA_HT","CQP","MA_QH","RPH")</f>
        <v>0</v>
      </c>
      <c r="N20" s="22">
        <f ca="1">+GETPIVOTDATA("XSR4",'suoirao (2016)'!$A$3,"MA_HT","CQP","MA_QH","RDD")</f>
        <v>0</v>
      </c>
      <c r="O20" s="22">
        <f ca="1">+GETPIVOTDATA("XSR4",'suoirao (2016)'!$A$3,"MA_HT","CQP","MA_QH","NTS")</f>
        <v>0</v>
      </c>
      <c r="P20" s="22">
        <f ca="1">+GETPIVOTDATA("XSR4",'suoirao (2016)'!$A$3,"MA_HT","CQP","MA_QH","LMU")</f>
        <v>0</v>
      </c>
      <c r="Q20" s="22">
        <f ca="1">+GETPIVOTDATA("XSR4",'suoirao (2016)'!$A$3,"MA_HT","CQP","MA_QH","NKH")</f>
        <v>0</v>
      </c>
      <c r="R20" s="42">
        <f ca="1">SUM(T20:AA20,AN20:BD20)</f>
        <v>0</v>
      </c>
      <c r="S20" s="43" t="e">
        <f ca="1">$D20-$BF20</f>
        <v>#REF!</v>
      </c>
      <c r="T20" s="22">
        <f ca="1">+GETPIVOTDATA("XSR4",'suoirao (2016)'!$A$3,"MA_HT","CQP","MA_QH","CAN")</f>
        <v>0</v>
      </c>
      <c r="U20" s="22">
        <f ca="1">+GETPIVOTDATA("XSR4",'suoirao (2016)'!$A$3,"MA_HT","CQP","MA_QH","SKK")</f>
        <v>0</v>
      </c>
      <c r="V20" s="22">
        <f ca="1">+GETPIVOTDATA("XSR4",'suoirao (2016)'!$A$3,"MA_HT","CQP","MA_QH","SKT")</f>
        <v>0</v>
      </c>
      <c r="W20" s="22">
        <f ca="1">+GETPIVOTDATA("XSR4",'suoirao (2016)'!$A$3,"MA_HT","CQP","MA_QH","SKN")</f>
        <v>0</v>
      </c>
      <c r="X20" s="22">
        <f ca="1">+GETPIVOTDATA("XSR4",'suoirao (2016)'!$A$3,"MA_HT","CQP","MA_QH","TMD")</f>
        <v>0</v>
      </c>
      <c r="Y20" s="22">
        <f ca="1">+GETPIVOTDATA("XSR4",'suoirao (2016)'!$A$3,"MA_HT","CQP","MA_QH","SKC")</f>
        <v>0</v>
      </c>
      <c r="Z20" s="22">
        <f ca="1">+GETPIVOTDATA("XSR4",'suoirao (2016)'!$A$3,"MA_HT","CQP","MA_QH","SKS")</f>
        <v>0</v>
      </c>
      <c r="AA20" s="52">
        <f ca="1" t="shared" ref="AA20:AA27" si="12">+SUM(AB20:AM20)</f>
        <v>0</v>
      </c>
      <c r="AB20" s="22">
        <f ca="1">+GETPIVOTDATA("XSR4",'suoirao (2016)'!$A$3,"MA_HT","CQP","MA_QH","DGT")</f>
        <v>0</v>
      </c>
      <c r="AC20" s="22">
        <f ca="1">+GETPIVOTDATA("XSR4",'suoirao (2016)'!$A$3,"MA_HT","CQP","MA_QH","DTL")</f>
        <v>0</v>
      </c>
      <c r="AD20" s="22">
        <f ca="1">+GETPIVOTDATA("XSR4",'suoirao (2016)'!$A$3,"MA_HT","CQP","MA_QH","DNL")</f>
        <v>0</v>
      </c>
      <c r="AE20" s="22">
        <f ca="1">+GETPIVOTDATA("XSR4",'suoirao (2016)'!$A$3,"MA_HT","CQP","MA_QH","DBV")</f>
        <v>0</v>
      </c>
      <c r="AF20" s="22">
        <f ca="1">+GETPIVOTDATA("XSR4",'suoirao (2016)'!$A$3,"MA_HT","CQP","MA_QH","DVH")</f>
        <v>0</v>
      </c>
      <c r="AG20" s="22">
        <f ca="1">+GETPIVOTDATA("XSR4",'suoirao (2016)'!$A$3,"MA_HT","CQP","MA_QH","DYT")</f>
        <v>0</v>
      </c>
      <c r="AH20" s="22">
        <f ca="1">+GETPIVOTDATA("XSR4",'suoirao (2016)'!$A$3,"MA_HT","CQP","MA_QH","DGD")</f>
        <v>0</v>
      </c>
      <c r="AI20" s="22">
        <f ca="1">+GETPIVOTDATA("XSR4",'suoirao (2016)'!$A$3,"MA_HT","CQP","MA_QH","DTT")</f>
        <v>0</v>
      </c>
      <c r="AJ20" s="22">
        <f ca="1">+GETPIVOTDATA("XSR4",'suoirao (2016)'!$A$3,"MA_HT","CQP","MA_QH","NCK")</f>
        <v>0</v>
      </c>
      <c r="AK20" s="22">
        <f ca="1">+GETPIVOTDATA("XSR4",'suoirao (2016)'!$A$3,"MA_HT","CQP","MA_QH","DXH")</f>
        <v>0</v>
      </c>
      <c r="AL20" s="22">
        <f ca="1">+GETPIVOTDATA("XSR4",'suoirao (2016)'!$A$3,"MA_HT","CQP","MA_QH","DCH")</f>
        <v>0</v>
      </c>
      <c r="AM20" s="22">
        <f ca="1">+GETPIVOTDATA("XSR4",'suoirao (2016)'!$A$3,"MA_HT","CQP","MA_QH","DKG")</f>
        <v>0</v>
      </c>
      <c r="AN20" s="22">
        <f ca="1">+GETPIVOTDATA("XSR4",'suoirao (2016)'!$A$3,"MA_HT","CQP","MA_QH","DDT")</f>
        <v>0</v>
      </c>
      <c r="AO20" s="22">
        <f ca="1">+GETPIVOTDATA("XSR4",'suoirao (2016)'!$A$3,"MA_HT","CQP","MA_QH","DDL")</f>
        <v>0</v>
      </c>
      <c r="AP20" s="22">
        <f ca="1">+GETPIVOTDATA("XSR4",'suoirao (2016)'!$A$3,"MA_HT","CQP","MA_QH","DRA")</f>
        <v>0</v>
      </c>
      <c r="AQ20" s="22">
        <f ca="1">+GETPIVOTDATA("XSR4",'suoirao (2016)'!$A$3,"MA_HT","CQP","MA_QH","ONT")</f>
        <v>0</v>
      </c>
      <c r="AR20" s="22">
        <f ca="1">+GETPIVOTDATA("XSR4",'suoirao (2016)'!$A$3,"MA_HT","CQP","MA_QH","ODT")</f>
        <v>0</v>
      </c>
      <c r="AS20" s="22">
        <f ca="1">+GETPIVOTDATA("XSR4",'suoirao (2016)'!$A$3,"MA_HT","CQP","MA_QH","TSC")</f>
        <v>0</v>
      </c>
      <c r="AT20" s="22">
        <f ca="1">+GETPIVOTDATA("XSR4",'suoirao (2016)'!$A$3,"MA_HT","CQP","MA_QH","DTS")</f>
        <v>0</v>
      </c>
      <c r="AU20" s="22">
        <f ca="1">+GETPIVOTDATA("XSR4",'suoirao (2016)'!$A$3,"MA_HT","CQP","MA_QH","DNG")</f>
        <v>0</v>
      </c>
      <c r="AV20" s="22">
        <f ca="1">+GETPIVOTDATA("XSR4",'suoirao (2016)'!$A$3,"MA_HT","CQP","MA_QH","TON")</f>
        <v>0</v>
      </c>
      <c r="AW20" s="22">
        <f ca="1">+GETPIVOTDATA("XSR4",'suoirao (2016)'!$A$3,"MA_HT","CQP","MA_QH","NTD")</f>
        <v>0</v>
      </c>
      <c r="AX20" s="22">
        <f ca="1">+GETPIVOTDATA("XSR4",'suoirao (2016)'!$A$3,"MA_HT","CQP","MA_QH","SKX")</f>
        <v>0</v>
      </c>
      <c r="AY20" s="22">
        <f ca="1">+GETPIVOTDATA("XSR4",'suoirao (2016)'!$A$3,"MA_HT","CQP","MA_QH","DSH")</f>
        <v>0</v>
      </c>
      <c r="AZ20" s="22">
        <f ca="1">+GETPIVOTDATA("XSR4",'suoirao (2016)'!$A$3,"MA_HT","CQP","MA_QH","DKV")</f>
        <v>0</v>
      </c>
      <c r="BA20" s="89">
        <f ca="1">+GETPIVOTDATA("XSR4",'suoirao (2016)'!$A$3,"MA_HT","CQP","MA_QH","TIN")</f>
        <v>0</v>
      </c>
      <c r="BB20" s="50">
        <f ca="1">+GETPIVOTDATA("XSR4",'suoirao (2016)'!$A$3,"MA_HT","CQP","MA_QH","SON")</f>
        <v>0</v>
      </c>
      <c r="BC20" s="50">
        <f ca="1">+GETPIVOTDATA("XSR4",'suoirao (2016)'!$A$3,"MA_HT","CQP","MA_QH","MNC")</f>
        <v>0</v>
      </c>
      <c r="BD20" s="22">
        <f ca="1">+GETPIVOTDATA("XSR4",'suoirao (2016)'!$A$3,"MA_HT","CQP","MA_QH","PNK")</f>
        <v>0</v>
      </c>
      <c r="BE20" s="71">
        <f ca="1">+GETPIVOTDATA("XSR4",'suoirao (2016)'!$A$3,"MA_HT","CQP","MA_QH","CSD")</f>
        <v>0</v>
      </c>
      <c r="BF20" s="74">
        <f ca="1" t="shared" ref="BF20:BF57" si="13">BE20+R20+E20</f>
        <v>0</v>
      </c>
      <c r="BG20" s="101">
        <f ca="1">S$59-$BF20</f>
        <v>0</v>
      </c>
      <c r="BH20" s="41" t="e">
        <f ca="1" t="shared" ref="BH20:BH58" si="14">BG20+D20</f>
        <v>#REF!</v>
      </c>
      <c r="BI20" s="98"/>
      <c r="BJ20" s="98" t="e">
        <f>#REF!</f>
        <v>#REF!</v>
      </c>
      <c r="BK20" s="107" t="e">
        <f ca="1">BH20-BJ20</f>
        <v>#REF!</v>
      </c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</row>
    <row r="21" s="2" customFormat="1" ht="15.75" customHeight="1" spans="1:79">
      <c r="A21" s="39" t="s">
        <v>232</v>
      </c>
      <c r="B21" s="39" t="s">
        <v>8361</v>
      </c>
      <c r="C21" s="40" t="s">
        <v>8283</v>
      </c>
      <c r="D21" s="41" t="e">
        <f>+#REF!</f>
        <v>#REF!</v>
      </c>
      <c r="E21" s="42">
        <f ca="1" t="shared" ref="E21:E58" si="15">SUM(F21,J21:Q21)</f>
        <v>0</v>
      </c>
      <c r="F21" s="52">
        <f ca="1" t="shared" si="9"/>
        <v>0</v>
      </c>
      <c r="G21" s="22">
        <f ca="1">+GETPIVOTDATA("XSR4",'suoirao (2016)'!$A$3,"MA_HT","CAN","MA_QH","LUC")</f>
        <v>0</v>
      </c>
      <c r="H21" s="22">
        <f ca="1">+GETPIVOTDATA("XSR4",'suoirao (2016)'!$A$3,"MA_HT","CAN","MA_QH","LUK")</f>
        <v>0</v>
      </c>
      <c r="I21" s="22">
        <f ca="1">+GETPIVOTDATA("XSR4",'suoirao (2016)'!$A$3,"MA_HT","CAN","MA_QH","LUN")</f>
        <v>0</v>
      </c>
      <c r="J21" s="22">
        <f ca="1">+GETPIVOTDATA("XSR4",'suoirao (2016)'!$A$3,"MA_HT","CAN","MA_QH","HNK")</f>
        <v>0</v>
      </c>
      <c r="K21" s="22">
        <f ca="1">+GETPIVOTDATA("XSR4",'suoirao (2016)'!$A$3,"MA_HT","CAN","MA_QH","CLN")</f>
        <v>0</v>
      </c>
      <c r="L21" s="22">
        <f ca="1">+GETPIVOTDATA("XSR4",'suoirao (2016)'!$A$3,"MA_HT","CAN","MA_QH","RSX")</f>
        <v>0</v>
      </c>
      <c r="M21" s="22">
        <f ca="1">+GETPIVOTDATA("XSR4",'suoirao (2016)'!$A$3,"MA_HT","CAN","MA_QH","RPH")</f>
        <v>0</v>
      </c>
      <c r="N21" s="22">
        <f ca="1">+GETPIVOTDATA("XSR4",'suoirao (2016)'!$A$3,"MA_HT","CAN","MA_QH","RDD")</f>
        <v>0</v>
      </c>
      <c r="O21" s="22">
        <f ca="1">+GETPIVOTDATA("XSR4",'suoirao (2016)'!$A$3,"MA_HT","CAN","MA_QH","NTS")</f>
        <v>0</v>
      </c>
      <c r="P21" s="22">
        <f ca="1">+GETPIVOTDATA("XSR4",'suoirao (2016)'!$A$3,"MA_HT","CAN","MA_QH","LMU")</f>
        <v>0</v>
      </c>
      <c r="Q21" s="22">
        <f ca="1">+GETPIVOTDATA("XSR4",'suoirao (2016)'!$A$3,"MA_HT","CAN","MA_QH","NKH")</f>
        <v>0</v>
      </c>
      <c r="R21" s="42">
        <f ca="1">SUM(S21,U21:AA21,AN21:BD21)</f>
        <v>0</v>
      </c>
      <c r="S21" s="22">
        <f ca="1">+GETPIVOTDATA("XSR4",'suoirao (2016)'!$A$3,"MA_HT","CAN","MA_QH","CQP")</f>
        <v>0</v>
      </c>
      <c r="T21" s="43" t="e">
        <f ca="1">$D21-$BF21</f>
        <v>#REF!</v>
      </c>
      <c r="U21" s="22">
        <f ca="1">+GETPIVOTDATA("XSR4",'suoirao (2016)'!$A$3,"MA_HT","CAN","MA_QH","SKK")</f>
        <v>0</v>
      </c>
      <c r="V21" s="22">
        <f ca="1">+GETPIVOTDATA("XSR4",'suoirao (2016)'!$A$3,"MA_HT","CAN","MA_QH","SKT")</f>
        <v>0</v>
      </c>
      <c r="W21" s="22">
        <f ca="1">+GETPIVOTDATA("XSR4",'suoirao (2016)'!$A$3,"MA_HT","CAN","MA_QH","SKN")</f>
        <v>0</v>
      </c>
      <c r="X21" s="22">
        <f ca="1">+GETPIVOTDATA("XSR4",'suoirao (2016)'!$A$3,"MA_HT","CAN","MA_QH","TMD")</f>
        <v>0</v>
      </c>
      <c r="Y21" s="22">
        <f ca="1">+GETPIVOTDATA("XSR4",'suoirao (2016)'!$A$3,"MA_HT","CAN","MA_QH","SKC")</f>
        <v>0</v>
      </c>
      <c r="Z21" s="22">
        <f ca="1">+GETPIVOTDATA("XSR4",'suoirao (2016)'!$A$3,"MA_HT","CAN","MA_QH","SKS")</f>
        <v>0</v>
      </c>
      <c r="AA21" s="52">
        <f ca="1" t="shared" si="12"/>
        <v>0</v>
      </c>
      <c r="AB21" s="22">
        <f ca="1">+GETPIVOTDATA("XSR4",'suoirao (2016)'!$A$3,"MA_HT","CAN","MA_QH","DGT")</f>
        <v>0</v>
      </c>
      <c r="AC21" s="22">
        <f ca="1">+GETPIVOTDATA("XSR4",'suoirao (2016)'!$A$3,"MA_HT","CAN","MA_QH","DTL")</f>
        <v>0</v>
      </c>
      <c r="AD21" s="22">
        <f ca="1">+GETPIVOTDATA("XSR4",'suoirao (2016)'!$A$3,"MA_HT","CAN","MA_QH","DNL")</f>
        <v>0</v>
      </c>
      <c r="AE21" s="22">
        <f ca="1">+GETPIVOTDATA("XSR4",'suoirao (2016)'!$A$3,"MA_HT","CAN","MA_QH","DBV")</f>
        <v>0</v>
      </c>
      <c r="AF21" s="22">
        <f ca="1">+GETPIVOTDATA("XSR4",'suoirao (2016)'!$A$3,"MA_HT","CAN","MA_QH","DVH")</f>
        <v>0</v>
      </c>
      <c r="AG21" s="22">
        <f ca="1">+GETPIVOTDATA("XSR4",'suoirao (2016)'!$A$3,"MA_HT","CAN","MA_QH","DYT")</f>
        <v>0</v>
      </c>
      <c r="AH21" s="22">
        <f ca="1">+GETPIVOTDATA("XSR4",'suoirao (2016)'!$A$3,"MA_HT","CAN","MA_QH","DGD")</f>
        <v>0</v>
      </c>
      <c r="AI21" s="22">
        <f ca="1">+GETPIVOTDATA("XSR4",'suoirao (2016)'!$A$3,"MA_HT","CAN","MA_QH","DTT")</f>
        <v>0</v>
      </c>
      <c r="AJ21" s="22">
        <f ca="1">+GETPIVOTDATA("XSR4",'suoirao (2016)'!$A$3,"MA_HT","CAN","MA_QH","NCK")</f>
        <v>0</v>
      </c>
      <c r="AK21" s="22">
        <f ca="1">+GETPIVOTDATA("XSR4",'suoirao (2016)'!$A$3,"MA_HT","CAN","MA_QH","DXH")</f>
        <v>0</v>
      </c>
      <c r="AL21" s="22">
        <f ca="1">+GETPIVOTDATA("XSR4",'suoirao (2016)'!$A$3,"MA_HT","CAN","MA_QH","DCH")</f>
        <v>0</v>
      </c>
      <c r="AM21" s="22">
        <f ca="1">+GETPIVOTDATA("XSR4",'suoirao (2016)'!$A$3,"MA_HT","CAN","MA_QH","DKG")</f>
        <v>0</v>
      </c>
      <c r="AN21" s="22">
        <f ca="1">+GETPIVOTDATA("XSR4",'suoirao (2016)'!$A$3,"MA_HT","CAN","MA_QH","DDT")</f>
        <v>0</v>
      </c>
      <c r="AO21" s="22">
        <f ca="1">+GETPIVOTDATA("XSR4",'suoirao (2016)'!$A$3,"MA_HT","CAN","MA_QH","DDL")</f>
        <v>0</v>
      </c>
      <c r="AP21" s="22">
        <f ca="1">+GETPIVOTDATA("XSR4",'suoirao (2016)'!$A$3,"MA_HT","CAN","MA_QH","DRA")</f>
        <v>0</v>
      </c>
      <c r="AQ21" s="22">
        <f ca="1">+GETPIVOTDATA("XSR4",'suoirao (2016)'!$A$3,"MA_HT","CAN","MA_QH","ONT")</f>
        <v>0</v>
      </c>
      <c r="AR21" s="22">
        <f ca="1">+GETPIVOTDATA("XSR4",'suoirao (2016)'!$A$3,"MA_HT","CAN","MA_QH","ODT")</f>
        <v>0</v>
      </c>
      <c r="AS21" s="22">
        <f ca="1">+GETPIVOTDATA("XSR4",'suoirao (2016)'!$A$3,"MA_HT","CAN","MA_QH","TSC")</f>
        <v>0</v>
      </c>
      <c r="AT21" s="22">
        <f ca="1">+GETPIVOTDATA("XSR4",'suoirao (2016)'!$A$3,"MA_HT","CAN","MA_QH","DTS")</f>
        <v>0</v>
      </c>
      <c r="AU21" s="22">
        <f ca="1">+GETPIVOTDATA("XSR4",'suoirao (2016)'!$A$3,"MA_HT","CAN","MA_QH","DNG")</f>
        <v>0</v>
      </c>
      <c r="AV21" s="22">
        <f ca="1">+GETPIVOTDATA("XSR4",'suoirao (2016)'!$A$3,"MA_HT","CAN","MA_QH","TON")</f>
        <v>0</v>
      </c>
      <c r="AW21" s="22">
        <f ca="1">+GETPIVOTDATA("XSR4",'suoirao (2016)'!$A$3,"MA_HT","CAN","MA_QH","NTD")</f>
        <v>0</v>
      </c>
      <c r="AX21" s="22">
        <f ca="1">+GETPIVOTDATA("XSR4",'suoirao (2016)'!$A$3,"MA_HT","CAN","MA_QH","SKX")</f>
        <v>0</v>
      </c>
      <c r="AY21" s="22">
        <f ca="1">+GETPIVOTDATA("XSR4",'suoirao (2016)'!$A$3,"MA_HT","CAN","MA_QH","DSH")</f>
        <v>0</v>
      </c>
      <c r="AZ21" s="22">
        <f ca="1">+GETPIVOTDATA("XSR4",'suoirao (2016)'!$A$3,"MA_HT","CAN","MA_QH","DKV")</f>
        <v>0</v>
      </c>
      <c r="BA21" s="89">
        <f ca="1">+GETPIVOTDATA("XSR4",'suoirao (2016)'!$A$3,"MA_HT","CAN","MA_QH","TIN")</f>
        <v>0</v>
      </c>
      <c r="BB21" s="50">
        <f ca="1">+GETPIVOTDATA("XSR4",'suoirao (2016)'!$A$3,"MA_HT","CAN","MA_QH","SON")</f>
        <v>0</v>
      </c>
      <c r="BC21" s="50">
        <f ca="1">+GETPIVOTDATA("XSR4",'suoirao (2016)'!$A$3,"MA_HT","CAN","MA_QH","MNC")</f>
        <v>0</v>
      </c>
      <c r="BD21" s="22">
        <f ca="1">+GETPIVOTDATA("XSR4",'suoirao (2016)'!$A$3,"MA_HT","CAN","MA_QH","PNK")</f>
        <v>0</v>
      </c>
      <c r="BE21" s="71">
        <f ca="1">+GETPIVOTDATA("XSR4",'suoirao (2016)'!$A$3,"MA_HT","CAN","MA_QH","CSD")</f>
        <v>0</v>
      </c>
      <c r="BF21" s="74">
        <f ca="1" t="shared" si="13"/>
        <v>0</v>
      </c>
      <c r="BG21" s="101">
        <f ca="1">T$59-$BF21</f>
        <v>0</v>
      </c>
      <c r="BH21" s="41" t="e">
        <f ca="1" t="shared" si="14"/>
        <v>#REF!</v>
      </c>
      <c r="BI21" s="98"/>
      <c r="BJ21" s="98" t="e">
        <f>#REF!</f>
        <v>#REF!</v>
      </c>
      <c r="BK21" s="107" t="e">
        <f ca="1">BH21-BJ21</f>
        <v>#REF!</v>
      </c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</row>
    <row r="22" s="2" customFormat="1" ht="15.75" customHeight="1" spans="1:79">
      <c r="A22" s="39" t="s">
        <v>8362</v>
      </c>
      <c r="B22" s="53" t="s">
        <v>8363</v>
      </c>
      <c r="C22" s="40" t="s">
        <v>47</v>
      </c>
      <c r="D22" s="41" t="e">
        <f>+#REF!</f>
        <v>#REF!</v>
      </c>
      <c r="E22" s="42">
        <f ca="1" t="shared" si="15"/>
        <v>0</v>
      </c>
      <c r="F22" s="52">
        <f ca="1" t="shared" si="9"/>
        <v>0</v>
      </c>
      <c r="G22" s="22">
        <f ca="1">+GETPIVOTDATA("XSR4",'suoirao (2016)'!$A$3,"MA_HT","SKK","MA_QH","LUC")</f>
        <v>0</v>
      </c>
      <c r="H22" s="22">
        <f ca="1">+GETPIVOTDATA("XSR4",'suoirao (2016)'!$A$3,"MA_HT","SKK","MA_QH","LUK")</f>
        <v>0</v>
      </c>
      <c r="I22" s="22">
        <f ca="1">+GETPIVOTDATA("XSR4",'suoirao (2016)'!$A$3,"MA_HT","SKK","MA_QH","LUN")</f>
        <v>0</v>
      </c>
      <c r="J22" s="22">
        <f ca="1">+GETPIVOTDATA("XSR4",'suoirao (2016)'!$A$3,"MA_HT","SKK","MA_QH","HNK")</f>
        <v>0</v>
      </c>
      <c r="K22" s="22">
        <f ca="1">+GETPIVOTDATA("XSR4",'suoirao (2016)'!$A$3,"MA_HT","SKK","MA_QH","CLN")</f>
        <v>0</v>
      </c>
      <c r="L22" s="22">
        <f ca="1">+GETPIVOTDATA("XSR4",'suoirao (2016)'!$A$3,"MA_HT","SKK","MA_QH","RSX")</f>
        <v>0</v>
      </c>
      <c r="M22" s="22">
        <f ca="1">+GETPIVOTDATA("XSR4",'suoirao (2016)'!$A$3,"MA_HT","SKK","MA_QH","RPH")</f>
        <v>0</v>
      </c>
      <c r="N22" s="22">
        <f ca="1">+GETPIVOTDATA("XSR4",'suoirao (2016)'!$A$3,"MA_HT","SKK","MA_QH","RDD")</f>
        <v>0</v>
      </c>
      <c r="O22" s="22">
        <f ca="1">+GETPIVOTDATA("XSR4",'suoirao (2016)'!$A$3,"MA_HT","SKK","MA_QH","NTS")</f>
        <v>0</v>
      </c>
      <c r="P22" s="22">
        <f ca="1">+GETPIVOTDATA("XSR4",'suoirao (2016)'!$A$3,"MA_HT","SKK","MA_QH","LMU")</f>
        <v>0</v>
      </c>
      <c r="Q22" s="22">
        <f ca="1">+GETPIVOTDATA("XSR4",'suoirao (2016)'!$A$3,"MA_HT","SKK","MA_QH","NKH")</f>
        <v>0</v>
      </c>
      <c r="R22" s="42">
        <f ca="1">SUM(S22:T22,V22:AA22,AN22:BD22)</f>
        <v>0</v>
      </c>
      <c r="S22" s="22">
        <f ca="1">+GETPIVOTDATA("XSR4",'suoirao (2016)'!$A$3,"MA_HT","SKK","MA_QH","CQP")</f>
        <v>0</v>
      </c>
      <c r="T22" s="22">
        <f ca="1">+GETPIVOTDATA("XSR4",'suoirao (2016)'!$A$3,"MA_HT","SKK","MA_QH","CAN")</f>
        <v>0</v>
      </c>
      <c r="U22" s="43" t="e">
        <f ca="1">$D22-$BF22</f>
        <v>#REF!</v>
      </c>
      <c r="V22" s="22">
        <f ca="1">+GETPIVOTDATA("XSR4",'suoirao (2016)'!$A$3,"MA_HT","SKK","MA_QH","SKT")</f>
        <v>0</v>
      </c>
      <c r="W22" s="22">
        <f ca="1">+GETPIVOTDATA("XSR4",'suoirao (2016)'!$A$3,"MA_HT","SKK","MA_QH","SKN")</f>
        <v>0</v>
      </c>
      <c r="X22" s="22">
        <f ca="1">+GETPIVOTDATA("XSR4",'suoirao (2016)'!$A$3,"MA_HT","SKK","MA_QH","TMD")</f>
        <v>0</v>
      </c>
      <c r="Y22" s="22">
        <f ca="1">+GETPIVOTDATA("XSR4",'suoirao (2016)'!$A$3,"MA_HT","SKK","MA_QH","SKC")</f>
        <v>0</v>
      </c>
      <c r="Z22" s="22">
        <f ca="1">+GETPIVOTDATA("XSR4",'suoirao (2016)'!$A$3,"MA_HT","SKK","MA_QH","SKS")</f>
        <v>0</v>
      </c>
      <c r="AA22" s="52">
        <f ca="1" t="shared" si="12"/>
        <v>0</v>
      </c>
      <c r="AB22" s="22">
        <f ca="1">+GETPIVOTDATA("XSR4",'suoirao (2016)'!$A$3,"MA_HT","SKK","MA_QH","DGT")</f>
        <v>0</v>
      </c>
      <c r="AC22" s="22">
        <f ca="1">+GETPIVOTDATA("XSR4",'suoirao (2016)'!$A$3,"MA_HT","SKK","MA_QH","DTL")</f>
        <v>0</v>
      </c>
      <c r="AD22" s="22">
        <f ca="1">+GETPIVOTDATA("XSR4",'suoirao (2016)'!$A$3,"MA_HT","SKK","MA_QH","DNL")</f>
        <v>0</v>
      </c>
      <c r="AE22" s="22">
        <f ca="1">+GETPIVOTDATA("XSR4",'suoirao (2016)'!$A$3,"MA_HT","SKK","MA_QH","DBV")</f>
        <v>0</v>
      </c>
      <c r="AF22" s="22">
        <f ca="1">+GETPIVOTDATA("XSR4",'suoirao (2016)'!$A$3,"MA_HT","SKK","MA_QH","DVH")</f>
        <v>0</v>
      </c>
      <c r="AG22" s="22">
        <f ca="1">+GETPIVOTDATA("XSR4",'suoirao (2016)'!$A$3,"MA_HT","SKK","MA_QH","DYT")</f>
        <v>0</v>
      </c>
      <c r="AH22" s="22">
        <f ca="1">+GETPIVOTDATA("XSR4",'suoirao (2016)'!$A$3,"MA_HT","SKK","MA_QH","DGD")</f>
        <v>0</v>
      </c>
      <c r="AI22" s="22">
        <f ca="1">+GETPIVOTDATA("XSR4",'suoirao (2016)'!$A$3,"MA_HT","SKK","MA_QH","DTT")</f>
        <v>0</v>
      </c>
      <c r="AJ22" s="22">
        <f ca="1">+GETPIVOTDATA("XSR4",'suoirao (2016)'!$A$3,"MA_HT","SKK","MA_QH","NCK")</f>
        <v>0</v>
      </c>
      <c r="AK22" s="22">
        <f ca="1">+GETPIVOTDATA("XSR4",'suoirao (2016)'!$A$3,"MA_HT","SKK","MA_QH","DXH")</f>
        <v>0</v>
      </c>
      <c r="AL22" s="22">
        <f ca="1">+GETPIVOTDATA("XSR4",'suoirao (2016)'!$A$3,"MA_HT","SKK","MA_QH","DCH")</f>
        <v>0</v>
      </c>
      <c r="AM22" s="22">
        <f ca="1">+GETPIVOTDATA("XSR4",'suoirao (2016)'!$A$3,"MA_HT","SKK","MA_QH","DKG")</f>
        <v>0</v>
      </c>
      <c r="AN22" s="22">
        <f ca="1">+GETPIVOTDATA("XSR4",'suoirao (2016)'!$A$3,"MA_HT","SKK","MA_QH","DDT")</f>
        <v>0</v>
      </c>
      <c r="AO22" s="22">
        <f ca="1">+GETPIVOTDATA("XSR4",'suoirao (2016)'!$A$3,"MA_HT","SKK","MA_QH","DDL")</f>
        <v>0</v>
      </c>
      <c r="AP22" s="22">
        <f ca="1">+GETPIVOTDATA("XSR4",'suoirao (2016)'!$A$3,"MA_HT","SKK","MA_QH","DRA")</f>
        <v>0</v>
      </c>
      <c r="AQ22" s="22">
        <f ca="1">+GETPIVOTDATA("XSR4",'suoirao (2016)'!$A$3,"MA_HT","SKK","MA_QH","ONT")</f>
        <v>0</v>
      </c>
      <c r="AR22" s="22">
        <f ca="1">+GETPIVOTDATA("XSR4",'suoirao (2016)'!$A$3,"MA_HT","SKK","MA_QH","ODT")</f>
        <v>0</v>
      </c>
      <c r="AS22" s="22">
        <f ca="1">+GETPIVOTDATA("XSR4",'suoirao (2016)'!$A$3,"MA_HT","SKK","MA_QH","TSC")</f>
        <v>0</v>
      </c>
      <c r="AT22" s="22">
        <f ca="1">+GETPIVOTDATA("XSR4",'suoirao (2016)'!$A$3,"MA_HT","SKK","MA_QH","DTS")</f>
        <v>0</v>
      </c>
      <c r="AU22" s="22">
        <f ca="1">+GETPIVOTDATA("XSR4",'suoirao (2016)'!$A$3,"MA_HT","SKK","MA_QH","DNG")</f>
        <v>0</v>
      </c>
      <c r="AV22" s="22">
        <f ca="1">+GETPIVOTDATA("XSR4",'suoirao (2016)'!$A$3,"MA_HT","SKK","MA_QH","TON")</f>
        <v>0</v>
      </c>
      <c r="AW22" s="22">
        <f ca="1">+GETPIVOTDATA("XSR4",'suoirao (2016)'!$A$3,"MA_HT","SKK","MA_QH","NTD")</f>
        <v>0</v>
      </c>
      <c r="AX22" s="22">
        <f ca="1">+GETPIVOTDATA("XSR4",'suoirao (2016)'!$A$3,"MA_HT","SKK","MA_QH","SKX")</f>
        <v>0</v>
      </c>
      <c r="AY22" s="22">
        <f ca="1">+GETPIVOTDATA("XSR4",'suoirao (2016)'!$A$3,"MA_HT","SKK","MA_QH","DSH")</f>
        <v>0</v>
      </c>
      <c r="AZ22" s="22">
        <f ca="1">+GETPIVOTDATA("XSR4",'suoirao (2016)'!$A$3,"MA_HT","SKK","MA_QH","DKV")</f>
        <v>0</v>
      </c>
      <c r="BA22" s="89">
        <f ca="1">+GETPIVOTDATA("XSR4",'suoirao (2016)'!$A$3,"MA_HT","SKK","MA_QH","TIN")</f>
        <v>0</v>
      </c>
      <c r="BB22" s="50">
        <f ca="1">+GETPIVOTDATA("XSR4",'suoirao (2016)'!$A$3,"MA_HT","SKK","MA_QH","SON")</f>
        <v>0</v>
      </c>
      <c r="BC22" s="50">
        <f ca="1">+GETPIVOTDATA("XSR4",'suoirao (2016)'!$A$3,"MA_HT","SKK","MA_QH","MNC")</f>
        <v>0</v>
      </c>
      <c r="BD22" s="22">
        <f ca="1">+GETPIVOTDATA("XSR4",'suoirao (2016)'!$A$3,"MA_HT","SKK","MA_QH","PNK")</f>
        <v>0</v>
      </c>
      <c r="BE22" s="71">
        <f ca="1">+GETPIVOTDATA("XSR4",'suoirao (2016)'!$A$3,"MA_HT","SKK","MA_QH","CSD")</f>
        <v>0</v>
      </c>
      <c r="BF22" s="74">
        <f ca="1" t="shared" si="13"/>
        <v>0</v>
      </c>
      <c r="BG22" s="101">
        <f ca="1">U$59-$BF22</f>
        <v>0</v>
      </c>
      <c r="BH22" s="41" t="e">
        <f ca="1" t="shared" si="14"/>
        <v>#REF!</v>
      </c>
      <c r="BI22" s="98"/>
      <c r="BJ22" s="107" t="e">
        <f>#REF!</f>
        <v>#REF!</v>
      </c>
      <c r="BK22" s="107" t="e">
        <f ca="1">BH22-BJ22</f>
        <v>#REF!</v>
      </c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</row>
    <row r="23" s="2" customFormat="1" ht="15.75" customHeight="1" spans="1:79">
      <c r="A23" s="39" t="s">
        <v>8364</v>
      </c>
      <c r="B23" s="53" t="s">
        <v>8365</v>
      </c>
      <c r="C23" s="40" t="s">
        <v>8308</v>
      </c>
      <c r="D23" s="41" t="e">
        <f>+#REF!</f>
        <v>#REF!</v>
      </c>
      <c r="E23" s="42">
        <f ca="1" t="shared" si="15"/>
        <v>0</v>
      </c>
      <c r="F23" s="52">
        <f ca="1" t="shared" si="9"/>
        <v>0</v>
      </c>
      <c r="G23" s="22">
        <f ca="1">+GETPIVOTDATA("XSR4",'suoirao (2016)'!$A$3,"MA_HT","SKT","MA_QH","LUC")</f>
        <v>0</v>
      </c>
      <c r="H23" s="22">
        <f ca="1">+GETPIVOTDATA("XSR4",'suoirao (2016)'!$A$3,"MA_HT","SKT","MA_QH","LUK")</f>
        <v>0</v>
      </c>
      <c r="I23" s="22">
        <f ca="1">+GETPIVOTDATA("XSR4",'suoirao (2016)'!$A$3,"MA_HT","SKT","MA_QH","LUN")</f>
        <v>0</v>
      </c>
      <c r="J23" s="22">
        <f ca="1">+GETPIVOTDATA("XSR4",'suoirao (2016)'!$A$3,"MA_HT","SKT","MA_QH","HNK")</f>
        <v>0</v>
      </c>
      <c r="K23" s="22">
        <f ca="1">+GETPIVOTDATA("XSR4",'suoirao (2016)'!$A$3,"MA_HT","SKT","MA_QH","CLN")</f>
        <v>0</v>
      </c>
      <c r="L23" s="22">
        <f ca="1">+GETPIVOTDATA("XSR4",'suoirao (2016)'!$A$3,"MA_HT","SKT","MA_QH","RSX")</f>
        <v>0</v>
      </c>
      <c r="M23" s="22">
        <f ca="1">+GETPIVOTDATA("XSR4",'suoirao (2016)'!$A$3,"MA_HT","SKT","MA_QH","RPH")</f>
        <v>0</v>
      </c>
      <c r="N23" s="22">
        <f ca="1">+GETPIVOTDATA("XSR4",'suoirao (2016)'!$A$3,"MA_HT","SKT","MA_QH","RDD")</f>
        <v>0</v>
      </c>
      <c r="O23" s="22">
        <f ca="1">+GETPIVOTDATA("XSR4",'suoirao (2016)'!$A$3,"MA_HT","SKT","MA_QH","NTS")</f>
        <v>0</v>
      </c>
      <c r="P23" s="22">
        <f ca="1">+GETPIVOTDATA("XSR4",'suoirao (2016)'!$A$3,"MA_HT","SKT","MA_QH","LMU")</f>
        <v>0</v>
      </c>
      <c r="Q23" s="22">
        <f ca="1">+GETPIVOTDATA("XSR4",'suoirao (2016)'!$A$3,"MA_HT","SKT","MA_QH","NKH")</f>
        <v>0</v>
      </c>
      <c r="R23" s="42">
        <f ca="1">SUM(S23:U23,W23:AA23,AN23:BD23)</f>
        <v>0</v>
      </c>
      <c r="S23" s="22">
        <f ca="1">+GETPIVOTDATA("XSR4",'suoirao (2016)'!$A$3,"MA_HT","SKT","MA_QH","CQP")</f>
        <v>0</v>
      </c>
      <c r="T23" s="22">
        <f ca="1">+GETPIVOTDATA("XSR4",'suoirao (2016)'!$A$3,"MA_HT","SKT","MA_QH","CAN")</f>
        <v>0</v>
      </c>
      <c r="U23" s="22">
        <f ca="1">+GETPIVOTDATA("XSR4",'suoirao (2016)'!$A$3,"MA_HT","SKT","MA_QH","SKK")</f>
        <v>0</v>
      </c>
      <c r="V23" s="43" t="e">
        <f ca="1">$D23-$BF23</f>
        <v>#REF!</v>
      </c>
      <c r="W23" s="22">
        <f ca="1">+GETPIVOTDATA("XSR4",'suoirao (2016)'!$A$3,"MA_HT","SKT","MA_QH","SKN")</f>
        <v>0</v>
      </c>
      <c r="X23" s="22">
        <f ca="1">+GETPIVOTDATA("XSR4",'suoirao (2016)'!$A$3,"MA_HT","SKT","MA_QH","TMD")</f>
        <v>0</v>
      </c>
      <c r="Y23" s="22">
        <f ca="1">+GETPIVOTDATA("XSR4",'suoirao (2016)'!$A$3,"MA_HT","SKT","MA_QH","SKC")</f>
        <v>0</v>
      </c>
      <c r="Z23" s="22">
        <f ca="1">+GETPIVOTDATA("XSR4",'suoirao (2016)'!$A$3,"MA_HT","SKT","MA_QH","SKS")</f>
        <v>0</v>
      </c>
      <c r="AA23" s="52">
        <f ca="1" t="shared" si="12"/>
        <v>0</v>
      </c>
      <c r="AB23" s="22">
        <f ca="1">+GETPIVOTDATA("XSR4",'suoirao (2016)'!$A$3,"MA_HT","SKT","MA_QH","DGT")</f>
        <v>0</v>
      </c>
      <c r="AC23" s="22">
        <f ca="1">+GETPIVOTDATA("XSR4",'suoirao (2016)'!$A$3,"MA_HT","SKT","MA_QH","DTL")</f>
        <v>0</v>
      </c>
      <c r="AD23" s="22">
        <f ca="1">+GETPIVOTDATA("XSR4",'suoirao (2016)'!$A$3,"MA_HT","SKT","MA_QH","DNL")</f>
        <v>0</v>
      </c>
      <c r="AE23" s="22">
        <f ca="1">+GETPIVOTDATA("XSR4",'suoirao (2016)'!$A$3,"MA_HT","SKT","MA_QH","DBV")</f>
        <v>0</v>
      </c>
      <c r="AF23" s="22">
        <f ca="1">+GETPIVOTDATA("XSR4",'suoirao (2016)'!$A$3,"MA_HT","SKT","MA_QH","DVH")</f>
        <v>0</v>
      </c>
      <c r="AG23" s="22">
        <f ca="1">+GETPIVOTDATA("XSR4",'suoirao (2016)'!$A$3,"MA_HT","SKT","MA_QH","DYT")</f>
        <v>0</v>
      </c>
      <c r="AH23" s="22">
        <f ca="1">+GETPIVOTDATA("XSR4",'suoirao (2016)'!$A$3,"MA_HT","SKT","MA_QH","DGD")</f>
        <v>0</v>
      </c>
      <c r="AI23" s="22">
        <f ca="1">+GETPIVOTDATA("XSR4",'suoirao (2016)'!$A$3,"MA_HT","SKT","MA_QH","DTT")</f>
        <v>0</v>
      </c>
      <c r="AJ23" s="22">
        <f ca="1">+GETPIVOTDATA("XSR4",'suoirao (2016)'!$A$3,"MA_HT","SKT","MA_QH","NCK")</f>
        <v>0</v>
      </c>
      <c r="AK23" s="22">
        <f ca="1">+GETPIVOTDATA("XSR4",'suoirao (2016)'!$A$3,"MA_HT","SKT","MA_QH","DXH")</f>
        <v>0</v>
      </c>
      <c r="AL23" s="22">
        <f ca="1">+GETPIVOTDATA("XSR4",'suoirao (2016)'!$A$3,"MA_HT","SKT","MA_QH","DCH")</f>
        <v>0</v>
      </c>
      <c r="AM23" s="22">
        <f ca="1">+GETPIVOTDATA("XSR4",'suoirao (2016)'!$A$3,"MA_HT","SKT","MA_QH","DKG")</f>
        <v>0</v>
      </c>
      <c r="AN23" s="22">
        <f ca="1">+GETPIVOTDATA("XSR4",'suoirao (2016)'!$A$3,"MA_HT","SKT","MA_QH","DDT")</f>
        <v>0</v>
      </c>
      <c r="AO23" s="22">
        <f ca="1">+GETPIVOTDATA("XSR4",'suoirao (2016)'!$A$3,"MA_HT","SKT","MA_QH","DDL")</f>
        <v>0</v>
      </c>
      <c r="AP23" s="22">
        <f ca="1">+GETPIVOTDATA("XSR4",'suoirao (2016)'!$A$3,"MA_HT","SKT","MA_QH","DRA")</f>
        <v>0</v>
      </c>
      <c r="AQ23" s="22">
        <f ca="1">+GETPIVOTDATA("XSR4",'suoirao (2016)'!$A$3,"MA_HT","SKT","MA_QH","ONT")</f>
        <v>0</v>
      </c>
      <c r="AR23" s="22">
        <f ca="1">+GETPIVOTDATA("XSR4",'suoirao (2016)'!$A$3,"MA_HT","SKT","MA_QH","ODT")</f>
        <v>0</v>
      </c>
      <c r="AS23" s="22">
        <f ca="1">+GETPIVOTDATA("XSR4",'suoirao (2016)'!$A$3,"MA_HT","SKT","MA_QH","TSC")</f>
        <v>0</v>
      </c>
      <c r="AT23" s="22">
        <f ca="1">+GETPIVOTDATA("XSR4",'suoirao (2016)'!$A$3,"MA_HT","SKT","MA_QH","DTS")</f>
        <v>0</v>
      </c>
      <c r="AU23" s="22">
        <f ca="1">+GETPIVOTDATA("XSR4",'suoirao (2016)'!$A$3,"MA_HT","SKT","MA_QH","DNG")</f>
        <v>0</v>
      </c>
      <c r="AV23" s="22">
        <f ca="1">+GETPIVOTDATA("XSR4",'suoirao (2016)'!$A$3,"MA_HT","SKT","MA_QH","TON")</f>
        <v>0</v>
      </c>
      <c r="AW23" s="22">
        <f ca="1">+GETPIVOTDATA("XSR4",'suoirao (2016)'!$A$3,"MA_HT","SKT","MA_QH","NTD")</f>
        <v>0</v>
      </c>
      <c r="AX23" s="22">
        <f ca="1">+GETPIVOTDATA("XSR4",'suoirao (2016)'!$A$3,"MA_HT","SKT","MA_QH","SKX")</f>
        <v>0</v>
      </c>
      <c r="AY23" s="22">
        <f ca="1">+GETPIVOTDATA("XSR4",'suoirao (2016)'!$A$3,"MA_HT","SKT","MA_QH","DSH")</f>
        <v>0</v>
      </c>
      <c r="AZ23" s="22">
        <f ca="1">+GETPIVOTDATA("XSR4",'suoirao (2016)'!$A$3,"MA_HT","SKT","MA_QH","DKV")</f>
        <v>0</v>
      </c>
      <c r="BA23" s="89">
        <f ca="1">+GETPIVOTDATA("XSR4",'suoirao (2016)'!$A$3,"MA_HT","SKT","MA_QH","TIN")</f>
        <v>0</v>
      </c>
      <c r="BB23" s="50">
        <f ca="1">+GETPIVOTDATA("XSR4",'suoirao (2016)'!$A$3,"MA_HT","SKT","MA_QH","SON")</f>
        <v>0</v>
      </c>
      <c r="BC23" s="50">
        <f ca="1">+GETPIVOTDATA("XSR4",'suoirao (2016)'!$A$3,"MA_HT","SKT","MA_QH","MNC")</f>
        <v>0</v>
      </c>
      <c r="BD23" s="22">
        <f ca="1">+GETPIVOTDATA("XSR4",'suoirao (2016)'!$A$3,"MA_HT","SKT","MA_QH","PNK")</f>
        <v>0</v>
      </c>
      <c r="BE23" s="71">
        <f ca="1">+GETPIVOTDATA("XSR4",'suoirao (2016)'!$A$3,"MA_HT","SKT","MA_QH","CSD")</f>
        <v>0</v>
      </c>
      <c r="BF23" s="74">
        <f ca="1" t="shared" si="13"/>
        <v>0</v>
      </c>
      <c r="BG23" s="101">
        <f ca="1">V$59-$BF23</f>
        <v>0</v>
      </c>
      <c r="BH23" s="41" t="e">
        <f ca="1" t="shared" si="14"/>
        <v>#REF!</v>
      </c>
      <c r="BI23" s="98"/>
      <c r="BJ23" s="107"/>
      <c r="BK23" s="107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</row>
    <row r="24" s="2" customFormat="1" ht="15.75" customHeight="1" spans="1:79">
      <c r="A24" s="39" t="s">
        <v>8366</v>
      </c>
      <c r="B24" s="53" t="s">
        <v>8367</v>
      </c>
      <c r="C24" s="40" t="s">
        <v>56</v>
      </c>
      <c r="D24" s="41" t="e">
        <f>+#REF!</f>
        <v>#REF!</v>
      </c>
      <c r="E24" s="42">
        <f ca="1" t="shared" si="15"/>
        <v>0</v>
      </c>
      <c r="F24" s="52">
        <f ca="1" t="shared" si="9"/>
        <v>0</v>
      </c>
      <c r="G24" s="22">
        <f ca="1">+GETPIVOTDATA("XSR4",'suoirao (2016)'!$A$3,"MA_HT","SKN","MA_QH","LUC")</f>
        <v>0</v>
      </c>
      <c r="H24" s="22">
        <f ca="1">+GETPIVOTDATA("XSR4",'suoirao (2016)'!$A$3,"MA_HT","SKN","MA_QH","LUK")</f>
        <v>0</v>
      </c>
      <c r="I24" s="22">
        <f ca="1">+GETPIVOTDATA("XSR4",'suoirao (2016)'!$A$3,"MA_HT","SKN","MA_QH","LUN")</f>
        <v>0</v>
      </c>
      <c r="J24" s="22">
        <f ca="1">+GETPIVOTDATA("XSR4",'suoirao (2016)'!$A$3,"MA_HT","SKN","MA_QH","HNK")</f>
        <v>0</v>
      </c>
      <c r="K24" s="22">
        <f ca="1">+GETPIVOTDATA("XSR4",'suoirao (2016)'!$A$3,"MA_HT","SKN","MA_QH","CLN")</f>
        <v>0</v>
      </c>
      <c r="L24" s="22">
        <f ca="1">+GETPIVOTDATA("XSR4",'suoirao (2016)'!$A$3,"MA_HT","SKN","MA_QH","RSX")</f>
        <v>0</v>
      </c>
      <c r="M24" s="22">
        <f ca="1">+GETPIVOTDATA("XSR4",'suoirao (2016)'!$A$3,"MA_HT","SKN","MA_QH","RPH")</f>
        <v>0</v>
      </c>
      <c r="N24" s="22">
        <f ca="1">+GETPIVOTDATA("XSR4",'suoirao (2016)'!$A$3,"MA_HT","SKN","MA_QH","RDD")</f>
        <v>0</v>
      </c>
      <c r="O24" s="22">
        <f ca="1">+GETPIVOTDATA("XSR4",'suoirao (2016)'!$A$3,"MA_HT","SKN","MA_QH","NTS")</f>
        <v>0</v>
      </c>
      <c r="P24" s="22">
        <f ca="1">+GETPIVOTDATA("XSR4",'suoirao (2016)'!$A$3,"MA_HT","SKN","MA_QH","LMU")</f>
        <v>0</v>
      </c>
      <c r="Q24" s="22">
        <f ca="1">+GETPIVOTDATA("XSR4",'suoirao (2016)'!$A$3,"MA_HT","SKN","MA_QH","NKH")</f>
        <v>0</v>
      </c>
      <c r="R24" s="42">
        <f ca="1">SUM(S24:V24,X24:AA24,AN24:BD24)</f>
        <v>0</v>
      </c>
      <c r="S24" s="22">
        <f ca="1">+GETPIVOTDATA("XSR4",'suoirao (2016)'!$A$3,"MA_HT","SKN","MA_QH","CQP")</f>
        <v>0</v>
      </c>
      <c r="T24" s="22">
        <f ca="1">+GETPIVOTDATA("XSR4",'suoirao (2016)'!$A$3,"MA_HT","SKN","MA_QH","CAN")</f>
        <v>0</v>
      </c>
      <c r="U24" s="22">
        <f ca="1">+GETPIVOTDATA("XSR4",'suoirao (2016)'!$A$3,"MA_HT","SKN","MA_QH","SKK")</f>
        <v>0</v>
      </c>
      <c r="V24" s="22">
        <f ca="1">+GETPIVOTDATA("XSR4",'suoirao (2016)'!$A$3,"MA_HT","SKN","MA_QH","SKT")</f>
        <v>0</v>
      </c>
      <c r="W24" s="43" t="e">
        <f ca="1">$D24-$BF24</f>
        <v>#REF!</v>
      </c>
      <c r="X24" s="22">
        <f ca="1">+GETPIVOTDATA("XSR4",'suoirao (2016)'!$A$3,"MA_HT","SKN","MA_QH","TMD")</f>
        <v>0</v>
      </c>
      <c r="Y24" s="22">
        <f ca="1">+GETPIVOTDATA("XSR4",'suoirao (2016)'!$A$3,"MA_HT","SKN","MA_QH","SKC")</f>
        <v>0</v>
      </c>
      <c r="Z24" s="22">
        <f ca="1">+GETPIVOTDATA("XSR4",'suoirao (2016)'!$A$3,"MA_HT","SKN","MA_QH","SKS")</f>
        <v>0</v>
      </c>
      <c r="AA24" s="52">
        <f ca="1" t="shared" si="12"/>
        <v>0</v>
      </c>
      <c r="AB24" s="22">
        <f ca="1">+GETPIVOTDATA("XSR4",'suoirao (2016)'!$A$3,"MA_HT","SKN","MA_QH","DGT")</f>
        <v>0</v>
      </c>
      <c r="AC24" s="22">
        <f ca="1">+GETPIVOTDATA("XSR4",'suoirao (2016)'!$A$3,"MA_HT","SKN","MA_QH","DTL")</f>
        <v>0</v>
      </c>
      <c r="AD24" s="22">
        <f ca="1">+GETPIVOTDATA("XSR4",'suoirao (2016)'!$A$3,"MA_HT","SKN","MA_QH","DNL")</f>
        <v>0</v>
      </c>
      <c r="AE24" s="22">
        <f ca="1">+GETPIVOTDATA("XSR4",'suoirao (2016)'!$A$3,"MA_HT","SKN","MA_QH","DBV")</f>
        <v>0</v>
      </c>
      <c r="AF24" s="22">
        <f ca="1">+GETPIVOTDATA("XSR4",'suoirao (2016)'!$A$3,"MA_HT","SKN","MA_QH","DVH")</f>
        <v>0</v>
      </c>
      <c r="AG24" s="22">
        <f ca="1">+GETPIVOTDATA("XSR4",'suoirao (2016)'!$A$3,"MA_HT","SKN","MA_QH","DYT")</f>
        <v>0</v>
      </c>
      <c r="AH24" s="22">
        <f ca="1">+GETPIVOTDATA("XSR4",'suoirao (2016)'!$A$3,"MA_HT","SKN","MA_QH","DGD")</f>
        <v>0</v>
      </c>
      <c r="AI24" s="22">
        <f ca="1">+GETPIVOTDATA("XSR4",'suoirao (2016)'!$A$3,"MA_HT","SKN","MA_QH","DTT")</f>
        <v>0</v>
      </c>
      <c r="AJ24" s="22">
        <f ca="1">+GETPIVOTDATA("XSR4",'suoirao (2016)'!$A$3,"MA_HT","SKN","MA_QH","NCK")</f>
        <v>0</v>
      </c>
      <c r="AK24" s="22">
        <f ca="1">+GETPIVOTDATA("XSR4",'suoirao (2016)'!$A$3,"MA_HT","SKN","MA_QH","DXH")</f>
        <v>0</v>
      </c>
      <c r="AL24" s="22">
        <f ca="1">+GETPIVOTDATA("XSR4",'suoirao (2016)'!$A$3,"MA_HT","SKN","MA_QH","DCH")</f>
        <v>0</v>
      </c>
      <c r="AM24" s="22">
        <f ca="1">+GETPIVOTDATA("XSR4",'suoirao (2016)'!$A$3,"MA_HT","SKN","MA_QH","DKG")</f>
        <v>0</v>
      </c>
      <c r="AN24" s="22">
        <f ca="1">+GETPIVOTDATA("XSR4",'suoirao (2016)'!$A$3,"MA_HT","SKN","MA_QH","DDT")</f>
        <v>0</v>
      </c>
      <c r="AO24" s="22">
        <f ca="1">+GETPIVOTDATA("XSR4",'suoirao (2016)'!$A$3,"MA_HT","SKN","MA_QH","DDL")</f>
        <v>0</v>
      </c>
      <c r="AP24" s="22">
        <f ca="1">+GETPIVOTDATA("XSR4",'suoirao (2016)'!$A$3,"MA_HT","SKN","MA_QH","DRA")</f>
        <v>0</v>
      </c>
      <c r="AQ24" s="22">
        <f ca="1">+GETPIVOTDATA("XSR4",'suoirao (2016)'!$A$3,"MA_HT","SKN","MA_QH","ONT")</f>
        <v>0</v>
      </c>
      <c r="AR24" s="22">
        <f ca="1">+GETPIVOTDATA("XSR4",'suoirao (2016)'!$A$3,"MA_HT","SKN","MA_QH","ODT")</f>
        <v>0</v>
      </c>
      <c r="AS24" s="22">
        <f ca="1">+GETPIVOTDATA("XSR4",'suoirao (2016)'!$A$3,"MA_HT","SKN","MA_QH","TSC")</f>
        <v>0</v>
      </c>
      <c r="AT24" s="22">
        <f ca="1">+GETPIVOTDATA("XSR4",'suoirao (2016)'!$A$3,"MA_HT","SKN","MA_QH","DTS")</f>
        <v>0</v>
      </c>
      <c r="AU24" s="22">
        <f ca="1">+GETPIVOTDATA("XSR4",'suoirao (2016)'!$A$3,"MA_HT","SKN","MA_QH","DNG")</f>
        <v>0</v>
      </c>
      <c r="AV24" s="22">
        <f ca="1">+GETPIVOTDATA("XSR4",'suoirao (2016)'!$A$3,"MA_HT","SKN","MA_QH","TON")</f>
        <v>0</v>
      </c>
      <c r="AW24" s="22">
        <f ca="1">+GETPIVOTDATA("XSR4",'suoirao (2016)'!$A$3,"MA_HT","SKN","MA_QH","NTD")</f>
        <v>0</v>
      </c>
      <c r="AX24" s="22">
        <f ca="1">+GETPIVOTDATA("XSR4",'suoirao (2016)'!$A$3,"MA_HT","SKN","MA_QH","SKX")</f>
        <v>0</v>
      </c>
      <c r="AY24" s="22">
        <f ca="1">+GETPIVOTDATA("XSR4",'suoirao (2016)'!$A$3,"MA_HT","SKN","MA_QH","DSH")</f>
        <v>0</v>
      </c>
      <c r="AZ24" s="22">
        <f ca="1">+GETPIVOTDATA("XSR4",'suoirao (2016)'!$A$3,"MA_HT","SKN","MA_QH","DKV")</f>
        <v>0</v>
      </c>
      <c r="BA24" s="89">
        <f ca="1">+GETPIVOTDATA("XSR4",'suoirao (2016)'!$A$3,"MA_HT","SKN","MA_QH","TIN")</f>
        <v>0</v>
      </c>
      <c r="BB24" s="50">
        <f ca="1">+GETPIVOTDATA("XSR4",'suoirao (2016)'!$A$3,"MA_HT","SKN","MA_QH","SON")</f>
        <v>0</v>
      </c>
      <c r="BC24" s="50">
        <f ca="1">+GETPIVOTDATA("XSR4",'suoirao (2016)'!$A$3,"MA_HT","SKN","MA_QH","MNC")</f>
        <v>0</v>
      </c>
      <c r="BD24" s="22">
        <f ca="1">+GETPIVOTDATA("XSR4",'suoirao (2016)'!$A$3,"MA_HT","SKN","MA_QH","PNK")</f>
        <v>0</v>
      </c>
      <c r="BE24" s="71">
        <f ca="1">+GETPIVOTDATA("XSR4",'suoirao (2016)'!$A$3,"MA_HT","SKN","MA_QH","CSD")</f>
        <v>0</v>
      </c>
      <c r="BF24" s="74">
        <f ca="1" t="shared" si="13"/>
        <v>0</v>
      </c>
      <c r="BG24" s="101">
        <f ca="1">W$59-$BF24</f>
        <v>0</v>
      </c>
      <c r="BH24" s="41" t="e">
        <f ca="1" t="shared" si="14"/>
        <v>#REF!</v>
      </c>
      <c r="BI24" s="98"/>
      <c r="BJ24" s="107"/>
      <c r="BK24" s="107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</row>
    <row r="25" s="2" customFormat="1" ht="15.75" customHeight="1" spans="1:79">
      <c r="A25" s="39" t="s">
        <v>8368</v>
      </c>
      <c r="B25" s="39" t="s">
        <v>8369</v>
      </c>
      <c r="C25" s="40" t="s">
        <v>265</v>
      </c>
      <c r="D25" s="41" t="e">
        <f>+#REF!</f>
        <v>#REF!</v>
      </c>
      <c r="E25" s="42">
        <f ca="1" t="shared" si="15"/>
        <v>0</v>
      </c>
      <c r="F25" s="52">
        <f ca="1" t="shared" si="9"/>
        <v>0</v>
      </c>
      <c r="G25" s="22">
        <f ca="1">+GETPIVOTDATA("XSR4",'suoirao (2016)'!$A$3,"MA_HT","TMD","MA_QH","LUC")</f>
        <v>0</v>
      </c>
      <c r="H25" s="22">
        <f ca="1">+GETPIVOTDATA("XSR4",'suoirao (2016)'!$A$3,"MA_HT","TMD","MA_QH","LUK")</f>
        <v>0</v>
      </c>
      <c r="I25" s="22">
        <f ca="1">+GETPIVOTDATA("XSR4",'suoirao (2016)'!$A$3,"MA_HT","TMD","MA_QH","LUN")</f>
        <v>0</v>
      </c>
      <c r="J25" s="22">
        <f ca="1">+GETPIVOTDATA("XSR4",'suoirao (2016)'!$A$3,"MA_HT","TMD","MA_QH","HNK")</f>
        <v>0</v>
      </c>
      <c r="K25" s="22">
        <f ca="1">+GETPIVOTDATA("XSR4",'suoirao (2016)'!$A$3,"MA_HT","TMD","MA_QH","CLN")</f>
        <v>0</v>
      </c>
      <c r="L25" s="22">
        <f ca="1">+GETPIVOTDATA("XSR4",'suoirao (2016)'!$A$3,"MA_HT","TMD","MA_QH","RSX")</f>
        <v>0</v>
      </c>
      <c r="M25" s="22">
        <f ca="1">+GETPIVOTDATA("XSR4",'suoirao (2016)'!$A$3,"MA_HT","TMD","MA_QH","RPH")</f>
        <v>0</v>
      </c>
      <c r="N25" s="22">
        <f ca="1">+GETPIVOTDATA("XSR4",'suoirao (2016)'!$A$3,"MA_HT","TMD","MA_QH","RDD")</f>
        <v>0</v>
      </c>
      <c r="O25" s="22">
        <f ca="1">+GETPIVOTDATA("XSR4",'suoirao (2016)'!$A$3,"MA_HT","TMD","MA_QH","NTS")</f>
        <v>0</v>
      </c>
      <c r="P25" s="22">
        <f ca="1">+GETPIVOTDATA("XSR4",'suoirao (2016)'!$A$3,"MA_HT","TMD","MA_QH","LMU")</f>
        <v>0</v>
      </c>
      <c r="Q25" s="22">
        <f ca="1">+GETPIVOTDATA("XSR4",'suoirao (2016)'!$A$3,"MA_HT","TMD","MA_QH","NKH")</f>
        <v>0</v>
      </c>
      <c r="R25" s="42">
        <f ca="1">SUM(S25:W25,Y25:AA25,AN25:BD25)</f>
        <v>0</v>
      </c>
      <c r="S25" s="22">
        <f ca="1">+GETPIVOTDATA("XSR4",'suoirao (2016)'!$A$3,"MA_HT","TMD","MA_QH","CQP")</f>
        <v>0</v>
      </c>
      <c r="T25" s="22">
        <f ca="1">+GETPIVOTDATA("XSR4",'suoirao (2016)'!$A$3,"MA_HT","TMD","MA_QH","CAN")</f>
        <v>0</v>
      </c>
      <c r="U25" s="22">
        <f ca="1">+GETPIVOTDATA("XSR4",'suoirao (2016)'!$A$3,"MA_HT","TMD","MA_QH","SKK")</f>
        <v>0</v>
      </c>
      <c r="V25" s="22">
        <f ca="1">+GETPIVOTDATA("XSR4",'suoirao (2016)'!$A$3,"MA_HT","TMD","MA_QH","SKT")</f>
        <v>0</v>
      </c>
      <c r="W25" s="22">
        <f ca="1">+GETPIVOTDATA("XSR4",'suoirao (2016)'!$A$3,"MA_HT","TMD","MA_QH","SKN")</f>
        <v>0</v>
      </c>
      <c r="X25" s="43" t="e">
        <f ca="1">$D25-$BF25</f>
        <v>#REF!</v>
      </c>
      <c r="Y25" s="22">
        <f ca="1">+GETPIVOTDATA("XSR4",'suoirao (2016)'!$A$3,"MA_HT","TMD","MA_QH","SKC")</f>
        <v>0</v>
      </c>
      <c r="Z25" s="22">
        <f ca="1">+GETPIVOTDATA("XSR4",'suoirao (2016)'!$A$3,"MA_HT","TMD","MA_QH","SKS")</f>
        <v>0</v>
      </c>
      <c r="AA25" s="52">
        <f ca="1" t="shared" si="12"/>
        <v>0</v>
      </c>
      <c r="AB25" s="22">
        <f ca="1">+GETPIVOTDATA("XSR4",'suoirao (2016)'!$A$3,"MA_HT","TMD","MA_QH","DGT")</f>
        <v>0</v>
      </c>
      <c r="AC25" s="22">
        <f ca="1">+GETPIVOTDATA("XSR4",'suoirao (2016)'!$A$3,"MA_HT","TMD","MA_QH","DTL")</f>
        <v>0</v>
      </c>
      <c r="AD25" s="22">
        <f ca="1">+GETPIVOTDATA("XSR4",'suoirao (2016)'!$A$3,"MA_HT","TMD","MA_QH","DNL")</f>
        <v>0</v>
      </c>
      <c r="AE25" s="22">
        <f ca="1">+GETPIVOTDATA("XSR4",'suoirao (2016)'!$A$3,"MA_HT","TMD","MA_QH","DBV")</f>
        <v>0</v>
      </c>
      <c r="AF25" s="22">
        <f ca="1">+GETPIVOTDATA("XSR4",'suoirao (2016)'!$A$3,"MA_HT","TMD","MA_QH","DVH")</f>
        <v>0</v>
      </c>
      <c r="AG25" s="22">
        <f ca="1">+GETPIVOTDATA("XSR4",'suoirao (2016)'!$A$3,"MA_HT","TMD","MA_QH","DYT")</f>
        <v>0</v>
      </c>
      <c r="AH25" s="22">
        <f ca="1">+GETPIVOTDATA("XSR4",'suoirao (2016)'!$A$3,"MA_HT","TMD","MA_QH","DGD")</f>
        <v>0</v>
      </c>
      <c r="AI25" s="22">
        <f ca="1">+GETPIVOTDATA("XSR4",'suoirao (2016)'!$A$3,"MA_HT","TMD","MA_QH","DTT")</f>
        <v>0</v>
      </c>
      <c r="AJ25" s="22">
        <f ca="1">+GETPIVOTDATA("XSR4",'suoirao (2016)'!$A$3,"MA_HT","TMD","MA_QH","NCK")</f>
        <v>0</v>
      </c>
      <c r="AK25" s="22">
        <f ca="1">+GETPIVOTDATA("XSR4",'suoirao (2016)'!$A$3,"MA_HT","TMD","MA_QH","DXH")</f>
        <v>0</v>
      </c>
      <c r="AL25" s="22">
        <f ca="1">+GETPIVOTDATA("XSR4",'suoirao (2016)'!$A$3,"MA_HT","TMD","MA_QH","DCH")</f>
        <v>0</v>
      </c>
      <c r="AM25" s="22">
        <f ca="1">+GETPIVOTDATA("XSR4",'suoirao (2016)'!$A$3,"MA_HT","TMD","MA_QH","DKG")</f>
        <v>0</v>
      </c>
      <c r="AN25" s="22">
        <f ca="1">+GETPIVOTDATA("XSR4",'suoirao (2016)'!$A$3,"MA_HT","TMD","MA_QH","DDT")</f>
        <v>0</v>
      </c>
      <c r="AO25" s="22">
        <f ca="1">+GETPIVOTDATA("XSR4",'suoirao (2016)'!$A$3,"MA_HT","TMD","MA_QH","DDL")</f>
        <v>0</v>
      </c>
      <c r="AP25" s="22">
        <f ca="1">+GETPIVOTDATA("XSR4",'suoirao (2016)'!$A$3,"MA_HT","TMD","MA_QH","DRA")</f>
        <v>0</v>
      </c>
      <c r="AQ25" s="22">
        <f ca="1">+GETPIVOTDATA("XSR4",'suoirao (2016)'!$A$3,"MA_HT","TMD","MA_QH","ONT")</f>
        <v>0</v>
      </c>
      <c r="AR25" s="22">
        <f ca="1">+GETPIVOTDATA("XSR4",'suoirao (2016)'!$A$3,"MA_HT","TMD","MA_QH","ODT")</f>
        <v>0</v>
      </c>
      <c r="AS25" s="22">
        <f ca="1">+GETPIVOTDATA("XSR4",'suoirao (2016)'!$A$3,"MA_HT","TMD","MA_QH","TSC")</f>
        <v>0</v>
      </c>
      <c r="AT25" s="22">
        <f ca="1">+GETPIVOTDATA("XSR4",'suoirao (2016)'!$A$3,"MA_HT","TMD","MA_QH","DTS")</f>
        <v>0</v>
      </c>
      <c r="AU25" s="22">
        <f ca="1">+GETPIVOTDATA("XSR4",'suoirao (2016)'!$A$3,"MA_HT","TMD","MA_QH","DNG")</f>
        <v>0</v>
      </c>
      <c r="AV25" s="22">
        <f ca="1">+GETPIVOTDATA("XSR4",'suoirao (2016)'!$A$3,"MA_HT","TMD","MA_QH","TON")</f>
        <v>0</v>
      </c>
      <c r="AW25" s="22">
        <f ca="1">+GETPIVOTDATA("XSR4",'suoirao (2016)'!$A$3,"MA_HT","TMD","MA_QH","NTD")</f>
        <v>0</v>
      </c>
      <c r="AX25" s="22">
        <f ca="1">+GETPIVOTDATA("XSR4",'suoirao (2016)'!$A$3,"MA_HT","TMD","MA_QH","SKX")</f>
        <v>0</v>
      </c>
      <c r="AY25" s="22">
        <f ca="1">+GETPIVOTDATA("XSR4",'suoirao (2016)'!$A$3,"MA_HT","TMD","MA_QH","DSH")</f>
        <v>0</v>
      </c>
      <c r="AZ25" s="22">
        <f ca="1">+GETPIVOTDATA("XSR4",'suoirao (2016)'!$A$3,"MA_HT","TMD","MA_QH","DKV")</f>
        <v>0</v>
      </c>
      <c r="BA25" s="89">
        <f ca="1">+GETPIVOTDATA("XSR4",'suoirao (2016)'!$A$3,"MA_HT","TMD","MA_QH","TIN")</f>
        <v>0</v>
      </c>
      <c r="BB25" s="50">
        <f ca="1">+GETPIVOTDATA("XSR4",'suoirao (2016)'!$A$3,"MA_HT","TMD","MA_QH","SON")</f>
        <v>0</v>
      </c>
      <c r="BC25" s="50">
        <f ca="1">+GETPIVOTDATA("XSR4",'suoirao (2016)'!$A$3,"MA_HT","TMD","MA_QH","MNC")</f>
        <v>0</v>
      </c>
      <c r="BD25" s="22">
        <f ca="1">+GETPIVOTDATA("XSR4",'suoirao (2016)'!$A$3,"MA_HT","TMD","MA_QH","PNK")</f>
        <v>0</v>
      </c>
      <c r="BE25" s="71">
        <f ca="1">+GETPIVOTDATA("XSR4",'suoirao (2016)'!$A$3,"MA_HT","TMD","MA_QH","CSD")</f>
        <v>0</v>
      </c>
      <c r="BF25" s="74">
        <f ca="1" t="shared" si="13"/>
        <v>0</v>
      </c>
      <c r="BG25" s="101">
        <f ca="1">X$59-$BF25</f>
        <v>0</v>
      </c>
      <c r="BH25" s="41" t="e">
        <f ca="1" t="shared" si="14"/>
        <v>#REF!</v>
      </c>
      <c r="BI25" s="98"/>
      <c r="BJ25" s="107" t="e">
        <f>#REF!</f>
        <v>#REF!</v>
      </c>
      <c r="BK25" s="107" t="e">
        <f ca="1">BH25-BJ25</f>
        <v>#REF!</v>
      </c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</row>
    <row r="26" s="2" customFormat="1" ht="15.75" customHeight="1" spans="1:79">
      <c r="A26" s="39" t="s">
        <v>8370</v>
      </c>
      <c r="B26" s="39" t="s">
        <v>8371</v>
      </c>
      <c r="C26" s="40" t="s">
        <v>204</v>
      </c>
      <c r="D26" s="41" t="e">
        <f>+#REF!</f>
        <v>#REF!</v>
      </c>
      <c r="E26" s="42">
        <f ca="1" t="shared" si="15"/>
        <v>0</v>
      </c>
      <c r="F26" s="52">
        <f ca="1" t="shared" si="9"/>
        <v>0</v>
      </c>
      <c r="G26" s="22">
        <f ca="1">+GETPIVOTDATA("XSR4",'suoirao (2016)'!$A$3,"MA_HT","SKC","MA_QH","LUC")</f>
        <v>0</v>
      </c>
      <c r="H26" s="22">
        <f ca="1">+GETPIVOTDATA("XSR4",'suoirao (2016)'!$A$3,"MA_HT","SKC","MA_QH","LUK")</f>
        <v>0</v>
      </c>
      <c r="I26" s="22">
        <f ca="1">+GETPIVOTDATA("XSR4",'suoirao (2016)'!$A$3,"MA_HT","SKC","MA_QH","LUN")</f>
        <v>0</v>
      </c>
      <c r="J26" s="22">
        <f ca="1">+GETPIVOTDATA("XSR4",'suoirao (2016)'!$A$3,"MA_HT","SKC","MA_QH","HNK")</f>
        <v>0</v>
      </c>
      <c r="K26" s="22">
        <f ca="1">+GETPIVOTDATA("XSR4",'suoirao (2016)'!$A$3,"MA_HT","SKC","MA_QH","CLN")</f>
        <v>0</v>
      </c>
      <c r="L26" s="22">
        <f ca="1">+GETPIVOTDATA("XSR4",'suoirao (2016)'!$A$3,"MA_HT","SKC","MA_QH","RSX")</f>
        <v>0</v>
      </c>
      <c r="M26" s="22">
        <f ca="1">+GETPIVOTDATA("XSR4",'suoirao (2016)'!$A$3,"MA_HT","SKC","MA_QH","RPH")</f>
        <v>0</v>
      </c>
      <c r="N26" s="22">
        <f ca="1">+GETPIVOTDATA("XSR4",'suoirao (2016)'!$A$3,"MA_HT","SKC","MA_QH","RDD")</f>
        <v>0</v>
      </c>
      <c r="O26" s="22">
        <f ca="1">+GETPIVOTDATA("XSR4",'suoirao (2016)'!$A$3,"MA_HT","SKC","MA_QH","NTS")</f>
        <v>0</v>
      </c>
      <c r="P26" s="22">
        <f ca="1">+GETPIVOTDATA("XSR4",'suoirao (2016)'!$A$3,"MA_HT","SKC","MA_QH","LMU")</f>
        <v>0</v>
      </c>
      <c r="Q26" s="22">
        <f ca="1">+GETPIVOTDATA("XSR4",'suoirao (2016)'!$A$3,"MA_HT","SKC","MA_QH","NKH")</f>
        <v>0</v>
      </c>
      <c r="R26" s="42">
        <f ca="1">SUM(S26:X26,Z26,AN26:BD26)</f>
        <v>0</v>
      </c>
      <c r="S26" s="22">
        <f ca="1">+GETPIVOTDATA("XSR4",'suoirao (2016)'!$A$3,"MA_HT","SKC","MA_QH","CQP")</f>
        <v>0</v>
      </c>
      <c r="T26" s="22">
        <f ca="1">+GETPIVOTDATA("XSR4",'suoirao (2016)'!$A$3,"MA_HT","SKC","MA_QH","CAN")</f>
        <v>0</v>
      </c>
      <c r="U26" s="22">
        <f ca="1">+GETPIVOTDATA("XSR4",'suoirao (2016)'!$A$3,"MA_HT","SKC","MA_QH","SKK")</f>
        <v>0</v>
      </c>
      <c r="V26" s="22">
        <f ca="1">+GETPIVOTDATA("XSR4",'suoirao (2016)'!$A$3,"MA_HT","SKC","MA_QH","SKT")</f>
        <v>0</v>
      </c>
      <c r="W26" s="22">
        <f ca="1">+GETPIVOTDATA("XSR4",'suoirao (2016)'!$A$3,"MA_HT","SKC","MA_QH","SKN")</f>
        <v>0</v>
      </c>
      <c r="X26" s="22">
        <f ca="1">+GETPIVOTDATA("XSR4",'suoirao (2016)'!$A$3,"MA_HT","SKC","MA_QH","TMD")</f>
        <v>0</v>
      </c>
      <c r="Y26" s="43" t="e">
        <f ca="1">$D26-$BF26</f>
        <v>#REF!</v>
      </c>
      <c r="Z26" s="22">
        <f ca="1">+GETPIVOTDATA("XSR4",'suoirao (2016)'!$A$3,"MA_HT","SKC","MA_QH","SKS")</f>
        <v>0</v>
      </c>
      <c r="AA26" s="52">
        <f ca="1" t="shared" si="12"/>
        <v>0</v>
      </c>
      <c r="AB26" s="22">
        <f ca="1">+GETPIVOTDATA("XSR4",'suoirao (2016)'!$A$3,"MA_HT","SKC","MA_QH","DGT")</f>
        <v>0</v>
      </c>
      <c r="AC26" s="22">
        <f ca="1">+GETPIVOTDATA("XSR4",'suoirao (2016)'!$A$3,"MA_HT","SKC","MA_QH","DTL")</f>
        <v>0</v>
      </c>
      <c r="AD26" s="22">
        <f ca="1">+GETPIVOTDATA("XSR4",'suoirao (2016)'!$A$3,"MA_HT","SKC","MA_QH","DNL")</f>
        <v>0</v>
      </c>
      <c r="AE26" s="22">
        <f ca="1">+GETPIVOTDATA("XSR4",'suoirao (2016)'!$A$3,"MA_HT","SKC","MA_QH","DBV")</f>
        <v>0</v>
      </c>
      <c r="AF26" s="22">
        <f ca="1">+GETPIVOTDATA("XSR4",'suoirao (2016)'!$A$3,"MA_HT","SKC","MA_QH","DVH")</f>
        <v>0</v>
      </c>
      <c r="AG26" s="22">
        <f ca="1">+GETPIVOTDATA("XSR4",'suoirao (2016)'!$A$3,"MA_HT","SKC","MA_QH","DYT")</f>
        <v>0</v>
      </c>
      <c r="AH26" s="22">
        <f ca="1">+GETPIVOTDATA("XSR4",'suoirao (2016)'!$A$3,"MA_HT","SKC","MA_QH","DGD")</f>
        <v>0</v>
      </c>
      <c r="AI26" s="22">
        <f ca="1">+GETPIVOTDATA("XSR4",'suoirao (2016)'!$A$3,"MA_HT","SKC","MA_QH","DTT")</f>
        <v>0</v>
      </c>
      <c r="AJ26" s="22">
        <f ca="1">+GETPIVOTDATA("XSR4",'suoirao (2016)'!$A$3,"MA_HT","SKC","MA_QH","NCK")</f>
        <v>0</v>
      </c>
      <c r="AK26" s="22">
        <f ca="1">+GETPIVOTDATA("XSR4",'suoirao (2016)'!$A$3,"MA_HT","SKC","MA_QH","DXH")</f>
        <v>0</v>
      </c>
      <c r="AL26" s="22">
        <f ca="1">+GETPIVOTDATA("XSR4",'suoirao (2016)'!$A$3,"MA_HT","SKC","MA_QH","DCH")</f>
        <v>0</v>
      </c>
      <c r="AM26" s="22">
        <f ca="1">+GETPIVOTDATA("XSR4",'suoirao (2016)'!$A$3,"MA_HT","SKC","MA_QH","DKG")</f>
        <v>0</v>
      </c>
      <c r="AN26" s="22">
        <f ca="1">+GETPIVOTDATA("XSR4",'suoirao (2016)'!$A$3,"MA_HT","SKC","MA_QH","DDT")</f>
        <v>0</v>
      </c>
      <c r="AO26" s="22">
        <f ca="1">+GETPIVOTDATA("XSR4",'suoirao (2016)'!$A$3,"MA_HT","SKC","MA_QH","DDL")</f>
        <v>0</v>
      </c>
      <c r="AP26" s="22">
        <f ca="1">+GETPIVOTDATA("XSR4",'suoirao (2016)'!$A$3,"MA_HT","SKC","MA_QH","DRA")</f>
        <v>0</v>
      </c>
      <c r="AQ26" s="22">
        <f ca="1">+GETPIVOTDATA("XSR4",'suoirao (2016)'!$A$3,"MA_HT","SKC","MA_QH","ONT")</f>
        <v>0</v>
      </c>
      <c r="AR26" s="22">
        <f ca="1">+GETPIVOTDATA("XSR4",'suoirao (2016)'!$A$3,"MA_HT","SKC","MA_QH","ODT")</f>
        <v>0</v>
      </c>
      <c r="AS26" s="22">
        <f ca="1">+GETPIVOTDATA("XSR4",'suoirao (2016)'!$A$3,"MA_HT","SKC","MA_QH","TSC")</f>
        <v>0</v>
      </c>
      <c r="AT26" s="22">
        <f ca="1">+GETPIVOTDATA("XSR4",'suoirao (2016)'!$A$3,"MA_HT","SKC","MA_QH","DTS")</f>
        <v>0</v>
      </c>
      <c r="AU26" s="22">
        <f ca="1">+GETPIVOTDATA("XSR4",'suoirao (2016)'!$A$3,"MA_HT","SKC","MA_QH","DNG")</f>
        <v>0</v>
      </c>
      <c r="AV26" s="22">
        <f ca="1">+GETPIVOTDATA("XSR4",'suoirao (2016)'!$A$3,"MA_HT","SKC","MA_QH","TON")</f>
        <v>0</v>
      </c>
      <c r="AW26" s="22">
        <f ca="1">+GETPIVOTDATA("XSR4",'suoirao (2016)'!$A$3,"MA_HT","SKC","MA_QH","NTD")</f>
        <v>0</v>
      </c>
      <c r="AX26" s="22">
        <f ca="1">+GETPIVOTDATA("XSR4",'suoirao (2016)'!$A$3,"MA_HT","SKC","MA_QH","SKX")</f>
        <v>0</v>
      </c>
      <c r="AY26" s="22">
        <f ca="1">+GETPIVOTDATA("XSR4",'suoirao (2016)'!$A$3,"MA_HT","SKC","MA_QH","DSH")</f>
        <v>0</v>
      </c>
      <c r="AZ26" s="22">
        <f ca="1">+GETPIVOTDATA("XSR4",'suoirao (2016)'!$A$3,"MA_HT","SKC","MA_QH","DKV")</f>
        <v>0</v>
      </c>
      <c r="BA26" s="89">
        <f ca="1">+GETPIVOTDATA("XSR4",'suoirao (2016)'!$A$3,"MA_HT","SKC","MA_QH","TIN")</f>
        <v>0</v>
      </c>
      <c r="BB26" s="50">
        <f ca="1">+GETPIVOTDATA("XSR4",'suoirao (2016)'!$A$3,"MA_HT","SKC","MA_QH","SON")</f>
        <v>0</v>
      </c>
      <c r="BC26" s="50">
        <f ca="1">+GETPIVOTDATA("XSR4",'suoirao (2016)'!$A$3,"MA_HT","SKC","MA_QH","MNC")</f>
        <v>0</v>
      </c>
      <c r="BD26" s="22">
        <f ca="1">+GETPIVOTDATA("XSR4",'suoirao (2016)'!$A$3,"MA_HT","SKC","MA_QH","PNK")</f>
        <v>0</v>
      </c>
      <c r="BE26" s="71">
        <f ca="1">+GETPIVOTDATA("XSR4",'suoirao (2016)'!$A$3,"MA_HT","SKC","MA_QH","CSD")</f>
        <v>0</v>
      </c>
      <c r="BF26" s="74">
        <f ca="1" t="shared" si="13"/>
        <v>0</v>
      </c>
      <c r="BG26" s="101">
        <f ca="1">Y$59-$BF26</f>
        <v>0</v>
      </c>
      <c r="BH26" s="41" t="e">
        <f ca="1" t="shared" si="14"/>
        <v>#REF!</v>
      </c>
      <c r="BI26" s="98"/>
      <c r="BJ26" s="107" t="e">
        <f>#REF!</f>
        <v>#REF!</v>
      </c>
      <c r="BK26" s="107" t="e">
        <f ca="1">BH26-BJ26</f>
        <v>#REF!</v>
      </c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</row>
    <row r="27" s="2" customFormat="1" ht="15.75" customHeight="1" spans="1:79">
      <c r="A27" s="39" t="s">
        <v>8372</v>
      </c>
      <c r="B27" s="53" t="s">
        <v>8373</v>
      </c>
      <c r="C27" s="40" t="s">
        <v>174</v>
      </c>
      <c r="D27" s="41" t="e">
        <f>+#REF!</f>
        <v>#REF!</v>
      </c>
      <c r="E27" s="42">
        <f ca="1" t="shared" si="15"/>
        <v>0</v>
      </c>
      <c r="F27" s="52">
        <f ca="1" t="shared" si="9"/>
        <v>0</v>
      </c>
      <c r="G27" s="22">
        <f ca="1">+GETPIVOTDATA("XSR4",'suoirao (2016)'!$A$3,"MA_HT","SKS","MA_QH","LUC")</f>
        <v>0</v>
      </c>
      <c r="H27" s="22">
        <f ca="1">+GETPIVOTDATA("XSR4",'suoirao (2016)'!$A$3,"MA_HT","SKS","MA_QH","LUK")</f>
        <v>0</v>
      </c>
      <c r="I27" s="22">
        <f ca="1">+GETPIVOTDATA("XSR4",'suoirao (2016)'!$A$3,"MA_HT","SKS","MA_QH","LUN")</f>
        <v>0</v>
      </c>
      <c r="J27" s="22">
        <f ca="1">+GETPIVOTDATA("XSR4",'suoirao (2016)'!$A$3,"MA_HT","SKS","MA_QH","HNK")</f>
        <v>0</v>
      </c>
      <c r="K27" s="22">
        <f ca="1">+GETPIVOTDATA("XSR4",'suoirao (2016)'!$A$3,"MA_HT","SKS","MA_QH","CLN")</f>
        <v>0</v>
      </c>
      <c r="L27" s="22">
        <f ca="1">+GETPIVOTDATA("XSR4",'suoirao (2016)'!$A$3,"MA_HT","SKS","MA_QH","RSX")</f>
        <v>0</v>
      </c>
      <c r="M27" s="22">
        <f ca="1">+GETPIVOTDATA("XSR4",'suoirao (2016)'!$A$3,"MA_HT","SKS","MA_QH","RPH")</f>
        <v>0</v>
      </c>
      <c r="N27" s="22">
        <f ca="1">+GETPIVOTDATA("XSR4",'suoirao (2016)'!$A$3,"MA_HT","SKS","MA_QH","RDD")</f>
        <v>0</v>
      </c>
      <c r="O27" s="22">
        <f ca="1">+GETPIVOTDATA("XSR4",'suoirao (2016)'!$A$3,"MA_HT","SKS","MA_QH","NTS")</f>
        <v>0</v>
      </c>
      <c r="P27" s="22">
        <f ca="1">+GETPIVOTDATA("XSR4",'suoirao (2016)'!$A$3,"MA_HT","SKS","MA_QH","LMU")</f>
        <v>0</v>
      </c>
      <c r="Q27" s="22">
        <f ca="1">+GETPIVOTDATA("XSR4",'suoirao (2016)'!$A$3,"MA_HT","SKS","MA_QH","NKH")</f>
        <v>0</v>
      </c>
      <c r="R27" s="42">
        <f ca="1">SUM(S27:Y27,AA27,AN27:BD27)</f>
        <v>0</v>
      </c>
      <c r="S27" s="22">
        <f ca="1">+GETPIVOTDATA("XSR4",'suoirao (2016)'!$A$3,"MA_HT","SKS","MA_QH","CQP")</f>
        <v>0</v>
      </c>
      <c r="T27" s="22">
        <f ca="1">+GETPIVOTDATA("XSR4",'suoirao (2016)'!$A$3,"MA_HT","SKS","MA_QH","CAN")</f>
        <v>0</v>
      </c>
      <c r="U27" s="22">
        <f ca="1">+GETPIVOTDATA("XSR4",'suoirao (2016)'!$A$3,"MA_HT","SKS","MA_QH","SKK")</f>
        <v>0</v>
      </c>
      <c r="V27" s="22">
        <f ca="1">+GETPIVOTDATA("XSR4",'suoirao (2016)'!$A$3,"MA_HT","SKS","MA_QH","SKT")</f>
        <v>0</v>
      </c>
      <c r="W27" s="22">
        <f ca="1">+GETPIVOTDATA("XSR4",'suoirao (2016)'!$A$3,"MA_HT","SKS","MA_QH","SKN")</f>
        <v>0</v>
      </c>
      <c r="X27" s="22">
        <f ca="1">+GETPIVOTDATA("XSR4",'suoirao (2016)'!$A$3,"MA_HT","SKS","MA_QH","TMD")</f>
        <v>0</v>
      </c>
      <c r="Y27" s="22">
        <f ca="1">+GETPIVOTDATA("XSR4",'suoirao (2016)'!$A$3,"MA_HT","SKS","MA_QH","SKC")</f>
        <v>0</v>
      </c>
      <c r="Z27" s="43" t="e">
        <f ca="1">$D27-$BF27</f>
        <v>#REF!</v>
      </c>
      <c r="AA27" s="52">
        <f ca="1" t="shared" si="12"/>
        <v>0</v>
      </c>
      <c r="AB27" s="22">
        <f ca="1">+GETPIVOTDATA("XSR4",'suoirao (2016)'!$A$3,"MA_HT","SKS","MA_QH","DGT")</f>
        <v>0</v>
      </c>
      <c r="AC27" s="22">
        <f ca="1">+GETPIVOTDATA("XSR4",'suoirao (2016)'!$A$3,"MA_HT","SKS","MA_QH","DTL")</f>
        <v>0</v>
      </c>
      <c r="AD27" s="22">
        <f ca="1">+GETPIVOTDATA("XSR4",'suoirao (2016)'!$A$3,"MA_HT","SKS","MA_QH","DNL")</f>
        <v>0</v>
      </c>
      <c r="AE27" s="22">
        <f ca="1">+GETPIVOTDATA("XSR4",'suoirao (2016)'!$A$3,"MA_HT","SKS","MA_QH","DBV")</f>
        <v>0</v>
      </c>
      <c r="AF27" s="22">
        <f ca="1">+GETPIVOTDATA("XSR4",'suoirao (2016)'!$A$3,"MA_HT","SKS","MA_QH","DVH")</f>
        <v>0</v>
      </c>
      <c r="AG27" s="22">
        <f ca="1">+GETPIVOTDATA("XSR4",'suoirao (2016)'!$A$3,"MA_HT","SKS","MA_QH","DYT")</f>
        <v>0</v>
      </c>
      <c r="AH27" s="22">
        <f ca="1">+GETPIVOTDATA("XSR4",'suoirao (2016)'!$A$3,"MA_HT","SKS","MA_QH","DGD")</f>
        <v>0</v>
      </c>
      <c r="AI27" s="22">
        <f ca="1">+GETPIVOTDATA("XSR4",'suoirao (2016)'!$A$3,"MA_HT","SKS","MA_QH","DTT")</f>
        <v>0</v>
      </c>
      <c r="AJ27" s="22">
        <f ca="1">+GETPIVOTDATA("XSR4",'suoirao (2016)'!$A$3,"MA_HT","SKS","MA_QH","NCK")</f>
        <v>0</v>
      </c>
      <c r="AK27" s="22">
        <f ca="1">+GETPIVOTDATA("XSR4",'suoirao (2016)'!$A$3,"MA_HT","SKS","MA_QH","DXH")</f>
        <v>0</v>
      </c>
      <c r="AL27" s="22">
        <f ca="1">+GETPIVOTDATA("XSR4",'suoirao (2016)'!$A$3,"MA_HT","SKS","MA_QH","DCH")</f>
        <v>0</v>
      </c>
      <c r="AM27" s="22">
        <f ca="1">+GETPIVOTDATA("XSR4",'suoirao (2016)'!$A$3,"MA_HT","SKS","MA_QH","DKG")</f>
        <v>0</v>
      </c>
      <c r="AN27" s="22">
        <f ca="1">+GETPIVOTDATA("XSR4",'suoirao (2016)'!$A$3,"MA_HT","SKS","MA_QH","DDT")</f>
        <v>0</v>
      </c>
      <c r="AO27" s="22">
        <f ca="1">+GETPIVOTDATA("XSR4",'suoirao (2016)'!$A$3,"MA_HT","SKS","MA_QH","DDL")</f>
        <v>0</v>
      </c>
      <c r="AP27" s="22">
        <f ca="1">+GETPIVOTDATA("XSR4",'suoirao (2016)'!$A$3,"MA_HT","SKS","MA_QH","DRA")</f>
        <v>0</v>
      </c>
      <c r="AQ27" s="22">
        <f ca="1">+GETPIVOTDATA("XSR4",'suoirao (2016)'!$A$3,"MA_HT","SKS","MA_QH","ONT")</f>
        <v>0</v>
      </c>
      <c r="AR27" s="22">
        <f ca="1">+GETPIVOTDATA("XSR4",'suoirao (2016)'!$A$3,"MA_HT","SKS","MA_QH","ODT")</f>
        <v>0</v>
      </c>
      <c r="AS27" s="22">
        <f ca="1">+GETPIVOTDATA("XSR4",'suoirao (2016)'!$A$3,"MA_HT","SKS","MA_QH","TSC")</f>
        <v>0</v>
      </c>
      <c r="AT27" s="22">
        <f ca="1">+GETPIVOTDATA("XSR4",'suoirao (2016)'!$A$3,"MA_HT","SKS","MA_QH","DTS")</f>
        <v>0</v>
      </c>
      <c r="AU27" s="22">
        <f ca="1">+GETPIVOTDATA("XSR4",'suoirao (2016)'!$A$3,"MA_HT","SKS","MA_QH","DNG")</f>
        <v>0</v>
      </c>
      <c r="AV27" s="22">
        <f ca="1">+GETPIVOTDATA("XSR4",'suoirao (2016)'!$A$3,"MA_HT","SKS","MA_QH","TON")</f>
        <v>0</v>
      </c>
      <c r="AW27" s="22">
        <f ca="1">+GETPIVOTDATA("XSR4",'suoirao (2016)'!$A$3,"MA_HT","SKS","MA_QH","NTD")</f>
        <v>0</v>
      </c>
      <c r="AX27" s="22">
        <f ca="1">+GETPIVOTDATA("XSR4",'suoirao (2016)'!$A$3,"MA_HT","SKS","MA_QH","SKX")</f>
        <v>0</v>
      </c>
      <c r="AY27" s="22">
        <f ca="1">+GETPIVOTDATA("XSR4",'suoirao (2016)'!$A$3,"MA_HT","SKS","MA_QH","DSH")</f>
        <v>0</v>
      </c>
      <c r="AZ27" s="22">
        <f ca="1">+GETPIVOTDATA("XSR4",'suoirao (2016)'!$A$3,"MA_HT","SKS","MA_QH","DKV")</f>
        <v>0</v>
      </c>
      <c r="BA27" s="89">
        <f ca="1">+GETPIVOTDATA("XSR4",'suoirao (2016)'!$A$3,"MA_HT","SKS","MA_QH","TIN")</f>
        <v>0</v>
      </c>
      <c r="BB27" s="50">
        <f ca="1">+GETPIVOTDATA("XSR4",'suoirao (2016)'!$A$3,"MA_HT","SKS","MA_QH","SON")</f>
        <v>0</v>
      </c>
      <c r="BC27" s="50">
        <f ca="1">+GETPIVOTDATA("XSR4",'suoirao (2016)'!$A$3,"MA_HT","SKS","MA_QH","MNC")</f>
        <v>0</v>
      </c>
      <c r="BD27" s="22">
        <f ca="1">+GETPIVOTDATA("XSR4",'suoirao (2016)'!$A$3,"MA_HT","SKS","MA_QH","PNK")</f>
        <v>0</v>
      </c>
      <c r="BE27" s="71">
        <f ca="1">+GETPIVOTDATA("XSR4",'suoirao (2016)'!$A$3,"MA_HT","SKS","MA_QH","CSD")</f>
        <v>0</v>
      </c>
      <c r="BF27" s="74">
        <f ca="1" t="shared" si="13"/>
        <v>0</v>
      </c>
      <c r="BG27" s="101">
        <f ca="1">Z$59-$BF27</f>
        <v>0</v>
      </c>
      <c r="BH27" s="41" t="e">
        <f ca="1" t="shared" si="14"/>
        <v>#REF!</v>
      </c>
      <c r="BI27" s="98"/>
      <c r="BJ27" s="107" t="e">
        <f>#REF!</f>
        <v>#REF!</v>
      </c>
      <c r="BK27" s="107" t="e">
        <f ca="1">BH27-BJ27</f>
        <v>#REF!</v>
      </c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</row>
    <row r="28" s="2" customFormat="1" ht="15.75" customHeight="1" spans="1:79">
      <c r="A28" s="39" t="s">
        <v>8374</v>
      </c>
      <c r="B28" s="53" t="s">
        <v>8375</v>
      </c>
      <c r="C28" s="40" t="s">
        <v>8288</v>
      </c>
      <c r="D28" s="41" t="e">
        <f>+#REF!</f>
        <v>#REF!</v>
      </c>
      <c r="E28" s="42">
        <f ca="1" t="shared" si="15"/>
        <v>0</v>
      </c>
      <c r="F28" s="52">
        <f ca="1" t="shared" si="9"/>
        <v>0</v>
      </c>
      <c r="G28" s="44">
        <f ca="1">SUM(G29:G39)</f>
        <v>0</v>
      </c>
      <c r="H28" s="44">
        <f ca="1" t="shared" ref="H28:Q28" si="16">SUM(H29:H39)</f>
        <v>0</v>
      </c>
      <c r="I28" s="44">
        <f ca="1" t="shared" si="16"/>
        <v>0</v>
      </c>
      <c r="J28" s="44">
        <f ca="1" t="shared" si="16"/>
        <v>0</v>
      </c>
      <c r="K28" s="44">
        <f ca="1" t="shared" si="16"/>
        <v>0</v>
      </c>
      <c r="L28" s="44">
        <f ca="1" t="shared" si="16"/>
        <v>0</v>
      </c>
      <c r="M28" s="44">
        <f ca="1" t="shared" si="16"/>
        <v>0</v>
      </c>
      <c r="N28" s="44">
        <f ca="1" t="shared" si="16"/>
        <v>0</v>
      </c>
      <c r="O28" s="44">
        <f ca="1" t="shared" si="16"/>
        <v>0</v>
      </c>
      <c r="P28" s="44">
        <f ca="1" t="shared" si="16"/>
        <v>0</v>
      </c>
      <c r="Q28" s="44">
        <f ca="1" t="shared" si="16"/>
        <v>0</v>
      </c>
      <c r="R28" s="44">
        <f ca="1">SUM(S28:Z28,AN28:BD28)</f>
        <v>0</v>
      </c>
      <c r="S28" s="44">
        <f ca="1">SUM(S29:S39)</f>
        <v>0</v>
      </c>
      <c r="T28" s="44">
        <f ca="1" t="shared" ref="T28:Z28" si="17">SUM(T29:T39)</f>
        <v>0</v>
      </c>
      <c r="U28" s="44">
        <f ca="1" t="shared" si="17"/>
        <v>0</v>
      </c>
      <c r="V28" s="44">
        <f ca="1" t="shared" si="17"/>
        <v>0</v>
      </c>
      <c r="W28" s="44">
        <f ca="1" t="shared" si="17"/>
        <v>0</v>
      </c>
      <c r="X28" s="44">
        <f ca="1" t="shared" si="17"/>
        <v>0</v>
      </c>
      <c r="Y28" s="44">
        <f ca="1" t="shared" si="17"/>
        <v>0</v>
      </c>
      <c r="Z28" s="44">
        <f ca="1" t="shared" si="17"/>
        <v>0</v>
      </c>
      <c r="AA28" s="43" t="e">
        <f ca="1">$D28-$BF28</f>
        <v>#REF!</v>
      </c>
      <c r="AB28" s="44">
        <f ca="1">SUM(AB30:AB39)</f>
        <v>0</v>
      </c>
      <c r="AC28" s="44">
        <f ca="1">SUM(AC29,AC31:AC39)</f>
        <v>0</v>
      </c>
      <c r="AD28" s="44">
        <f ca="1">SUM(AD29:AD30,AD32:AD39)</f>
        <v>0</v>
      </c>
      <c r="AE28" s="44">
        <f ca="1">SUM(AE29:AE31,AE33:AE39)</f>
        <v>0</v>
      </c>
      <c r="AF28" s="44">
        <f ca="1">SUM(AF29:AF32,AF34:AF39)</f>
        <v>0</v>
      </c>
      <c r="AG28" s="44">
        <f ca="1">SUM(AG29:AG33,AG35:AG39)</f>
        <v>0</v>
      </c>
      <c r="AH28" s="44">
        <f ca="1">SUM(AH29:AH34,AH36:AH39)</f>
        <v>0</v>
      </c>
      <c r="AI28" s="44">
        <f ca="1">SUM(AI29:AI35,AI37:AI39)</f>
        <v>0</v>
      </c>
      <c r="AJ28" s="44">
        <f ca="1">SUM(AJ29:AJ36,AJ38:AJ39)</f>
        <v>0</v>
      </c>
      <c r="AK28" s="44">
        <f ca="1">SUM(AK29:AK37,AK39)</f>
        <v>0</v>
      </c>
      <c r="AL28" s="44">
        <f ca="1">SUM(AL29:AL38)</f>
        <v>0</v>
      </c>
      <c r="AM28" s="44">
        <f ca="1">SUM(AM29:AM38)</f>
        <v>0</v>
      </c>
      <c r="AN28" s="44">
        <f ca="1" t="shared" ref="AN28:BE28" si="18">SUM(AN29:AN39)</f>
        <v>0</v>
      </c>
      <c r="AO28" s="44">
        <f ca="1" t="shared" si="18"/>
        <v>0</v>
      </c>
      <c r="AP28" s="44">
        <f ca="1" t="shared" si="18"/>
        <v>0</v>
      </c>
      <c r="AQ28" s="44">
        <f ca="1" t="shared" si="18"/>
        <v>0</v>
      </c>
      <c r="AR28" s="44">
        <f ca="1" t="shared" si="18"/>
        <v>0</v>
      </c>
      <c r="AS28" s="44">
        <f ca="1" t="shared" si="18"/>
        <v>0</v>
      </c>
      <c r="AT28" s="44">
        <f ca="1" t="shared" si="18"/>
        <v>0</v>
      </c>
      <c r="AU28" s="44">
        <f ca="1" t="shared" si="18"/>
        <v>0</v>
      </c>
      <c r="AV28" s="44">
        <f ca="1" t="shared" si="18"/>
        <v>0</v>
      </c>
      <c r="AW28" s="44">
        <f ca="1" t="shared" si="18"/>
        <v>0</v>
      </c>
      <c r="AX28" s="44">
        <f ca="1" t="shared" si="18"/>
        <v>0</v>
      </c>
      <c r="AY28" s="44">
        <f ca="1" t="shared" si="18"/>
        <v>0</v>
      </c>
      <c r="AZ28" s="44">
        <f ca="1" t="shared" si="18"/>
        <v>0</v>
      </c>
      <c r="BA28" s="44">
        <f ca="1" t="shared" si="18"/>
        <v>0</v>
      </c>
      <c r="BB28" s="44">
        <f ca="1" t="shared" si="18"/>
        <v>0</v>
      </c>
      <c r="BC28" s="44">
        <f ca="1" t="shared" si="18"/>
        <v>0</v>
      </c>
      <c r="BD28" s="44">
        <f ca="1" t="shared" si="18"/>
        <v>0</v>
      </c>
      <c r="BE28" s="44">
        <f ca="1" t="shared" si="18"/>
        <v>0</v>
      </c>
      <c r="BF28" s="74">
        <f ca="1" t="shared" si="13"/>
        <v>0</v>
      </c>
      <c r="BG28" s="101">
        <f ca="1">AA$59-$BF28</f>
        <v>0</v>
      </c>
      <c r="BH28" s="41" t="e">
        <f ca="1" t="shared" si="14"/>
        <v>#REF!</v>
      </c>
      <c r="BI28" s="98"/>
      <c r="BJ28" s="107"/>
      <c r="BK28" s="107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</row>
    <row r="29" s="4" customFormat="1" ht="16.5" customHeight="1" spans="1:79">
      <c r="A29" s="45" t="s">
        <v>8376</v>
      </c>
      <c r="B29" s="45" t="s">
        <v>8377</v>
      </c>
      <c r="C29" s="46" t="s">
        <v>94</v>
      </c>
      <c r="D29" s="47" t="e">
        <f>+#REF!</f>
        <v>#REF!</v>
      </c>
      <c r="E29" s="42">
        <f ca="1" t="shared" si="15"/>
        <v>0</v>
      </c>
      <c r="F29" s="52">
        <f ca="1" t="shared" si="9"/>
        <v>0</v>
      </c>
      <c r="G29" s="50">
        <f ca="1">+GETPIVOTDATA("XSR4",'suoirao (2016)'!$A$3,"MA_HT","DGT","MA_QH","LUC")</f>
        <v>0</v>
      </c>
      <c r="H29" s="50">
        <f ca="1">+GETPIVOTDATA("XSR4",'suoirao (2016)'!$A$3,"MA_HT","DGT","MA_QH","LUK")</f>
        <v>0</v>
      </c>
      <c r="I29" s="50">
        <f ca="1">+GETPIVOTDATA("XSR4",'suoirao (2016)'!$A$3,"MA_HT","DGT","MA_QH","LUN")</f>
        <v>0</v>
      </c>
      <c r="J29" s="50">
        <f ca="1">+GETPIVOTDATA("XSR4",'suoirao (2016)'!$A$3,"MA_HT","DGT","MA_QH","HNK")</f>
        <v>0</v>
      </c>
      <c r="K29" s="50">
        <f ca="1">+GETPIVOTDATA("XSR4",'suoirao (2016)'!$A$3,"MA_HT","DGT","MA_QH","CLN")</f>
        <v>0</v>
      </c>
      <c r="L29" s="50">
        <f ca="1">+GETPIVOTDATA("XSR4",'suoirao (2016)'!$A$3,"MA_HT","DGT","MA_QH","RSX")</f>
        <v>0</v>
      </c>
      <c r="M29" s="50">
        <f ca="1">+GETPIVOTDATA("XSR4",'suoirao (2016)'!$A$3,"MA_HT","DGT","MA_QH","RPH")</f>
        <v>0</v>
      </c>
      <c r="N29" s="50">
        <f ca="1">+GETPIVOTDATA("XSR4",'suoirao (2016)'!$A$3,"MA_HT","DGT","MA_QH","RDD")</f>
        <v>0</v>
      </c>
      <c r="O29" s="50">
        <f ca="1">+GETPIVOTDATA("XSR4",'suoirao (2016)'!$A$3,"MA_HT","DGT","MA_QH","NTS")</f>
        <v>0</v>
      </c>
      <c r="P29" s="50">
        <f ca="1">+GETPIVOTDATA("XSR4",'suoirao (2016)'!$A$3,"MA_HT","DGT","MA_QH","LMU")</f>
        <v>0</v>
      </c>
      <c r="Q29" s="50">
        <f ca="1">+GETPIVOTDATA("XSR4",'suoirao (2016)'!$A$3,"MA_HT","DGT","MA_QH","NKH")</f>
        <v>0</v>
      </c>
      <c r="R29" s="48">
        <f ca="1">SUM(S29:AA29,AN29:BD29)</f>
        <v>0</v>
      </c>
      <c r="S29" s="50">
        <f ca="1">+GETPIVOTDATA("XSR4",'suoirao (2016)'!$A$3,"MA_HT","DGT","MA_QH","CQP")</f>
        <v>0</v>
      </c>
      <c r="T29" s="50">
        <f ca="1">+GETPIVOTDATA("XSR4",'suoirao (2016)'!$A$3,"MA_HT","DGT","MA_QH","CAN")</f>
        <v>0</v>
      </c>
      <c r="U29" s="50">
        <f ca="1">+GETPIVOTDATA("XSR4",'suoirao (2016)'!$A$3,"MA_HT","DGT","MA_QH","SKK")</f>
        <v>0</v>
      </c>
      <c r="V29" s="50">
        <f ca="1">+GETPIVOTDATA("XSR4",'suoirao (2016)'!$A$3,"MA_HT","DGT","MA_QH","SKT")</f>
        <v>0</v>
      </c>
      <c r="W29" s="50">
        <f ca="1">+GETPIVOTDATA("XSR4",'suoirao (2016)'!$A$3,"MA_HT","DGT","MA_QH","SKN")</f>
        <v>0</v>
      </c>
      <c r="X29" s="50">
        <f ca="1">+GETPIVOTDATA("XSR4",'suoirao (2016)'!$A$3,"MA_HT","DGT","MA_QH","TMD")</f>
        <v>0</v>
      </c>
      <c r="Y29" s="50">
        <f ca="1">+GETPIVOTDATA("XSR4",'suoirao (2016)'!$A$3,"MA_HT","DGT","MA_QH","SKC")</f>
        <v>0</v>
      </c>
      <c r="Z29" s="50">
        <f ca="1">+GETPIVOTDATA("XSR4",'suoirao (2016)'!$A$3,"MA_HT","DGT","MA_QH","SKS")</f>
        <v>0</v>
      </c>
      <c r="AA29" s="52">
        <f ca="1">+SUM(AC29:AM29)</f>
        <v>0</v>
      </c>
      <c r="AB29" s="49" t="e">
        <f ca="1">$D29-$BF29</f>
        <v>#REF!</v>
      </c>
      <c r="AC29" s="50">
        <f ca="1">+GETPIVOTDATA("XSR4",'suoirao (2016)'!$A$3,"MA_HT","DGT","MA_QH","DTL")</f>
        <v>0</v>
      </c>
      <c r="AD29" s="50">
        <f ca="1">+GETPIVOTDATA("XSR4",'suoirao (2016)'!$A$3,"MA_HT","DGT","MA_QH","DNL")</f>
        <v>0</v>
      </c>
      <c r="AE29" s="50">
        <f ca="1">+GETPIVOTDATA("XSR4",'suoirao (2016)'!$A$3,"MA_HT","DGT","MA_QH","DBV")</f>
        <v>0</v>
      </c>
      <c r="AF29" s="50">
        <f ca="1">+GETPIVOTDATA("XSR4",'suoirao (2016)'!$A$3,"MA_HT","DGT","MA_QH","DVH")</f>
        <v>0</v>
      </c>
      <c r="AG29" s="50">
        <f ca="1">+GETPIVOTDATA("XSR4",'suoirao (2016)'!$A$3,"MA_HT","DGT","MA_QH","DYT")</f>
        <v>0</v>
      </c>
      <c r="AH29" s="50">
        <f ca="1">+GETPIVOTDATA("XSR4",'suoirao (2016)'!$A$3,"MA_HT","DGT","MA_QH","DGD")</f>
        <v>0</v>
      </c>
      <c r="AI29" s="50">
        <f ca="1">+GETPIVOTDATA("XSR4",'suoirao (2016)'!$A$3,"MA_HT","DGT","MA_QH","DTT")</f>
        <v>0</v>
      </c>
      <c r="AJ29" s="50">
        <f ca="1">+GETPIVOTDATA("XSR4",'suoirao (2016)'!$A$3,"MA_HT","DGT","MA_QH","NCK")</f>
        <v>0</v>
      </c>
      <c r="AK29" s="50">
        <f ca="1">+GETPIVOTDATA("XSR4",'suoirao (2016)'!$A$3,"MA_HT","DGT","MA_QH","DXH")</f>
        <v>0</v>
      </c>
      <c r="AL29" s="50">
        <f ca="1">+GETPIVOTDATA("XSR4",'suoirao (2016)'!$A$3,"MA_HT","DGT","MA_QH","DCH")</f>
        <v>0</v>
      </c>
      <c r="AM29" s="50">
        <f ca="1">+GETPIVOTDATA("XSR4",'suoirao (2016)'!$A$3,"MA_HT","DGT","MA_QH","DKG")</f>
        <v>0</v>
      </c>
      <c r="AN29" s="50">
        <f ca="1">+GETPIVOTDATA("XSR4",'suoirao (2016)'!$A$3,"MA_HT","DGT","MA_QH","DDT")</f>
        <v>0</v>
      </c>
      <c r="AO29" s="50">
        <f ca="1">+GETPIVOTDATA("XSR4",'suoirao (2016)'!$A$3,"MA_HT","DGT","MA_QH","DDL")</f>
        <v>0</v>
      </c>
      <c r="AP29" s="50">
        <f ca="1">+GETPIVOTDATA("XSR4",'suoirao (2016)'!$A$3,"MA_HT","DGT","MA_QH","DRA")</f>
        <v>0</v>
      </c>
      <c r="AQ29" s="50">
        <f ca="1">+GETPIVOTDATA("XSR4",'suoirao (2016)'!$A$3,"MA_HT","DGT","MA_QH","ONT")</f>
        <v>0</v>
      </c>
      <c r="AR29" s="50">
        <f ca="1">+GETPIVOTDATA("XSR4",'suoirao (2016)'!$A$3,"MA_HT","DGT","MA_QH","ODT")</f>
        <v>0</v>
      </c>
      <c r="AS29" s="50">
        <f ca="1">+GETPIVOTDATA("XSR4",'suoirao (2016)'!$A$3,"MA_HT","DGT","MA_QH","TSC")</f>
        <v>0</v>
      </c>
      <c r="AT29" s="50">
        <f ca="1">+GETPIVOTDATA("XSR4",'suoirao (2016)'!$A$3,"MA_HT","DGT","MA_QH","DTS")</f>
        <v>0</v>
      </c>
      <c r="AU29" s="50">
        <f ca="1">+GETPIVOTDATA("XSR4",'suoirao (2016)'!$A$3,"MA_HT","DGT","MA_QH","DNG")</f>
        <v>0</v>
      </c>
      <c r="AV29" s="50">
        <f ca="1">+GETPIVOTDATA("XSR4",'suoirao (2016)'!$A$3,"MA_HT","DGT","MA_QH","TON")</f>
        <v>0</v>
      </c>
      <c r="AW29" s="50">
        <f ca="1">+GETPIVOTDATA("XSR4",'suoirao (2016)'!$A$3,"MA_HT","DGT","MA_QH","NTD")</f>
        <v>0</v>
      </c>
      <c r="AX29" s="50">
        <f ca="1">+GETPIVOTDATA("XSR4",'suoirao (2016)'!$A$3,"MA_HT","DGT","MA_QH","SKX")</f>
        <v>0</v>
      </c>
      <c r="AY29" s="50">
        <f ca="1">+GETPIVOTDATA("XSR4",'suoirao (2016)'!$A$3,"MA_HT","DGT","MA_QH","DSH")</f>
        <v>0</v>
      </c>
      <c r="AZ29" s="50">
        <f ca="1">+GETPIVOTDATA("XSR4",'suoirao (2016)'!$A$3,"MA_HT","DGT","MA_QH","DKV")</f>
        <v>0</v>
      </c>
      <c r="BA29" s="88">
        <f ca="1">+GETPIVOTDATA("XSR4",'suoirao (2016)'!$A$3,"MA_HT","DGT","MA_QH","TIN")</f>
        <v>0</v>
      </c>
      <c r="BB29" s="50">
        <f ca="1">+GETPIVOTDATA("XSR4",'suoirao (2016)'!$A$3,"MA_HT","DGT","MA_QH","SON")</f>
        <v>0</v>
      </c>
      <c r="BC29" s="50">
        <f ca="1">+GETPIVOTDATA("XSR4",'suoirao (2016)'!$A$3,"MA_HT","DGT","MA_QH","MNC")</f>
        <v>0</v>
      </c>
      <c r="BD29" s="50">
        <f ca="1">+GETPIVOTDATA("XSR4",'suoirao (2016)'!$A$3,"MA_HT","DGT","MA_QH","PNK")</f>
        <v>0</v>
      </c>
      <c r="BE29" s="80">
        <f ca="1">+GETPIVOTDATA("XSR4",'suoirao (2016)'!$A$3,"MA_HT","DGT","MA_QH","CSD")</f>
        <v>0</v>
      </c>
      <c r="BF29" s="103">
        <f ca="1" t="shared" si="13"/>
        <v>0</v>
      </c>
      <c r="BG29" s="104">
        <f ca="1">AB$59-$BF29</f>
        <v>0</v>
      </c>
      <c r="BH29" s="47" t="e">
        <f ca="1" t="shared" si="14"/>
        <v>#REF!</v>
      </c>
      <c r="BI29" s="105"/>
      <c r="BJ29" s="105" t="e">
        <f>#REF!</f>
        <v>#REF!</v>
      </c>
      <c r="BK29" s="108" t="e">
        <f ca="1" t="shared" ref="BK29:BK40" si="19">BH29-BJ29</f>
        <v>#REF!</v>
      </c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</row>
    <row r="30" s="4" customFormat="1" ht="16.5" customHeight="1" spans="1:79">
      <c r="A30" s="45" t="s">
        <v>8378</v>
      </c>
      <c r="B30" s="45" t="s">
        <v>8379</v>
      </c>
      <c r="C30" s="46" t="s">
        <v>216</v>
      </c>
      <c r="D30" s="47" t="e">
        <f>+#REF!</f>
        <v>#REF!</v>
      </c>
      <c r="E30" s="42">
        <f ca="1" t="shared" si="15"/>
        <v>0</v>
      </c>
      <c r="F30" s="52">
        <f ca="1" t="shared" si="9"/>
        <v>0</v>
      </c>
      <c r="G30" s="50">
        <f ca="1">+GETPIVOTDATA("XSR4",'suoirao (2016)'!$A$3,"MA_HT","DTL","MA_QH","LUC")</f>
        <v>0</v>
      </c>
      <c r="H30" s="50">
        <f ca="1">+GETPIVOTDATA("XSR4",'suoirao (2016)'!$A$3,"MA_HT","DTL","MA_QH","LUK")</f>
        <v>0</v>
      </c>
      <c r="I30" s="50">
        <f ca="1">+GETPIVOTDATA("XSR4",'suoirao (2016)'!$A$3,"MA_HT","DTL","MA_QH","LUN")</f>
        <v>0</v>
      </c>
      <c r="J30" s="50">
        <f ca="1">+GETPIVOTDATA("XSR4",'suoirao (2016)'!$A$3,"MA_HT","DTL","MA_QH","HNK")</f>
        <v>0</v>
      </c>
      <c r="K30" s="50">
        <f ca="1">+GETPIVOTDATA("XSR4",'suoirao (2016)'!$A$3,"MA_HT","DTL","MA_QH","CLN")</f>
        <v>0</v>
      </c>
      <c r="L30" s="50">
        <f ca="1">+GETPIVOTDATA("XSR4",'suoirao (2016)'!$A$3,"MA_HT","DTL","MA_QH","RSX")</f>
        <v>0</v>
      </c>
      <c r="M30" s="50">
        <f ca="1">+GETPIVOTDATA("XSR4",'suoirao (2016)'!$A$3,"MA_HT","DTL","MA_QH","RPH")</f>
        <v>0</v>
      </c>
      <c r="N30" s="50">
        <f ca="1">+GETPIVOTDATA("XSR4",'suoirao (2016)'!$A$3,"MA_HT","DTL","MA_QH","RDD")</f>
        <v>0</v>
      </c>
      <c r="O30" s="50">
        <f ca="1">+GETPIVOTDATA("XSR4",'suoirao (2016)'!$A$3,"MA_HT","DTL","MA_QH","NTS")</f>
        <v>0</v>
      </c>
      <c r="P30" s="50">
        <f ca="1">+GETPIVOTDATA("XSR4",'suoirao (2016)'!$A$3,"MA_HT","DTL","MA_QH","LMU")</f>
        <v>0</v>
      </c>
      <c r="Q30" s="50">
        <f ca="1">+GETPIVOTDATA("XSR4",'suoirao (2016)'!$A$3,"MA_HT","DTL","MA_QH","NKH")</f>
        <v>0</v>
      </c>
      <c r="R30" s="48">
        <f ca="1" t="shared" ref="R30:R40" si="20">SUM(S30:AA30,AN30:BD30)</f>
        <v>0</v>
      </c>
      <c r="S30" s="50">
        <f ca="1">+GETPIVOTDATA("XSR4",'suoirao (2016)'!$A$3,"MA_HT","DTL","MA_QH","CQP")</f>
        <v>0</v>
      </c>
      <c r="T30" s="50">
        <f ca="1">+GETPIVOTDATA("XSR4",'suoirao (2016)'!$A$3,"MA_HT","DTL","MA_QH","CAN")</f>
        <v>0</v>
      </c>
      <c r="U30" s="50">
        <f ca="1">+GETPIVOTDATA("XSR4",'suoirao (2016)'!$A$3,"MA_HT","DTL","MA_QH","SKK")</f>
        <v>0</v>
      </c>
      <c r="V30" s="50">
        <f ca="1">+GETPIVOTDATA("XSR4",'suoirao (2016)'!$A$3,"MA_HT","DTL","MA_QH","SKT")</f>
        <v>0</v>
      </c>
      <c r="W30" s="50">
        <f ca="1">+GETPIVOTDATA("XSR4",'suoirao (2016)'!$A$3,"MA_HT","DTL","MA_QH","SKN")</f>
        <v>0</v>
      </c>
      <c r="X30" s="50">
        <f ca="1">+GETPIVOTDATA("XSR4",'suoirao (2016)'!$A$3,"MA_HT","DTL","MA_QH","TMD")</f>
        <v>0</v>
      </c>
      <c r="Y30" s="50">
        <f ca="1">+GETPIVOTDATA("XSR4",'suoirao (2016)'!$A$3,"MA_HT","DTL","MA_QH","SKC")</f>
        <v>0</v>
      </c>
      <c r="Z30" s="50">
        <f ca="1">+GETPIVOTDATA("XSR4",'suoirao (2016)'!$A$3,"MA_HT","DTL","MA_QH","SKS")</f>
        <v>0</v>
      </c>
      <c r="AA30" s="52">
        <f ca="1">+SUM(AB30,AD30:AM30)</f>
        <v>0</v>
      </c>
      <c r="AB30" s="50">
        <f ca="1">+GETPIVOTDATA("XSR4",'suoirao (2016)'!$A$3,"MA_HT","DTL","MA_QH","DGT")</f>
        <v>0</v>
      </c>
      <c r="AC30" s="49" t="e">
        <f ca="1">$D30-$BF30</f>
        <v>#REF!</v>
      </c>
      <c r="AD30" s="50">
        <f ca="1">+GETPIVOTDATA("XSR4",'suoirao (2016)'!$A$3,"MA_HT","DTL","MA_QH","DNL")</f>
        <v>0</v>
      </c>
      <c r="AE30" s="50">
        <f ca="1">+GETPIVOTDATA("XSR4",'suoirao (2016)'!$A$3,"MA_HT","DTL","MA_QH","DBV")</f>
        <v>0</v>
      </c>
      <c r="AF30" s="50">
        <f ca="1">+GETPIVOTDATA("XSR4",'suoirao (2016)'!$A$3,"MA_HT","DTL","MA_QH","DVH")</f>
        <v>0</v>
      </c>
      <c r="AG30" s="50">
        <f ca="1">+GETPIVOTDATA("XSR4",'suoirao (2016)'!$A$3,"MA_HT","DTL","MA_QH","DYT")</f>
        <v>0</v>
      </c>
      <c r="AH30" s="50">
        <f ca="1">+GETPIVOTDATA("XSR4",'suoirao (2016)'!$A$3,"MA_HT","DTL","MA_QH","DGD")</f>
        <v>0</v>
      </c>
      <c r="AI30" s="50">
        <f ca="1">+GETPIVOTDATA("XSR4",'suoirao (2016)'!$A$3,"MA_HT","DTL","MA_QH","DTT")</f>
        <v>0</v>
      </c>
      <c r="AJ30" s="50">
        <f ca="1">+GETPIVOTDATA("XSR4",'suoirao (2016)'!$A$3,"MA_HT","DTL","MA_QH","NCK")</f>
        <v>0</v>
      </c>
      <c r="AK30" s="50">
        <f ca="1">+GETPIVOTDATA("XSR4",'suoirao (2016)'!$A$3,"MA_HT","DTL","MA_QH","DXH")</f>
        <v>0</v>
      </c>
      <c r="AL30" s="50">
        <f ca="1">+GETPIVOTDATA("XSR4",'suoirao (2016)'!$A$3,"MA_HT","DTL","MA_QH","DCH")</f>
        <v>0</v>
      </c>
      <c r="AM30" s="50">
        <f ca="1">+GETPIVOTDATA("XSR4",'suoirao (2016)'!$A$3,"MA_HT","DTL","MA_QH","DKG")</f>
        <v>0</v>
      </c>
      <c r="AN30" s="50">
        <f ca="1">+GETPIVOTDATA("XSR4",'suoirao (2016)'!$A$3,"MA_HT","DTL","MA_QH","DDT")</f>
        <v>0</v>
      </c>
      <c r="AO30" s="50">
        <f ca="1">+GETPIVOTDATA("XSR4",'suoirao (2016)'!$A$3,"MA_HT","DTL","MA_QH","DDL")</f>
        <v>0</v>
      </c>
      <c r="AP30" s="50">
        <f ca="1">+GETPIVOTDATA("XSR4",'suoirao (2016)'!$A$3,"MA_HT","DTL","MA_QH","DRA")</f>
        <v>0</v>
      </c>
      <c r="AQ30" s="50">
        <f ca="1">+GETPIVOTDATA("XSR4",'suoirao (2016)'!$A$3,"MA_HT","DTL","MA_QH","ONT")</f>
        <v>0</v>
      </c>
      <c r="AR30" s="50">
        <f ca="1">+GETPIVOTDATA("XSR4",'suoirao (2016)'!$A$3,"MA_HT","DTL","MA_QH","ODT")</f>
        <v>0</v>
      </c>
      <c r="AS30" s="50">
        <f ca="1">+GETPIVOTDATA("XSR4",'suoirao (2016)'!$A$3,"MA_HT","DTL","MA_QH","TSC")</f>
        <v>0</v>
      </c>
      <c r="AT30" s="50">
        <f ca="1">+GETPIVOTDATA("XSR4",'suoirao (2016)'!$A$3,"MA_HT","DTL","MA_QH","DTS")</f>
        <v>0</v>
      </c>
      <c r="AU30" s="50">
        <f ca="1">+GETPIVOTDATA("XSR4",'suoirao (2016)'!$A$3,"MA_HT","DTL","MA_QH","DNG")</f>
        <v>0</v>
      </c>
      <c r="AV30" s="50">
        <f ca="1">+GETPIVOTDATA("XSR4",'suoirao (2016)'!$A$3,"MA_HT","DTL","MA_QH","TON")</f>
        <v>0</v>
      </c>
      <c r="AW30" s="50">
        <f ca="1">+GETPIVOTDATA("XSR4",'suoirao (2016)'!$A$3,"MA_HT","DTL","MA_QH","NTD")</f>
        <v>0</v>
      </c>
      <c r="AX30" s="50">
        <f ca="1">+GETPIVOTDATA("XSR4",'suoirao (2016)'!$A$3,"MA_HT","DTL","MA_QH","SKX")</f>
        <v>0</v>
      </c>
      <c r="AY30" s="50">
        <f ca="1">+GETPIVOTDATA("XSR4",'suoirao (2016)'!$A$3,"MA_HT","DTL","MA_QH","DSH")</f>
        <v>0</v>
      </c>
      <c r="AZ30" s="50">
        <f ca="1">+GETPIVOTDATA("XSR4",'suoirao (2016)'!$A$3,"MA_HT","DTL","MA_QH","DKV")</f>
        <v>0</v>
      </c>
      <c r="BA30" s="88">
        <f ca="1">+GETPIVOTDATA("XSR4",'suoirao (2016)'!$A$3,"MA_HT","DTL","MA_QH","TIN")</f>
        <v>0</v>
      </c>
      <c r="BB30" s="50">
        <f ca="1">+GETPIVOTDATA("XSR4",'suoirao (2016)'!$A$3,"MA_HT","DTL","MA_QH","SON")</f>
        <v>0</v>
      </c>
      <c r="BC30" s="50">
        <f ca="1">+GETPIVOTDATA("XSR4",'suoirao (2016)'!$A$3,"MA_HT","DTL","MA_QH","MNC")</f>
        <v>0</v>
      </c>
      <c r="BD30" s="50">
        <f ca="1">+GETPIVOTDATA("XSR4",'suoirao (2016)'!$A$3,"MA_HT","DTL","MA_QH","PNK")</f>
        <v>0</v>
      </c>
      <c r="BE30" s="80">
        <f ca="1">+GETPIVOTDATA("XSR4",'suoirao (2016)'!$A$3,"MA_HT","DTL","MA_QH","CSD")</f>
        <v>0</v>
      </c>
      <c r="BF30" s="103">
        <f ca="1" t="shared" si="13"/>
        <v>0</v>
      </c>
      <c r="BG30" s="104">
        <f ca="1">AC$59-$BF30</f>
        <v>0</v>
      </c>
      <c r="BH30" s="47" t="e">
        <f ca="1" t="shared" si="14"/>
        <v>#REF!</v>
      </c>
      <c r="BI30" s="105"/>
      <c r="BJ30" s="105" t="e">
        <f>#REF!</f>
        <v>#REF!</v>
      </c>
      <c r="BK30" s="108" t="e">
        <f ca="1" t="shared" si="19"/>
        <v>#REF!</v>
      </c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</row>
    <row r="31" s="4" customFormat="1" ht="16.5" customHeight="1" spans="1:79">
      <c r="A31" s="45" t="s">
        <v>8380</v>
      </c>
      <c r="B31" s="45" t="s">
        <v>8381</v>
      </c>
      <c r="C31" s="46" t="s">
        <v>71</v>
      </c>
      <c r="D31" s="47" t="e">
        <f>+#REF!</f>
        <v>#REF!</v>
      </c>
      <c r="E31" s="42">
        <f ca="1" t="shared" si="15"/>
        <v>0</v>
      </c>
      <c r="F31" s="52">
        <f ca="1" t="shared" si="9"/>
        <v>0</v>
      </c>
      <c r="G31" s="50">
        <f ca="1">+GETPIVOTDATA("XSR4",'suoirao (2016)'!$A$3,"MA_HT","DNL","MA_QH","LUC")</f>
        <v>0</v>
      </c>
      <c r="H31" s="50">
        <f ca="1">+GETPIVOTDATA("XSR4",'suoirao (2016)'!$A$3,"MA_HT","DNL","MA_QH","LUK")</f>
        <v>0</v>
      </c>
      <c r="I31" s="50">
        <f ca="1">+GETPIVOTDATA("XSR4",'suoirao (2016)'!$A$3,"MA_HT","DNL","MA_QH","LUN")</f>
        <v>0</v>
      </c>
      <c r="J31" s="50">
        <f ca="1">+GETPIVOTDATA("XSR4",'suoirao (2016)'!$A$3,"MA_HT","DNL","MA_QH","HNK")</f>
        <v>0</v>
      </c>
      <c r="K31" s="50">
        <f ca="1">+GETPIVOTDATA("XSR4",'suoirao (2016)'!$A$3,"MA_HT","DNL","MA_QH","CLN")</f>
        <v>0</v>
      </c>
      <c r="L31" s="50">
        <f ca="1">+GETPIVOTDATA("XSR4",'suoirao (2016)'!$A$3,"MA_HT","DNL","MA_QH","RSX")</f>
        <v>0</v>
      </c>
      <c r="M31" s="50">
        <f ca="1">+GETPIVOTDATA("XSR4",'suoirao (2016)'!$A$3,"MA_HT","DNL","MA_QH","RPH")</f>
        <v>0</v>
      </c>
      <c r="N31" s="50">
        <f ca="1">+GETPIVOTDATA("XSR4",'suoirao (2016)'!$A$3,"MA_HT","DNL","MA_QH","RDD")</f>
        <v>0</v>
      </c>
      <c r="O31" s="50">
        <f ca="1">+GETPIVOTDATA("XSR4",'suoirao (2016)'!$A$3,"MA_HT","DNL","MA_QH","NTS")</f>
        <v>0</v>
      </c>
      <c r="P31" s="50">
        <f ca="1">+GETPIVOTDATA("XSR4",'suoirao (2016)'!$A$3,"MA_HT","DNL","MA_QH","LMU")</f>
        <v>0</v>
      </c>
      <c r="Q31" s="50">
        <f ca="1">+GETPIVOTDATA("XSR4",'suoirao (2016)'!$A$3,"MA_HT","DNL","MA_QH","NKH")</f>
        <v>0</v>
      </c>
      <c r="R31" s="48">
        <f ca="1" t="shared" si="20"/>
        <v>0</v>
      </c>
      <c r="S31" s="50">
        <f ca="1">+GETPIVOTDATA("XSR4",'suoirao (2016)'!$A$3,"MA_HT","DNL","MA_QH","CQP")</f>
        <v>0</v>
      </c>
      <c r="T31" s="50">
        <f ca="1">+GETPIVOTDATA("XSR4",'suoirao (2016)'!$A$3,"MA_HT","DNL","MA_QH","CAN")</f>
        <v>0</v>
      </c>
      <c r="U31" s="50">
        <f ca="1">+GETPIVOTDATA("XSR4",'suoirao (2016)'!$A$3,"MA_HT","DNL","MA_QH","SKK")</f>
        <v>0</v>
      </c>
      <c r="V31" s="50">
        <f ca="1">+GETPIVOTDATA("XSR4",'suoirao (2016)'!$A$3,"MA_HT","DNL","MA_QH","SKT")</f>
        <v>0</v>
      </c>
      <c r="W31" s="50">
        <f ca="1">+GETPIVOTDATA("XSR4",'suoirao (2016)'!$A$3,"MA_HT","DNL","MA_QH","SKN")</f>
        <v>0</v>
      </c>
      <c r="X31" s="50">
        <f ca="1">+GETPIVOTDATA("XSR4",'suoirao (2016)'!$A$3,"MA_HT","DNL","MA_QH","TMD")</f>
        <v>0</v>
      </c>
      <c r="Y31" s="50">
        <f ca="1">+GETPIVOTDATA("XSR4",'suoirao (2016)'!$A$3,"MA_HT","DNL","MA_QH","SKC")</f>
        <v>0</v>
      </c>
      <c r="Z31" s="50">
        <f ca="1">+GETPIVOTDATA("XSR4",'suoirao (2016)'!$A$3,"MA_HT","DNL","MA_QH","SKS")</f>
        <v>0</v>
      </c>
      <c r="AA31" s="52">
        <f ca="1">+SUM(AB31:AC31,AE31:AM31)</f>
        <v>0</v>
      </c>
      <c r="AB31" s="50">
        <f ca="1">+GETPIVOTDATA("XSR4",'suoirao (2016)'!$A$3,"MA_HT","DNL","MA_QH","DGT")</f>
        <v>0</v>
      </c>
      <c r="AC31" s="50">
        <f ca="1">+GETPIVOTDATA("XSR4",'suoirao (2016)'!$A$3,"MA_HT","DNL","MA_QH","DTL")</f>
        <v>0</v>
      </c>
      <c r="AD31" s="49" t="e">
        <f ca="1">$D31-$BF31</f>
        <v>#REF!</v>
      </c>
      <c r="AE31" s="50">
        <f ca="1">+GETPIVOTDATA("XSR4",'suoirao (2016)'!$A$3,"MA_HT","DNL","MA_QH","DBV")</f>
        <v>0</v>
      </c>
      <c r="AF31" s="50">
        <f ca="1">+GETPIVOTDATA("XSR4",'suoirao (2016)'!$A$3,"MA_HT","DNL","MA_QH","DVH")</f>
        <v>0</v>
      </c>
      <c r="AG31" s="50">
        <f ca="1">+GETPIVOTDATA("XSR4",'suoirao (2016)'!$A$3,"MA_HT","DNL","MA_QH","DYT")</f>
        <v>0</v>
      </c>
      <c r="AH31" s="50">
        <f ca="1">+GETPIVOTDATA("XSR4",'suoirao (2016)'!$A$3,"MA_HT","DNL","MA_QH","DGD")</f>
        <v>0</v>
      </c>
      <c r="AI31" s="50">
        <f ca="1">+GETPIVOTDATA("XSR4",'suoirao (2016)'!$A$3,"MA_HT","DNL","MA_QH","DTT")</f>
        <v>0</v>
      </c>
      <c r="AJ31" s="50">
        <f ca="1">+GETPIVOTDATA("XSR4",'suoirao (2016)'!$A$3,"MA_HT","DNL","MA_QH","NCK")</f>
        <v>0</v>
      </c>
      <c r="AK31" s="50">
        <f ca="1">+GETPIVOTDATA("XSR4",'suoirao (2016)'!$A$3,"MA_HT","DNL","MA_QH","DXH")</f>
        <v>0</v>
      </c>
      <c r="AL31" s="50">
        <f ca="1">+GETPIVOTDATA("XSR4",'suoirao (2016)'!$A$3,"MA_HT","DNL","MA_QH","DCH")</f>
        <v>0</v>
      </c>
      <c r="AM31" s="50">
        <f ca="1">+GETPIVOTDATA("XSR4",'suoirao (2016)'!$A$3,"MA_HT","DNL","MA_QH","DKG")</f>
        <v>0</v>
      </c>
      <c r="AN31" s="50">
        <f ca="1">+GETPIVOTDATA("XSR4",'suoirao (2016)'!$A$3,"MA_HT","DNL","MA_QH","DDT")</f>
        <v>0</v>
      </c>
      <c r="AO31" s="50">
        <f ca="1">+GETPIVOTDATA("XSR4",'suoirao (2016)'!$A$3,"MA_HT","DNL","MA_QH","DDL")</f>
        <v>0</v>
      </c>
      <c r="AP31" s="50">
        <f ca="1">+GETPIVOTDATA("XSR4",'suoirao (2016)'!$A$3,"MA_HT","DNL","MA_QH","DRA")</f>
        <v>0</v>
      </c>
      <c r="AQ31" s="50">
        <f ca="1">+GETPIVOTDATA("XSR4",'suoirao (2016)'!$A$3,"MA_HT","DNL","MA_QH","ONT")</f>
        <v>0</v>
      </c>
      <c r="AR31" s="50">
        <f ca="1">+GETPIVOTDATA("XSR4",'suoirao (2016)'!$A$3,"MA_HT","DNL","MA_QH","ODT")</f>
        <v>0</v>
      </c>
      <c r="AS31" s="50">
        <f ca="1">+GETPIVOTDATA("XSR4",'suoirao (2016)'!$A$3,"MA_HT","DNL","MA_QH","TSC")</f>
        <v>0</v>
      </c>
      <c r="AT31" s="50">
        <f ca="1">+GETPIVOTDATA("XSR4",'suoirao (2016)'!$A$3,"MA_HT","DNL","MA_QH","DTS")</f>
        <v>0</v>
      </c>
      <c r="AU31" s="50">
        <f ca="1">+GETPIVOTDATA("XSR4",'suoirao (2016)'!$A$3,"MA_HT","DNL","MA_QH","DNG")</f>
        <v>0</v>
      </c>
      <c r="AV31" s="50">
        <f ca="1">+GETPIVOTDATA("XSR4",'suoirao (2016)'!$A$3,"MA_HT","DNL","MA_QH","TON")</f>
        <v>0</v>
      </c>
      <c r="AW31" s="50">
        <f ca="1">+GETPIVOTDATA("XSR4",'suoirao (2016)'!$A$3,"MA_HT","DNL","MA_QH","NTD")</f>
        <v>0</v>
      </c>
      <c r="AX31" s="50">
        <f ca="1">+GETPIVOTDATA("XSR4",'suoirao (2016)'!$A$3,"MA_HT","DNL","MA_QH","SKX")</f>
        <v>0</v>
      </c>
      <c r="AY31" s="50">
        <f ca="1">+GETPIVOTDATA("XSR4",'suoirao (2016)'!$A$3,"MA_HT","DNL","MA_QH","DSH")</f>
        <v>0</v>
      </c>
      <c r="AZ31" s="50">
        <f ca="1">+GETPIVOTDATA("XSR4",'suoirao (2016)'!$A$3,"MA_HT","DNL","MA_QH","DKV")</f>
        <v>0</v>
      </c>
      <c r="BA31" s="88">
        <f ca="1">+GETPIVOTDATA("XSR4",'suoirao (2016)'!$A$3,"MA_HT","DNL","MA_QH","TIN")</f>
        <v>0</v>
      </c>
      <c r="BB31" s="50">
        <f ca="1">+GETPIVOTDATA("XSR4",'suoirao (2016)'!$A$3,"MA_HT","DNL","MA_QH","SON")</f>
        <v>0</v>
      </c>
      <c r="BC31" s="50">
        <f ca="1">+GETPIVOTDATA("XSR4",'suoirao (2016)'!$A$3,"MA_HT","DNL","MA_QH","MNC")</f>
        <v>0</v>
      </c>
      <c r="BD31" s="50">
        <f ca="1">+GETPIVOTDATA("XSR4",'suoirao (2016)'!$A$3,"MA_HT","DNL","MA_QH","PNK")</f>
        <v>0</v>
      </c>
      <c r="BE31" s="80">
        <f ca="1">+GETPIVOTDATA("XSR4",'suoirao (2016)'!$A$3,"MA_HT","DNL","MA_QH","CSD")</f>
        <v>0</v>
      </c>
      <c r="BF31" s="103">
        <f ca="1" t="shared" si="13"/>
        <v>0</v>
      </c>
      <c r="BG31" s="104">
        <f ca="1">AD$59-$BF31</f>
        <v>0</v>
      </c>
      <c r="BH31" s="47" t="e">
        <f ca="1" t="shared" si="14"/>
        <v>#REF!</v>
      </c>
      <c r="BI31" s="105"/>
      <c r="BJ31" s="105" t="e">
        <f>#REF!</f>
        <v>#REF!</v>
      </c>
      <c r="BK31" s="108" t="e">
        <f ca="1" t="shared" si="19"/>
        <v>#REF!</v>
      </c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</row>
    <row r="32" s="4" customFormat="1" ht="16.5" customHeight="1" spans="1:79">
      <c r="A32" s="45" t="s">
        <v>8382</v>
      </c>
      <c r="B32" s="45" t="s">
        <v>8383</v>
      </c>
      <c r="C32" s="46" t="s">
        <v>8285</v>
      </c>
      <c r="D32" s="47" t="e">
        <f>+#REF!</f>
        <v>#REF!</v>
      </c>
      <c r="E32" s="42">
        <f ca="1" t="shared" si="15"/>
        <v>0</v>
      </c>
      <c r="F32" s="52">
        <f ca="1" t="shared" si="9"/>
        <v>0</v>
      </c>
      <c r="G32" s="50">
        <f ca="1">+GETPIVOTDATA("XSR4",'suoirao (2016)'!$A$3,"MA_HT","DBV","MA_QH","LUC")</f>
        <v>0</v>
      </c>
      <c r="H32" s="50">
        <f ca="1">+GETPIVOTDATA("XSR4",'suoirao (2016)'!$A$3,"MA_HT","DBV","MA_QH","LUK")</f>
        <v>0</v>
      </c>
      <c r="I32" s="50">
        <f ca="1">+GETPIVOTDATA("XSR4",'suoirao (2016)'!$A$3,"MA_HT","DBV","MA_QH","LUN")</f>
        <v>0</v>
      </c>
      <c r="J32" s="50">
        <f ca="1">+GETPIVOTDATA("XSR4",'suoirao (2016)'!$A$3,"MA_HT","DBV","MA_QH","HNK")</f>
        <v>0</v>
      </c>
      <c r="K32" s="50">
        <f ca="1">+GETPIVOTDATA("XSR4",'suoirao (2016)'!$A$3,"MA_HT","DBV","MA_QH","CLN")</f>
        <v>0</v>
      </c>
      <c r="L32" s="50">
        <f ca="1">+GETPIVOTDATA("XSR4",'suoirao (2016)'!$A$3,"MA_HT","DBV","MA_QH","RSX")</f>
        <v>0</v>
      </c>
      <c r="M32" s="50">
        <f ca="1">+GETPIVOTDATA("XSR4",'suoirao (2016)'!$A$3,"MA_HT","DBV","MA_QH","RPH")</f>
        <v>0</v>
      </c>
      <c r="N32" s="50">
        <f ca="1">+GETPIVOTDATA("XSR4",'suoirao (2016)'!$A$3,"MA_HT","DBV","MA_QH","RDD")</f>
        <v>0</v>
      </c>
      <c r="O32" s="50">
        <f ca="1">+GETPIVOTDATA("XSR4",'suoirao (2016)'!$A$3,"MA_HT","DBV","MA_QH","NTS")</f>
        <v>0</v>
      </c>
      <c r="P32" s="50">
        <f ca="1">+GETPIVOTDATA("XSR4",'suoirao (2016)'!$A$3,"MA_HT","DBV","MA_QH","LMU")</f>
        <v>0</v>
      </c>
      <c r="Q32" s="50">
        <f ca="1">+GETPIVOTDATA("XSR4",'suoirao (2016)'!$A$3,"MA_HT","DBV","MA_QH","NKH")</f>
        <v>0</v>
      </c>
      <c r="R32" s="48">
        <f ca="1" t="shared" si="20"/>
        <v>0</v>
      </c>
      <c r="S32" s="50">
        <f ca="1">+GETPIVOTDATA("XSR4",'suoirao (2016)'!$A$3,"MA_HT","DBV","MA_QH","CQP")</f>
        <v>0</v>
      </c>
      <c r="T32" s="50">
        <f ca="1">+GETPIVOTDATA("XSR4",'suoirao (2016)'!$A$3,"MA_HT","DBV","MA_QH","CAN")</f>
        <v>0</v>
      </c>
      <c r="U32" s="50">
        <f ca="1">+GETPIVOTDATA("XSR4",'suoirao (2016)'!$A$3,"MA_HT","DBV","MA_QH","SKK")</f>
        <v>0</v>
      </c>
      <c r="V32" s="50">
        <f ca="1">+GETPIVOTDATA("XSR4",'suoirao (2016)'!$A$3,"MA_HT","DBV","MA_QH","SKT")</f>
        <v>0</v>
      </c>
      <c r="W32" s="50">
        <f ca="1">+GETPIVOTDATA("XSR4",'suoirao (2016)'!$A$3,"MA_HT","DBV","MA_QH","SKN")</f>
        <v>0</v>
      </c>
      <c r="X32" s="50">
        <f ca="1">+GETPIVOTDATA("XSR4",'suoirao (2016)'!$A$3,"MA_HT","DBV","MA_QH","TMD")</f>
        <v>0</v>
      </c>
      <c r="Y32" s="50">
        <f ca="1">+GETPIVOTDATA("XSR4",'suoirao (2016)'!$A$3,"MA_HT","DBV","MA_QH","SKC")</f>
        <v>0</v>
      </c>
      <c r="Z32" s="50">
        <f ca="1">+GETPIVOTDATA("XSR4",'suoirao (2016)'!$A$3,"MA_HT","DBV","MA_QH","SKS")</f>
        <v>0</v>
      </c>
      <c r="AA32" s="52">
        <f ca="1">+SUM(AB32:AD32,AF32:AM32)</f>
        <v>0</v>
      </c>
      <c r="AB32" s="50">
        <f ca="1">+GETPIVOTDATA("XSR4",'suoirao (2016)'!$A$3,"MA_HT","DBV","MA_QH","DGT")</f>
        <v>0</v>
      </c>
      <c r="AC32" s="50">
        <f ca="1">+GETPIVOTDATA("XSR4",'suoirao (2016)'!$A$3,"MA_HT","DBV","MA_QH","DTL")</f>
        <v>0</v>
      </c>
      <c r="AD32" s="50">
        <f ca="1">+GETPIVOTDATA("XSR4",'suoirao (2016)'!$A$3,"MA_HT","DBV","MA_QH","DNL")</f>
        <v>0</v>
      </c>
      <c r="AE32" s="49" t="e">
        <f ca="1">$D32-$BF32</f>
        <v>#REF!</v>
      </c>
      <c r="AF32" s="50">
        <f ca="1">+GETPIVOTDATA("XSR4",'suoirao (2016)'!$A$3,"MA_HT","DBV","MA_QH","DVH")</f>
        <v>0</v>
      </c>
      <c r="AG32" s="50">
        <f ca="1">+GETPIVOTDATA("XSR4",'suoirao (2016)'!$A$3,"MA_HT","DBV","MA_QH","DYT")</f>
        <v>0</v>
      </c>
      <c r="AH32" s="50">
        <f ca="1">+GETPIVOTDATA("XSR4",'suoirao (2016)'!$A$3,"MA_HT","DBV","MA_QH","DGD")</f>
        <v>0</v>
      </c>
      <c r="AI32" s="50">
        <f ca="1">+GETPIVOTDATA("XSR4",'suoirao (2016)'!$A$3,"MA_HT","DBV","MA_QH","DTT")</f>
        <v>0</v>
      </c>
      <c r="AJ32" s="50">
        <f ca="1">+GETPIVOTDATA("XSR4",'suoirao (2016)'!$A$3,"MA_HT","DBV","MA_QH","NCK")</f>
        <v>0</v>
      </c>
      <c r="AK32" s="50">
        <f ca="1">+GETPIVOTDATA("XSR4",'suoirao (2016)'!$A$3,"MA_HT","DBV","MA_QH","DXH")</f>
        <v>0</v>
      </c>
      <c r="AL32" s="50">
        <f ca="1">+GETPIVOTDATA("XSR4",'suoirao (2016)'!$A$3,"MA_HT","DBV","MA_QH","DCH")</f>
        <v>0</v>
      </c>
      <c r="AM32" s="50">
        <f ca="1">+GETPIVOTDATA("XSR4",'suoirao (2016)'!$A$3,"MA_HT","DBV","MA_QH","DKG")</f>
        <v>0</v>
      </c>
      <c r="AN32" s="50">
        <f ca="1">+GETPIVOTDATA("XSR4",'suoirao (2016)'!$A$3,"MA_HT","DBV","MA_QH","DDT")</f>
        <v>0</v>
      </c>
      <c r="AO32" s="50">
        <f ca="1">+GETPIVOTDATA("XSR4",'suoirao (2016)'!$A$3,"MA_HT","DBV","MA_QH","DDL")</f>
        <v>0</v>
      </c>
      <c r="AP32" s="50">
        <f ca="1">+GETPIVOTDATA("XSR4",'suoirao (2016)'!$A$3,"MA_HT","DBV","MA_QH","DRA")</f>
        <v>0</v>
      </c>
      <c r="AQ32" s="50">
        <f ca="1">+GETPIVOTDATA("XSR4",'suoirao (2016)'!$A$3,"MA_HT","DBV","MA_QH","ONT")</f>
        <v>0</v>
      </c>
      <c r="AR32" s="50">
        <f ca="1">+GETPIVOTDATA("XSR4",'suoirao (2016)'!$A$3,"MA_HT","DBV","MA_QH","ODT")</f>
        <v>0</v>
      </c>
      <c r="AS32" s="50">
        <f ca="1">+GETPIVOTDATA("XSR4",'suoirao (2016)'!$A$3,"MA_HT","DBV","MA_QH","TSC")</f>
        <v>0</v>
      </c>
      <c r="AT32" s="50">
        <f ca="1">+GETPIVOTDATA("XSR4",'suoirao (2016)'!$A$3,"MA_HT","DBV","MA_QH","DTS")</f>
        <v>0</v>
      </c>
      <c r="AU32" s="50">
        <f ca="1">+GETPIVOTDATA("XSR4",'suoirao (2016)'!$A$3,"MA_HT","DBV","MA_QH","DNG")</f>
        <v>0</v>
      </c>
      <c r="AV32" s="50">
        <f ca="1">+GETPIVOTDATA("XSR4",'suoirao (2016)'!$A$3,"MA_HT","DBV","MA_QH","TON")</f>
        <v>0</v>
      </c>
      <c r="AW32" s="50">
        <f ca="1">+GETPIVOTDATA("XSR4",'suoirao (2016)'!$A$3,"MA_HT","DBV","MA_QH","NTD")</f>
        <v>0</v>
      </c>
      <c r="AX32" s="50">
        <f ca="1">+GETPIVOTDATA("XSR4",'suoirao (2016)'!$A$3,"MA_HT","DBV","MA_QH","SKX")</f>
        <v>0</v>
      </c>
      <c r="AY32" s="50">
        <f ca="1">+GETPIVOTDATA("XSR4",'suoirao (2016)'!$A$3,"MA_HT","DBV","MA_QH","DSH")</f>
        <v>0</v>
      </c>
      <c r="AZ32" s="50">
        <f ca="1">+GETPIVOTDATA("XSR4",'suoirao (2016)'!$A$3,"MA_HT","DBV","MA_QH","DKV")</f>
        <v>0</v>
      </c>
      <c r="BA32" s="88">
        <f ca="1">+GETPIVOTDATA("XSR4",'suoirao (2016)'!$A$3,"MA_HT","DBV","MA_QH","TIN")</f>
        <v>0</v>
      </c>
      <c r="BB32" s="50">
        <f ca="1">+GETPIVOTDATA("XSR4",'suoirao (2016)'!$A$3,"MA_HT","DBV","MA_QH","SON")</f>
        <v>0</v>
      </c>
      <c r="BC32" s="50">
        <f ca="1">+GETPIVOTDATA("XSR4",'suoirao (2016)'!$A$3,"MA_HT","DBV","MA_QH","MNC")</f>
        <v>0</v>
      </c>
      <c r="BD32" s="50">
        <f ca="1">+GETPIVOTDATA("XSR4",'suoirao (2016)'!$A$3,"MA_HT","DBV","MA_QH","PNK")</f>
        <v>0</v>
      </c>
      <c r="BE32" s="80">
        <f ca="1">+GETPIVOTDATA("XSR4",'suoirao (2016)'!$A$3,"MA_HT","DBV","MA_QH","CSD")</f>
        <v>0</v>
      </c>
      <c r="BF32" s="103">
        <f ca="1" t="shared" si="13"/>
        <v>0</v>
      </c>
      <c r="BG32" s="104">
        <f ca="1">AE$59-$BF32</f>
        <v>0</v>
      </c>
      <c r="BH32" s="47" t="e">
        <f ca="1" t="shared" si="14"/>
        <v>#REF!</v>
      </c>
      <c r="BI32" s="105"/>
      <c r="BJ32" s="105" t="e">
        <f>#REF!</f>
        <v>#REF!</v>
      </c>
      <c r="BK32" s="108" t="e">
        <f ca="1" t="shared" si="19"/>
        <v>#REF!</v>
      </c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</row>
    <row r="33" s="4" customFormat="1" ht="16.5" customHeight="1" spans="1:79">
      <c r="A33" s="45" t="s">
        <v>8384</v>
      </c>
      <c r="B33" s="45" t="s">
        <v>8385</v>
      </c>
      <c r="C33" s="46" t="s">
        <v>212</v>
      </c>
      <c r="D33" s="47" t="e">
        <f>+#REF!</f>
        <v>#REF!</v>
      </c>
      <c r="E33" s="42">
        <f ca="1" t="shared" si="15"/>
        <v>0</v>
      </c>
      <c r="F33" s="52">
        <f ca="1" t="shared" si="9"/>
        <v>0</v>
      </c>
      <c r="G33" s="50">
        <f ca="1">+GETPIVOTDATA("XSR4",'suoirao (2016)'!$A$3,"MA_HT","DVH","MA_QH","LUC")</f>
        <v>0</v>
      </c>
      <c r="H33" s="50">
        <f ca="1">+GETPIVOTDATA("XSR4",'suoirao (2016)'!$A$3,"MA_HT","DVH","MA_QH","LUK")</f>
        <v>0</v>
      </c>
      <c r="I33" s="50">
        <f ca="1">+GETPIVOTDATA("XSR4",'suoirao (2016)'!$A$3,"MA_HT","DVH","MA_QH","LUN")</f>
        <v>0</v>
      </c>
      <c r="J33" s="50">
        <f ca="1">+GETPIVOTDATA("XSR4",'suoirao (2016)'!$A$3,"MA_HT","DVH","MA_QH","HNK")</f>
        <v>0</v>
      </c>
      <c r="K33" s="50">
        <f ca="1">+GETPIVOTDATA("XSR4",'suoirao (2016)'!$A$3,"MA_HT","DVH","MA_QH","CLN")</f>
        <v>0</v>
      </c>
      <c r="L33" s="50">
        <f ca="1">+GETPIVOTDATA("XSR4",'suoirao (2016)'!$A$3,"MA_HT","DVH","MA_QH","RSX")</f>
        <v>0</v>
      </c>
      <c r="M33" s="50">
        <f ca="1">+GETPIVOTDATA("XSR4",'suoirao (2016)'!$A$3,"MA_HT","DVH","MA_QH","RPH")</f>
        <v>0</v>
      </c>
      <c r="N33" s="50">
        <f ca="1">+GETPIVOTDATA("XSR4",'suoirao (2016)'!$A$3,"MA_HT","DVH","MA_QH","RDD")</f>
        <v>0</v>
      </c>
      <c r="O33" s="50">
        <f ca="1">+GETPIVOTDATA("XSR4",'suoirao (2016)'!$A$3,"MA_HT","DVH","MA_QH","NTS")</f>
        <v>0</v>
      </c>
      <c r="P33" s="50">
        <f ca="1">+GETPIVOTDATA("XSR4",'suoirao (2016)'!$A$3,"MA_HT","DVH","MA_QH","LMU")</f>
        <v>0</v>
      </c>
      <c r="Q33" s="50">
        <f ca="1">+GETPIVOTDATA("XSR4",'suoirao (2016)'!$A$3,"MA_HT","DVH","MA_QH","NKH")</f>
        <v>0</v>
      </c>
      <c r="R33" s="48">
        <f ca="1" t="shared" si="20"/>
        <v>0</v>
      </c>
      <c r="S33" s="50">
        <f ca="1">+GETPIVOTDATA("XSR4",'suoirao (2016)'!$A$3,"MA_HT","DVH","MA_QH","CQP")</f>
        <v>0</v>
      </c>
      <c r="T33" s="50">
        <f ca="1">+GETPIVOTDATA("XSR4",'suoirao (2016)'!$A$3,"MA_HT","DVH","MA_QH","CAN")</f>
        <v>0</v>
      </c>
      <c r="U33" s="50">
        <f ca="1">+GETPIVOTDATA("XSR4",'suoirao (2016)'!$A$3,"MA_HT","DVH","MA_QH","SKK")</f>
        <v>0</v>
      </c>
      <c r="V33" s="50">
        <f ca="1">+GETPIVOTDATA("XSR4",'suoirao (2016)'!$A$3,"MA_HT","DVH","MA_QH","SKT")</f>
        <v>0</v>
      </c>
      <c r="W33" s="50">
        <f ca="1">+GETPIVOTDATA("XSR4",'suoirao (2016)'!$A$3,"MA_HT","DVH","MA_QH","SKN")</f>
        <v>0</v>
      </c>
      <c r="X33" s="50">
        <f ca="1">+GETPIVOTDATA("XSR4",'suoirao (2016)'!$A$3,"MA_HT","DVH","MA_QH","TMD")</f>
        <v>0</v>
      </c>
      <c r="Y33" s="50">
        <f ca="1">+GETPIVOTDATA("XSR4",'suoirao (2016)'!$A$3,"MA_HT","DVH","MA_QH","SKC")</f>
        <v>0</v>
      </c>
      <c r="Z33" s="50">
        <f ca="1">+GETPIVOTDATA("XSR4",'suoirao (2016)'!$A$3,"MA_HT","DVH","MA_QH","SKS")</f>
        <v>0</v>
      </c>
      <c r="AA33" s="52">
        <f ca="1">+SUM(AB33:AE33,AG33:AM33)</f>
        <v>0</v>
      </c>
      <c r="AB33" s="50">
        <f ca="1">+GETPIVOTDATA("XSR4",'suoirao (2016)'!$A$3,"MA_HT","DVH","MA_QH","DGT")</f>
        <v>0</v>
      </c>
      <c r="AC33" s="50">
        <f ca="1">+GETPIVOTDATA("XSR4",'suoirao (2016)'!$A$3,"MA_HT","DVH","MA_QH","DTL")</f>
        <v>0</v>
      </c>
      <c r="AD33" s="50">
        <f ca="1">+GETPIVOTDATA("XSR4",'suoirao (2016)'!$A$3,"MA_HT","DVH","MA_QH","DNL")</f>
        <v>0</v>
      </c>
      <c r="AE33" s="50">
        <f ca="1">+GETPIVOTDATA("XSR4",'suoirao (2016)'!$A$3,"MA_HT","DVH","MA_QH","DBV")</f>
        <v>0</v>
      </c>
      <c r="AF33" s="49" t="e">
        <f ca="1">$D33-$BF33</f>
        <v>#REF!</v>
      </c>
      <c r="AG33" s="50">
        <f ca="1">+GETPIVOTDATA("XSR4",'suoirao (2016)'!$A$3,"MA_HT","DVH","MA_QH","DYT")</f>
        <v>0</v>
      </c>
      <c r="AH33" s="50">
        <f ca="1">+GETPIVOTDATA("XSR4",'suoirao (2016)'!$A$3,"MA_HT","DVH","MA_QH","DGD")</f>
        <v>0</v>
      </c>
      <c r="AI33" s="50">
        <f ca="1">+GETPIVOTDATA("XSR4",'suoirao (2016)'!$A$3,"MA_HT","DVH","MA_QH","DTT")</f>
        <v>0</v>
      </c>
      <c r="AJ33" s="50">
        <f ca="1">+GETPIVOTDATA("XSR4",'suoirao (2016)'!$A$3,"MA_HT","DVH","MA_QH","NCK")</f>
        <v>0</v>
      </c>
      <c r="AK33" s="50">
        <f ca="1">+GETPIVOTDATA("XSR4",'suoirao (2016)'!$A$3,"MA_HT","DVH","MA_QH","DXH")</f>
        <v>0</v>
      </c>
      <c r="AL33" s="50">
        <f ca="1">+GETPIVOTDATA("XSR4",'suoirao (2016)'!$A$3,"MA_HT","DVH","MA_QH","DCH")</f>
        <v>0</v>
      </c>
      <c r="AM33" s="50">
        <f ca="1">+GETPIVOTDATA("XSR4",'suoirao (2016)'!$A$3,"MA_HT","DVH","MA_QH","DKG")</f>
        <v>0</v>
      </c>
      <c r="AN33" s="50">
        <f ca="1">+GETPIVOTDATA("XSR4",'suoirao (2016)'!$A$3,"MA_HT","DVH","MA_QH","DDT")</f>
        <v>0</v>
      </c>
      <c r="AO33" s="50">
        <f ca="1">+GETPIVOTDATA("XSR4",'suoirao (2016)'!$A$3,"MA_HT","DVH","MA_QH","DDL")</f>
        <v>0</v>
      </c>
      <c r="AP33" s="50">
        <f ca="1">+GETPIVOTDATA("XSR4",'suoirao (2016)'!$A$3,"MA_HT","DVH","MA_QH","DRA")</f>
        <v>0</v>
      </c>
      <c r="AQ33" s="50">
        <f ca="1">+GETPIVOTDATA("XSR4",'suoirao (2016)'!$A$3,"MA_HT","DVH","MA_QH","ONT")</f>
        <v>0</v>
      </c>
      <c r="AR33" s="50">
        <f ca="1">+GETPIVOTDATA("XSR4",'suoirao (2016)'!$A$3,"MA_HT","DVH","MA_QH","ODT")</f>
        <v>0</v>
      </c>
      <c r="AS33" s="50">
        <f ca="1">+GETPIVOTDATA("XSR4",'suoirao (2016)'!$A$3,"MA_HT","DVH","MA_QH","TSC")</f>
        <v>0</v>
      </c>
      <c r="AT33" s="50">
        <f ca="1">+GETPIVOTDATA("XSR4",'suoirao (2016)'!$A$3,"MA_HT","DVH","MA_QH","DTS")</f>
        <v>0</v>
      </c>
      <c r="AU33" s="50">
        <f ca="1">+GETPIVOTDATA("XSR4",'suoirao (2016)'!$A$3,"MA_HT","DVH","MA_QH","DNG")</f>
        <v>0</v>
      </c>
      <c r="AV33" s="50">
        <f ca="1">+GETPIVOTDATA("XSR4",'suoirao (2016)'!$A$3,"MA_HT","DVH","MA_QH","TON")</f>
        <v>0</v>
      </c>
      <c r="AW33" s="50">
        <f ca="1">+GETPIVOTDATA("XSR4",'suoirao (2016)'!$A$3,"MA_HT","DVH","MA_QH","NTD")</f>
        <v>0</v>
      </c>
      <c r="AX33" s="50">
        <f ca="1">+GETPIVOTDATA("XSR4",'suoirao (2016)'!$A$3,"MA_HT","DVH","MA_QH","SKX")</f>
        <v>0</v>
      </c>
      <c r="AY33" s="50">
        <f ca="1">+GETPIVOTDATA("XSR4",'suoirao (2016)'!$A$3,"MA_HT","DVH","MA_QH","DSH")</f>
        <v>0</v>
      </c>
      <c r="AZ33" s="50">
        <f ca="1">+GETPIVOTDATA("XSR4",'suoirao (2016)'!$A$3,"MA_HT","DVH","MA_QH","DKV")</f>
        <v>0</v>
      </c>
      <c r="BA33" s="88">
        <f ca="1">+GETPIVOTDATA("XSR4",'suoirao (2016)'!$A$3,"MA_HT","DVH","MA_QH","TIN")</f>
        <v>0</v>
      </c>
      <c r="BB33" s="50">
        <f ca="1">+GETPIVOTDATA("XSR4",'suoirao (2016)'!$A$3,"MA_HT","DVH","MA_QH","SON")</f>
        <v>0</v>
      </c>
      <c r="BC33" s="50">
        <f ca="1">+GETPIVOTDATA("XSR4",'suoirao (2016)'!$A$3,"MA_HT","DVH","MA_QH","MNC")</f>
        <v>0</v>
      </c>
      <c r="BD33" s="50">
        <f ca="1">+GETPIVOTDATA("XSR4",'suoirao (2016)'!$A$3,"MA_HT","DVH","MA_QH","PNK")</f>
        <v>0</v>
      </c>
      <c r="BE33" s="80">
        <f ca="1">+GETPIVOTDATA("XSR4",'suoirao (2016)'!$A$3,"MA_HT","DVH","MA_QH","CSD")</f>
        <v>0</v>
      </c>
      <c r="BF33" s="103">
        <f ca="1" t="shared" si="13"/>
        <v>0</v>
      </c>
      <c r="BG33" s="104">
        <f ca="1">AF$59-$BF33</f>
        <v>0</v>
      </c>
      <c r="BH33" s="47" t="e">
        <f ca="1" t="shared" si="14"/>
        <v>#REF!</v>
      </c>
      <c r="BI33" s="105"/>
      <c r="BJ33" s="105" t="e">
        <f>#REF!</f>
        <v>#REF!</v>
      </c>
      <c r="BK33" s="108" t="e">
        <f ca="1" t="shared" si="19"/>
        <v>#REF!</v>
      </c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</row>
    <row r="34" s="4" customFormat="1" ht="16.5" customHeight="1" spans="1:79">
      <c r="A34" s="45" t="s">
        <v>8386</v>
      </c>
      <c r="B34" s="45" t="s">
        <v>8387</v>
      </c>
      <c r="C34" s="46" t="s">
        <v>8296</v>
      </c>
      <c r="D34" s="47" t="e">
        <f>+#REF!</f>
        <v>#REF!</v>
      </c>
      <c r="E34" s="42">
        <f ca="1" t="shared" si="15"/>
        <v>0</v>
      </c>
      <c r="F34" s="52">
        <f ca="1" t="shared" si="9"/>
        <v>0</v>
      </c>
      <c r="G34" s="50">
        <f ca="1">+GETPIVOTDATA("XSR4",'suoirao (2016)'!$A$3,"MA_HT","DYT","MA_QH","LUC")</f>
        <v>0</v>
      </c>
      <c r="H34" s="50">
        <f ca="1">+GETPIVOTDATA("XSR4",'suoirao (2016)'!$A$3,"MA_HT","DYT","MA_QH","LUK")</f>
        <v>0</v>
      </c>
      <c r="I34" s="50">
        <f ca="1">+GETPIVOTDATA("XSR4",'suoirao (2016)'!$A$3,"MA_HT","DYT","MA_QH","LUN")</f>
        <v>0</v>
      </c>
      <c r="J34" s="50">
        <f ca="1">+GETPIVOTDATA("XSR4",'suoirao (2016)'!$A$3,"MA_HT","DYT","MA_QH","HNK")</f>
        <v>0</v>
      </c>
      <c r="K34" s="50">
        <f ca="1">+GETPIVOTDATA("XSR4",'suoirao (2016)'!$A$3,"MA_HT","DYT","MA_QH","CLN")</f>
        <v>0</v>
      </c>
      <c r="L34" s="50">
        <f ca="1">+GETPIVOTDATA("XSR4",'suoirao (2016)'!$A$3,"MA_HT","DYT","MA_QH","RSX")</f>
        <v>0</v>
      </c>
      <c r="M34" s="50">
        <f ca="1">+GETPIVOTDATA("XSR4",'suoirao (2016)'!$A$3,"MA_HT","DYT","MA_QH","RPH")</f>
        <v>0</v>
      </c>
      <c r="N34" s="50">
        <f ca="1">+GETPIVOTDATA("XSR4",'suoirao (2016)'!$A$3,"MA_HT","DYT","MA_QH","RDD")</f>
        <v>0</v>
      </c>
      <c r="O34" s="50">
        <f ca="1">+GETPIVOTDATA("XSR4",'suoirao (2016)'!$A$3,"MA_HT","DYT","MA_QH","NTS")</f>
        <v>0</v>
      </c>
      <c r="P34" s="50">
        <f ca="1">+GETPIVOTDATA("XSR4",'suoirao (2016)'!$A$3,"MA_HT","DYT","MA_QH","LMU")</f>
        <v>0</v>
      </c>
      <c r="Q34" s="50">
        <f ca="1">+GETPIVOTDATA("XSR4",'suoirao (2016)'!$A$3,"MA_HT","DYT","MA_QH","NKH")</f>
        <v>0</v>
      </c>
      <c r="R34" s="48">
        <f ca="1" t="shared" si="20"/>
        <v>0</v>
      </c>
      <c r="S34" s="50">
        <f ca="1">+GETPIVOTDATA("XSR4",'suoirao (2016)'!$A$3,"MA_HT","DYT","MA_QH","CQP")</f>
        <v>0</v>
      </c>
      <c r="T34" s="50">
        <f ca="1">+GETPIVOTDATA("XSR4",'suoirao (2016)'!$A$3,"MA_HT","DYT","MA_QH","CAN")</f>
        <v>0</v>
      </c>
      <c r="U34" s="50">
        <f ca="1">+GETPIVOTDATA("XSR4",'suoirao (2016)'!$A$3,"MA_HT","DYT","MA_QH","SKK")</f>
        <v>0</v>
      </c>
      <c r="V34" s="50">
        <f ca="1">+GETPIVOTDATA("XSR4",'suoirao (2016)'!$A$3,"MA_HT","DYT","MA_QH","SKT")</f>
        <v>0</v>
      </c>
      <c r="W34" s="50">
        <f ca="1">+GETPIVOTDATA("XSR4",'suoirao (2016)'!$A$3,"MA_HT","DYT","MA_QH","SKN")</f>
        <v>0</v>
      </c>
      <c r="X34" s="50">
        <f ca="1">+GETPIVOTDATA("XSR4",'suoirao (2016)'!$A$3,"MA_HT","DYT","MA_QH","TMD")</f>
        <v>0</v>
      </c>
      <c r="Y34" s="50">
        <f ca="1">+GETPIVOTDATA("XSR4",'suoirao (2016)'!$A$3,"MA_HT","DYT","MA_QH","SKC")</f>
        <v>0</v>
      </c>
      <c r="Z34" s="50">
        <f ca="1">+GETPIVOTDATA("XSR4",'suoirao (2016)'!$A$3,"MA_HT","DYT","MA_QH","SKS")</f>
        <v>0</v>
      </c>
      <c r="AA34" s="52">
        <f ca="1">+SUM(AB34:AF34,AH34:AM34)</f>
        <v>0</v>
      </c>
      <c r="AB34" s="50">
        <f ca="1">+GETPIVOTDATA("XSR4",'suoirao (2016)'!$A$3,"MA_HT","DYT","MA_QH","DGT")</f>
        <v>0</v>
      </c>
      <c r="AC34" s="50">
        <f ca="1">+GETPIVOTDATA("XSR4",'suoirao (2016)'!$A$3,"MA_HT","DYT","MA_QH","DTL")</f>
        <v>0</v>
      </c>
      <c r="AD34" s="50">
        <f ca="1">+GETPIVOTDATA("XSR4",'suoirao (2016)'!$A$3,"MA_HT","DYT","MA_QH","DNL")</f>
        <v>0</v>
      </c>
      <c r="AE34" s="50">
        <f ca="1">+GETPIVOTDATA("XSR4",'suoirao (2016)'!$A$3,"MA_HT","DYT","MA_QH","DBV")</f>
        <v>0</v>
      </c>
      <c r="AF34" s="50">
        <f ca="1">+GETPIVOTDATA("XSR4",'suoirao (2016)'!$A$3,"MA_HT","DYT","MA_QH","DVH")</f>
        <v>0</v>
      </c>
      <c r="AG34" s="49" t="e">
        <f ca="1">$D34-$BF34</f>
        <v>#REF!</v>
      </c>
      <c r="AH34" s="50">
        <f ca="1">+GETPIVOTDATA("XSR4",'suoirao (2016)'!$A$3,"MA_HT","DYT","MA_QH","DGD")</f>
        <v>0</v>
      </c>
      <c r="AI34" s="50">
        <f ca="1">+GETPIVOTDATA("XSR4",'suoirao (2016)'!$A$3,"MA_HT","DYT","MA_QH","DTT")</f>
        <v>0</v>
      </c>
      <c r="AJ34" s="50">
        <f ca="1">+GETPIVOTDATA("XSR4",'suoirao (2016)'!$A$3,"MA_HT","DYT","MA_QH","NCK")</f>
        <v>0</v>
      </c>
      <c r="AK34" s="50">
        <f ca="1">+GETPIVOTDATA("XSR4",'suoirao (2016)'!$A$3,"MA_HT","DYT","MA_QH","DXH")</f>
        <v>0</v>
      </c>
      <c r="AL34" s="50">
        <f ca="1">+GETPIVOTDATA("XSR4",'suoirao (2016)'!$A$3,"MA_HT","DYT","MA_QH","DCH")</f>
        <v>0</v>
      </c>
      <c r="AM34" s="50">
        <f ca="1">+GETPIVOTDATA("XSR4",'suoirao (2016)'!$A$3,"MA_HT","DYT","MA_QH","DKG")</f>
        <v>0</v>
      </c>
      <c r="AN34" s="50">
        <f ca="1">+GETPIVOTDATA("XSR4",'suoirao (2016)'!$A$3,"MA_HT","DYT","MA_QH","DDT")</f>
        <v>0</v>
      </c>
      <c r="AO34" s="50">
        <f ca="1">+GETPIVOTDATA("XSR4",'suoirao (2016)'!$A$3,"MA_HT","DYT","MA_QH","DDL")</f>
        <v>0</v>
      </c>
      <c r="AP34" s="50">
        <f ca="1">+GETPIVOTDATA("XSR4",'suoirao (2016)'!$A$3,"MA_HT","DYT","MA_QH","DRA")</f>
        <v>0</v>
      </c>
      <c r="AQ34" s="50">
        <f ca="1">+GETPIVOTDATA("XSR4",'suoirao (2016)'!$A$3,"MA_HT","DYT","MA_QH","ONT")</f>
        <v>0</v>
      </c>
      <c r="AR34" s="50">
        <f ca="1">+GETPIVOTDATA("XSR4",'suoirao (2016)'!$A$3,"MA_HT","DYT","MA_QH","ODT")</f>
        <v>0</v>
      </c>
      <c r="AS34" s="50">
        <f ca="1">+GETPIVOTDATA("XSR4",'suoirao (2016)'!$A$3,"MA_HT","DYT","MA_QH","TSC")</f>
        <v>0</v>
      </c>
      <c r="AT34" s="50">
        <f ca="1">+GETPIVOTDATA("XSR4",'suoirao (2016)'!$A$3,"MA_HT","DYT","MA_QH","DTS")</f>
        <v>0</v>
      </c>
      <c r="AU34" s="50">
        <f ca="1">+GETPIVOTDATA("XSR4",'suoirao (2016)'!$A$3,"MA_HT","DYT","MA_QH","DNG")</f>
        <v>0</v>
      </c>
      <c r="AV34" s="50">
        <f ca="1">+GETPIVOTDATA("XSR4",'suoirao (2016)'!$A$3,"MA_HT","DYT","MA_QH","TON")</f>
        <v>0</v>
      </c>
      <c r="AW34" s="50">
        <f ca="1">+GETPIVOTDATA("XSR4",'suoirao (2016)'!$A$3,"MA_HT","DYT","MA_QH","NTD")</f>
        <v>0</v>
      </c>
      <c r="AX34" s="50">
        <f ca="1">+GETPIVOTDATA("XSR4",'suoirao (2016)'!$A$3,"MA_HT","DYT","MA_QH","SKX")</f>
        <v>0</v>
      </c>
      <c r="AY34" s="50">
        <f ca="1">+GETPIVOTDATA("XSR4",'suoirao (2016)'!$A$3,"MA_HT","DYT","MA_QH","DSH")</f>
        <v>0</v>
      </c>
      <c r="AZ34" s="50">
        <f ca="1">+GETPIVOTDATA("XSR4",'suoirao (2016)'!$A$3,"MA_HT","DYT","MA_QH","DKV")</f>
        <v>0</v>
      </c>
      <c r="BA34" s="88">
        <f ca="1">+GETPIVOTDATA("XSR4",'suoirao (2016)'!$A$3,"MA_HT","DYT","MA_QH","TIN")</f>
        <v>0</v>
      </c>
      <c r="BB34" s="50">
        <f ca="1">+GETPIVOTDATA("XSR4",'suoirao (2016)'!$A$3,"MA_HT","DYT","MA_QH","SON")</f>
        <v>0</v>
      </c>
      <c r="BC34" s="50">
        <f ca="1">+GETPIVOTDATA("XSR4",'suoirao (2016)'!$A$3,"MA_HT","DYT","MA_QH","MNC")</f>
        <v>0</v>
      </c>
      <c r="BD34" s="50">
        <f ca="1">+GETPIVOTDATA("XSR4",'suoirao (2016)'!$A$3,"MA_HT","DYT","MA_QH","PNK")</f>
        <v>0</v>
      </c>
      <c r="BE34" s="80">
        <f ca="1">+GETPIVOTDATA("XSR4",'suoirao (2016)'!$A$3,"MA_HT","DYT","MA_QH","CSD")</f>
        <v>0</v>
      </c>
      <c r="BF34" s="103">
        <f ca="1" t="shared" si="13"/>
        <v>0</v>
      </c>
      <c r="BG34" s="104">
        <f ca="1">AG$59-$BF34</f>
        <v>0</v>
      </c>
      <c r="BH34" s="47" t="e">
        <f ca="1" t="shared" si="14"/>
        <v>#REF!</v>
      </c>
      <c r="BI34" s="105"/>
      <c r="BJ34" s="105" t="e">
        <f>#REF!</f>
        <v>#REF!</v>
      </c>
      <c r="BK34" s="108" t="e">
        <f ca="1" t="shared" si="19"/>
        <v>#REF!</v>
      </c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</row>
    <row r="35" s="4" customFormat="1" ht="16.5" customHeight="1" spans="1:79">
      <c r="A35" s="45" t="s">
        <v>8388</v>
      </c>
      <c r="B35" s="45" t="s">
        <v>8389</v>
      </c>
      <c r="C35" s="46" t="s">
        <v>165</v>
      </c>
      <c r="D35" s="47" t="e">
        <f>+#REF!</f>
        <v>#REF!</v>
      </c>
      <c r="E35" s="42">
        <f ca="1" t="shared" si="15"/>
        <v>0</v>
      </c>
      <c r="F35" s="52">
        <f ca="1" t="shared" si="9"/>
        <v>0</v>
      </c>
      <c r="G35" s="50">
        <f ca="1">+GETPIVOTDATA("XSR4",'suoirao (2016)'!$A$3,"MA_HT","DGD","MA_QH","LUC")</f>
        <v>0</v>
      </c>
      <c r="H35" s="50">
        <f ca="1">+GETPIVOTDATA("XSR4",'suoirao (2016)'!$A$3,"MA_HT","DGD","MA_QH","LUK")</f>
        <v>0</v>
      </c>
      <c r="I35" s="50">
        <f ca="1">+GETPIVOTDATA("XSR4",'suoirao (2016)'!$A$3,"MA_HT","DGD","MA_QH","LUN")</f>
        <v>0</v>
      </c>
      <c r="J35" s="50">
        <f ca="1">+GETPIVOTDATA("XSR4",'suoirao (2016)'!$A$3,"MA_HT","DGD","MA_QH","HNK")</f>
        <v>0</v>
      </c>
      <c r="K35" s="50">
        <f ca="1">+GETPIVOTDATA("XSR4",'suoirao (2016)'!$A$3,"MA_HT","DGD","MA_QH","CLN")</f>
        <v>0</v>
      </c>
      <c r="L35" s="50">
        <f ca="1">+GETPIVOTDATA("XSR4",'suoirao (2016)'!$A$3,"MA_HT","DGD","MA_QH","RSX")</f>
        <v>0</v>
      </c>
      <c r="M35" s="50">
        <f ca="1">+GETPIVOTDATA("XSR4",'suoirao (2016)'!$A$3,"MA_HT","DGD","MA_QH","RPH")</f>
        <v>0</v>
      </c>
      <c r="N35" s="50">
        <f ca="1">+GETPIVOTDATA("XSR4",'suoirao (2016)'!$A$3,"MA_HT","DGD","MA_QH","RDD")</f>
        <v>0</v>
      </c>
      <c r="O35" s="50">
        <f ca="1">+GETPIVOTDATA("XSR4",'suoirao (2016)'!$A$3,"MA_HT","DGD","MA_QH","NTS")</f>
        <v>0</v>
      </c>
      <c r="P35" s="50">
        <f ca="1">+GETPIVOTDATA("XSR4",'suoirao (2016)'!$A$3,"MA_HT","DGD","MA_QH","LMU")</f>
        <v>0</v>
      </c>
      <c r="Q35" s="50">
        <f ca="1">+GETPIVOTDATA("XSR4",'suoirao (2016)'!$A$3,"MA_HT","DGD","MA_QH","NKH")</f>
        <v>0</v>
      </c>
      <c r="R35" s="48">
        <f ca="1" t="shared" si="20"/>
        <v>0</v>
      </c>
      <c r="S35" s="50">
        <f ca="1">+GETPIVOTDATA("XSR4",'suoirao (2016)'!$A$3,"MA_HT","DGD","MA_QH","CQP")</f>
        <v>0</v>
      </c>
      <c r="T35" s="50">
        <f ca="1">+GETPIVOTDATA("XSR4",'suoirao (2016)'!$A$3,"MA_HT","DGD","MA_QH","CAN")</f>
        <v>0</v>
      </c>
      <c r="U35" s="50">
        <f ca="1">+GETPIVOTDATA("XSR4",'suoirao (2016)'!$A$3,"MA_HT","DGD","MA_QH","SKK")</f>
        <v>0</v>
      </c>
      <c r="V35" s="50">
        <f ca="1">+GETPIVOTDATA("XSR4",'suoirao (2016)'!$A$3,"MA_HT","DGD","MA_QH","SKT")</f>
        <v>0</v>
      </c>
      <c r="W35" s="50">
        <f ca="1">+GETPIVOTDATA("XSR4",'suoirao (2016)'!$A$3,"MA_HT","DGD","MA_QH","SKN")</f>
        <v>0</v>
      </c>
      <c r="X35" s="50">
        <f ca="1">+GETPIVOTDATA("XSR4",'suoirao (2016)'!$A$3,"MA_HT","DGD","MA_QH","TMD")</f>
        <v>0</v>
      </c>
      <c r="Y35" s="50">
        <f ca="1">+GETPIVOTDATA("XSR4",'suoirao (2016)'!$A$3,"MA_HT","DGD","MA_QH","SKC")</f>
        <v>0</v>
      </c>
      <c r="Z35" s="50">
        <f ca="1">+GETPIVOTDATA("XSR4",'suoirao (2016)'!$A$3,"MA_HT","DGD","MA_QH","SKS")</f>
        <v>0</v>
      </c>
      <c r="AA35" s="52">
        <f ca="1">+SUM(AB35:AG35,AI35:AM35)</f>
        <v>0</v>
      </c>
      <c r="AB35" s="50">
        <f ca="1">+GETPIVOTDATA("XSR4",'suoirao (2016)'!$A$3,"MA_HT","DGD","MA_QH","DGT")</f>
        <v>0</v>
      </c>
      <c r="AC35" s="50">
        <f ca="1">+GETPIVOTDATA("XSR4",'suoirao (2016)'!$A$3,"MA_HT","DGD","MA_QH","DTL")</f>
        <v>0</v>
      </c>
      <c r="AD35" s="50">
        <f ca="1">+GETPIVOTDATA("XSR4",'suoirao (2016)'!$A$3,"MA_HT","DGD","MA_QH","DNL")</f>
        <v>0</v>
      </c>
      <c r="AE35" s="50">
        <f ca="1">+GETPIVOTDATA("XSR4",'suoirao (2016)'!$A$3,"MA_HT","DGD","MA_QH","DBV")</f>
        <v>0</v>
      </c>
      <c r="AF35" s="50">
        <f ca="1">+GETPIVOTDATA("XSR4",'suoirao (2016)'!$A$3,"MA_HT","DGD","MA_QH","DVH")</f>
        <v>0</v>
      </c>
      <c r="AG35" s="50">
        <f ca="1">+GETPIVOTDATA("XSR4",'suoirao (2016)'!$A$3,"MA_HT","DGD","MA_QH","DYT")</f>
        <v>0</v>
      </c>
      <c r="AH35" s="49" t="e">
        <f ca="1">$D35-$BF35</f>
        <v>#REF!</v>
      </c>
      <c r="AI35" s="50">
        <f ca="1">+GETPIVOTDATA("XSR4",'suoirao (2016)'!$A$3,"MA_HT","DGD","MA_QH","DTT")</f>
        <v>0</v>
      </c>
      <c r="AJ35" s="50">
        <f ca="1">+GETPIVOTDATA("XSR4",'suoirao (2016)'!$A$3,"MA_HT","DGD","MA_QH","NCK")</f>
        <v>0</v>
      </c>
      <c r="AK35" s="50">
        <f ca="1">+GETPIVOTDATA("XSR4",'suoirao (2016)'!$A$3,"MA_HT","DGD","MA_QH","DXH")</f>
        <v>0</v>
      </c>
      <c r="AL35" s="50">
        <f ca="1">+GETPIVOTDATA("XSR4",'suoirao (2016)'!$A$3,"MA_HT","DGD","MA_QH","DCH")</f>
        <v>0</v>
      </c>
      <c r="AM35" s="50">
        <f ca="1">+GETPIVOTDATA("XSR4",'suoirao (2016)'!$A$3,"MA_HT","DGD","MA_QH","DKG")</f>
        <v>0</v>
      </c>
      <c r="AN35" s="50">
        <f ca="1">+GETPIVOTDATA("XSR4",'suoirao (2016)'!$A$3,"MA_HT","DGD","MA_QH","DDT")</f>
        <v>0</v>
      </c>
      <c r="AO35" s="50">
        <f ca="1">+GETPIVOTDATA("XSR4",'suoirao (2016)'!$A$3,"MA_HT","DGD","MA_QH","DDL")</f>
        <v>0</v>
      </c>
      <c r="AP35" s="50">
        <f ca="1">+GETPIVOTDATA("XSR4",'suoirao (2016)'!$A$3,"MA_HT","DGD","MA_QH","DRA")</f>
        <v>0</v>
      </c>
      <c r="AQ35" s="50">
        <f ca="1">+GETPIVOTDATA("XSR4",'suoirao (2016)'!$A$3,"MA_HT","DGD","MA_QH","ONT")</f>
        <v>0</v>
      </c>
      <c r="AR35" s="50">
        <f ca="1">+GETPIVOTDATA("XSR4",'suoirao (2016)'!$A$3,"MA_HT","DGD","MA_QH","ODT")</f>
        <v>0</v>
      </c>
      <c r="AS35" s="50">
        <f ca="1">+GETPIVOTDATA("XSR4",'suoirao (2016)'!$A$3,"MA_HT","DGD","MA_QH","TSC")</f>
        <v>0</v>
      </c>
      <c r="AT35" s="50">
        <f ca="1">+GETPIVOTDATA("XSR4",'suoirao (2016)'!$A$3,"MA_HT","DGD","MA_QH","DTS")</f>
        <v>0</v>
      </c>
      <c r="AU35" s="50">
        <f ca="1">+GETPIVOTDATA("XSR4",'suoirao (2016)'!$A$3,"MA_HT","DGD","MA_QH","DNG")</f>
        <v>0</v>
      </c>
      <c r="AV35" s="50">
        <f ca="1">+GETPIVOTDATA("XSR4",'suoirao (2016)'!$A$3,"MA_HT","DGD","MA_QH","TON")</f>
        <v>0</v>
      </c>
      <c r="AW35" s="50">
        <f ca="1">+GETPIVOTDATA("XSR4",'suoirao (2016)'!$A$3,"MA_HT","DGD","MA_QH","NTD")</f>
        <v>0</v>
      </c>
      <c r="AX35" s="50">
        <f ca="1">+GETPIVOTDATA("XSR4",'suoirao (2016)'!$A$3,"MA_HT","DGD","MA_QH","SKX")</f>
        <v>0</v>
      </c>
      <c r="AY35" s="50">
        <f ca="1">+GETPIVOTDATA("XSR4",'suoirao (2016)'!$A$3,"MA_HT","DGD","MA_QH","DSH")</f>
        <v>0</v>
      </c>
      <c r="AZ35" s="50">
        <f ca="1">+GETPIVOTDATA("XSR4",'suoirao (2016)'!$A$3,"MA_HT","DGD","MA_QH","DKV")</f>
        <v>0</v>
      </c>
      <c r="BA35" s="88">
        <f ca="1">+GETPIVOTDATA("XSR4",'suoirao (2016)'!$A$3,"MA_HT","DGD","MA_QH","TIN")</f>
        <v>0</v>
      </c>
      <c r="BB35" s="50">
        <f ca="1">+GETPIVOTDATA("XSR4",'suoirao (2016)'!$A$3,"MA_HT","DGD","MA_QH","SON")</f>
        <v>0</v>
      </c>
      <c r="BC35" s="50">
        <f ca="1">+GETPIVOTDATA("XSR4",'suoirao (2016)'!$A$3,"MA_HT","DGD","MA_QH","MNC")</f>
        <v>0</v>
      </c>
      <c r="BD35" s="50">
        <f ca="1">+GETPIVOTDATA("XSR4",'suoirao (2016)'!$A$3,"MA_HT","DGD","MA_QH","PNK")</f>
        <v>0</v>
      </c>
      <c r="BE35" s="80">
        <f ca="1">+GETPIVOTDATA("XSR4",'suoirao (2016)'!$A$3,"MA_HT","DGD","MA_QH","CSD")</f>
        <v>0</v>
      </c>
      <c r="BF35" s="103">
        <f ca="1" t="shared" si="13"/>
        <v>0</v>
      </c>
      <c r="BG35" s="104">
        <f ca="1">AH$59-$BF35</f>
        <v>0</v>
      </c>
      <c r="BH35" s="47" t="e">
        <f ca="1" t="shared" si="14"/>
        <v>#REF!</v>
      </c>
      <c r="BI35" s="105"/>
      <c r="BJ35" s="105" t="e">
        <f>#REF!</f>
        <v>#REF!</v>
      </c>
      <c r="BK35" s="108" t="e">
        <f ca="1" t="shared" si="19"/>
        <v>#REF!</v>
      </c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</row>
    <row r="36" s="4" customFormat="1" ht="16.5" customHeight="1" spans="1:79">
      <c r="A36" s="45" t="s">
        <v>8390</v>
      </c>
      <c r="B36" s="45" t="s">
        <v>8391</v>
      </c>
      <c r="C36" s="46" t="s">
        <v>8294</v>
      </c>
      <c r="D36" s="47" t="e">
        <f>+#REF!</f>
        <v>#REF!</v>
      </c>
      <c r="E36" s="42">
        <f ca="1" t="shared" si="15"/>
        <v>0</v>
      </c>
      <c r="F36" s="52">
        <f ca="1" t="shared" si="9"/>
        <v>0</v>
      </c>
      <c r="G36" s="50">
        <f ca="1">+GETPIVOTDATA("XSR4",'suoirao (2016)'!$A$3,"MA_HT","DTT","MA_QH","LUC")</f>
        <v>0</v>
      </c>
      <c r="H36" s="50">
        <f ca="1">+GETPIVOTDATA("XSR4",'suoirao (2016)'!$A$3,"MA_HT","DTT","MA_QH","LUK")</f>
        <v>0</v>
      </c>
      <c r="I36" s="50">
        <f ca="1">+GETPIVOTDATA("XSR4",'suoirao (2016)'!$A$3,"MA_HT","DTT","MA_QH","LUN")</f>
        <v>0</v>
      </c>
      <c r="J36" s="50">
        <f ca="1">+GETPIVOTDATA("XSR4",'suoirao (2016)'!$A$3,"MA_HT","DTT","MA_QH","HNK")</f>
        <v>0</v>
      </c>
      <c r="K36" s="50">
        <f ca="1">+GETPIVOTDATA("XSR4",'suoirao (2016)'!$A$3,"MA_HT","DTT","MA_QH","CLN")</f>
        <v>0</v>
      </c>
      <c r="L36" s="50">
        <f ca="1">+GETPIVOTDATA("XSR4",'suoirao (2016)'!$A$3,"MA_HT","DTT","MA_QH","RSX")</f>
        <v>0</v>
      </c>
      <c r="M36" s="50">
        <f ca="1">+GETPIVOTDATA("XSR4",'suoirao (2016)'!$A$3,"MA_HT","DTT","MA_QH","RPH")</f>
        <v>0</v>
      </c>
      <c r="N36" s="50">
        <f ca="1">+GETPIVOTDATA("XSR4",'suoirao (2016)'!$A$3,"MA_HT","DTT","MA_QH","RDD")</f>
        <v>0</v>
      </c>
      <c r="O36" s="50">
        <f ca="1">+GETPIVOTDATA("XSR4",'suoirao (2016)'!$A$3,"MA_HT","DTT","MA_QH","NTS")</f>
        <v>0</v>
      </c>
      <c r="P36" s="50">
        <f ca="1">+GETPIVOTDATA("XSR4",'suoirao (2016)'!$A$3,"MA_HT","DTT","MA_QH","LMU")</f>
        <v>0</v>
      </c>
      <c r="Q36" s="50">
        <f ca="1">+GETPIVOTDATA("XSR4",'suoirao (2016)'!$A$3,"MA_HT","DTT","MA_QH","NKH")</f>
        <v>0</v>
      </c>
      <c r="R36" s="48">
        <f ca="1" t="shared" si="20"/>
        <v>0</v>
      </c>
      <c r="S36" s="50">
        <f ca="1">+GETPIVOTDATA("XSR4",'suoirao (2016)'!$A$3,"MA_HT","DTT","MA_QH","CQP")</f>
        <v>0</v>
      </c>
      <c r="T36" s="50">
        <f ca="1">+GETPIVOTDATA("XSR4",'suoirao (2016)'!$A$3,"MA_HT","DTT","MA_QH","CAN")</f>
        <v>0</v>
      </c>
      <c r="U36" s="50">
        <f ca="1">+GETPIVOTDATA("XSR4",'suoirao (2016)'!$A$3,"MA_HT","DTT","MA_QH","SKK")</f>
        <v>0</v>
      </c>
      <c r="V36" s="50">
        <f ca="1">+GETPIVOTDATA("XSR4",'suoirao (2016)'!$A$3,"MA_HT","DTT","MA_QH","SKT")</f>
        <v>0</v>
      </c>
      <c r="W36" s="50">
        <f ca="1">+GETPIVOTDATA("XSR4",'suoirao (2016)'!$A$3,"MA_HT","DTT","MA_QH","SKN")</f>
        <v>0</v>
      </c>
      <c r="X36" s="50">
        <f ca="1">+GETPIVOTDATA("XSR4",'suoirao (2016)'!$A$3,"MA_HT","DTT","MA_QH","TMD")</f>
        <v>0</v>
      </c>
      <c r="Y36" s="50">
        <f ca="1">+GETPIVOTDATA("XSR4",'suoirao (2016)'!$A$3,"MA_HT","DTT","MA_QH","SKC")</f>
        <v>0</v>
      </c>
      <c r="Z36" s="50">
        <f ca="1">+GETPIVOTDATA("XSR4",'suoirao (2016)'!$A$3,"MA_HT","DTT","MA_QH","SKS")</f>
        <v>0</v>
      </c>
      <c r="AA36" s="52">
        <f ca="1">+SUM(AB36:AH36,AJ36:AM36)</f>
        <v>0</v>
      </c>
      <c r="AB36" s="50">
        <f ca="1">+GETPIVOTDATA("XSR4",'suoirao (2016)'!$A$3,"MA_HT","DTT","MA_QH","DGT")</f>
        <v>0</v>
      </c>
      <c r="AC36" s="50">
        <f ca="1">+GETPIVOTDATA("XSR4",'suoirao (2016)'!$A$3,"MA_HT","DTT","MA_QH","DTL")</f>
        <v>0</v>
      </c>
      <c r="AD36" s="50">
        <f ca="1">+GETPIVOTDATA("XSR4",'suoirao (2016)'!$A$3,"MA_HT","DTT","MA_QH","DNL")</f>
        <v>0</v>
      </c>
      <c r="AE36" s="50">
        <f ca="1">+GETPIVOTDATA("XSR4",'suoirao (2016)'!$A$3,"MA_HT","DTT","MA_QH","DBV")</f>
        <v>0</v>
      </c>
      <c r="AF36" s="50">
        <f ca="1">+GETPIVOTDATA("XSR4",'suoirao (2016)'!$A$3,"MA_HT","DTT","MA_QH","DVH")</f>
        <v>0</v>
      </c>
      <c r="AG36" s="50">
        <f ca="1">+GETPIVOTDATA("XSR4",'suoirao (2016)'!$A$3,"MA_HT","DTT","MA_QH","DYT")</f>
        <v>0</v>
      </c>
      <c r="AH36" s="50">
        <f ca="1">+GETPIVOTDATA("XSR4",'suoirao (2016)'!$A$3,"MA_HT","DTT","MA_QH","DGD")</f>
        <v>0</v>
      </c>
      <c r="AI36" s="49" t="e">
        <f ca="1">$D36-$BF36</f>
        <v>#REF!</v>
      </c>
      <c r="AJ36" s="50">
        <f ca="1">+GETPIVOTDATA("XSR4",'suoirao (2016)'!$A$3,"MA_HT","DTT","MA_QH","NCK")</f>
        <v>0</v>
      </c>
      <c r="AK36" s="50">
        <f ca="1">+GETPIVOTDATA("XSR4",'suoirao (2016)'!$A$3,"MA_HT","DTT","MA_QH","DXH")</f>
        <v>0</v>
      </c>
      <c r="AL36" s="50">
        <f ca="1">+GETPIVOTDATA("XSR4",'suoirao (2016)'!$A$3,"MA_HT","DTT","MA_QH","DCH")</f>
        <v>0</v>
      </c>
      <c r="AM36" s="50">
        <f ca="1">+GETPIVOTDATA("XSR4",'suoirao (2016)'!$A$3,"MA_HT","DTT","MA_QH","DKG")</f>
        <v>0</v>
      </c>
      <c r="AN36" s="50">
        <f ca="1">+GETPIVOTDATA("XSR4",'suoirao (2016)'!$A$3,"MA_HT","DTT","MA_QH","DDT")</f>
        <v>0</v>
      </c>
      <c r="AO36" s="50">
        <f ca="1">+GETPIVOTDATA("XSR4",'suoirao (2016)'!$A$3,"MA_HT","DTT","MA_QH","DDL")</f>
        <v>0</v>
      </c>
      <c r="AP36" s="50">
        <f ca="1">+GETPIVOTDATA("XSR4",'suoirao (2016)'!$A$3,"MA_HT","DTT","MA_QH","DRA")</f>
        <v>0</v>
      </c>
      <c r="AQ36" s="50">
        <f ca="1">+GETPIVOTDATA("XSR4",'suoirao (2016)'!$A$3,"MA_HT","DTT","MA_QH","ONT")</f>
        <v>0</v>
      </c>
      <c r="AR36" s="50">
        <f ca="1">+GETPIVOTDATA("XSR4",'suoirao (2016)'!$A$3,"MA_HT","DTT","MA_QH","ODT")</f>
        <v>0</v>
      </c>
      <c r="AS36" s="50">
        <f ca="1">+GETPIVOTDATA("XSR4",'suoirao (2016)'!$A$3,"MA_HT","DTT","MA_QH","TSC")</f>
        <v>0</v>
      </c>
      <c r="AT36" s="50">
        <f ca="1">+GETPIVOTDATA("XSR4",'suoirao (2016)'!$A$3,"MA_HT","DTT","MA_QH","DTS")</f>
        <v>0</v>
      </c>
      <c r="AU36" s="50">
        <f ca="1">+GETPIVOTDATA("XSR4",'suoirao (2016)'!$A$3,"MA_HT","DTT","MA_QH","DNG")</f>
        <v>0</v>
      </c>
      <c r="AV36" s="50">
        <f ca="1">+GETPIVOTDATA("XSR4",'suoirao (2016)'!$A$3,"MA_HT","DTT","MA_QH","TON")</f>
        <v>0</v>
      </c>
      <c r="AW36" s="50">
        <f ca="1">+GETPIVOTDATA("XSR4",'suoirao (2016)'!$A$3,"MA_HT","DTT","MA_QH","NTD")</f>
        <v>0</v>
      </c>
      <c r="AX36" s="50">
        <f ca="1">+GETPIVOTDATA("XSR4",'suoirao (2016)'!$A$3,"MA_HT","DTT","MA_QH","SKX")</f>
        <v>0</v>
      </c>
      <c r="AY36" s="50">
        <f ca="1">+GETPIVOTDATA("XSR4",'suoirao (2016)'!$A$3,"MA_HT","DTT","MA_QH","DSH")</f>
        <v>0</v>
      </c>
      <c r="AZ36" s="50">
        <f ca="1">+GETPIVOTDATA("XSR4",'suoirao (2016)'!$A$3,"MA_HT","DTT","MA_QH","DKV")</f>
        <v>0</v>
      </c>
      <c r="BA36" s="88">
        <f ca="1">+GETPIVOTDATA("XSR4",'suoirao (2016)'!$A$3,"MA_HT","DTT","MA_QH","TIN")</f>
        <v>0</v>
      </c>
      <c r="BB36" s="50">
        <f ca="1">+GETPIVOTDATA("XSR4",'suoirao (2016)'!$A$3,"MA_HT","DTT","MA_QH","SON")</f>
        <v>0</v>
      </c>
      <c r="BC36" s="50">
        <f ca="1">+GETPIVOTDATA("XSR4",'suoirao (2016)'!$A$3,"MA_HT","DTT","MA_QH","MNC")</f>
        <v>0</v>
      </c>
      <c r="BD36" s="50">
        <f ca="1">+GETPIVOTDATA("XSR4",'suoirao (2016)'!$A$3,"MA_HT","DTT","MA_QH","PNK")</f>
        <v>0</v>
      </c>
      <c r="BE36" s="80">
        <f ca="1">+GETPIVOTDATA("XSR4",'suoirao (2016)'!$A$3,"MA_HT","DTT","MA_QH","CSD")</f>
        <v>0</v>
      </c>
      <c r="BF36" s="103">
        <f ca="1" t="shared" si="13"/>
        <v>0</v>
      </c>
      <c r="BG36" s="104">
        <f ca="1">AI$59-$BF36</f>
        <v>0</v>
      </c>
      <c r="BH36" s="47" t="e">
        <f ca="1" t="shared" si="14"/>
        <v>#REF!</v>
      </c>
      <c r="BI36" s="105"/>
      <c r="BJ36" s="105" t="e">
        <f>#REF!</f>
        <v>#REF!</v>
      </c>
      <c r="BK36" s="108" t="e">
        <f ca="1" t="shared" si="19"/>
        <v>#REF!</v>
      </c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</row>
    <row r="37" s="4" customFormat="1" ht="16.5" customHeight="1" spans="1:79">
      <c r="A37" s="45" t="s">
        <v>8392</v>
      </c>
      <c r="B37" s="45" t="s">
        <v>8393</v>
      </c>
      <c r="C37" s="46" t="s">
        <v>8302</v>
      </c>
      <c r="D37" s="47" t="e">
        <f>+#REF!</f>
        <v>#REF!</v>
      </c>
      <c r="E37" s="42">
        <f ca="1" t="shared" si="15"/>
        <v>0</v>
      </c>
      <c r="F37" s="52">
        <f ca="1" t="shared" si="9"/>
        <v>0</v>
      </c>
      <c r="G37" s="50">
        <f ca="1">+GETPIVOTDATA("XSR4",'suoirao (2016)'!$A$3,"MA_HT","NCK","MA_QH","LUC")</f>
        <v>0</v>
      </c>
      <c r="H37" s="50">
        <f ca="1">+GETPIVOTDATA("XSR4",'suoirao (2016)'!$A$3,"MA_HT","NCK","MA_QH","LUK")</f>
        <v>0</v>
      </c>
      <c r="I37" s="50">
        <f ca="1">+GETPIVOTDATA("XSR4",'suoirao (2016)'!$A$3,"MA_HT","NCK","MA_QH","LUN")</f>
        <v>0</v>
      </c>
      <c r="J37" s="50">
        <f ca="1">+GETPIVOTDATA("XSR4",'suoirao (2016)'!$A$3,"MA_HT","NCK","MA_QH","HNK")</f>
        <v>0</v>
      </c>
      <c r="K37" s="50">
        <f ca="1">+GETPIVOTDATA("XSR4",'suoirao (2016)'!$A$3,"MA_HT","NCK","MA_QH","CLN")</f>
        <v>0</v>
      </c>
      <c r="L37" s="50">
        <f ca="1">+GETPIVOTDATA("XSR4",'suoirao (2016)'!$A$3,"MA_HT","NCK","MA_QH","RSX")</f>
        <v>0</v>
      </c>
      <c r="M37" s="50">
        <f ca="1">+GETPIVOTDATA("XSR4",'suoirao (2016)'!$A$3,"MA_HT","NCK","MA_QH","RPH")</f>
        <v>0</v>
      </c>
      <c r="N37" s="50">
        <f ca="1">+GETPIVOTDATA("XSR4",'suoirao (2016)'!$A$3,"MA_HT","NCK","MA_QH","RDD")</f>
        <v>0</v>
      </c>
      <c r="O37" s="50">
        <f ca="1">+GETPIVOTDATA("XSR4",'suoirao (2016)'!$A$3,"MA_HT","NCK","MA_QH","NTS")</f>
        <v>0</v>
      </c>
      <c r="P37" s="50">
        <f ca="1">+GETPIVOTDATA("XSR4",'suoirao (2016)'!$A$3,"MA_HT","NCK","MA_QH","LMU")</f>
        <v>0</v>
      </c>
      <c r="Q37" s="50">
        <f ca="1">+GETPIVOTDATA("XSR4",'suoirao (2016)'!$A$3,"MA_HT","NCK","MA_QH","NKH")</f>
        <v>0</v>
      </c>
      <c r="R37" s="48">
        <f ca="1" t="shared" si="20"/>
        <v>0</v>
      </c>
      <c r="S37" s="50">
        <f ca="1">+GETPIVOTDATA("XSR4",'suoirao (2016)'!$A$3,"MA_HT","NCK","MA_QH","CQP")</f>
        <v>0</v>
      </c>
      <c r="T37" s="50">
        <f ca="1">+GETPIVOTDATA("XSR4",'suoirao (2016)'!$A$3,"MA_HT","NCK","MA_QH","CAN")</f>
        <v>0</v>
      </c>
      <c r="U37" s="50">
        <f ca="1">+GETPIVOTDATA("XSR4",'suoirao (2016)'!$A$3,"MA_HT","NCK","MA_QH","SKK")</f>
        <v>0</v>
      </c>
      <c r="V37" s="50">
        <f ca="1">+GETPIVOTDATA("XSR4",'suoirao (2016)'!$A$3,"MA_HT","NCK","MA_QH","SKT")</f>
        <v>0</v>
      </c>
      <c r="W37" s="50">
        <f ca="1">+GETPIVOTDATA("XSR4",'suoirao (2016)'!$A$3,"MA_HT","NCK","MA_QH","SKN")</f>
        <v>0</v>
      </c>
      <c r="X37" s="50">
        <f ca="1">+GETPIVOTDATA("XSR4",'suoirao (2016)'!$A$3,"MA_HT","NCK","MA_QH","TMD")</f>
        <v>0</v>
      </c>
      <c r="Y37" s="50">
        <f ca="1">+GETPIVOTDATA("XSR4",'suoirao (2016)'!$A$3,"MA_HT","NCK","MA_QH","SKC")</f>
        <v>0</v>
      </c>
      <c r="Z37" s="50">
        <f ca="1">+GETPIVOTDATA("XSR4",'suoirao (2016)'!$A$3,"MA_HT","NCK","MA_QH","SKS")</f>
        <v>0</v>
      </c>
      <c r="AA37" s="52">
        <f ca="1">+SUM(AB37:AI37,AK37:AM37)</f>
        <v>0</v>
      </c>
      <c r="AB37" s="50">
        <f ca="1">+GETPIVOTDATA("XSR4",'suoirao (2016)'!$A$3,"MA_HT","NCK","MA_QH","DGT")</f>
        <v>0</v>
      </c>
      <c r="AC37" s="50">
        <f ca="1">+GETPIVOTDATA("XSR4",'suoirao (2016)'!$A$3,"MA_HT","NCK","MA_QH","DTL")</f>
        <v>0</v>
      </c>
      <c r="AD37" s="50">
        <f ca="1">+GETPIVOTDATA("XSR4",'suoirao (2016)'!$A$3,"MA_HT","NCK","MA_QH","DNL")</f>
        <v>0</v>
      </c>
      <c r="AE37" s="50">
        <f ca="1">+GETPIVOTDATA("XSR4",'suoirao (2016)'!$A$3,"MA_HT","NCK","MA_QH","DBV")</f>
        <v>0</v>
      </c>
      <c r="AF37" s="50">
        <f ca="1">+GETPIVOTDATA("XSR4",'suoirao (2016)'!$A$3,"MA_HT","NCK","MA_QH","DVH")</f>
        <v>0</v>
      </c>
      <c r="AG37" s="50">
        <f ca="1">+GETPIVOTDATA("XSR4",'suoirao (2016)'!$A$3,"MA_HT","NCK","MA_QH","DYT")</f>
        <v>0</v>
      </c>
      <c r="AH37" s="50">
        <f ca="1">+GETPIVOTDATA("XSR4",'suoirao (2016)'!$A$3,"MA_HT","NCK","MA_QH","DGD")</f>
        <v>0</v>
      </c>
      <c r="AI37" s="50">
        <f ca="1">+GETPIVOTDATA("XSR4",'suoirao (2016)'!$A$3,"MA_HT","NCK","MA_QH","DTT")</f>
        <v>0</v>
      </c>
      <c r="AJ37" s="49" t="e">
        <f ca="1">$D37-$BF37</f>
        <v>#REF!</v>
      </c>
      <c r="AK37" s="50">
        <f ca="1">+GETPIVOTDATA("XSR4",'suoirao (2016)'!$A$3,"MA_HT","NCK","MA_QH","DXH")</f>
        <v>0</v>
      </c>
      <c r="AL37" s="50">
        <f ca="1">+GETPIVOTDATA("XSR4",'suoirao (2016)'!$A$3,"MA_HT","NCK","MA_QH","DCH")</f>
        <v>0</v>
      </c>
      <c r="AM37" s="50">
        <f ca="1">+GETPIVOTDATA("XSR4",'suoirao (2016)'!$A$3,"MA_HT","NCK","MA_QH","DKG")</f>
        <v>0</v>
      </c>
      <c r="AN37" s="50">
        <f ca="1">+GETPIVOTDATA("XSR4",'suoirao (2016)'!$A$3,"MA_HT","NCK","MA_QH","DDT")</f>
        <v>0</v>
      </c>
      <c r="AO37" s="50">
        <f ca="1">+GETPIVOTDATA("XSR4",'suoirao (2016)'!$A$3,"MA_HT","NCK","MA_QH","DDL")</f>
        <v>0</v>
      </c>
      <c r="AP37" s="50">
        <f ca="1">+GETPIVOTDATA("XSR4",'suoirao (2016)'!$A$3,"MA_HT","NCK","MA_QH","DRA")</f>
        <v>0</v>
      </c>
      <c r="AQ37" s="50">
        <f ca="1">+GETPIVOTDATA("XSR4",'suoirao (2016)'!$A$3,"MA_HT","NCK","MA_QH","ONT")</f>
        <v>0</v>
      </c>
      <c r="AR37" s="50">
        <f ca="1">+GETPIVOTDATA("XSR4",'suoirao (2016)'!$A$3,"MA_HT","NCK","MA_QH","ODT")</f>
        <v>0</v>
      </c>
      <c r="AS37" s="50">
        <f ca="1">+GETPIVOTDATA("XSR4",'suoirao (2016)'!$A$3,"MA_HT","NCK","MA_QH","TSC")</f>
        <v>0</v>
      </c>
      <c r="AT37" s="50">
        <f ca="1">+GETPIVOTDATA("XSR4",'suoirao (2016)'!$A$3,"MA_HT","NCK","MA_QH","DTS")</f>
        <v>0</v>
      </c>
      <c r="AU37" s="50">
        <f ca="1">+GETPIVOTDATA("XSR4",'suoirao (2016)'!$A$3,"MA_HT","NCK","MA_QH","DNG")</f>
        <v>0</v>
      </c>
      <c r="AV37" s="50">
        <f ca="1">+GETPIVOTDATA("XSR4",'suoirao (2016)'!$A$3,"MA_HT","NCK","MA_QH","TON")</f>
        <v>0</v>
      </c>
      <c r="AW37" s="50">
        <f ca="1">+GETPIVOTDATA("XSR4",'suoirao (2016)'!$A$3,"MA_HT","NCK","MA_QH","NTD")</f>
        <v>0</v>
      </c>
      <c r="AX37" s="50">
        <f ca="1">+GETPIVOTDATA("XSR4",'suoirao (2016)'!$A$3,"MA_HT","NCK","MA_QH","SKX")</f>
        <v>0</v>
      </c>
      <c r="AY37" s="50">
        <f ca="1">+GETPIVOTDATA("XSR4",'suoirao (2016)'!$A$3,"MA_HT","NCK","MA_QH","DSH")</f>
        <v>0</v>
      </c>
      <c r="AZ37" s="50">
        <f ca="1">+GETPIVOTDATA("XSR4",'suoirao (2016)'!$A$3,"MA_HT","NCK","MA_QH","DKV")</f>
        <v>0</v>
      </c>
      <c r="BA37" s="88">
        <f ca="1">+GETPIVOTDATA("XSR4",'suoirao (2016)'!$A$3,"MA_HT","NCK","MA_QH","TIN")</f>
        <v>0</v>
      </c>
      <c r="BB37" s="50">
        <f ca="1">+GETPIVOTDATA("XSR4",'suoirao (2016)'!$A$3,"MA_HT","NCK","MA_QH","SON")</f>
        <v>0</v>
      </c>
      <c r="BC37" s="50">
        <f ca="1">+GETPIVOTDATA("XSR4",'suoirao (2016)'!$A$3,"MA_HT","NCK","MA_QH","MNC")</f>
        <v>0</v>
      </c>
      <c r="BD37" s="50">
        <f ca="1">+GETPIVOTDATA("XSR4",'suoirao (2016)'!$A$3,"MA_HT","NCK","MA_QH","PNK")</f>
        <v>0</v>
      </c>
      <c r="BE37" s="80">
        <f ca="1">+GETPIVOTDATA("XSR4",'suoirao (2016)'!$A$3,"MA_HT","NCK","MA_QH","CSD")</f>
        <v>0</v>
      </c>
      <c r="BF37" s="103">
        <f ca="1" t="shared" si="13"/>
        <v>0</v>
      </c>
      <c r="BG37" s="104">
        <f ca="1">AJ$59-$BF37</f>
        <v>0</v>
      </c>
      <c r="BH37" s="47" t="e">
        <f ca="1" t="shared" si="14"/>
        <v>#REF!</v>
      </c>
      <c r="BI37" s="105"/>
      <c r="BJ37" s="105" t="e">
        <f>#REF!</f>
        <v>#REF!</v>
      </c>
      <c r="BK37" s="108" t="e">
        <f ca="1" t="shared" si="19"/>
        <v>#REF!</v>
      </c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</row>
    <row r="38" s="4" customFormat="1" ht="16.5" customHeight="1" spans="1:79">
      <c r="A38" s="45" t="s">
        <v>8394</v>
      </c>
      <c r="B38" s="45" t="s">
        <v>8395</v>
      </c>
      <c r="C38" s="46" t="s">
        <v>8295</v>
      </c>
      <c r="D38" s="47" t="e">
        <f>+#REF!</f>
        <v>#REF!</v>
      </c>
      <c r="E38" s="42">
        <f ca="1" t="shared" si="15"/>
        <v>0</v>
      </c>
      <c r="F38" s="52">
        <f ca="1" t="shared" si="9"/>
        <v>0</v>
      </c>
      <c r="G38" s="50">
        <f ca="1">+GETPIVOTDATA("XSR4",'suoirao (2016)'!$A$3,"MA_HT","DXH","MA_QH","LUC")</f>
        <v>0</v>
      </c>
      <c r="H38" s="50">
        <f ca="1">+GETPIVOTDATA("XSR4",'suoirao (2016)'!$A$3,"MA_HT","DXH","MA_QH","LUK")</f>
        <v>0</v>
      </c>
      <c r="I38" s="50">
        <f ca="1">+GETPIVOTDATA("XSR4",'suoirao (2016)'!$A$3,"MA_HT","DXH","MA_QH","LUN")</f>
        <v>0</v>
      </c>
      <c r="J38" s="50">
        <f ca="1">+GETPIVOTDATA("XSR4",'suoirao (2016)'!$A$3,"MA_HT","DXH","MA_QH","HNK")</f>
        <v>0</v>
      </c>
      <c r="K38" s="50">
        <f ca="1">+GETPIVOTDATA("XSR4",'suoirao (2016)'!$A$3,"MA_HT","DXH","MA_QH","CLN")</f>
        <v>0</v>
      </c>
      <c r="L38" s="50">
        <f ca="1">+GETPIVOTDATA("XSR4",'suoirao (2016)'!$A$3,"MA_HT","DXH","MA_QH","RSX")</f>
        <v>0</v>
      </c>
      <c r="M38" s="50">
        <f ca="1">+GETPIVOTDATA("XSR4",'suoirao (2016)'!$A$3,"MA_HT","DXH","MA_QH","RPH")</f>
        <v>0</v>
      </c>
      <c r="N38" s="50">
        <f ca="1">+GETPIVOTDATA("XSR4",'suoirao (2016)'!$A$3,"MA_HT","DXH","MA_QH","RDD")</f>
        <v>0</v>
      </c>
      <c r="O38" s="50">
        <f ca="1">+GETPIVOTDATA("XSR4",'suoirao (2016)'!$A$3,"MA_HT","DXH","MA_QH","NTS")</f>
        <v>0</v>
      </c>
      <c r="P38" s="50">
        <f ca="1">+GETPIVOTDATA("XSR4",'suoirao (2016)'!$A$3,"MA_HT","DXH","MA_QH","LMU")</f>
        <v>0</v>
      </c>
      <c r="Q38" s="50">
        <f ca="1">+GETPIVOTDATA("XSR4",'suoirao (2016)'!$A$3,"MA_HT","DXH","MA_QH","NKH")</f>
        <v>0</v>
      </c>
      <c r="R38" s="48">
        <f ca="1" t="shared" si="20"/>
        <v>0</v>
      </c>
      <c r="S38" s="50">
        <f ca="1">+GETPIVOTDATA("XSR4",'suoirao (2016)'!$A$3,"MA_HT","DXH","MA_QH","CQP")</f>
        <v>0</v>
      </c>
      <c r="T38" s="50">
        <f ca="1">+GETPIVOTDATA("XSR4",'suoirao (2016)'!$A$3,"MA_HT","DXH","MA_QH","CAN")</f>
        <v>0</v>
      </c>
      <c r="U38" s="50">
        <f ca="1">+GETPIVOTDATA("XSR4",'suoirao (2016)'!$A$3,"MA_HT","DXH","MA_QH","SKK")</f>
        <v>0</v>
      </c>
      <c r="V38" s="50">
        <f ca="1">+GETPIVOTDATA("XSR4",'suoirao (2016)'!$A$3,"MA_HT","DXH","MA_QH","SKT")</f>
        <v>0</v>
      </c>
      <c r="W38" s="50">
        <f ca="1">+GETPIVOTDATA("XSR4",'suoirao (2016)'!$A$3,"MA_HT","DXH","MA_QH","SKN")</f>
        <v>0</v>
      </c>
      <c r="X38" s="50">
        <f ca="1">+GETPIVOTDATA("XSR4",'suoirao (2016)'!$A$3,"MA_HT","DXH","MA_QH","TMD")</f>
        <v>0</v>
      </c>
      <c r="Y38" s="50">
        <f ca="1">+GETPIVOTDATA("XSR4",'suoirao (2016)'!$A$3,"MA_HT","DXH","MA_QH","SKC")</f>
        <v>0</v>
      </c>
      <c r="Z38" s="50">
        <f ca="1">+GETPIVOTDATA("XSR4",'suoirao (2016)'!$A$3,"MA_HT","DXH","MA_QH","SKS")</f>
        <v>0</v>
      </c>
      <c r="AA38" s="52">
        <f ca="1">+SUM(AB38:AJ38,AL38:AM38)</f>
        <v>0</v>
      </c>
      <c r="AB38" s="50">
        <f ca="1">+GETPIVOTDATA("XSR4",'suoirao (2016)'!$A$3,"MA_HT","DXH","MA_QH","DGT")</f>
        <v>0</v>
      </c>
      <c r="AC38" s="50">
        <f ca="1">+GETPIVOTDATA("XSR4",'suoirao (2016)'!$A$3,"MA_HT","DXH","MA_QH","DTL")</f>
        <v>0</v>
      </c>
      <c r="AD38" s="50">
        <f ca="1">+GETPIVOTDATA("XSR4",'suoirao (2016)'!$A$3,"MA_HT","DXH","MA_QH","DNL")</f>
        <v>0</v>
      </c>
      <c r="AE38" s="50">
        <f ca="1">+GETPIVOTDATA("XSR4",'suoirao (2016)'!$A$3,"MA_HT","DXH","MA_QH","DBV")</f>
        <v>0</v>
      </c>
      <c r="AF38" s="50">
        <f ca="1">+GETPIVOTDATA("XSR4",'suoirao (2016)'!$A$3,"MA_HT","DXH","MA_QH","DVH")</f>
        <v>0</v>
      </c>
      <c r="AG38" s="50">
        <f ca="1">+GETPIVOTDATA("XSR4",'suoirao (2016)'!$A$3,"MA_HT","DXH","MA_QH","DYT")</f>
        <v>0</v>
      </c>
      <c r="AH38" s="50">
        <f ca="1">+GETPIVOTDATA("XSR4",'suoirao (2016)'!$A$3,"MA_HT","DXH","MA_QH","DGD")</f>
        <v>0</v>
      </c>
      <c r="AI38" s="50">
        <f ca="1">+GETPIVOTDATA("XSR4",'suoirao (2016)'!$A$3,"MA_HT","DXH","MA_QH","DTT")</f>
        <v>0</v>
      </c>
      <c r="AJ38" s="50">
        <f ca="1">+GETPIVOTDATA("XSR4",'suoirao (2016)'!$A$3,"MA_HT","DXH","MA_QH","NCK")</f>
        <v>0</v>
      </c>
      <c r="AK38" s="49" t="e">
        <f ca="1">$D38-$BF38</f>
        <v>#REF!</v>
      </c>
      <c r="AL38" s="50">
        <f ca="1">+GETPIVOTDATA("XSR4",'suoirao (2016)'!$A$3,"MA_HT","DXH","MA_QH","DCH")</f>
        <v>0</v>
      </c>
      <c r="AM38" s="50">
        <f ca="1">+GETPIVOTDATA("XSR4",'suoirao (2016)'!$A$3,"MA_HT","DXH","MA_QH","DKG")</f>
        <v>0</v>
      </c>
      <c r="AN38" s="50">
        <f ca="1">+GETPIVOTDATA("XSR4",'suoirao (2016)'!$A$3,"MA_HT","DXH","MA_QH","DDT")</f>
        <v>0</v>
      </c>
      <c r="AO38" s="50">
        <f ca="1">+GETPIVOTDATA("XSR4",'suoirao (2016)'!$A$3,"MA_HT","DXH","MA_QH","DDL")</f>
        <v>0</v>
      </c>
      <c r="AP38" s="50">
        <f ca="1">+GETPIVOTDATA("XSR4",'suoirao (2016)'!$A$3,"MA_HT","DXH","MA_QH","DRA")</f>
        <v>0</v>
      </c>
      <c r="AQ38" s="50">
        <f ca="1">+GETPIVOTDATA("XSR4",'suoirao (2016)'!$A$3,"MA_HT","DXH","MA_QH","ONT")</f>
        <v>0</v>
      </c>
      <c r="AR38" s="50">
        <f ca="1">+GETPIVOTDATA("XSR4",'suoirao (2016)'!$A$3,"MA_HT","DXH","MA_QH","ODT")</f>
        <v>0</v>
      </c>
      <c r="AS38" s="50">
        <f ca="1">+GETPIVOTDATA("XSR4",'suoirao (2016)'!$A$3,"MA_HT","DXH","MA_QH","TSC")</f>
        <v>0</v>
      </c>
      <c r="AT38" s="50">
        <f ca="1">+GETPIVOTDATA("XSR4",'suoirao (2016)'!$A$3,"MA_HT","DXH","MA_QH","DTS")</f>
        <v>0</v>
      </c>
      <c r="AU38" s="50">
        <f ca="1">+GETPIVOTDATA("XSR4",'suoirao (2016)'!$A$3,"MA_HT","DXH","MA_QH","DNG")</f>
        <v>0</v>
      </c>
      <c r="AV38" s="50">
        <f ca="1">+GETPIVOTDATA("XSR4",'suoirao (2016)'!$A$3,"MA_HT","DXH","MA_QH","TON")</f>
        <v>0</v>
      </c>
      <c r="AW38" s="50">
        <f ca="1">+GETPIVOTDATA("XSR4",'suoirao (2016)'!$A$3,"MA_HT","DXH","MA_QH","NTD")</f>
        <v>0</v>
      </c>
      <c r="AX38" s="50">
        <f ca="1">+GETPIVOTDATA("XSR4",'suoirao (2016)'!$A$3,"MA_HT","DXH","MA_QH","SKX")</f>
        <v>0</v>
      </c>
      <c r="AY38" s="50">
        <f ca="1">+GETPIVOTDATA("XSR4",'suoirao (2016)'!$A$3,"MA_HT","DXH","MA_QH","DSH")</f>
        <v>0</v>
      </c>
      <c r="AZ38" s="50">
        <f ca="1">+GETPIVOTDATA("XSR4",'suoirao (2016)'!$A$3,"MA_HT","DXH","MA_QH","DKV")</f>
        <v>0</v>
      </c>
      <c r="BA38" s="88">
        <f ca="1">+GETPIVOTDATA("XSR4",'suoirao (2016)'!$A$3,"MA_HT","DXH","MA_QH","TIN")</f>
        <v>0</v>
      </c>
      <c r="BB38" s="50">
        <f ca="1">+GETPIVOTDATA("XSR4",'suoirao (2016)'!$A$3,"MA_HT","DXH","MA_QH","SON")</f>
        <v>0</v>
      </c>
      <c r="BC38" s="50">
        <f ca="1">+GETPIVOTDATA("XSR4",'suoirao (2016)'!$A$3,"MA_HT","DXH","MA_QH","MNC")</f>
        <v>0</v>
      </c>
      <c r="BD38" s="50">
        <f ca="1">+GETPIVOTDATA("XSR4",'suoirao (2016)'!$A$3,"MA_HT","DXH","MA_QH","PNK")</f>
        <v>0</v>
      </c>
      <c r="BE38" s="80">
        <f ca="1">+GETPIVOTDATA("XSR4",'suoirao (2016)'!$A$3,"MA_HT","DXH","MA_QH","CSD")</f>
        <v>0</v>
      </c>
      <c r="BF38" s="103">
        <f ca="1" t="shared" si="13"/>
        <v>0</v>
      </c>
      <c r="BG38" s="104">
        <f ca="1">AK$59-$BF38</f>
        <v>0</v>
      </c>
      <c r="BH38" s="47" t="e">
        <f ca="1" t="shared" si="14"/>
        <v>#REF!</v>
      </c>
      <c r="BI38" s="105"/>
      <c r="BJ38" s="105" t="e">
        <f>#REF!</f>
        <v>#REF!</v>
      </c>
      <c r="BK38" s="108" t="e">
        <f ca="1" t="shared" si="19"/>
        <v>#REF!</v>
      </c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</row>
    <row r="39" s="5" customFormat="1" ht="16.5" customHeight="1" spans="1:79">
      <c r="A39" s="45" t="s">
        <v>8396</v>
      </c>
      <c r="B39" s="45" t="s">
        <v>8397</v>
      </c>
      <c r="C39" s="46" t="s">
        <v>178</v>
      </c>
      <c r="D39" s="47" t="e">
        <f>+#REF!</f>
        <v>#REF!</v>
      </c>
      <c r="E39" s="42">
        <f ca="1" t="shared" si="15"/>
        <v>0</v>
      </c>
      <c r="F39" s="52">
        <f ca="1" t="shared" si="9"/>
        <v>0</v>
      </c>
      <c r="G39" s="50">
        <f ca="1">+GETPIVOTDATA("XSR4",'suoirao (2016)'!$A$3,"MA_HT","DCH","MA_QH","LUC")</f>
        <v>0</v>
      </c>
      <c r="H39" s="50">
        <f ca="1">+GETPIVOTDATA("XSR4",'suoirao (2016)'!$A$3,"MA_HT","DCH","MA_QH","LUK")</f>
        <v>0</v>
      </c>
      <c r="I39" s="50">
        <f ca="1">+GETPIVOTDATA("XSR4",'suoirao (2016)'!$A$3,"MA_HT","DCH","MA_QH","LUN")</f>
        <v>0</v>
      </c>
      <c r="J39" s="50">
        <f ca="1">+GETPIVOTDATA("XSR4",'suoirao (2016)'!$A$3,"MA_HT","DCH","MA_QH","HNK")</f>
        <v>0</v>
      </c>
      <c r="K39" s="50">
        <f ca="1">+GETPIVOTDATA("XSR4",'suoirao (2016)'!$A$3,"MA_HT","DCH","MA_QH","CLN")</f>
        <v>0</v>
      </c>
      <c r="L39" s="50">
        <f ca="1">+GETPIVOTDATA("XSR4",'suoirao (2016)'!$A$3,"MA_HT","DCH","MA_QH","RSX")</f>
        <v>0</v>
      </c>
      <c r="M39" s="50">
        <f ca="1">+GETPIVOTDATA("XSR4",'suoirao (2016)'!$A$3,"MA_HT","DCH","MA_QH","RPH")</f>
        <v>0</v>
      </c>
      <c r="N39" s="50">
        <f ca="1">+GETPIVOTDATA("XSR4",'suoirao (2016)'!$A$3,"MA_HT","DCH","MA_QH","RDD")</f>
        <v>0</v>
      </c>
      <c r="O39" s="50">
        <f ca="1">+GETPIVOTDATA("XSR4",'suoirao (2016)'!$A$3,"MA_HT","DCH","MA_QH","NTS")</f>
        <v>0</v>
      </c>
      <c r="P39" s="50">
        <f ca="1">+GETPIVOTDATA("XSR4",'suoirao (2016)'!$A$3,"MA_HT","DCH","MA_QH","LMU")</f>
        <v>0</v>
      </c>
      <c r="Q39" s="50">
        <f ca="1">+GETPIVOTDATA("XSR4",'suoirao (2016)'!$A$3,"MA_HT","DCH","MA_QH","NKH")</f>
        <v>0</v>
      </c>
      <c r="R39" s="48">
        <f ca="1" t="shared" si="20"/>
        <v>0</v>
      </c>
      <c r="S39" s="50">
        <f ca="1">+GETPIVOTDATA("XSR4",'suoirao (2016)'!$A$3,"MA_HT","DCH","MA_QH","CQP")</f>
        <v>0</v>
      </c>
      <c r="T39" s="50">
        <f ca="1">+GETPIVOTDATA("XSR4",'suoirao (2016)'!$A$3,"MA_HT","DCH","MA_QH","CAN")</f>
        <v>0</v>
      </c>
      <c r="U39" s="50">
        <f ca="1">+GETPIVOTDATA("XSR4",'suoirao (2016)'!$A$3,"MA_HT","DCH","MA_QH","SKK")</f>
        <v>0</v>
      </c>
      <c r="V39" s="50">
        <f ca="1">+GETPIVOTDATA("XSR4",'suoirao (2016)'!$A$3,"MA_HT","DCH","MA_QH","SKT")</f>
        <v>0</v>
      </c>
      <c r="W39" s="50">
        <f ca="1">+GETPIVOTDATA("XSR4",'suoirao (2016)'!$A$3,"MA_HT","DCH","MA_QH","SKN")</f>
        <v>0</v>
      </c>
      <c r="X39" s="50">
        <f ca="1">+GETPIVOTDATA("XSR4",'suoirao (2016)'!$A$3,"MA_HT","DCH","MA_QH","TMD")</f>
        <v>0</v>
      </c>
      <c r="Y39" s="50">
        <f ca="1">+GETPIVOTDATA("XSR4",'suoirao (2016)'!$A$3,"MA_HT","DCH","MA_QH","SKC")</f>
        <v>0</v>
      </c>
      <c r="Z39" s="50">
        <f ca="1">+GETPIVOTDATA("XSR4",'suoirao (2016)'!$A$3,"MA_HT","DCH","MA_QH","SKS")</f>
        <v>0</v>
      </c>
      <c r="AA39" s="52">
        <f ca="1">+SUM(AB39:AK39,AM39)</f>
        <v>0</v>
      </c>
      <c r="AB39" s="50">
        <f ca="1">+GETPIVOTDATA("XSR4",'suoirao (2016)'!$A$3,"MA_HT","DCH","MA_QH","DGT")</f>
        <v>0</v>
      </c>
      <c r="AC39" s="50">
        <f ca="1">+GETPIVOTDATA("XSR4",'suoirao (2016)'!$A$3,"MA_HT","DCH","MA_QH","DTL")</f>
        <v>0</v>
      </c>
      <c r="AD39" s="50">
        <f ca="1">+GETPIVOTDATA("XSR4",'suoirao (2016)'!$A$3,"MA_HT","DCH","MA_QH","DNL")</f>
        <v>0</v>
      </c>
      <c r="AE39" s="50">
        <f ca="1">+GETPIVOTDATA("XSR4",'suoirao (2016)'!$A$3,"MA_HT","DCH","MA_QH","DBV")</f>
        <v>0</v>
      </c>
      <c r="AF39" s="50">
        <f ca="1">+GETPIVOTDATA("XSR4",'suoirao (2016)'!$A$3,"MA_HT","DCH","MA_QH","DVH")</f>
        <v>0</v>
      </c>
      <c r="AG39" s="50">
        <f ca="1">+GETPIVOTDATA("XSR4",'suoirao (2016)'!$A$3,"MA_HT","DCH","MA_QH","DYT")</f>
        <v>0</v>
      </c>
      <c r="AH39" s="50">
        <f ca="1">+GETPIVOTDATA("XSR4",'suoirao (2016)'!$A$3,"MA_HT","DCH","MA_QH","DGD")</f>
        <v>0</v>
      </c>
      <c r="AI39" s="50">
        <f ca="1">+GETPIVOTDATA("XSR4",'suoirao (2016)'!$A$3,"MA_HT","DCH","MA_QH","DTT")</f>
        <v>0</v>
      </c>
      <c r="AJ39" s="50">
        <f ca="1">+GETPIVOTDATA("XSR4",'suoirao (2016)'!$A$3,"MA_HT","DCH","MA_QH","NCK")</f>
        <v>0</v>
      </c>
      <c r="AK39" s="50">
        <f ca="1">+GETPIVOTDATA("XSR4",'suoirao (2016)'!$A$3,"MA_HT","DCH","MA_QH","DXH")</f>
        <v>0</v>
      </c>
      <c r="AL39" s="49" t="e">
        <f ca="1">$D39-$BF39</f>
        <v>#REF!</v>
      </c>
      <c r="AM39" s="50">
        <f ca="1">+GETPIVOTDATA("XSR4",'suoirao (2016)'!$A$3,"MA_HT","DXH","MA_QH","DKG")</f>
        <v>0</v>
      </c>
      <c r="AN39" s="50">
        <f ca="1">+GETPIVOTDATA("XSR4",'suoirao (2016)'!$A$3,"MA_HT","DCH","MA_QH","DDT")</f>
        <v>0</v>
      </c>
      <c r="AO39" s="50">
        <f ca="1">+GETPIVOTDATA("XSR4",'suoirao (2016)'!$A$3,"MA_HT","DCH","MA_QH","DDL")</f>
        <v>0</v>
      </c>
      <c r="AP39" s="50">
        <f ca="1">+GETPIVOTDATA("XSR4",'suoirao (2016)'!$A$3,"MA_HT","DCH","MA_QH","DRA")</f>
        <v>0</v>
      </c>
      <c r="AQ39" s="50">
        <f ca="1">+GETPIVOTDATA("XSR4",'suoirao (2016)'!$A$3,"MA_HT","DCH","MA_QH","ONT")</f>
        <v>0</v>
      </c>
      <c r="AR39" s="50">
        <f ca="1">+GETPIVOTDATA("XSR4",'suoirao (2016)'!$A$3,"MA_HT","DCH","MA_QH","ODT")</f>
        <v>0</v>
      </c>
      <c r="AS39" s="50">
        <f ca="1">+GETPIVOTDATA("XSR4",'suoirao (2016)'!$A$3,"MA_HT","DCH","MA_QH","TSC")</f>
        <v>0</v>
      </c>
      <c r="AT39" s="50">
        <f ca="1">+GETPIVOTDATA("XSR4",'suoirao (2016)'!$A$3,"MA_HT","DCH","MA_QH","DTS")</f>
        <v>0</v>
      </c>
      <c r="AU39" s="50">
        <f ca="1">+GETPIVOTDATA("XSR4",'suoirao (2016)'!$A$3,"MA_HT","DCH","MA_QH","DNG")</f>
        <v>0</v>
      </c>
      <c r="AV39" s="50">
        <f ca="1">+GETPIVOTDATA("XSR4",'suoirao (2016)'!$A$3,"MA_HT","DCH","MA_QH","TON")</f>
        <v>0</v>
      </c>
      <c r="AW39" s="50">
        <f ca="1">+GETPIVOTDATA("XSR4",'suoirao (2016)'!$A$3,"MA_HT","DCH","MA_QH","NTD")</f>
        <v>0</v>
      </c>
      <c r="AX39" s="50">
        <f ca="1">+GETPIVOTDATA("XSR4",'suoirao (2016)'!$A$3,"MA_HT","DCH","MA_QH","SKX")</f>
        <v>0</v>
      </c>
      <c r="AY39" s="50">
        <f ca="1">+GETPIVOTDATA("XSR4",'suoirao (2016)'!$A$3,"MA_HT","DCH","MA_QH","DSH")</f>
        <v>0</v>
      </c>
      <c r="AZ39" s="50">
        <f ca="1">+GETPIVOTDATA("XSR4",'suoirao (2016)'!$A$3,"MA_HT","DCH","MA_QH","DKV")</f>
        <v>0</v>
      </c>
      <c r="BA39" s="88">
        <f ca="1">+GETPIVOTDATA("XSR4",'suoirao (2016)'!$A$3,"MA_HT","DCH","MA_QH","TIN")</f>
        <v>0</v>
      </c>
      <c r="BB39" s="50">
        <f ca="1">+GETPIVOTDATA("XSR4",'suoirao (2016)'!$A$3,"MA_HT","DCH","MA_QH","SON")</f>
        <v>0</v>
      </c>
      <c r="BC39" s="50">
        <f ca="1">+GETPIVOTDATA("XSR4",'suoirao (2016)'!$A$3,"MA_HT","DCH","MA_QH","MNC")</f>
        <v>0</v>
      </c>
      <c r="BD39" s="50">
        <f ca="1">+GETPIVOTDATA("XSR4",'suoirao (2016)'!$A$3,"MA_HT","DCH","MA_QH","PNK")</f>
        <v>0</v>
      </c>
      <c r="BE39" s="80">
        <f ca="1">+GETPIVOTDATA("XSR4",'suoirao (2016)'!$A$3,"MA_HT","DCH","MA_QH","CSD")</f>
        <v>0</v>
      </c>
      <c r="BF39" s="103">
        <f ca="1" t="shared" si="13"/>
        <v>0</v>
      </c>
      <c r="BG39" s="104">
        <f ca="1">AL$59-$BF39</f>
        <v>0</v>
      </c>
      <c r="BH39" s="47" t="e">
        <f ca="1" t="shared" si="14"/>
        <v>#REF!</v>
      </c>
      <c r="BI39" s="109"/>
      <c r="BJ39" s="109" t="e">
        <f>#REF!</f>
        <v>#REF!</v>
      </c>
      <c r="BK39" s="110" t="e">
        <f ca="1" t="shared" si="19"/>
        <v>#REF!</v>
      </c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</row>
    <row r="40" s="5" customFormat="1" ht="16.5" customHeight="1" spans="1:79">
      <c r="A40" s="45" t="s">
        <v>8398</v>
      </c>
      <c r="B40" s="45" t="s">
        <v>8399</v>
      </c>
      <c r="C40" s="46" t="s">
        <v>8312</v>
      </c>
      <c r="D40" s="47" t="e">
        <f>+#REF!</f>
        <v>#REF!</v>
      </c>
      <c r="E40" s="42">
        <f ca="1" t="shared" si="15"/>
        <v>0</v>
      </c>
      <c r="F40" s="52">
        <f ca="1" t="shared" si="9"/>
        <v>0</v>
      </c>
      <c r="G40" s="50">
        <f ca="1">+GETPIVOTDATA("XSR4",'suoirao (2016)'!$A$3,"MA_HT","DKG","MA_QH","LUC")</f>
        <v>0</v>
      </c>
      <c r="H40" s="50">
        <f ca="1">+GETPIVOTDATA("XSR4",'suoirao (2016)'!$A$3,"MA_HT","DKG","MA_QH","LUK")</f>
        <v>0</v>
      </c>
      <c r="I40" s="50">
        <f ca="1">+GETPIVOTDATA("XSR4",'suoirao (2016)'!$A$3,"MA_HT","DKG","MA_QH","LUN")</f>
        <v>0</v>
      </c>
      <c r="J40" s="50">
        <f ca="1">+GETPIVOTDATA("XSR4",'suoirao (2016)'!$A$3,"MA_HT","DKG","MA_QH","HNK")</f>
        <v>0</v>
      </c>
      <c r="K40" s="50">
        <f ca="1">+GETPIVOTDATA("XSR4",'suoirao (2016)'!$A$3,"MA_HT","DKG","MA_QH","CLN")</f>
        <v>0</v>
      </c>
      <c r="L40" s="50">
        <f ca="1">+GETPIVOTDATA("XSR4",'suoirao (2016)'!$A$3,"MA_HT","DKG","MA_QH","RSX")</f>
        <v>0</v>
      </c>
      <c r="M40" s="50">
        <f ca="1">+GETPIVOTDATA("XSR4",'suoirao (2016)'!$A$3,"MA_HT","DKG","MA_QH","RPH")</f>
        <v>0</v>
      </c>
      <c r="N40" s="50">
        <f ca="1">+GETPIVOTDATA("XSR4",'suoirao (2016)'!$A$3,"MA_HT","DKG","MA_QH","RDD")</f>
        <v>0</v>
      </c>
      <c r="O40" s="50">
        <f ca="1">+GETPIVOTDATA("XSR4",'suoirao (2016)'!$A$3,"MA_HT","DKG","MA_QH","NTS")</f>
        <v>0</v>
      </c>
      <c r="P40" s="50">
        <f ca="1">+GETPIVOTDATA("XSR4",'suoirao (2016)'!$A$3,"MA_HT","DKG","MA_QH","LMU")</f>
        <v>0</v>
      </c>
      <c r="Q40" s="50">
        <f ca="1">+GETPIVOTDATA("XSR4",'suoirao (2016)'!$A$3,"MA_HT","DKG","MA_QH","NKH")</f>
        <v>0</v>
      </c>
      <c r="R40" s="48">
        <f ca="1" t="shared" si="20"/>
        <v>0</v>
      </c>
      <c r="S40" s="50">
        <f ca="1">+GETPIVOTDATA("XSR4",'suoirao (2016)'!$A$3,"MA_HT","DKG","MA_QH","CQP")</f>
        <v>0</v>
      </c>
      <c r="T40" s="50">
        <f ca="1">+GETPIVOTDATA("XSR4",'suoirao (2016)'!$A$3,"MA_HT","DKG","MA_QH","CAN")</f>
        <v>0</v>
      </c>
      <c r="U40" s="50">
        <f ca="1">+GETPIVOTDATA("XSR4",'suoirao (2016)'!$A$3,"MA_HT","DKG","MA_QH","SKK")</f>
        <v>0</v>
      </c>
      <c r="V40" s="50">
        <f ca="1">+GETPIVOTDATA("XSR4",'suoirao (2016)'!$A$3,"MA_HT","DKG","MA_QH","SKT")</f>
        <v>0</v>
      </c>
      <c r="W40" s="50">
        <f ca="1">+GETPIVOTDATA("XSR4",'suoirao (2016)'!$A$3,"MA_HT","DKG","MA_QH","SKN")</f>
        <v>0</v>
      </c>
      <c r="X40" s="50">
        <f ca="1">+GETPIVOTDATA("XSR4",'suoirao (2016)'!$A$3,"MA_HT","DKG","MA_QH","TMD")</f>
        <v>0</v>
      </c>
      <c r="Y40" s="50">
        <f ca="1">+GETPIVOTDATA("XSR4",'suoirao (2016)'!$A$3,"MA_HT","DKG","MA_QH","SKC")</f>
        <v>0</v>
      </c>
      <c r="Z40" s="50">
        <f ca="1">+GETPIVOTDATA("XSR4",'suoirao (2016)'!$A$3,"MA_HT","DKG","MA_QH","SKS")</f>
        <v>0</v>
      </c>
      <c r="AA40" s="52">
        <f ca="1">+SUM(AB40:AL40)</f>
        <v>0</v>
      </c>
      <c r="AB40" s="50">
        <f ca="1">+GETPIVOTDATA("XSR4",'suoirao (2016)'!$A$3,"MA_HT","DKG","MA_QH","DGT")</f>
        <v>0</v>
      </c>
      <c r="AC40" s="50">
        <f ca="1">+GETPIVOTDATA("XSR4",'suoirao (2016)'!$A$3,"MA_HT","DKG","MA_QH","DTL")</f>
        <v>0</v>
      </c>
      <c r="AD40" s="50">
        <f ca="1">+GETPIVOTDATA("XSR4",'suoirao (2016)'!$A$3,"MA_HT","DKG","MA_QH","DNL")</f>
        <v>0</v>
      </c>
      <c r="AE40" s="50">
        <f ca="1">+GETPIVOTDATA("XSR4",'suoirao (2016)'!$A$3,"MA_HT","DKG","MA_QH","DBV")</f>
        <v>0</v>
      </c>
      <c r="AF40" s="50">
        <f ca="1">+GETPIVOTDATA("XSR4",'suoirao (2016)'!$A$3,"MA_HT","DKG","MA_QH","DVH")</f>
        <v>0</v>
      </c>
      <c r="AG40" s="50">
        <f ca="1">+GETPIVOTDATA("XSR4",'suoirao (2016)'!$A$3,"MA_HT","DKG","MA_QH","DYT")</f>
        <v>0</v>
      </c>
      <c r="AH40" s="50">
        <f ca="1">+GETPIVOTDATA("XSR4",'suoirao (2016)'!$A$3,"MA_HT","DKG","MA_QH","DGD")</f>
        <v>0</v>
      </c>
      <c r="AI40" s="50">
        <f ca="1">+GETPIVOTDATA("XSR4",'suoirao (2016)'!$A$3,"MA_HT","DKG","MA_QH","DTT")</f>
        <v>0</v>
      </c>
      <c r="AJ40" s="50">
        <f ca="1">+GETPIVOTDATA("XSR4",'suoirao (2016)'!$A$3,"MA_HT","DKG","MA_QH","NCK")</f>
        <v>0</v>
      </c>
      <c r="AK40" s="50">
        <f ca="1">+GETPIVOTDATA("XSR4",'suoirao (2016)'!$A$3,"MA_HT","DKG","MA_QH","DXH")</f>
        <v>0</v>
      </c>
      <c r="AL40" s="60">
        <f ca="1">+GETPIVOTDATA("XSR4",'suoirao (2016)'!$A$3,"MA_HT","DDT","MA_QH","DKG")</f>
        <v>0</v>
      </c>
      <c r="AM40" s="49" t="e">
        <f ca="1">$D40-$BF40</f>
        <v>#REF!</v>
      </c>
      <c r="AN40" s="50">
        <f ca="1">+GETPIVOTDATA("XSR4",'suoirao (2016)'!$A$3,"MA_HT","DKG","MA_QH","DDT")</f>
        <v>0</v>
      </c>
      <c r="AO40" s="50">
        <f ca="1">+GETPIVOTDATA("XSR4",'suoirao (2016)'!$A$3,"MA_HT","DKG","MA_QH","DDL")</f>
        <v>0</v>
      </c>
      <c r="AP40" s="50">
        <f ca="1">+GETPIVOTDATA("XSR4",'suoirao (2016)'!$A$3,"MA_HT","DKG","MA_QH","DRA")</f>
        <v>0</v>
      </c>
      <c r="AQ40" s="50">
        <f ca="1">+GETPIVOTDATA("XSR4",'suoirao (2016)'!$A$3,"MA_HT","DKG","MA_QH","ONT")</f>
        <v>0</v>
      </c>
      <c r="AR40" s="50">
        <f ca="1">+GETPIVOTDATA("XSR4",'suoirao (2016)'!$A$3,"MA_HT","DKG","MA_QH","ODT")</f>
        <v>0</v>
      </c>
      <c r="AS40" s="50">
        <f ca="1">+GETPIVOTDATA("XSR4",'suoirao (2016)'!$A$3,"MA_HT","DKG","MA_QH","TSC")</f>
        <v>0</v>
      </c>
      <c r="AT40" s="50">
        <f ca="1">+GETPIVOTDATA("XSR4",'suoirao (2016)'!$A$3,"MA_HT","DKG","MA_QH","DTS")</f>
        <v>0</v>
      </c>
      <c r="AU40" s="50">
        <f ca="1">+GETPIVOTDATA("XSR4",'suoirao (2016)'!$A$3,"MA_HT","DKG","MA_QH","DNG")</f>
        <v>0</v>
      </c>
      <c r="AV40" s="50">
        <f ca="1">+GETPIVOTDATA("XSR4",'suoirao (2016)'!$A$3,"MA_HT","DKG","MA_QH","TON")</f>
        <v>0</v>
      </c>
      <c r="AW40" s="50">
        <f ca="1">+GETPIVOTDATA("XSR4",'suoirao (2016)'!$A$3,"MA_HT","DKG","MA_QH","NTD")</f>
        <v>0</v>
      </c>
      <c r="AX40" s="50">
        <f ca="1">+GETPIVOTDATA("XSR4",'suoirao (2016)'!$A$3,"MA_HT","DKG","MA_QH","SKX")</f>
        <v>0</v>
      </c>
      <c r="AY40" s="50">
        <f ca="1">+GETPIVOTDATA("XSR4",'suoirao (2016)'!$A$3,"MA_HT","DKG","MA_QH","DSH")</f>
        <v>0</v>
      </c>
      <c r="AZ40" s="50">
        <f ca="1">+GETPIVOTDATA("XSR4",'suoirao (2016)'!$A$3,"MA_HT","DKG","MA_QH","DKV")</f>
        <v>0</v>
      </c>
      <c r="BA40" s="88">
        <f ca="1">+GETPIVOTDATA("XSR4",'suoirao (2016)'!$A$3,"MA_HT","DKG","MA_QH","TIN")</f>
        <v>0</v>
      </c>
      <c r="BB40" s="50">
        <f ca="1">+GETPIVOTDATA("XSR4",'suoirao (2016)'!$A$3,"MA_HT","DKG","MA_QH","SON")</f>
        <v>0</v>
      </c>
      <c r="BC40" s="50">
        <f ca="1">+GETPIVOTDATA("XSR4",'suoirao (2016)'!$A$3,"MA_HT","DKG","MA_QH","MNC")</f>
        <v>0</v>
      </c>
      <c r="BD40" s="50">
        <f ca="1">+GETPIVOTDATA("XSR4",'suoirao (2016)'!$A$3,"MA_HT","DKG","MA_QH","PNK")</f>
        <v>0</v>
      </c>
      <c r="BE40" s="80">
        <f ca="1">+GETPIVOTDATA("XSR4",'suoirao (2016)'!$A$3,"MA_HT","DKG","MA_QH","CSD")</f>
        <v>0</v>
      </c>
      <c r="BF40" s="103">
        <f ca="1" t="shared" si="13"/>
        <v>0</v>
      </c>
      <c r="BG40" s="104">
        <f ca="1">AM$59-$BF40</f>
        <v>0</v>
      </c>
      <c r="BH40" s="47" t="e">
        <f ca="1" t="shared" si="14"/>
        <v>#REF!</v>
      </c>
      <c r="BI40" s="109"/>
      <c r="BJ40" s="109" t="e">
        <f>#REF!</f>
        <v>#REF!</v>
      </c>
      <c r="BK40" s="110" t="e">
        <f ca="1" t="shared" si="19"/>
        <v>#REF!</v>
      </c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</row>
    <row r="41" s="6" customFormat="1" ht="15.75" customHeight="1" spans="1:79">
      <c r="A41" s="54" t="s">
        <v>8400</v>
      </c>
      <c r="B41" s="55" t="s">
        <v>8401</v>
      </c>
      <c r="C41" s="56" t="s">
        <v>8287</v>
      </c>
      <c r="D41" s="57" t="e">
        <f>+#REF!</f>
        <v>#REF!</v>
      </c>
      <c r="E41" s="58">
        <f ca="1" t="shared" si="15"/>
        <v>0</v>
      </c>
      <c r="F41" s="59">
        <f ca="1" t="shared" si="9"/>
        <v>0</v>
      </c>
      <c r="G41" s="60">
        <f ca="1">+GETPIVOTDATA("XSR4",'suoirao (2016)'!$A$3,"MA_HT","DDT","MA_QH","LUC")</f>
        <v>0</v>
      </c>
      <c r="H41" s="60">
        <f ca="1">+GETPIVOTDATA("XSR4",'suoirao (2016)'!$A$3,"MA_HT","DDT","MA_QH","LUK")</f>
        <v>0</v>
      </c>
      <c r="I41" s="60">
        <f ca="1">+GETPIVOTDATA("XSR4",'suoirao (2016)'!$A$3,"MA_HT","DDT","MA_QH","LUN")</f>
        <v>0</v>
      </c>
      <c r="J41" s="60">
        <f ca="1">+GETPIVOTDATA("XSR4",'suoirao (2016)'!$A$3,"MA_HT","DDT","MA_QH","HNK")</f>
        <v>0</v>
      </c>
      <c r="K41" s="60">
        <f ca="1">+GETPIVOTDATA("XSR4",'suoirao (2016)'!$A$3,"MA_HT","DDT","MA_QH","CLN")</f>
        <v>0</v>
      </c>
      <c r="L41" s="60">
        <f ca="1">+GETPIVOTDATA("XSR4",'suoirao (2016)'!$A$3,"MA_HT","DDT","MA_QH","RSX")</f>
        <v>0</v>
      </c>
      <c r="M41" s="60">
        <f ca="1">+GETPIVOTDATA("XSR4",'suoirao (2016)'!$A$3,"MA_HT","DDT","MA_QH","RPH")</f>
        <v>0</v>
      </c>
      <c r="N41" s="60">
        <f ca="1">+GETPIVOTDATA("XSR4",'suoirao (2016)'!$A$3,"MA_HT","DDT","MA_QH","RDD")</f>
        <v>0</v>
      </c>
      <c r="O41" s="60">
        <f ca="1">+GETPIVOTDATA("XSR4",'suoirao (2016)'!$A$3,"MA_HT","DDT","MA_QH","NTS")</f>
        <v>0</v>
      </c>
      <c r="P41" s="60">
        <f ca="1">+GETPIVOTDATA("XSR4",'suoirao (2016)'!$A$3,"MA_HT","DDT","MA_QH","LMU")</f>
        <v>0</v>
      </c>
      <c r="Q41" s="60">
        <f ca="1">+GETPIVOTDATA("XSR4",'suoirao (2016)'!$A$3,"MA_HT","DDT","MA_QH","NKH")</f>
        <v>0</v>
      </c>
      <c r="R41" s="78">
        <f ca="1">SUM(S41:AA41,AO41:BD41)</f>
        <v>0</v>
      </c>
      <c r="S41" s="60">
        <f ca="1">+GETPIVOTDATA("XSR4",'suoirao (2016)'!$A$3,"MA_HT","DDT","MA_QH","CQP")</f>
        <v>0</v>
      </c>
      <c r="T41" s="60">
        <f ca="1">+GETPIVOTDATA("XSR4",'suoirao (2016)'!$A$3,"MA_HT","DDT","MA_QH","CAN")</f>
        <v>0</v>
      </c>
      <c r="U41" s="60">
        <f ca="1">+GETPIVOTDATA("XSR4",'suoirao (2016)'!$A$3,"MA_HT","DDT","MA_QH","SKK")</f>
        <v>0</v>
      </c>
      <c r="V41" s="60">
        <f ca="1">+GETPIVOTDATA("XSR4",'suoirao (2016)'!$A$3,"MA_HT","DDT","MA_QH","SKT")</f>
        <v>0</v>
      </c>
      <c r="W41" s="60">
        <f ca="1">+GETPIVOTDATA("XSR4",'suoirao (2016)'!$A$3,"MA_HT","DDT","MA_QH","SKN")</f>
        <v>0</v>
      </c>
      <c r="X41" s="60">
        <f ca="1">+GETPIVOTDATA("XSR4",'suoirao (2016)'!$A$3,"MA_HT","DDT","MA_QH","TMD")</f>
        <v>0</v>
      </c>
      <c r="Y41" s="60">
        <f ca="1">+GETPIVOTDATA("XSR4",'suoirao (2016)'!$A$3,"MA_HT","DDT","MA_QH","SKC")</f>
        <v>0</v>
      </c>
      <c r="Z41" s="60">
        <f ca="1">+GETPIVOTDATA("XSR4",'suoirao (2016)'!$A$3,"MA_HT","DDT","MA_QH","SKS")</f>
        <v>0</v>
      </c>
      <c r="AA41" s="59">
        <f ca="1" t="shared" ref="AA41:AA58" si="21">+SUM(AB41:AM41)</f>
        <v>0</v>
      </c>
      <c r="AB41" s="60">
        <f ca="1">+GETPIVOTDATA("XSR4",'suoirao (2016)'!$A$3,"MA_HT","DDT","MA_QH","DGT")</f>
        <v>0</v>
      </c>
      <c r="AC41" s="60">
        <f ca="1">+GETPIVOTDATA("XSR4",'suoirao (2016)'!$A$3,"MA_HT","DDT","MA_QH","DTL")</f>
        <v>0</v>
      </c>
      <c r="AD41" s="60">
        <f ca="1">+GETPIVOTDATA("XSR4",'suoirao (2016)'!$A$3,"MA_HT","DDT","MA_QH","DNL")</f>
        <v>0</v>
      </c>
      <c r="AE41" s="60">
        <f ca="1">+GETPIVOTDATA("XSR4",'suoirao (2016)'!$A$3,"MA_HT","DDT","MA_QH","DBV")</f>
        <v>0</v>
      </c>
      <c r="AF41" s="60">
        <f ca="1">+GETPIVOTDATA("XSR4",'suoirao (2016)'!$A$3,"MA_HT","DDT","MA_QH","DVH")</f>
        <v>0</v>
      </c>
      <c r="AG41" s="60">
        <f ca="1">+GETPIVOTDATA("XSR4",'suoirao (2016)'!$A$3,"MA_HT","DDT","MA_QH","DYT")</f>
        <v>0</v>
      </c>
      <c r="AH41" s="60">
        <f ca="1">+GETPIVOTDATA("XSR4",'suoirao (2016)'!$A$3,"MA_HT","DDT","MA_QH","DGD")</f>
        <v>0</v>
      </c>
      <c r="AI41" s="60">
        <f ca="1">+GETPIVOTDATA("XSR4",'suoirao (2016)'!$A$3,"MA_HT","DDT","MA_QH","DTT")</f>
        <v>0</v>
      </c>
      <c r="AJ41" s="60">
        <f ca="1">+GETPIVOTDATA("XSR4",'suoirao (2016)'!$A$3,"MA_HT","DDT","MA_QH","NCK")</f>
        <v>0</v>
      </c>
      <c r="AK41" s="60">
        <f ca="1">+GETPIVOTDATA("XSR4",'suoirao (2016)'!$A$3,"MA_HT","DDT","MA_QH","DXH")</f>
        <v>0</v>
      </c>
      <c r="AL41" s="60">
        <f ca="1">+GETPIVOTDATA("XSR4",'suoirao (2016)'!$A$3,"MA_HT","DDT","MA_QH","DCH")</f>
        <v>0</v>
      </c>
      <c r="AM41" s="60">
        <f ca="1">+GETPIVOTDATA("XSR4",'suoirao (2016)'!$A$3,"MA_HT","DDT","MA_QH","DKG")</f>
        <v>0</v>
      </c>
      <c r="AN41" s="81" t="e">
        <f ca="1">$D41-$BF41</f>
        <v>#REF!</v>
      </c>
      <c r="AO41" s="60">
        <f ca="1">+GETPIVOTDATA("XSR4",'suoirao (2016)'!$A$3,"MA_HT","DDT","MA_QH","DDL")</f>
        <v>0</v>
      </c>
      <c r="AP41" s="60">
        <f ca="1">+GETPIVOTDATA("XSR4",'suoirao (2016)'!$A$3,"MA_HT","DDT","MA_QH","DRA")</f>
        <v>0</v>
      </c>
      <c r="AQ41" s="60">
        <f ca="1">+GETPIVOTDATA("XSR4",'suoirao (2016)'!$A$3,"MA_HT","DDT","MA_QH","ONT")</f>
        <v>0</v>
      </c>
      <c r="AR41" s="60">
        <f ca="1">+GETPIVOTDATA("XSR4",'suoirao (2016)'!$A$3,"MA_HT","DDT","MA_QH","ODT")</f>
        <v>0</v>
      </c>
      <c r="AS41" s="60">
        <f ca="1">+GETPIVOTDATA("XSR4",'suoirao (2016)'!$A$3,"MA_HT","DDT","MA_QH","TSC")</f>
        <v>0</v>
      </c>
      <c r="AT41" s="60">
        <f ca="1">+GETPIVOTDATA("XSR4",'suoirao (2016)'!$A$3,"MA_HT","DDT","MA_QH","DTS")</f>
        <v>0</v>
      </c>
      <c r="AU41" s="60">
        <f ca="1">+GETPIVOTDATA("XSR4",'suoirao (2016)'!$A$3,"MA_HT","DDT","MA_QH","DNG")</f>
        <v>0</v>
      </c>
      <c r="AV41" s="60">
        <f ca="1">+GETPIVOTDATA("XSR4",'suoirao (2016)'!$A$3,"MA_HT","DDT","MA_QH","TON")</f>
        <v>0</v>
      </c>
      <c r="AW41" s="60">
        <f ca="1">+GETPIVOTDATA("XSR4",'suoirao (2016)'!$A$3,"MA_HT","DDT","MA_QH","NTD")</f>
        <v>0</v>
      </c>
      <c r="AX41" s="60">
        <f ca="1">+GETPIVOTDATA("XSR4",'suoirao (2016)'!$A$3,"MA_HT","DDT","MA_QH","SKX")</f>
        <v>0</v>
      </c>
      <c r="AY41" s="60">
        <f ca="1">+GETPIVOTDATA("XSR4",'suoirao (2016)'!$A$3,"MA_HT","DDT","MA_QH","DSH")</f>
        <v>0</v>
      </c>
      <c r="AZ41" s="60">
        <f ca="1">+GETPIVOTDATA("XSR4",'suoirao (2016)'!$A$3,"MA_HT","DDT","MA_QH","DKV")</f>
        <v>0</v>
      </c>
      <c r="BA41" s="90">
        <f ca="1">+GETPIVOTDATA("XSR4",'suoirao (2016)'!$A$3,"MA_HT","DDT","MA_QH","TIN")</f>
        <v>0</v>
      </c>
      <c r="BB41" s="91">
        <f ca="1">+GETPIVOTDATA("XSR4",'suoirao (2016)'!$A$3,"MA_HT","DDT","MA_QH","SON")</f>
        <v>0</v>
      </c>
      <c r="BC41" s="91">
        <f ca="1">+GETPIVOTDATA("XSR4",'suoirao (2016)'!$A$3,"MA_HT","DDT","MA_QH","MNC")</f>
        <v>0</v>
      </c>
      <c r="BD41" s="60">
        <f ca="1">+GETPIVOTDATA("XSR4",'suoirao (2016)'!$A$3,"MA_HT","DDT","MA_QH","PNK")</f>
        <v>0</v>
      </c>
      <c r="BE41" s="111">
        <f ca="1">+GETPIVOTDATA("XSR4",'suoirao (2016)'!$A$3,"MA_HT","DDT","MA_QH","CSD")</f>
        <v>0</v>
      </c>
      <c r="BF41" s="112">
        <f ca="1" t="shared" si="13"/>
        <v>0</v>
      </c>
      <c r="BG41" s="113">
        <f ca="1">AN$59-$BF41</f>
        <v>0</v>
      </c>
      <c r="BH41" s="57" t="e">
        <f ca="1" t="shared" si="14"/>
        <v>#REF!</v>
      </c>
      <c r="BI41" s="114"/>
      <c r="BJ41" s="115"/>
      <c r="BK41" s="115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</row>
    <row r="42" s="2" customFormat="1" ht="15.75" customHeight="1" spans="1:79">
      <c r="A42" s="39" t="s">
        <v>8402</v>
      </c>
      <c r="B42" s="53" t="s">
        <v>8403</v>
      </c>
      <c r="C42" s="40" t="s">
        <v>8286</v>
      </c>
      <c r="D42" s="41" t="e">
        <f>+#REF!</f>
        <v>#REF!</v>
      </c>
      <c r="E42" s="42">
        <f ca="1" t="shared" si="15"/>
        <v>0</v>
      </c>
      <c r="F42" s="52">
        <f ca="1" t="shared" si="9"/>
        <v>0</v>
      </c>
      <c r="G42" s="22">
        <f ca="1">+GETPIVOTDATA("XSR4",'suoirao (2016)'!$A$3,"MA_HT","DDL","MA_QH","LUC")</f>
        <v>0</v>
      </c>
      <c r="H42" s="22">
        <f ca="1">+GETPIVOTDATA("XSR4",'suoirao (2016)'!$A$3,"MA_HT","DDL","MA_QH","LUK")</f>
        <v>0</v>
      </c>
      <c r="I42" s="22">
        <f ca="1">+GETPIVOTDATA("XSR4",'suoirao (2016)'!$A$3,"MA_HT","DDL","MA_QH","LUN")</f>
        <v>0</v>
      </c>
      <c r="J42" s="22">
        <f ca="1">+GETPIVOTDATA("XSR4",'suoirao (2016)'!$A$3,"MA_HT","DDL","MA_QH","HNK")</f>
        <v>0</v>
      </c>
      <c r="K42" s="22">
        <f ca="1">+GETPIVOTDATA("XSR4",'suoirao (2016)'!$A$3,"MA_HT","DDL","MA_QH","CLN")</f>
        <v>0</v>
      </c>
      <c r="L42" s="22">
        <f ca="1">+GETPIVOTDATA("XSR4",'suoirao (2016)'!$A$3,"MA_HT","DDL","MA_QH","RSX")</f>
        <v>0</v>
      </c>
      <c r="M42" s="22">
        <f ca="1">+GETPIVOTDATA("XSR4",'suoirao (2016)'!$A$3,"MA_HT","DDL","MA_QH","RPH")</f>
        <v>0</v>
      </c>
      <c r="N42" s="22">
        <f ca="1">+GETPIVOTDATA("XSR4",'suoirao (2016)'!$A$3,"MA_HT","DDL","MA_QH","RDD")</f>
        <v>0</v>
      </c>
      <c r="O42" s="22">
        <f ca="1">+GETPIVOTDATA("XSR4",'suoirao (2016)'!$A$3,"MA_HT","DDL","MA_QH","NTS")</f>
        <v>0</v>
      </c>
      <c r="P42" s="22">
        <f ca="1">+GETPIVOTDATA("XSR4",'suoirao (2016)'!$A$3,"MA_HT","DDL","MA_QH","LMU")</f>
        <v>0</v>
      </c>
      <c r="Q42" s="22">
        <f ca="1">+GETPIVOTDATA("XSR4",'suoirao (2016)'!$A$3,"MA_HT","DDL","MA_QH","NKH")</f>
        <v>0</v>
      </c>
      <c r="R42" s="79">
        <f ca="1">SUM(S42:AA42,AN42,AP42:BD42)</f>
        <v>0</v>
      </c>
      <c r="S42" s="22">
        <f ca="1">+GETPIVOTDATA("XSR4",'suoirao (2016)'!$A$3,"MA_HT","DDL","MA_QH","CQP")</f>
        <v>0</v>
      </c>
      <c r="T42" s="22">
        <f ca="1">+GETPIVOTDATA("XSR4",'suoirao (2016)'!$A$3,"MA_HT","DDL","MA_QH","CAN")</f>
        <v>0</v>
      </c>
      <c r="U42" s="22">
        <f ca="1">+GETPIVOTDATA("XSR4",'suoirao (2016)'!$A$3,"MA_HT","DDL","MA_QH","SKK")</f>
        <v>0</v>
      </c>
      <c r="V42" s="22">
        <f ca="1">+GETPIVOTDATA("XSR4",'suoirao (2016)'!$A$3,"MA_HT","DDL","MA_QH","SKT")</f>
        <v>0</v>
      </c>
      <c r="W42" s="22">
        <f ca="1">+GETPIVOTDATA("XSR4",'suoirao (2016)'!$A$3,"MA_HT","DDL","MA_QH","SKN")</f>
        <v>0</v>
      </c>
      <c r="X42" s="22">
        <f ca="1">+GETPIVOTDATA("XSR4",'suoirao (2016)'!$A$3,"MA_HT","DDL","MA_QH","TMD")</f>
        <v>0</v>
      </c>
      <c r="Y42" s="22">
        <f ca="1">+GETPIVOTDATA("XSR4",'suoirao (2016)'!$A$3,"MA_HT","DDL","MA_QH","SKC")</f>
        <v>0</v>
      </c>
      <c r="Z42" s="22">
        <f ca="1">+GETPIVOTDATA("XSR4",'suoirao (2016)'!$A$3,"MA_HT","DDL","MA_QH","SKS")</f>
        <v>0</v>
      </c>
      <c r="AA42" s="52">
        <f ca="1" t="shared" si="21"/>
        <v>0</v>
      </c>
      <c r="AB42" s="22">
        <f ca="1">+GETPIVOTDATA("XSR4",'suoirao (2016)'!$A$3,"MA_HT","DDL","MA_QH","DGT")</f>
        <v>0</v>
      </c>
      <c r="AC42" s="22">
        <f ca="1">+GETPIVOTDATA("XSR4",'suoirao (2016)'!$A$3,"MA_HT","DDL","MA_QH","DTL")</f>
        <v>0</v>
      </c>
      <c r="AD42" s="22">
        <f ca="1">+GETPIVOTDATA("XSR4",'suoirao (2016)'!$A$3,"MA_HT","DDL","MA_QH","DNL")</f>
        <v>0</v>
      </c>
      <c r="AE42" s="22">
        <f ca="1">+GETPIVOTDATA("XSR4",'suoirao (2016)'!$A$3,"MA_HT","DDL","MA_QH","DBV")</f>
        <v>0</v>
      </c>
      <c r="AF42" s="22">
        <f ca="1">+GETPIVOTDATA("XSR4",'suoirao (2016)'!$A$3,"MA_HT","DDL","MA_QH","DVH")</f>
        <v>0</v>
      </c>
      <c r="AG42" s="22">
        <f ca="1">+GETPIVOTDATA("XSR4",'suoirao (2016)'!$A$3,"MA_HT","DDL","MA_QH","DYT")</f>
        <v>0</v>
      </c>
      <c r="AH42" s="22">
        <f ca="1">+GETPIVOTDATA("XSR4",'suoirao (2016)'!$A$3,"MA_HT","DDL","MA_QH","DGD")</f>
        <v>0</v>
      </c>
      <c r="AI42" s="22">
        <f ca="1">+GETPIVOTDATA("XSR4",'suoirao (2016)'!$A$3,"MA_HT","DDL","MA_QH","DTT")</f>
        <v>0</v>
      </c>
      <c r="AJ42" s="22">
        <f ca="1">+GETPIVOTDATA("XSR4",'suoirao (2016)'!$A$3,"MA_HT","DDL","MA_QH","NCK")</f>
        <v>0</v>
      </c>
      <c r="AK42" s="22">
        <f ca="1">+GETPIVOTDATA("XSR4",'suoirao (2016)'!$A$3,"MA_HT","DDL","MA_QH","DXH")</f>
        <v>0</v>
      </c>
      <c r="AL42" s="22">
        <f ca="1">+GETPIVOTDATA("XSR4",'suoirao (2016)'!$A$3,"MA_HT","DDL","MA_QH","DCH")</f>
        <v>0</v>
      </c>
      <c r="AM42" s="22">
        <f ca="1">+GETPIVOTDATA("XSR4",'suoirao (2016)'!$A$3,"MA_HT","DDL","MA_QH","DKG")</f>
        <v>0</v>
      </c>
      <c r="AN42" s="22">
        <f ca="1">+GETPIVOTDATA("XSR4",'suoirao (2016)'!$A$3,"MA_HT","DDL","MA_QH","DDT")</f>
        <v>0</v>
      </c>
      <c r="AO42" s="43" t="e">
        <f ca="1">$D42-$BF42</f>
        <v>#REF!</v>
      </c>
      <c r="AP42" s="22">
        <f ca="1">+GETPIVOTDATA("XSR4",'suoirao (2016)'!$A$3,"MA_HT","DDL","MA_QH","DRA")</f>
        <v>0</v>
      </c>
      <c r="AQ42" s="22">
        <f ca="1">+GETPIVOTDATA("XSR4",'suoirao (2016)'!$A$3,"MA_HT","DDL","MA_QH","ONT")</f>
        <v>0</v>
      </c>
      <c r="AR42" s="22">
        <f ca="1">+GETPIVOTDATA("XSR4",'suoirao (2016)'!$A$3,"MA_HT","DDL","MA_QH","ODT")</f>
        <v>0</v>
      </c>
      <c r="AS42" s="22">
        <f ca="1">+GETPIVOTDATA("XSR4",'suoirao (2016)'!$A$3,"MA_HT","DDL","MA_QH","TSC")</f>
        <v>0</v>
      </c>
      <c r="AT42" s="22">
        <f ca="1">+GETPIVOTDATA("XSR4",'suoirao (2016)'!$A$3,"MA_HT","DDL","MA_QH","DTS")</f>
        <v>0</v>
      </c>
      <c r="AU42" s="22">
        <f ca="1">+GETPIVOTDATA("XSR4",'suoirao (2016)'!$A$3,"MA_HT","DDL","MA_QH","DNG")</f>
        <v>0</v>
      </c>
      <c r="AV42" s="22">
        <f ca="1">+GETPIVOTDATA("XSR4",'suoirao (2016)'!$A$3,"MA_HT","DDL","MA_QH","TON")</f>
        <v>0</v>
      </c>
      <c r="AW42" s="22">
        <f ca="1">+GETPIVOTDATA("XSR4",'suoirao (2016)'!$A$3,"MA_HT","DDL","MA_QH","NTD")</f>
        <v>0</v>
      </c>
      <c r="AX42" s="22">
        <f ca="1">+GETPIVOTDATA("XSR4",'suoirao (2016)'!$A$3,"MA_HT","DDL","MA_QH","SKX")</f>
        <v>0</v>
      </c>
      <c r="AY42" s="22">
        <f ca="1">+GETPIVOTDATA("XSR4",'suoirao (2016)'!$A$3,"MA_HT","DDL","MA_QH","DSH")</f>
        <v>0</v>
      </c>
      <c r="AZ42" s="22">
        <f ca="1">+GETPIVOTDATA("XSR4",'suoirao (2016)'!$A$3,"MA_HT","DDL","MA_QH","DKV")</f>
        <v>0</v>
      </c>
      <c r="BA42" s="89">
        <f ca="1">+GETPIVOTDATA("XSR4",'suoirao (2016)'!$A$3,"MA_HT","DDL","MA_QH","TIN")</f>
        <v>0</v>
      </c>
      <c r="BB42" s="50">
        <f ca="1">+GETPIVOTDATA("XSR4",'suoirao (2016)'!$A$3,"MA_HT","DDL","MA_QH","SON")</f>
        <v>0</v>
      </c>
      <c r="BC42" s="50">
        <f ca="1">+GETPIVOTDATA("XSR4",'suoirao (2016)'!$A$3,"MA_HT","DDL","MA_QH","MNC")</f>
        <v>0</v>
      </c>
      <c r="BD42" s="22">
        <f ca="1">+GETPIVOTDATA("XSR4",'suoirao (2016)'!$A$3,"MA_HT","DDL","MA_QH","PNK")</f>
        <v>0</v>
      </c>
      <c r="BE42" s="71">
        <f ca="1">+GETPIVOTDATA("XSR4",'suoirao (2016)'!$A$3,"MA_HT","DDL","MA_QH","CSD")</f>
        <v>0</v>
      </c>
      <c r="BF42" s="74">
        <f ca="1" t="shared" si="13"/>
        <v>0</v>
      </c>
      <c r="BG42" s="101">
        <f ca="1">AO$59-$BF42</f>
        <v>0</v>
      </c>
      <c r="BH42" s="41" t="e">
        <f ca="1" t="shared" si="14"/>
        <v>#REF!</v>
      </c>
      <c r="BI42" s="98"/>
      <c r="BJ42" s="107"/>
      <c r="BK42" s="10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</row>
    <row r="43" s="2" customFormat="1" ht="15.75" customHeight="1" spans="1:79">
      <c r="A43" s="39" t="s">
        <v>8404</v>
      </c>
      <c r="B43" s="53" t="s">
        <v>8405</v>
      </c>
      <c r="C43" s="40" t="s">
        <v>8291</v>
      </c>
      <c r="D43" s="41" t="e">
        <f>+#REF!</f>
        <v>#REF!</v>
      </c>
      <c r="E43" s="42">
        <f ca="1" t="shared" si="15"/>
        <v>0</v>
      </c>
      <c r="F43" s="52">
        <f ca="1" t="shared" si="9"/>
        <v>0</v>
      </c>
      <c r="G43" s="22">
        <f ca="1">+GETPIVOTDATA("XSR4",'suoirao (2016)'!$A$3,"MA_HT","DRA","MA_QH","LUC")</f>
        <v>0</v>
      </c>
      <c r="H43" s="22">
        <f ca="1">+GETPIVOTDATA("XSR4",'suoirao (2016)'!$A$3,"MA_HT","DRA","MA_QH","LUK")</f>
        <v>0</v>
      </c>
      <c r="I43" s="22">
        <f ca="1">+GETPIVOTDATA("XSR4",'suoirao (2016)'!$A$3,"MA_HT","DRA","MA_QH","LUN")</f>
        <v>0</v>
      </c>
      <c r="J43" s="22">
        <f ca="1">+GETPIVOTDATA("XSR4",'suoirao (2016)'!$A$3,"MA_HT","DRA","MA_QH","HNK")</f>
        <v>0</v>
      </c>
      <c r="K43" s="22">
        <f ca="1">+GETPIVOTDATA("XSR4",'suoirao (2016)'!$A$3,"MA_HT","DRA","MA_QH","CLN")</f>
        <v>0</v>
      </c>
      <c r="L43" s="22">
        <f ca="1">+GETPIVOTDATA("XSR4",'suoirao (2016)'!$A$3,"MA_HT","DRA","MA_QH","RSX")</f>
        <v>0</v>
      </c>
      <c r="M43" s="22">
        <f ca="1">+GETPIVOTDATA("XSR4",'suoirao (2016)'!$A$3,"MA_HT","DRA","MA_QH","RPH")</f>
        <v>0</v>
      </c>
      <c r="N43" s="22">
        <f ca="1">+GETPIVOTDATA("XSR4",'suoirao (2016)'!$A$3,"MA_HT","DRA","MA_QH","RDD")</f>
        <v>0</v>
      </c>
      <c r="O43" s="22">
        <f ca="1">+GETPIVOTDATA("XSR4",'suoirao (2016)'!$A$3,"MA_HT","DRA","MA_QH","NTS")</f>
        <v>0</v>
      </c>
      <c r="P43" s="22">
        <f ca="1">+GETPIVOTDATA("XSR4",'suoirao (2016)'!$A$3,"MA_HT","DRA","MA_QH","LMU")</f>
        <v>0</v>
      </c>
      <c r="Q43" s="22">
        <f ca="1">+GETPIVOTDATA("XSR4",'suoirao (2016)'!$A$3,"MA_HT","DRA","MA_QH","NKH")</f>
        <v>0</v>
      </c>
      <c r="R43" s="79">
        <f ca="1">SUM(S43:AA43,AN43:AO43,AQ43:BD43)</f>
        <v>0</v>
      </c>
      <c r="S43" s="22">
        <f ca="1">+GETPIVOTDATA("XSR4",'suoirao (2016)'!$A$3,"MA_HT","DRA","MA_QH","CQP")</f>
        <v>0</v>
      </c>
      <c r="T43" s="22">
        <f ca="1">+GETPIVOTDATA("XSR4",'suoirao (2016)'!$A$3,"MA_HT","DRA","MA_QH","CAN")</f>
        <v>0</v>
      </c>
      <c r="U43" s="22">
        <f ca="1">+GETPIVOTDATA("XSR4",'suoirao (2016)'!$A$3,"MA_HT","DRA","MA_QH","SKK")</f>
        <v>0</v>
      </c>
      <c r="V43" s="22">
        <f ca="1">+GETPIVOTDATA("XSR4",'suoirao (2016)'!$A$3,"MA_HT","DRA","MA_QH","SKT")</f>
        <v>0</v>
      </c>
      <c r="W43" s="22">
        <f ca="1">+GETPIVOTDATA("XSR4",'suoirao (2016)'!$A$3,"MA_HT","DRA","MA_QH","SKN")</f>
        <v>0</v>
      </c>
      <c r="X43" s="22">
        <f ca="1">+GETPIVOTDATA("XSR4",'suoirao (2016)'!$A$3,"MA_HT","DRA","MA_QH","TMD")</f>
        <v>0</v>
      </c>
      <c r="Y43" s="22">
        <f ca="1">+GETPIVOTDATA("XSR4",'suoirao (2016)'!$A$3,"MA_HT","DRA","MA_QH","SKC")</f>
        <v>0</v>
      </c>
      <c r="Z43" s="22">
        <f ca="1">+GETPIVOTDATA("XSR4",'suoirao (2016)'!$A$3,"MA_HT","DRA","MA_QH","SKS")</f>
        <v>0</v>
      </c>
      <c r="AA43" s="52">
        <f ca="1" t="shared" si="21"/>
        <v>0</v>
      </c>
      <c r="AB43" s="22">
        <f ca="1">+GETPIVOTDATA("XSR4",'suoirao (2016)'!$A$3,"MA_HT","DRA","MA_QH","DGT")</f>
        <v>0</v>
      </c>
      <c r="AC43" s="22">
        <f ca="1">+GETPIVOTDATA("XSR4",'suoirao (2016)'!$A$3,"MA_HT","DRA","MA_QH","DTL")</f>
        <v>0</v>
      </c>
      <c r="AD43" s="22">
        <f ca="1">+GETPIVOTDATA("XSR4",'suoirao (2016)'!$A$3,"MA_HT","DRA","MA_QH","DNL")</f>
        <v>0</v>
      </c>
      <c r="AE43" s="22">
        <f ca="1">+GETPIVOTDATA("XSR4",'suoirao (2016)'!$A$3,"MA_HT","DRA","MA_QH","DBV")</f>
        <v>0</v>
      </c>
      <c r="AF43" s="22">
        <f ca="1">+GETPIVOTDATA("XSR4",'suoirao (2016)'!$A$3,"MA_HT","DRA","MA_QH","DVH")</f>
        <v>0</v>
      </c>
      <c r="AG43" s="22">
        <f ca="1">+GETPIVOTDATA("XSR4",'suoirao (2016)'!$A$3,"MA_HT","DRA","MA_QH","DYT")</f>
        <v>0</v>
      </c>
      <c r="AH43" s="22">
        <f ca="1">+GETPIVOTDATA("XSR4",'suoirao (2016)'!$A$3,"MA_HT","DRA","MA_QH","DGD")</f>
        <v>0</v>
      </c>
      <c r="AI43" s="22">
        <f ca="1">+GETPIVOTDATA("XSR4",'suoirao (2016)'!$A$3,"MA_HT","DRA","MA_QH","DTT")</f>
        <v>0</v>
      </c>
      <c r="AJ43" s="22">
        <f ca="1">+GETPIVOTDATA("XSR4",'suoirao (2016)'!$A$3,"MA_HT","DRA","MA_QH","NCK")</f>
        <v>0</v>
      </c>
      <c r="AK43" s="22">
        <f ca="1">+GETPIVOTDATA("XSR4",'suoirao (2016)'!$A$3,"MA_HT","DRA","MA_QH","DXH")</f>
        <v>0</v>
      </c>
      <c r="AL43" s="22">
        <f ca="1">+GETPIVOTDATA("XSR4",'suoirao (2016)'!$A$3,"MA_HT","DRA","MA_QH","DCH")</f>
        <v>0</v>
      </c>
      <c r="AM43" s="22">
        <f ca="1">+GETPIVOTDATA("XSR4",'suoirao (2016)'!$A$3,"MA_HT","DRA","MA_QH","DKG")</f>
        <v>0</v>
      </c>
      <c r="AN43" s="22">
        <f ca="1">+GETPIVOTDATA("XSR4",'suoirao (2016)'!$A$3,"MA_HT","DRA","MA_QH","DDT")</f>
        <v>0</v>
      </c>
      <c r="AO43" s="22">
        <f ca="1">+GETPIVOTDATA("XSR4",'suoirao (2016)'!$A$3,"MA_HT","DRA","MA_QH","DDL")</f>
        <v>0</v>
      </c>
      <c r="AP43" s="43" t="e">
        <f ca="1">$D43-$BF43</f>
        <v>#REF!</v>
      </c>
      <c r="AQ43" s="22">
        <f ca="1">+GETPIVOTDATA("XSR4",'suoirao (2016)'!$A$3,"MA_HT","DRA","MA_QH","ONT")</f>
        <v>0</v>
      </c>
      <c r="AR43" s="22">
        <f ca="1">+GETPIVOTDATA("XSR4",'suoirao (2016)'!$A$3,"MA_HT","DRA","MA_QH","ODT")</f>
        <v>0</v>
      </c>
      <c r="AS43" s="22">
        <f ca="1">+GETPIVOTDATA("XSR4",'suoirao (2016)'!$A$3,"MA_HT","DRA","MA_QH","TSC")</f>
        <v>0</v>
      </c>
      <c r="AT43" s="22">
        <f ca="1">+GETPIVOTDATA("XSR4",'suoirao (2016)'!$A$3,"MA_HT","DRA","MA_QH","DTS")</f>
        <v>0</v>
      </c>
      <c r="AU43" s="22">
        <f ca="1">+GETPIVOTDATA("XSR4",'suoirao (2016)'!$A$3,"MA_HT","DRA","MA_QH","DNG")</f>
        <v>0</v>
      </c>
      <c r="AV43" s="22">
        <f ca="1">+GETPIVOTDATA("XSR4",'suoirao (2016)'!$A$3,"MA_HT","DRA","MA_QH","TON")</f>
        <v>0</v>
      </c>
      <c r="AW43" s="22">
        <f ca="1">+GETPIVOTDATA("XSR4",'suoirao (2016)'!$A$3,"MA_HT","DRA","MA_QH","NTD")</f>
        <v>0</v>
      </c>
      <c r="AX43" s="22">
        <f ca="1">+GETPIVOTDATA("XSR4",'suoirao (2016)'!$A$3,"MA_HT","DRA","MA_QH","SKX")</f>
        <v>0</v>
      </c>
      <c r="AY43" s="22">
        <f ca="1">+GETPIVOTDATA("XSR4",'suoirao (2016)'!$A$3,"MA_HT","DRA","MA_QH","DSH")</f>
        <v>0</v>
      </c>
      <c r="AZ43" s="22">
        <f ca="1">+GETPIVOTDATA("XSR4",'suoirao (2016)'!$A$3,"MA_HT","DRA","MA_QH","DKV")</f>
        <v>0</v>
      </c>
      <c r="BA43" s="89">
        <f ca="1">+GETPIVOTDATA("XSR4",'suoirao (2016)'!$A$3,"MA_HT","DRA","MA_QH","TIN")</f>
        <v>0</v>
      </c>
      <c r="BB43" s="50">
        <f ca="1">+GETPIVOTDATA("XSR4",'suoirao (2016)'!$A$3,"MA_HT","DRA","MA_QH","SON")</f>
        <v>0</v>
      </c>
      <c r="BC43" s="50">
        <f ca="1">+GETPIVOTDATA("XSR4",'suoirao (2016)'!$A$3,"MA_HT","DRA","MA_QH","MNC")</f>
        <v>0</v>
      </c>
      <c r="BD43" s="22">
        <f ca="1">+GETPIVOTDATA("XSR4",'suoirao (2016)'!$A$3,"MA_HT","DRA","MA_QH","PNK")</f>
        <v>0</v>
      </c>
      <c r="BE43" s="71">
        <f ca="1">+GETPIVOTDATA("XSR4",'suoirao (2016)'!$A$3,"MA_HT","DRA","MA_QH","CSD")</f>
        <v>0</v>
      </c>
      <c r="BF43" s="74">
        <f ca="1" t="shared" si="13"/>
        <v>0</v>
      </c>
      <c r="BG43" s="101">
        <f ca="1">AP$59-$BF43</f>
        <v>0</v>
      </c>
      <c r="BH43" s="41" t="e">
        <f ca="1" t="shared" si="14"/>
        <v>#REF!</v>
      </c>
      <c r="BI43" s="98"/>
      <c r="BJ43" s="107" t="e">
        <f>#REF!</f>
        <v>#REF!</v>
      </c>
      <c r="BK43" s="107" t="e">
        <f ca="1">BH43-BJ43</f>
        <v>#REF!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</row>
    <row r="44" s="2" customFormat="1" ht="15.75" customHeight="1" spans="1:79">
      <c r="A44" s="39" t="s">
        <v>8406</v>
      </c>
      <c r="B44" s="53" t="s">
        <v>8407</v>
      </c>
      <c r="C44" s="40" t="s">
        <v>188</v>
      </c>
      <c r="D44" s="41" t="e">
        <f>+#REF!</f>
        <v>#REF!</v>
      </c>
      <c r="E44" s="42">
        <f ca="1" t="shared" si="15"/>
        <v>0</v>
      </c>
      <c r="F44" s="52">
        <f ca="1" t="shared" si="9"/>
        <v>0</v>
      </c>
      <c r="G44" s="22">
        <f ca="1">+GETPIVOTDATA("XSR4",'suoirao (2016)'!$A$3,"MA_HT","ONT","MA_QH","LUC")</f>
        <v>0</v>
      </c>
      <c r="H44" s="22">
        <f ca="1">+GETPIVOTDATA("XSR4",'suoirao (2016)'!$A$3,"MA_HT","ONT","MA_QH","LUK")</f>
        <v>0</v>
      </c>
      <c r="I44" s="22">
        <f ca="1">+GETPIVOTDATA("XSR4",'suoirao (2016)'!$A$3,"MA_HT","ONT","MA_QH","LUN")</f>
        <v>0</v>
      </c>
      <c r="J44" s="22">
        <f ca="1">+GETPIVOTDATA("XSR4",'suoirao (2016)'!$A$3,"MA_HT","ONT","MA_QH","HNK")</f>
        <v>0</v>
      </c>
      <c r="K44" s="22">
        <f ca="1">+GETPIVOTDATA("XSR4",'suoirao (2016)'!$A$3,"MA_HT","ONT","MA_QH","CLN")</f>
        <v>0</v>
      </c>
      <c r="L44" s="22">
        <f ca="1">+GETPIVOTDATA("XSR4",'suoirao (2016)'!$A$3,"MA_HT","ONT","MA_QH","RSX")</f>
        <v>0</v>
      </c>
      <c r="M44" s="22">
        <f ca="1">+GETPIVOTDATA("XSR4",'suoirao (2016)'!$A$3,"MA_HT","ONT","MA_QH","RPH")</f>
        <v>0</v>
      </c>
      <c r="N44" s="22">
        <f ca="1">+GETPIVOTDATA("XSR4",'suoirao (2016)'!$A$3,"MA_HT","ONT","MA_QH","RDD")</f>
        <v>0</v>
      </c>
      <c r="O44" s="22">
        <f ca="1">+GETPIVOTDATA("XSR4",'suoirao (2016)'!$A$3,"MA_HT","ONT","MA_QH","NTS")</f>
        <v>0</v>
      </c>
      <c r="P44" s="22">
        <f ca="1">+GETPIVOTDATA("XSR4",'suoirao (2016)'!$A$3,"MA_HT","ONT","MA_QH","LMU")</f>
        <v>0</v>
      </c>
      <c r="Q44" s="22">
        <f ca="1">+GETPIVOTDATA("XSR4",'suoirao (2016)'!$A$3,"MA_HT","ONT","MA_QH","NKH")</f>
        <v>0</v>
      </c>
      <c r="R44" s="79">
        <f ca="1">SUM(S44:AA44,AN44:AP44,AR44:BD44)</f>
        <v>0</v>
      </c>
      <c r="S44" s="22">
        <f ca="1">+GETPIVOTDATA("XSR4",'suoirao (2016)'!$A$3,"MA_HT","ONT","MA_QH","CQP")</f>
        <v>0</v>
      </c>
      <c r="T44" s="22">
        <f ca="1">+GETPIVOTDATA("XSR4",'suoirao (2016)'!$A$3,"MA_HT","ONT","MA_QH","CAN")</f>
        <v>0</v>
      </c>
      <c r="U44" s="22">
        <f ca="1">+GETPIVOTDATA("XSR4",'suoirao (2016)'!$A$3,"MA_HT","ONT","MA_QH","SKK")</f>
        <v>0</v>
      </c>
      <c r="V44" s="22">
        <f ca="1">+GETPIVOTDATA("XSR4",'suoirao (2016)'!$A$3,"MA_HT","ONT","MA_QH","SKT")</f>
        <v>0</v>
      </c>
      <c r="W44" s="22">
        <f ca="1">+GETPIVOTDATA("XSR4",'suoirao (2016)'!$A$3,"MA_HT","ONT","MA_QH","SKN")</f>
        <v>0</v>
      </c>
      <c r="X44" s="22">
        <f ca="1">+GETPIVOTDATA("XSR4",'suoirao (2016)'!$A$3,"MA_HT","ONT","MA_QH","TMD")</f>
        <v>0</v>
      </c>
      <c r="Y44" s="22">
        <f ca="1">+GETPIVOTDATA("XSR4",'suoirao (2016)'!$A$3,"MA_HT","ONT","MA_QH","SKC")</f>
        <v>0</v>
      </c>
      <c r="Z44" s="22">
        <f ca="1">+GETPIVOTDATA("XSR4",'suoirao (2016)'!$A$3,"MA_HT","ONT","MA_QH","SKS")</f>
        <v>0</v>
      </c>
      <c r="AA44" s="52">
        <f ca="1" t="shared" si="21"/>
        <v>0</v>
      </c>
      <c r="AB44" s="22">
        <f ca="1">+GETPIVOTDATA("XSR4",'suoirao (2016)'!$A$3,"MA_HT","ONT","MA_QH","DGT")</f>
        <v>0</v>
      </c>
      <c r="AC44" s="22">
        <f ca="1">+GETPIVOTDATA("XSR4",'suoirao (2016)'!$A$3,"MA_HT","ONT","MA_QH","DTL")</f>
        <v>0</v>
      </c>
      <c r="AD44" s="22">
        <f ca="1">+GETPIVOTDATA("XSR4",'suoirao (2016)'!$A$3,"MA_HT","ONT","MA_QH","DNL")</f>
        <v>0</v>
      </c>
      <c r="AE44" s="22">
        <f ca="1">+GETPIVOTDATA("XSR4",'suoirao (2016)'!$A$3,"MA_HT","ONT","MA_QH","DBV")</f>
        <v>0</v>
      </c>
      <c r="AF44" s="22">
        <f ca="1">+GETPIVOTDATA("XSR4",'suoirao (2016)'!$A$3,"MA_HT","ONT","MA_QH","DVH")</f>
        <v>0</v>
      </c>
      <c r="AG44" s="22">
        <f ca="1">+GETPIVOTDATA("XSR4",'suoirao (2016)'!$A$3,"MA_HT","ONT","MA_QH","DYT")</f>
        <v>0</v>
      </c>
      <c r="AH44" s="22">
        <f ca="1">+GETPIVOTDATA("XSR4",'suoirao (2016)'!$A$3,"MA_HT","ONT","MA_QH","DGD")</f>
        <v>0</v>
      </c>
      <c r="AI44" s="22">
        <f ca="1">+GETPIVOTDATA("XSR4",'suoirao (2016)'!$A$3,"MA_HT","ONT","MA_QH","DTT")</f>
        <v>0</v>
      </c>
      <c r="AJ44" s="22">
        <f ca="1">+GETPIVOTDATA("XSR4",'suoirao (2016)'!$A$3,"MA_HT","ONT","MA_QH","NCK")</f>
        <v>0</v>
      </c>
      <c r="AK44" s="22">
        <f ca="1">+GETPIVOTDATA("XSR4",'suoirao (2016)'!$A$3,"MA_HT","ONT","MA_QH","DXH")</f>
        <v>0</v>
      </c>
      <c r="AL44" s="22">
        <f ca="1">+GETPIVOTDATA("XSR4",'suoirao (2016)'!$A$3,"MA_HT","ONT","MA_QH","DCH")</f>
        <v>0</v>
      </c>
      <c r="AM44" s="22">
        <f ca="1">+GETPIVOTDATA("XSR4",'suoirao (2016)'!$A$3,"MA_HT","ONT","MA_QH","DKG")</f>
        <v>0</v>
      </c>
      <c r="AN44" s="22">
        <f ca="1">+GETPIVOTDATA("XSR4",'suoirao (2016)'!$A$3,"MA_HT","ONT","MA_QH","DDT")</f>
        <v>0</v>
      </c>
      <c r="AO44" s="22">
        <f ca="1">+GETPIVOTDATA("XSR4",'suoirao (2016)'!$A$3,"MA_HT","ONT","MA_QH","DDL")</f>
        <v>0</v>
      </c>
      <c r="AP44" s="22">
        <f ca="1">+GETPIVOTDATA("XSR4",'suoirao (2016)'!$A$3,"MA_HT","ONT","MA_QH","DRA")</f>
        <v>0</v>
      </c>
      <c r="AQ44" s="43" t="e">
        <f ca="1">$D44-$BF44</f>
        <v>#REF!</v>
      </c>
      <c r="AR44" s="22">
        <f ca="1">+GETPIVOTDATA("XSR4",'suoirao (2016)'!$A$3,"MA_HT","ONT","MA_QH","ODT")</f>
        <v>0</v>
      </c>
      <c r="AS44" s="22">
        <f ca="1">+GETPIVOTDATA("XSR4",'suoirao (2016)'!$A$3,"MA_HT","ONT","MA_QH","TSC")</f>
        <v>0</v>
      </c>
      <c r="AT44" s="22">
        <f ca="1">+GETPIVOTDATA("XSR4",'suoirao (2016)'!$A$3,"MA_HT","ONT","MA_QH","DTS")</f>
        <v>0</v>
      </c>
      <c r="AU44" s="22">
        <f ca="1">+GETPIVOTDATA("XSR4",'suoirao (2016)'!$A$3,"MA_HT","ONT","MA_QH","DNG")</f>
        <v>0</v>
      </c>
      <c r="AV44" s="22">
        <f ca="1">+GETPIVOTDATA("XSR4",'suoirao (2016)'!$A$3,"MA_HT","ONT","MA_QH","TON")</f>
        <v>0</v>
      </c>
      <c r="AW44" s="22">
        <f ca="1">+GETPIVOTDATA("XSR4",'suoirao (2016)'!$A$3,"MA_HT","ONT","MA_QH","NTD")</f>
        <v>0</v>
      </c>
      <c r="AX44" s="22">
        <f ca="1">+GETPIVOTDATA("XSR4",'suoirao (2016)'!$A$3,"MA_HT","ONT","MA_QH","SKX")</f>
        <v>0</v>
      </c>
      <c r="AY44" s="22">
        <f ca="1">+GETPIVOTDATA("XSR4",'suoirao (2016)'!$A$3,"MA_HT","ONT","MA_QH","DSH")</f>
        <v>0</v>
      </c>
      <c r="AZ44" s="22">
        <f ca="1">+GETPIVOTDATA("XSR4",'suoirao (2016)'!$A$3,"MA_HT","ONT","MA_QH","DKV")</f>
        <v>0</v>
      </c>
      <c r="BA44" s="89">
        <f ca="1">+GETPIVOTDATA("XSR4",'suoirao (2016)'!$A$3,"MA_HT","ONT","MA_QH","TIN")</f>
        <v>0</v>
      </c>
      <c r="BB44" s="50">
        <f ca="1">+GETPIVOTDATA("XSR4",'suoirao (2016)'!$A$3,"MA_HT","ONT","MA_QH","SON")</f>
        <v>0</v>
      </c>
      <c r="BC44" s="50">
        <f ca="1">+GETPIVOTDATA("XSR4",'suoirao (2016)'!$A$3,"MA_HT","ONT","MA_QH","MNC")</f>
        <v>0</v>
      </c>
      <c r="BD44" s="22">
        <f ca="1">+GETPIVOTDATA("XSR4",'suoirao (2016)'!$A$3,"MA_HT","ONT","MA_QH","PNK")</f>
        <v>0</v>
      </c>
      <c r="BE44" s="71">
        <f ca="1">+GETPIVOTDATA("XSR4",'suoirao (2016)'!$A$3,"MA_HT","ONT","MA_QH","CSD")</f>
        <v>0</v>
      </c>
      <c r="BF44" s="74">
        <f ca="1" t="shared" si="13"/>
        <v>0</v>
      </c>
      <c r="BG44" s="101">
        <f ca="1">AQ$59-$BF44</f>
        <v>0</v>
      </c>
      <c r="BH44" s="41" t="e">
        <f ca="1" t="shared" si="14"/>
        <v>#REF!</v>
      </c>
      <c r="BI44" s="98"/>
      <c r="BJ44" s="107" t="e">
        <f>#REF!</f>
        <v>#REF!</v>
      </c>
      <c r="BK44" s="107" t="e">
        <f ca="1">BH44-BJ44</f>
        <v>#REF!</v>
      </c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</row>
    <row r="45" s="2" customFormat="1" ht="15.75" customHeight="1" spans="1:79">
      <c r="A45" s="61" t="s">
        <v>8408</v>
      </c>
      <c r="B45" s="62" t="s">
        <v>8409</v>
      </c>
      <c r="C45" s="63" t="s">
        <v>201</v>
      </c>
      <c r="D45" s="64" t="e">
        <f>+#REF!</f>
        <v>#REF!</v>
      </c>
      <c r="E45" s="65">
        <f ca="1" t="shared" si="15"/>
        <v>0</v>
      </c>
      <c r="F45" s="66">
        <f ca="1" t="shared" si="9"/>
        <v>0</v>
      </c>
      <c r="G45" s="67">
        <f ca="1">+GETPIVOTDATA("XSR4",'suoirao (2016)'!$A$3,"MA_HT","ODT","MA_QH","LUC")</f>
        <v>0</v>
      </c>
      <c r="H45" s="67">
        <f ca="1">+GETPIVOTDATA("XSR4",'suoirao (2016)'!$A$3,"MA_HT","ODT","MA_QH","LUK")</f>
        <v>0</v>
      </c>
      <c r="I45" s="67">
        <f ca="1">+GETPIVOTDATA("XSR4",'suoirao (2016)'!$A$3,"MA_HT","ODT","MA_QH","LUN")</f>
        <v>0</v>
      </c>
      <c r="J45" s="67">
        <f ca="1">+GETPIVOTDATA("XSR4",'suoirao (2016)'!$A$3,"MA_HT","ODT","MA_QH","HNK")</f>
        <v>0</v>
      </c>
      <c r="K45" s="67">
        <f ca="1">+GETPIVOTDATA("XSR4",'suoirao (2016)'!$A$3,"MA_HT","ODT","MA_QH","CLN")</f>
        <v>0</v>
      </c>
      <c r="L45" s="67">
        <f ca="1">+GETPIVOTDATA("XSR4",'suoirao (2016)'!$A$3,"MA_HT","ODT","MA_QH","RSX")</f>
        <v>0</v>
      </c>
      <c r="M45" s="67">
        <f ca="1">+GETPIVOTDATA("XSR4",'suoirao (2016)'!$A$3,"MA_HT","ODT","MA_QH","RPH")</f>
        <v>0</v>
      </c>
      <c r="N45" s="67">
        <f ca="1">+GETPIVOTDATA("XSR4",'suoirao (2016)'!$A$3,"MA_HT","ODT","MA_QH","RDD")</f>
        <v>0</v>
      </c>
      <c r="O45" s="67">
        <f ca="1">+GETPIVOTDATA("XSR4",'suoirao (2016)'!$A$3,"MA_HT","ODT","MA_QH","NTS")</f>
        <v>0</v>
      </c>
      <c r="P45" s="67">
        <f ca="1">+GETPIVOTDATA("XSR4",'suoirao (2016)'!$A$3,"MA_HT","ODT","MA_QH","LMU")</f>
        <v>0</v>
      </c>
      <c r="Q45" s="67">
        <f ca="1">+GETPIVOTDATA("XSR4",'suoirao (2016)'!$A$3,"MA_HT","ODT","MA_QH","NKH")</f>
        <v>0</v>
      </c>
      <c r="R45" s="79">
        <f ca="1">SUM(S45:AA45,AN45:AQ45,AS45:BD45)</f>
        <v>0</v>
      </c>
      <c r="S45" s="67">
        <f ca="1">+GETPIVOTDATA("XSR4",'suoirao (2016)'!$A$3,"MA_HT","ODT","MA_QH","CQP")</f>
        <v>0</v>
      </c>
      <c r="T45" s="67">
        <f ca="1">+GETPIVOTDATA("XSR4",'suoirao (2016)'!$A$3,"MA_HT","ODT","MA_QH","CAN")</f>
        <v>0</v>
      </c>
      <c r="U45" s="67">
        <f ca="1">+GETPIVOTDATA("XSR4",'suoirao (2016)'!$A$3,"MA_HT","ODT","MA_QH","SKK")</f>
        <v>0</v>
      </c>
      <c r="V45" s="67">
        <f ca="1">+GETPIVOTDATA("XSR4",'suoirao (2016)'!$A$3,"MA_HT","ODT","MA_QH","SKT")</f>
        <v>0</v>
      </c>
      <c r="W45" s="67">
        <f ca="1">+GETPIVOTDATA("XSR4",'suoirao (2016)'!$A$3,"MA_HT","ODT","MA_QH","SKN")</f>
        <v>0</v>
      </c>
      <c r="X45" s="67">
        <f ca="1">+GETPIVOTDATA("XSR4",'suoirao (2016)'!$A$3,"MA_HT","ODT","MA_QH","TMD")</f>
        <v>0</v>
      </c>
      <c r="Y45" s="67">
        <f ca="1">+GETPIVOTDATA("XSR4",'suoirao (2016)'!$A$3,"MA_HT","ODT","MA_QH","SKC")</f>
        <v>0</v>
      </c>
      <c r="Z45" s="67">
        <f ca="1">+GETPIVOTDATA("XSR4",'suoirao (2016)'!$A$3,"MA_HT","ODT","MA_QH","SKS")</f>
        <v>0</v>
      </c>
      <c r="AA45" s="66">
        <f ca="1" t="shared" si="21"/>
        <v>0</v>
      </c>
      <c r="AB45" s="67">
        <f ca="1">+GETPIVOTDATA("XSR4",'suoirao (2016)'!$A$3,"MA_HT","ODT","MA_QH","DGT")</f>
        <v>0</v>
      </c>
      <c r="AC45" s="67">
        <f ca="1">+GETPIVOTDATA("XSR4",'suoirao (2016)'!$A$3,"MA_HT","ODT","MA_QH","DTL")</f>
        <v>0</v>
      </c>
      <c r="AD45" s="67">
        <f ca="1">+GETPIVOTDATA("XSR4",'suoirao (2016)'!$A$3,"MA_HT","ODT","MA_QH","DNL")</f>
        <v>0</v>
      </c>
      <c r="AE45" s="67">
        <f ca="1">+GETPIVOTDATA("XSR4",'suoirao (2016)'!$A$3,"MA_HT","ODT","MA_QH","DBV")</f>
        <v>0</v>
      </c>
      <c r="AF45" s="67">
        <f ca="1">+GETPIVOTDATA("XSR4",'suoirao (2016)'!$A$3,"MA_HT","ODT","MA_QH","DVH")</f>
        <v>0</v>
      </c>
      <c r="AG45" s="67">
        <f ca="1">+GETPIVOTDATA("XSR4",'suoirao (2016)'!$A$3,"MA_HT","ODT","MA_QH","DYT")</f>
        <v>0</v>
      </c>
      <c r="AH45" s="67">
        <f ca="1">+GETPIVOTDATA("XSR4",'suoirao (2016)'!$A$3,"MA_HT","ODT","MA_QH","DGD")</f>
        <v>0</v>
      </c>
      <c r="AI45" s="67">
        <f ca="1">+GETPIVOTDATA("XSR4",'suoirao (2016)'!$A$3,"MA_HT","ODT","MA_QH","DTT")</f>
        <v>0</v>
      </c>
      <c r="AJ45" s="67">
        <f ca="1">+GETPIVOTDATA("XSR4",'suoirao (2016)'!$A$3,"MA_HT","ODT","MA_QH","NCK")</f>
        <v>0</v>
      </c>
      <c r="AK45" s="67">
        <f ca="1">+GETPIVOTDATA("XSR4",'suoirao (2016)'!$A$3,"MA_HT","ODT","MA_QH","DXH")</f>
        <v>0</v>
      </c>
      <c r="AL45" s="67">
        <f ca="1">+GETPIVOTDATA("XSR4",'suoirao (2016)'!$A$3,"MA_HT","ODT","MA_QH","DCH")</f>
        <v>0</v>
      </c>
      <c r="AM45" s="67">
        <f ca="1">+GETPIVOTDATA("XSR4",'suoirao (2016)'!$A$3,"MA_HT","ODT","MA_QH","DKG")</f>
        <v>0</v>
      </c>
      <c r="AN45" s="67">
        <f ca="1">+GETPIVOTDATA("XSR4",'suoirao (2016)'!$A$3,"MA_HT","ODT","MA_QH","DDT")</f>
        <v>0</v>
      </c>
      <c r="AO45" s="67">
        <f ca="1">+GETPIVOTDATA("XSR4",'suoirao (2016)'!$A$3,"MA_HT","ODT","MA_QH","DDL")</f>
        <v>0</v>
      </c>
      <c r="AP45" s="67">
        <f ca="1">+GETPIVOTDATA("XSR4",'suoirao (2016)'!$A$3,"MA_HT","ODT","MA_QH","DRA")</f>
        <v>0</v>
      </c>
      <c r="AQ45" s="67">
        <f ca="1">+GETPIVOTDATA("XSR4",'suoirao (2016)'!$A$3,"MA_HT","ODT","MA_QH","ONT")</f>
        <v>0</v>
      </c>
      <c r="AR45" s="82" t="e">
        <f ca="1">$D45-$BF45</f>
        <v>#REF!</v>
      </c>
      <c r="AS45" s="67">
        <f ca="1">+GETPIVOTDATA("XSR4",'suoirao (2016)'!$A$3,"MA_HT","ODT","MA_QH","TSC")</f>
        <v>0</v>
      </c>
      <c r="AT45" s="67">
        <f ca="1">+GETPIVOTDATA("XSR4",'suoirao (2016)'!$A$3,"MA_HT","ODT","MA_QH","DTS")</f>
        <v>0</v>
      </c>
      <c r="AU45" s="67">
        <f ca="1">+GETPIVOTDATA("XSR4",'suoirao (2016)'!$A$3,"MA_HT","ODT","MA_QH","DNG")</f>
        <v>0</v>
      </c>
      <c r="AV45" s="67">
        <f ca="1">+GETPIVOTDATA("XSR4",'suoirao (2016)'!$A$3,"MA_HT","ODT","MA_QH","TON")</f>
        <v>0</v>
      </c>
      <c r="AW45" s="67">
        <f ca="1">+GETPIVOTDATA("XSR4",'suoirao (2016)'!$A$3,"MA_HT","ODT","MA_QH","NTD")</f>
        <v>0</v>
      </c>
      <c r="AX45" s="67">
        <f ca="1">+GETPIVOTDATA("XSR4",'suoirao (2016)'!$A$3,"MA_HT","ODT","MA_QH","SKX")</f>
        <v>0</v>
      </c>
      <c r="AY45" s="67">
        <f ca="1">+GETPIVOTDATA("XSR4",'suoirao (2016)'!$A$3,"MA_HT","ODT","MA_QH","DSH")</f>
        <v>0</v>
      </c>
      <c r="AZ45" s="67">
        <f ca="1">+GETPIVOTDATA("XSR4",'suoirao (2016)'!$A$3,"MA_HT","ODT","MA_QH","DKV")</f>
        <v>0</v>
      </c>
      <c r="BA45" s="92">
        <f ca="1">+GETPIVOTDATA("XSR4",'suoirao (2016)'!$A$3,"MA_HT","ODT","MA_QH","TIN")</f>
        <v>0</v>
      </c>
      <c r="BB45" s="93">
        <f ca="1">+GETPIVOTDATA("XSR4",'suoirao (2016)'!$A$3,"MA_HT","ODT","MA_QH","SON")</f>
        <v>0</v>
      </c>
      <c r="BC45" s="93">
        <f ca="1">+GETPIVOTDATA("XSR4",'suoirao (2016)'!$A$3,"MA_HT","ODT","MA_QH","MNC")</f>
        <v>0</v>
      </c>
      <c r="BD45" s="67">
        <f ca="1">+GETPIVOTDATA("XSR4",'suoirao (2016)'!$A$3,"MA_HT","ODT","MA_QH","PNK")</f>
        <v>0</v>
      </c>
      <c r="BE45" s="116">
        <f ca="1">+GETPIVOTDATA("XSR4",'suoirao (2016)'!$A$3,"MA_HT","ODT","MA_QH","CSD")</f>
        <v>0</v>
      </c>
      <c r="BF45" s="117">
        <f ca="1" t="shared" si="13"/>
        <v>0</v>
      </c>
      <c r="BG45" s="118">
        <f ca="1">AR$59-$BF45</f>
        <v>0</v>
      </c>
      <c r="BH45" s="64" t="e">
        <f ca="1" t="shared" si="14"/>
        <v>#REF!</v>
      </c>
      <c r="BI45" s="98"/>
      <c r="BJ45" s="107" t="e">
        <f>#REF!</f>
        <v>#REF!</v>
      </c>
      <c r="BK45" s="107" t="e">
        <f ca="1">BH45-BJ45</f>
        <v>#REF!</v>
      </c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</row>
    <row r="46" s="6" customFormat="1" ht="15.75" customHeight="1" spans="1:79">
      <c r="A46" s="39" t="s">
        <v>8410</v>
      </c>
      <c r="B46" s="53" t="s">
        <v>8411</v>
      </c>
      <c r="C46" s="40" t="s">
        <v>336</v>
      </c>
      <c r="D46" s="41" t="e">
        <f>+#REF!</f>
        <v>#REF!</v>
      </c>
      <c r="E46" s="42">
        <f ca="1" t="shared" si="15"/>
        <v>0</v>
      </c>
      <c r="F46" s="52">
        <f ca="1" t="shared" si="9"/>
        <v>0</v>
      </c>
      <c r="G46" s="22">
        <f ca="1">+GETPIVOTDATA("XSR4",'suoirao (2016)'!$A$3,"MA_HT","TSC","MA_QH","LUC")</f>
        <v>0</v>
      </c>
      <c r="H46" s="22">
        <f ca="1">+GETPIVOTDATA("XSR4",'suoirao (2016)'!$A$3,"MA_HT","TSC","MA_QH","LUK")</f>
        <v>0</v>
      </c>
      <c r="I46" s="22">
        <f ca="1">+GETPIVOTDATA("XSR4",'suoirao (2016)'!$A$3,"MA_HT","TSC","MA_QH","LUN")</f>
        <v>0</v>
      </c>
      <c r="J46" s="22">
        <f ca="1">+GETPIVOTDATA("XSR4",'suoirao (2016)'!$A$3,"MA_HT","TSC","MA_QH","HNK")</f>
        <v>0</v>
      </c>
      <c r="K46" s="22">
        <f ca="1">+GETPIVOTDATA("XSR4",'suoirao (2016)'!$A$3,"MA_HT","TSC","MA_QH","CLN")</f>
        <v>0</v>
      </c>
      <c r="L46" s="22">
        <f ca="1">+GETPIVOTDATA("XSR4",'suoirao (2016)'!$A$3,"MA_HT","TSC","MA_QH","RSX")</f>
        <v>0</v>
      </c>
      <c r="M46" s="22">
        <f ca="1">+GETPIVOTDATA("XSR4",'suoirao (2016)'!$A$3,"MA_HT","TSC","MA_QH","RPH")</f>
        <v>0</v>
      </c>
      <c r="N46" s="22">
        <f ca="1">+GETPIVOTDATA("XSR4",'suoirao (2016)'!$A$3,"MA_HT","TSC","MA_QH","RDD")</f>
        <v>0</v>
      </c>
      <c r="O46" s="22">
        <f ca="1">+GETPIVOTDATA("XSR4",'suoirao (2016)'!$A$3,"MA_HT","TSC","MA_QH","NTS")</f>
        <v>0</v>
      </c>
      <c r="P46" s="22">
        <f ca="1">+GETPIVOTDATA("XSR4",'suoirao (2016)'!$A$3,"MA_HT","TSC","MA_QH","LMU")</f>
        <v>0</v>
      </c>
      <c r="Q46" s="22">
        <f ca="1">+GETPIVOTDATA("XSR4",'suoirao (2016)'!$A$3,"MA_HT","TSC","MA_QH","NKH")</f>
        <v>0</v>
      </c>
      <c r="R46" s="48">
        <f ca="1">SUM(S46:AA46,AN46:AR46,AT46:BD46)</f>
        <v>0</v>
      </c>
      <c r="S46" s="22">
        <f ca="1">+GETPIVOTDATA("XSR4",'suoirao (2016)'!$A$3,"MA_HT","TSC","MA_QH","CQP")</f>
        <v>0</v>
      </c>
      <c r="T46" s="22">
        <f ca="1">+GETPIVOTDATA("XSR4",'suoirao (2016)'!$A$3,"MA_HT","TSC","MA_QH","CAN")</f>
        <v>0</v>
      </c>
      <c r="U46" s="22">
        <f ca="1">+GETPIVOTDATA("XSR4",'suoirao (2016)'!$A$3,"MA_HT","TSC","MA_QH","SKK")</f>
        <v>0</v>
      </c>
      <c r="V46" s="22">
        <f ca="1">+GETPIVOTDATA("XSR4",'suoirao (2016)'!$A$3,"MA_HT","TSC","MA_QH","SKT")</f>
        <v>0</v>
      </c>
      <c r="W46" s="22">
        <f ca="1">+GETPIVOTDATA("XSR4",'suoirao (2016)'!$A$3,"MA_HT","TSC","MA_QH","SKN")</f>
        <v>0</v>
      </c>
      <c r="X46" s="22">
        <f ca="1">+GETPIVOTDATA("XSR4",'suoirao (2016)'!$A$3,"MA_HT","TSC","MA_QH","TMD")</f>
        <v>0</v>
      </c>
      <c r="Y46" s="22">
        <f ca="1">+GETPIVOTDATA("XSR4",'suoirao (2016)'!$A$3,"MA_HT","TSC","MA_QH","SKC")</f>
        <v>0</v>
      </c>
      <c r="Z46" s="22">
        <f ca="1">+GETPIVOTDATA("XSR4",'suoirao (2016)'!$A$3,"MA_HT","TSC","MA_QH","SKS")</f>
        <v>0</v>
      </c>
      <c r="AA46" s="52">
        <f ca="1" t="shared" si="21"/>
        <v>0</v>
      </c>
      <c r="AB46" s="22">
        <f ca="1">+GETPIVOTDATA("XSR4",'suoirao (2016)'!$A$3,"MA_HT","TSC","MA_QH","DGT")</f>
        <v>0</v>
      </c>
      <c r="AC46" s="22">
        <f ca="1">+GETPIVOTDATA("XSR4",'suoirao (2016)'!$A$3,"MA_HT","TSC","MA_QH","DTL")</f>
        <v>0</v>
      </c>
      <c r="AD46" s="22">
        <f ca="1">+GETPIVOTDATA("XSR4",'suoirao (2016)'!$A$3,"MA_HT","TSC","MA_QH","DNL")</f>
        <v>0</v>
      </c>
      <c r="AE46" s="22">
        <f ca="1">+GETPIVOTDATA("XSR4",'suoirao (2016)'!$A$3,"MA_HT","TSC","MA_QH","DBV")</f>
        <v>0</v>
      </c>
      <c r="AF46" s="22">
        <f ca="1">+GETPIVOTDATA("XSR4",'suoirao (2016)'!$A$3,"MA_HT","TSC","MA_QH","DVH")</f>
        <v>0</v>
      </c>
      <c r="AG46" s="22">
        <f ca="1">+GETPIVOTDATA("XSR4",'suoirao (2016)'!$A$3,"MA_HT","TSC","MA_QH","DYT")</f>
        <v>0</v>
      </c>
      <c r="AH46" s="22">
        <f ca="1">+GETPIVOTDATA("XSR4",'suoirao (2016)'!$A$3,"MA_HT","TSC","MA_QH","DGD")</f>
        <v>0</v>
      </c>
      <c r="AI46" s="22">
        <f ca="1">+GETPIVOTDATA("XSR4",'suoirao (2016)'!$A$3,"MA_HT","TSC","MA_QH","DTT")</f>
        <v>0</v>
      </c>
      <c r="AJ46" s="22">
        <f ca="1">+GETPIVOTDATA("XSR4",'suoirao (2016)'!$A$3,"MA_HT","TSC","MA_QH","NCK")</f>
        <v>0</v>
      </c>
      <c r="AK46" s="22">
        <f ca="1">+GETPIVOTDATA("XSR4",'suoirao (2016)'!$A$3,"MA_HT","TSC","MA_QH","DXH")</f>
        <v>0</v>
      </c>
      <c r="AL46" s="22">
        <f ca="1">+GETPIVOTDATA("XSR4",'suoirao (2016)'!$A$3,"MA_HT","TSC","MA_QH","DCH")</f>
        <v>0</v>
      </c>
      <c r="AM46" s="22">
        <f ca="1">+GETPIVOTDATA("XSR4",'suoirao (2016)'!$A$3,"MA_HT","TSC","MA_QH","DKG")</f>
        <v>0</v>
      </c>
      <c r="AN46" s="22">
        <f ca="1">+GETPIVOTDATA("XSR4",'suoirao (2016)'!$A$3,"MA_HT","TSC","MA_QH","DDT")</f>
        <v>0</v>
      </c>
      <c r="AO46" s="22">
        <f ca="1">+GETPIVOTDATA("XSR4",'suoirao (2016)'!$A$3,"MA_HT","TSC","MA_QH","DDL")</f>
        <v>0</v>
      </c>
      <c r="AP46" s="22">
        <f ca="1">+GETPIVOTDATA("XSR4",'suoirao (2016)'!$A$3,"MA_HT","TSC","MA_QH","DRA")</f>
        <v>0</v>
      </c>
      <c r="AQ46" s="22">
        <f ca="1">+GETPIVOTDATA("XSR4",'suoirao (2016)'!$A$3,"MA_HT","TSC","MA_QH","ONT")</f>
        <v>0</v>
      </c>
      <c r="AR46" s="22">
        <f ca="1">+GETPIVOTDATA("XSR4",'suoirao (2016)'!$A$3,"MA_HT","TSC","MA_QH","ODT")</f>
        <v>0</v>
      </c>
      <c r="AS46" s="43" t="e">
        <f ca="1">$D46-$BF46</f>
        <v>#REF!</v>
      </c>
      <c r="AT46" s="22">
        <f ca="1">+GETPIVOTDATA("XSR4",'suoirao (2016)'!$A$3,"MA_HT","TSC","MA_QH","DTS")</f>
        <v>0</v>
      </c>
      <c r="AU46" s="22">
        <f ca="1">+GETPIVOTDATA("XSR4",'suoirao (2016)'!$A$3,"MA_HT","TSC","MA_QH","DNG")</f>
        <v>0</v>
      </c>
      <c r="AV46" s="22">
        <f ca="1">+GETPIVOTDATA("XSR4",'suoirao (2016)'!$A$3,"MA_HT","TSC","MA_QH","TON")</f>
        <v>0</v>
      </c>
      <c r="AW46" s="22">
        <f ca="1">+GETPIVOTDATA("XSR4",'suoirao (2016)'!$A$3,"MA_HT","TSC","MA_QH","NTD")</f>
        <v>0</v>
      </c>
      <c r="AX46" s="22">
        <f ca="1">+GETPIVOTDATA("XSR4",'suoirao (2016)'!$A$3,"MA_HT","TSC","MA_QH","SKX")</f>
        <v>0</v>
      </c>
      <c r="AY46" s="22">
        <f ca="1">+GETPIVOTDATA("XSR4",'suoirao (2016)'!$A$3,"MA_HT","TSC","MA_QH","DSH")</f>
        <v>0</v>
      </c>
      <c r="AZ46" s="22">
        <f ca="1">+GETPIVOTDATA("XSR4",'suoirao (2016)'!$A$3,"MA_HT","TSC","MA_QH","DKV")</f>
        <v>0</v>
      </c>
      <c r="BA46" s="89">
        <f ca="1">+GETPIVOTDATA("XSR4",'suoirao (2016)'!$A$3,"MA_HT","TSC","MA_QH","TIN")</f>
        <v>0</v>
      </c>
      <c r="BB46" s="50">
        <f ca="1">+GETPIVOTDATA("XSR4",'suoirao (2016)'!$A$3,"MA_HT","TSC","MA_QH","SON")</f>
        <v>0</v>
      </c>
      <c r="BC46" s="50">
        <f ca="1">+GETPIVOTDATA("XSR4",'suoirao (2016)'!$A$3,"MA_HT","TSC","MA_QH","MNC")</f>
        <v>0</v>
      </c>
      <c r="BD46" s="22">
        <f ca="1">+GETPIVOTDATA("XSR4",'suoirao (2016)'!$A$3,"MA_HT","TSC","MA_QH","PNK")</f>
        <v>0</v>
      </c>
      <c r="BE46" s="71">
        <f ca="1">+GETPIVOTDATA("XSR4",'suoirao (2016)'!$A$3,"MA_HT","TSC","MA_QH","CSD")</f>
        <v>0</v>
      </c>
      <c r="BF46" s="74">
        <f ca="1" t="shared" si="13"/>
        <v>0</v>
      </c>
      <c r="BG46" s="101">
        <f ca="1">AS$59-$BF46</f>
        <v>0</v>
      </c>
      <c r="BH46" s="41" t="e">
        <f ca="1" t="shared" si="14"/>
        <v>#REF!</v>
      </c>
      <c r="BI46" s="114"/>
      <c r="BJ46" s="114" t="e">
        <f>#REF!</f>
        <v>#REF!</v>
      </c>
      <c r="BK46" s="115" t="e">
        <f ca="1">BH46-BJ46</f>
        <v>#REF!</v>
      </c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</row>
    <row r="47" s="2" customFormat="1" ht="15.75" customHeight="1" spans="1:79">
      <c r="A47" s="54" t="s">
        <v>8412</v>
      </c>
      <c r="B47" s="55" t="s">
        <v>8413</v>
      </c>
      <c r="C47" s="56" t="s">
        <v>8293</v>
      </c>
      <c r="D47" s="57" t="e">
        <f>+#REF!</f>
        <v>#REF!</v>
      </c>
      <c r="E47" s="58">
        <f ca="1" t="shared" si="15"/>
        <v>0</v>
      </c>
      <c r="F47" s="59">
        <f ca="1" t="shared" si="9"/>
        <v>0</v>
      </c>
      <c r="G47" s="60">
        <f ca="1">+GETPIVOTDATA("XSR4",'suoirao (2016)'!$A$3,"MA_HT","DTS","MA_QH","LUC")</f>
        <v>0</v>
      </c>
      <c r="H47" s="60">
        <f ca="1">+GETPIVOTDATA("XSR4",'suoirao (2016)'!$A$3,"MA_HT","DTS","MA_QH","LUK")</f>
        <v>0</v>
      </c>
      <c r="I47" s="60">
        <f ca="1">+GETPIVOTDATA("XSR4",'suoirao (2016)'!$A$3,"MA_HT","DTS","MA_QH","LUN")</f>
        <v>0</v>
      </c>
      <c r="J47" s="60">
        <f ca="1">+GETPIVOTDATA("XSR4",'suoirao (2016)'!$A$3,"MA_HT","DTS","MA_QH","HNK")</f>
        <v>0</v>
      </c>
      <c r="K47" s="60">
        <f ca="1">+GETPIVOTDATA("XSR4",'suoirao (2016)'!$A$3,"MA_HT","DTS","MA_QH","CLN")</f>
        <v>0</v>
      </c>
      <c r="L47" s="60">
        <f ca="1">+GETPIVOTDATA("XSR4",'suoirao (2016)'!$A$3,"MA_HT","DTS","MA_QH","RSX")</f>
        <v>0</v>
      </c>
      <c r="M47" s="60">
        <f ca="1">+GETPIVOTDATA("XSR4",'suoirao (2016)'!$A$3,"MA_HT","DTS","MA_QH","RPH")</f>
        <v>0</v>
      </c>
      <c r="N47" s="60">
        <f ca="1">+GETPIVOTDATA("XSR4",'suoirao (2016)'!$A$3,"MA_HT","DTS","MA_QH","RDD")</f>
        <v>0</v>
      </c>
      <c r="O47" s="60">
        <f ca="1">+GETPIVOTDATA("XSR4",'suoirao (2016)'!$A$3,"MA_HT","DTS","MA_QH","NTS")</f>
        <v>0</v>
      </c>
      <c r="P47" s="60">
        <f ca="1">+GETPIVOTDATA("XSR4",'suoirao (2016)'!$A$3,"MA_HT","DTS","MA_QH","LMU")</f>
        <v>0</v>
      </c>
      <c r="Q47" s="60">
        <f ca="1">+GETPIVOTDATA("XSR4",'suoirao (2016)'!$A$3,"MA_HT","DTS","MA_QH","NKH")</f>
        <v>0</v>
      </c>
      <c r="R47" s="78">
        <f ca="1">SUM(S47:AA47,AN47:AS47,AU47:BD47)</f>
        <v>0</v>
      </c>
      <c r="S47" s="60">
        <f ca="1">+GETPIVOTDATA("XSR4",'suoirao (2016)'!$A$3,"MA_HT","DTS","MA_QH","CQP")</f>
        <v>0</v>
      </c>
      <c r="T47" s="60">
        <f ca="1">+GETPIVOTDATA("XSR4",'suoirao (2016)'!$A$3,"MA_HT","DTS","MA_QH","CAN")</f>
        <v>0</v>
      </c>
      <c r="U47" s="60">
        <f ca="1">+GETPIVOTDATA("XSR4",'suoirao (2016)'!$A$3,"MA_HT","DTS","MA_QH","SKK")</f>
        <v>0</v>
      </c>
      <c r="V47" s="60">
        <f ca="1">+GETPIVOTDATA("XSR4",'suoirao (2016)'!$A$3,"MA_HT","DTS","MA_QH","SKT")</f>
        <v>0</v>
      </c>
      <c r="W47" s="60">
        <f ca="1">+GETPIVOTDATA("XSR4",'suoirao (2016)'!$A$3,"MA_HT","DTS","MA_QH","SKN")</f>
        <v>0</v>
      </c>
      <c r="X47" s="60">
        <f ca="1">+GETPIVOTDATA("XSR4",'suoirao (2016)'!$A$3,"MA_HT","DTS","MA_QH","TMD")</f>
        <v>0</v>
      </c>
      <c r="Y47" s="60">
        <f ca="1">+GETPIVOTDATA("XSR4",'suoirao (2016)'!$A$3,"MA_HT","DTS","MA_QH","SKC")</f>
        <v>0</v>
      </c>
      <c r="Z47" s="60">
        <f ca="1">+GETPIVOTDATA("XSR4",'suoirao (2016)'!$A$3,"MA_HT","DTS","MA_QH","SKS")</f>
        <v>0</v>
      </c>
      <c r="AA47" s="59">
        <f ca="1" t="shared" si="21"/>
        <v>0</v>
      </c>
      <c r="AB47" s="60">
        <f ca="1">+GETPIVOTDATA("XSR4",'suoirao (2016)'!$A$3,"MA_HT","DTS","MA_QH","DGT")</f>
        <v>0</v>
      </c>
      <c r="AC47" s="60">
        <f ca="1">+GETPIVOTDATA("XSR4",'suoirao (2016)'!$A$3,"MA_HT","DTS","MA_QH","DTL")</f>
        <v>0</v>
      </c>
      <c r="AD47" s="60">
        <f ca="1">+GETPIVOTDATA("XSR4",'suoirao (2016)'!$A$3,"MA_HT","DTS","MA_QH","DNL")</f>
        <v>0</v>
      </c>
      <c r="AE47" s="60">
        <f ca="1">+GETPIVOTDATA("XSR4",'suoirao (2016)'!$A$3,"MA_HT","DTS","MA_QH","DBV")</f>
        <v>0</v>
      </c>
      <c r="AF47" s="60">
        <f ca="1">+GETPIVOTDATA("XSR4",'suoirao (2016)'!$A$3,"MA_HT","DTS","MA_QH","DVH")</f>
        <v>0</v>
      </c>
      <c r="AG47" s="60">
        <f ca="1">+GETPIVOTDATA("XSR4",'suoirao (2016)'!$A$3,"MA_HT","DTS","MA_QH","DYT")</f>
        <v>0</v>
      </c>
      <c r="AH47" s="60">
        <f ca="1">+GETPIVOTDATA("XSR4",'suoirao (2016)'!$A$3,"MA_HT","DTS","MA_QH","DGD")</f>
        <v>0</v>
      </c>
      <c r="AI47" s="60">
        <f ca="1">+GETPIVOTDATA("XSR4",'suoirao (2016)'!$A$3,"MA_HT","DTS","MA_QH","DTT")</f>
        <v>0</v>
      </c>
      <c r="AJ47" s="60">
        <f ca="1">+GETPIVOTDATA("XSR4",'suoirao (2016)'!$A$3,"MA_HT","DTS","MA_QH","NCK")</f>
        <v>0</v>
      </c>
      <c r="AK47" s="60">
        <f ca="1">+GETPIVOTDATA("XSR4",'suoirao (2016)'!$A$3,"MA_HT","DTS","MA_QH","DXH")</f>
        <v>0</v>
      </c>
      <c r="AL47" s="60">
        <f ca="1">+GETPIVOTDATA("XSR4",'suoirao (2016)'!$A$3,"MA_HT","DTS","MA_QH","DCH")</f>
        <v>0</v>
      </c>
      <c r="AM47" s="60">
        <f ca="1">+GETPIVOTDATA("XSR4",'suoirao (2016)'!$A$3,"MA_HT","DTS","MA_QH","DKG")</f>
        <v>0</v>
      </c>
      <c r="AN47" s="60">
        <f ca="1">+GETPIVOTDATA("XSR4",'suoirao (2016)'!$A$3,"MA_HT","DTS","MA_QH","DDT")</f>
        <v>0</v>
      </c>
      <c r="AO47" s="60">
        <f ca="1">+GETPIVOTDATA("XSR4",'suoirao (2016)'!$A$3,"MA_HT","DTS","MA_QH","DDL")</f>
        <v>0</v>
      </c>
      <c r="AP47" s="60">
        <f ca="1">+GETPIVOTDATA("XSR4",'suoirao (2016)'!$A$3,"MA_HT","DTS","MA_QH","DRA")</f>
        <v>0</v>
      </c>
      <c r="AQ47" s="60">
        <f ca="1">+GETPIVOTDATA("XSR4",'suoirao (2016)'!$A$3,"MA_HT","DTS","MA_QH","ONT")</f>
        <v>0</v>
      </c>
      <c r="AR47" s="60">
        <f ca="1">+GETPIVOTDATA("XSR4",'suoirao (2016)'!$A$3,"MA_HT","DTS","MA_QH","ODT")</f>
        <v>0</v>
      </c>
      <c r="AS47" s="60">
        <f ca="1">+GETPIVOTDATA("XSR4",'suoirao (2016)'!$A$3,"MA_HT","DTS","MA_QH","TSC")</f>
        <v>0</v>
      </c>
      <c r="AT47" s="81" t="e">
        <f ca="1">$D47-$BF47</f>
        <v>#REF!</v>
      </c>
      <c r="AU47" s="60">
        <f ca="1">+GETPIVOTDATA("XSR4",'suoirao (2016)'!$A$3,"MA_HT","DTS","MA_QH","DNG")</f>
        <v>0</v>
      </c>
      <c r="AV47" s="60">
        <f ca="1">+GETPIVOTDATA("XSR4",'suoirao (2016)'!$A$3,"MA_HT","DTS","MA_QH","TON")</f>
        <v>0</v>
      </c>
      <c r="AW47" s="60">
        <f ca="1">+GETPIVOTDATA("XSR4",'suoirao (2016)'!$A$3,"MA_HT","DTS","MA_QH","NTD")</f>
        <v>0</v>
      </c>
      <c r="AX47" s="60">
        <f ca="1">+GETPIVOTDATA("XSR4",'suoirao (2016)'!$A$3,"MA_HT","DTS","MA_QH","SKX")</f>
        <v>0</v>
      </c>
      <c r="AY47" s="60">
        <f ca="1">+GETPIVOTDATA("XSR4",'suoirao (2016)'!$A$3,"MA_HT","DTS","MA_QH","DSH")</f>
        <v>0</v>
      </c>
      <c r="AZ47" s="60">
        <f ca="1">+GETPIVOTDATA("XSR4",'suoirao (2016)'!$A$3,"MA_HT","DTS","MA_QH","DKV")</f>
        <v>0</v>
      </c>
      <c r="BA47" s="90">
        <f ca="1">+GETPIVOTDATA("XSR4",'suoirao (2016)'!$A$3,"MA_HT","DTS","MA_QH","TIN")</f>
        <v>0</v>
      </c>
      <c r="BB47" s="91">
        <f ca="1">+GETPIVOTDATA("XSR4",'suoirao (2016)'!$A$3,"MA_HT","DTS","MA_QH","SON")</f>
        <v>0</v>
      </c>
      <c r="BC47" s="91">
        <f ca="1">+GETPIVOTDATA("XSR4",'suoirao (2016)'!$A$3,"MA_HT","DTS","MA_QH","MNC")</f>
        <v>0</v>
      </c>
      <c r="BD47" s="60">
        <f ca="1">+GETPIVOTDATA("XSR4",'suoirao (2016)'!$A$3,"MA_HT","DTS","MA_QH","PNK")</f>
        <v>0</v>
      </c>
      <c r="BE47" s="111">
        <f ca="1">+GETPIVOTDATA("XSR4",'suoirao (2016)'!$A$3,"MA_HT","DTS","MA_QH","CSD")</f>
        <v>0</v>
      </c>
      <c r="BF47" s="112">
        <f ca="1" t="shared" si="13"/>
        <v>0</v>
      </c>
      <c r="BG47" s="113">
        <f ca="1">AT$59-$BF47</f>
        <v>0</v>
      </c>
      <c r="BH47" s="57" t="e">
        <f ca="1" t="shared" si="14"/>
        <v>#REF!</v>
      </c>
      <c r="BI47" s="98"/>
      <c r="BJ47" s="98"/>
      <c r="BK47" s="107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</row>
    <row r="48" s="2" customFormat="1" ht="15.75" customHeight="1" spans="1:79">
      <c r="A48" s="39" t="s">
        <v>8414</v>
      </c>
      <c r="B48" s="53" t="s">
        <v>8415</v>
      </c>
      <c r="C48" s="40" t="s">
        <v>8290</v>
      </c>
      <c r="D48" s="41" t="e">
        <f>+#REF!</f>
        <v>#REF!</v>
      </c>
      <c r="E48" s="42">
        <f ca="1" t="shared" si="15"/>
        <v>0</v>
      </c>
      <c r="F48" s="52">
        <f ca="1" t="shared" si="9"/>
        <v>0</v>
      </c>
      <c r="G48" s="22">
        <f ca="1">+GETPIVOTDATA("XSR4",'suoirao (2016)'!$A$3,"MA_HT","DNG","MA_QH","LUC")</f>
        <v>0</v>
      </c>
      <c r="H48" s="22">
        <f ca="1">+GETPIVOTDATA("XSR4",'suoirao (2016)'!$A$3,"MA_HT","DNG","MA_QH","LUK")</f>
        <v>0</v>
      </c>
      <c r="I48" s="22">
        <f ca="1">+GETPIVOTDATA("XSR4",'suoirao (2016)'!$A$3,"MA_HT","DNG","MA_QH","LUN")</f>
        <v>0</v>
      </c>
      <c r="J48" s="22">
        <f ca="1">+GETPIVOTDATA("XSR4",'suoirao (2016)'!$A$3,"MA_HT","DNG","MA_QH","HNK")</f>
        <v>0</v>
      </c>
      <c r="K48" s="22">
        <f ca="1">+GETPIVOTDATA("XSR4",'suoirao (2016)'!$A$3,"MA_HT","DNG","MA_QH","CLN")</f>
        <v>0</v>
      </c>
      <c r="L48" s="22">
        <f ca="1">+GETPIVOTDATA("XSR4",'suoirao (2016)'!$A$3,"MA_HT","DNG","MA_QH","RSX")</f>
        <v>0</v>
      </c>
      <c r="M48" s="22">
        <f ca="1">+GETPIVOTDATA("XSR4",'suoirao (2016)'!$A$3,"MA_HT","DNG","MA_QH","RPH")</f>
        <v>0</v>
      </c>
      <c r="N48" s="22">
        <f ca="1">+GETPIVOTDATA("XSR4",'suoirao (2016)'!$A$3,"MA_HT","DNG","MA_QH","RDD")</f>
        <v>0</v>
      </c>
      <c r="O48" s="22">
        <f ca="1">+GETPIVOTDATA("XSR4",'suoirao (2016)'!$A$3,"MA_HT","DNG","MA_QH","NTS")</f>
        <v>0</v>
      </c>
      <c r="P48" s="22">
        <f ca="1">+GETPIVOTDATA("XSR4",'suoirao (2016)'!$A$3,"MA_HT","DNG","MA_QH","LMU")</f>
        <v>0</v>
      </c>
      <c r="Q48" s="22">
        <f ca="1">+GETPIVOTDATA("XSR4",'suoirao (2016)'!$A$3,"MA_HT","DNG","MA_QH","NKH")</f>
        <v>0</v>
      </c>
      <c r="R48" s="79">
        <f ca="1">SUM(S48:AA48,AN48:AT48,AV48:BD48)</f>
        <v>0</v>
      </c>
      <c r="S48" s="22">
        <f ca="1">+GETPIVOTDATA("XSR4",'suoirao (2016)'!$A$3,"MA_HT","DNG","MA_QH","CQP")</f>
        <v>0</v>
      </c>
      <c r="T48" s="22">
        <f ca="1">+GETPIVOTDATA("XSR4",'suoirao (2016)'!$A$3,"MA_HT","DNG","MA_QH","CAN")</f>
        <v>0</v>
      </c>
      <c r="U48" s="22">
        <f ca="1">+GETPIVOTDATA("XSR4",'suoirao (2016)'!$A$3,"MA_HT","DNG","MA_QH","SKK")</f>
        <v>0</v>
      </c>
      <c r="V48" s="22">
        <f ca="1">+GETPIVOTDATA("XSR4",'suoirao (2016)'!$A$3,"MA_HT","DNG","MA_QH","SKT")</f>
        <v>0</v>
      </c>
      <c r="W48" s="22">
        <f ca="1">+GETPIVOTDATA("XSR4",'suoirao (2016)'!$A$3,"MA_HT","DNG","MA_QH","SKN")</f>
        <v>0</v>
      </c>
      <c r="X48" s="22">
        <f ca="1">+GETPIVOTDATA("XSR4",'suoirao (2016)'!$A$3,"MA_HT","DNG","MA_QH","TMD")</f>
        <v>0</v>
      </c>
      <c r="Y48" s="22">
        <f ca="1">+GETPIVOTDATA("XSR4",'suoirao (2016)'!$A$3,"MA_HT","DNG","MA_QH","SKC")</f>
        <v>0</v>
      </c>
      <c r="Z48" s="22">
        <f ca="1">+GETPIVOTDATA("XSR4",'suoirao (2016)'!$A$3,"MA_HT","DNG","MA_QH","SKS")</f>
        <v>0</v>
      </c>
      <c r="AA48" s="52">
        <f ca="1" t="shared" si="21"/>
        <v>0</v>
      </c>
      <c r="AB48" s="22">
        <f ca="1">+GETPIVOTDATA("XSR4",'suoirao (2016)'!$A$3,"MA_HT","DNG","MA_QH","DGT")</f>
        <v>0</v>
      </c>
      <c r="AC48" s="22">
        <f ca="1">+GETPIVOTDATA("XSR4",'suoirao (2016)'!$A$3,"MA_HT","DNG","MA_QH","DTL")</f>
        <v>0</v>
      </c>
      <c r="AD48" s="22">
        <f ca="1">+GETPIVOTDATA("XSR4",'suoirao (2016)'!$A$3,"MA_HT","DNG","MA_QH","DNL")</f>
        <v>0</v>
      </c>
      <c r="AE48" s="22">
        <f ca="1">+GETPIVOTDATA("XSR4",'suoirao (2016)'!$A$3,"MA_HT","DNG","MA_QH","DBV")</f>
        <v>0</v>
      </c>
      <c r="AF48" s="22">
        <f ca="1">+GETPIVOTDATA("XSR4",'suoirao (2016)'!$A$3,"MA_HT","DNG","MA_QH","DVH")</f>
        <v>0</v>
      </c>
      <c r="AG48" s="22">
        <f ca="1">+GETPIVOTDATA("XSR4",'suoirao (2016)'!$A$3,"MA_HT","DNG","MA_QH","DYT")</f>
        <v>0</v>
      </c>
      <c r="AH48" s="22">
        <f ca="1">+GETPIVOTDATA("XSR4",'suoirao (2016)'!$A$3,"MA_HT","DNG","MA_QH","DGD")</f>
        <v>0</v>
      </c>
      <c r="AI48" s="22">
        <f ca="1">+GETPIVOTDATA("XSR4",'suoirao (2016)'!$A$3,"MA_HT","DNG","MA_QH","DTT")</f>
        <v>0</v>
      </c>
      <c r="AJ48" s="22">
        <f ca="1">+GETPIVOTDATA("XSR4",'suoirao (2016)'!$A$3,"MA_HT","DNG","MA_QH","NCK")</f>
        <v>0</v>
      </c>
      <c r="AK48" s="22">
        <f ca="1">+GETPIVOTDATA("XSR4",'suoirao (2016)'!$A$3,"MA_HT","DNG","MA_QH","DXH")</f>
        <v>0</v>
      </c>
      <c r="AL48" s="22">
        <f ca="1">+GETPIVOTDATA("XSR4",'suoirao (2016)'!$A$3,"MA_HT","DNG","MA_QH","DCH")</f>
        <v>0</v>
      </c>
      <c r="AM48" s="22">
        <f ca="1">+GETPIVOTDATA("XSR4",'suoirao (2016)'!$A$3,"MA_HT","DNG","MA_QH","DKG")</f>
        <v>0</v>
      </c>
      <c r="AN48" s="22">
        <f ca="1">+GETPIVOTDATA("XSR4",'suoirao (2016)'!$A$3,"MA_HT","DNG","MA_QH","DDT")</f>
        <v>0</v>
      </c>
      <c r="AO48" s="22">
        <f ca="1">+GETPIVOTDATA("XSR4",'suoirao (2016)'!$A$3,"MA_HT","DNG","MA_QH","DDL")</f>
        <v>0</v>
      </c>
      <c r="AP48" s="22">
        <f ca="1">+GETPIVOTDATA("XSR4",'suoirao (2016)'!$A$3,"MA_HT","DNG","MA_QH","DRA")</f>
        <v>0</v>
      </c>
      <c r="AQ48" s="22">
        <f ca="1">+GETPIVOTDATA("XSR4",'suoirao (2016)'!$A$3,"MA_HT","DNG","MA_QH","ONT")</f>
        <v>0</v>
      </c>
      <c r="AR48" s="22">
        <f ca="1">+GETPIVOTDATA("XSR4",'suoirao (2016)'!$A$3,"MA_HT","DNG","MA_QH","ODT")</f>
        <v>0</v>
      </c>
      <c r="AS48" s="22">
        <f ca="1">+GETPIVOTDATA("XSR4",'suoirao (2016)'!$A$3,"MA_HT","DNG","MA_QH","TSC")</f>
        <v>0</v>
      </c>
      <c r="AT48" s="22">
        <f ca="1">+GETPIVOTDATA("XSR4",'suoirao (2016)'!$A$3,"MA_HT","DNG","MA_QH","DTS")</f>
        <v>0</v>
      </c>
      <c r="AU48" s="43" t="e">
        <f ca="1">$D48-$BF48</f>
        <v>#REF!</v>
      </c>
      <c r="AV48" s="22">
        <f ca="1">+GETPIVOTDATA("XSR4",'suoirao (2016)'!$A$3,"MA_HT","DNG","MA_QH","TON")</f>
        <v>0</v>
      </c>
      <c r="AW48" s="22">
        <f ca="1">+GETPIVOTDATA("XSR4",'suoirao (2016)'!$A$3,"MA_HT","DNG","MA_QH","NTD")</f>
        <v>0</v>
      </c>
      <c r="AX48" s="22">
        <f ca="1">+GETPIVOTDATA("XSR4",'suoirao (2016)'!$A$3,"MA_HT","DNG","MA_QH","SKX")</f>
        <v>0</v>
      </c>
      <c r="AY48" s="22">
        <f ca="1">+GETPIVOTDATA("XSR4",'suoirao (2016)'!$A$3,"MA_HT","DNG","MA_QH","DSH")</f>
        <v>0</v>
      </c>
      <c r="AZ48" s="22">
        <f ca="1">+GETPIVOTDATA("XSR4",'suoirao (2016)'!$A$3,"MA_HT","DNG","MA_QH","DKV")</f>
        <v>0</v>
      </c>
      <c r="BA48" s="89">
        <f ca="1">+GETPIVOTDATA("XSR4",'suoirao (2016)'!$A$3,"MA_HT","DNG","MA_QH","TIN")</f>
        <v>0</v>
      </c>
      <c r="BB48" s="50">
        <f ca="1">+GETPIVOTDATA("XSR4",'suoirao (2016)'!$A$3,"MA_HT","DNG","MA_QH","SON")</f>
        <v>0</v>
      </c>
      <c r="BC48" s="50">
        <f ca="1">+GETPIVOTDATA("XSR4",'suoirao (2016)'!$A$3,"MA_HT","DNG","MA_QH","MNC")</f>
        <v>0</v>
      </c>
      <c r="BD48" s="22">
        <f ca="1">+GETPIVOTDATA("XSR4",'suoirao (2016)'!$A$3,"MA_HT","DNG","MA_QH","PNK")</f>
        <v>0</v>
      </c>
      <c r="BE48" s="71">
        <f ca="1">+GETPIVOTDATA("XSR4",'suoirao (2016)'!$A$3,"MA_HT","DNG","MA_QH","CSD")</f>
        <v>0</v>
      </c>
      <c r="BF48" s="74">
        <f ca="1" t="shared" si="13"/>
        <v>0</v>
      </c>
      <c r="BG48" s="101">
        <f ca="1">AU$59-$BF48</f>
        <v>0</v>
      </c>
      <c r="BH48" s="41" t="e">
        <f ca="1" t="shared" si="14"/>
        <v>#REF!</v>
      </c>
      <c r="BI48" s="98"/>
      <c r="BJ48" s="98" t="e">
        <f>#REF!</f>
        <v>#REF!</v>
      </c>
      <c r="BK48" s="107" t="e">
        <f ca="1">BH48-BJ48</f>
        <v>#REF!</v>
      </c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</row>
    <row r="49" s="2" customFormat="1" ht="15.75" customHeight="1" spans="1:79">
      <c r="A49" s="39" t="s">
        <v>8416</v>
      </c>
      <c r="B49" s="53" t="s">
        <v>8417</v>
      </c>
      <c r="C49" s="40" t="s">
        <v>324</v>
      </c>
      <c r="D49" s="41" t="e">
        <f>+#REF!</f>
        <v>#REF!</v>
      </c>
      <c r="E49" s="42">
        <f ca="1" t="shared" si="15"/>
        <v>0</v>
      </c>
      <c r="F49" s="52">
        <f ca="1" t="shared" si="9"/>
        <v>0</v>
      </c>
      <c r="G49" s="22">
        <f ca="1">+GETPIVOTDATA("XSR4",'suoirao (2016)'!$A$3,"MA_HT","TON","MA_QH","LUC")</f>
        <v>0</v>
      </c>
      <c r="H49" s="22">
        <f ca="1">+GETPIVOTDATA("XSR4",'suoirao (2016)'!$A$3,"MA_HT","TON","MA_QH","LUK")</f>
        <v>0</v>
      </c>
      <c r="I49" s="22">
        <f ca="1">+GETPIVOTDATA("XSR4",'suoirao (2016)'!$A$3,"MA_HT","TON","MA_QH","LUN")</f>
        <v>0</v>
      </c>
      <c r="J49" s="22">
        <f ca="1">+GETPIVOTDATA("XSR4",'suoirao (2016)'!$A$3,"MA_HT","TON","MA_QH","HNK")</f>
        <v>0</v>
      </c>
      <c r="K49" s="22">
        <f ca="1">+GETPIVOTDATA("XSR4",'suoirao (2016)'!$A$3,"MA_HT","TON","MA_QH","CLN")</f>
        <v>0</v>
      </c>
      <c r="L49" s="22">
        <f ca="1">+GETPIVOTDATA("XSR4",'suoirao (2016)'!$A$3,"MA_HT","TON","MA_QH","RSX")</f>
        <v>0</v>
      </c>
      <c r="M49" s="22">
        <f ca="1">+GETPIVOTDATA("XSR4",'suoirao (2016)'!$A$3,"MA_HT","TON","MA_QH","RPH")</f>
        <v>0</v>
      </c>
      <c r="N49" s="22">
        <f ca="1">+GETPIVOTDATA("XSR4",'suoirao (2016)'!$A$3,"MA_HT","TON","MA_QH","RDD")</f>
        <v>0</v>
      </c>
      <c r="O49" s="22">
        <f ca="1">+GETPIVOTDATA("XSR4",'suoirao (2016)'!$A$3,"MA_HT","TON","MA_QH","NTS")</f>
        <v>0</v>
      </c>
      <c r="P49" s="22">
        <f ca="1">+GETPIVOTDATA("XSR4",'suoirao (2016)'!$A$3,"MA_HT","TON","MA_QH","LMU")</f>
        <v>0</v>
      </c>
      <c r="Q49" s="22">
        <f ca="1">+GETPIVOTDATA("XSR4",'suoirao (2016)'!$A$3,"MA_HT","TON","MA_QH","NKH")</f>
        <v>0</v>
      </c>
      <c r="R49" s="79">
        <f ca="1">SUM(S49:AA49,AN49:AU49,AW49:BD49)</f>
        <v>0</v>
      </c>
      <c r="S49" s="22">
        <f ca="1">+GETPIVOTDATA("XSR4",'suoirao (2016)'!$A$3,"MA_HT","TON","MA_QH","CQP")</f>
        <v>0</v>
      </c>
      <c r="T49" s="22">
        <f ca="1">+GETPIVOTDATA("XSR4",'suoirao (2016)'!$A$3,"MA_HT","TON","MA_QH","CAN")</f>
        <v>0</v>
      </c>
      <c r="U49" s="22">
        <f ca="1">+GETPIVOTDATA("XSR4",'suoirao (2016)'!$A$3,"MA_HT","TON","MA_QH","SKK")</f>
        <v>0</v>
      </c>
      <c r="V49" s="22">
        <f ca="1">+GETPIVOTDATA("XSR4",'suoirao (2016)'!$A$3,"MA_HT","TON","MA_QH","SKT")</f>
        <v>0</v>
      </c>
      <c r="W49" s="22">
        <f ca="1">+GETPIVOTDATA("XSR4",'suoirao (2016)'!$A$3,"MA_HT","TON","MA_QH","SKN")</f>
        <v>0</v>
      </c>
      <c r="X49" s="22">
        <f ca="1">+GETPIVOTDATA("XSR4",'suoirao (2016)'!$A$3,"MA_HT","TON","MA_QH","TMD")</f>
        <v>0</v>
      </c>
      <c r="Y49" s="22">
        <f ca="1">+GETPIVOTDATA("XSR4",'suoirao (2016)'!$A$3,"MA_HT","TON","MA_QH","SKC")</f>
        <v>0</v>
      </c>
      <c r="Z49" s="22">
        <f ca="1">+GETPIVOTDATA("XSR4",'suoirao (2016)'!$A$3,"MA_HT","TON","MA_QH","SKS")</f>
        <v>0</v>
      </c>
      <c r="AA49" s="52">
        <f ca="1" t="shared" si="21"/>
        <v>0</v>
      </c>
      <c r="AB49" s="22">
        <f ca="1">+GETPIVOTDATA("XSR4",'suoirao (2016)'!$A$3,"MA_HT","TON","MA_QH","DGT")</f>
        <v>0</v>
      </c>
      <c r="AC49" s="22">
        <f ca="1">+GETPIVOTDATA("XSR4",'suoirao (2016)'!$A$3,"MA_HT","TON","MA_QH","DTL")</f>
        <v>0</v>
      </c>
      <c r="AD49" s="22">
        <f ca="1">+GETPIVOTDATA("XSR4",'suoirao (2016)'!$A$3,"MA_HT","TON","MA_QH","DNL")</f>
        <v>0</v>
      </c>
      <c r="AE49" s="22">
        <f ca="1">+GETPIVOTDATA("XSR4",'suoirao (2016)'!$A$3,"MA_HT","TON","MA_QH","DBV")</f>
        <v>0</v>
      </c>
      <c r="AF49" s="22">
        <f ca="1">+GETPIVOTDATA("XSR4",'suoirao (2016)'!$A$3,"MA_HT","TON","MA_QH","DVH")</f>
        <v>0</v>
      </c>
      <c r="AG49" s="22">
        <f ca="1">+GETPIVOTDATA("XSR4",'suoirao (2016)'!$A$3,"MA_HT","TON","MA_QH","DYT")</f>
        <v>0</v>
      </c>
      <c r="AH49" s="22">
        <f ca="1">+GETPIVOTDATA("XSR4",'suoirao (2016)'!$A$3,"MA_HT","TON","MA_QH","DGD")</f>
        <v>0</v>
      </c>
      <c r="AI49" s="22">
        <f ca="1">+GETPIVOTDATA("XSR4",'suoirao (2016)'!$A$3,"MA_HT","TON","MA_QH","DTT")</f>
        <v>0</v>
      </c>
      <c r="AJ49" s="22">
        <f ca="1">+GETPIVOTDATA("XSR4",'suoirao (2016)'!$A$3,"MA_HT","TON","MA_QH","NCK")</f>
        <v>0</v>
      </c>
      <c r="AK49" s="22">
        <f ca="1">+GETPIVOTDATA("XSR4",'suoirao (2016)'!$A$3,"MA_HT","TON","MA_QH","DXH")</f>
        <v>0</v>
      </c>
      <c r="AL49" s="22">
        <f ca="1">+GETPIVOTDATA("XSR4",'suoirao (2016)'!$A$3,"MA_HT","TON","MA_QH","DCH")</f>
        <v>0</v>
      </c>
      <c r="AM49" s="22">
        <f ca="1">+GETPIVOTDATA("XSR4",'suoirao (2016)'!$A$3,"MA_HT","TON","MA_QH","DKG")</f>
        <v>0</v>
      </c>
      <c r="AN49" s="22">
        <f ca="1">+GETPIVOTDATA("XSR4",'suoirao (2016)'!$A$3,"MA_HT","TON","MA_QH","DDT")</f>
        <v>0</v>
      </c>
      <c r="AO49" s="22">
        <f ca="1">+GETPIVOTDATA("XSR4",'suoirao (2016)'!$A$3,"MA_HT","TON","MA_QH","DDL")</f>
        <v>0</v>
      </c>
      <c r="AP49" s="22">
        <f ca="1">+GETPIVOTDATA("XSR4",'suoirao (2016)'!$A$3,"MA_HT","TON","MA_QH","DRA")</f>
        <v>0</v>
      </c>
      <c r="AQ49" s="22">
        <f ca="1">+GETPIVOTDATA("XSR4",'suoirao (2016)'!$A$3,"MA_HT","TON","MA_QH","ONT")</f>
        <v>0</v>
      </c>
      <c r="AR49" s="22">
        <f ca="1">+GETPIVOTDATA("XSR4",'suoirao (2016)'!$A$3,"MA_HT","TON","MA_QH","ODT")</f>
        <v>0</v>
      </c>
      <c r="AS49" s="22">
        <f ca="1">+GETPIVOTDATA("XSR4",'suoirao (2016)'!$A$3,"MA_HT","TON","MA_QH","TSC")</f>
        <v>0</v>
      </c>
      <c r="AT49" s="22">
        <f ca="1">+GETPIVOTDATA("XSR4",'suoirao (2016)'!$A$3,"MA_HT","TON","MA_QH","DTS")</f>
        <v>0</v>
      </c>
      <c r="AU49" s="22">
        <f ca="1">+GETPIVOTDATA("XSR4",'suoirao (2016)'!$A$3,"MA_HT","TON","MA_QH","DNG")</f>
        <v>0</v>
      </c>
      <c r="AV49" s="43" t="e">
        <f ca="1">$D49-$BF49</f>
        <v>#REF!</v>
      </c>
      <c r="AW49" s="22">
        <f ca="1">+GETPIVOTDATA("XSR4",'suoirao (2016)'!$A$3,"MA_HT","TON","MA_QH","NTD")</f>
        <v>0</v>
      </c>
      <c r="AX49" s="22">
        <f ca="1">+GETPIVOTDATA("XSR4",'suoirao (2016)'!$A$3,"MA_HT","TON","MA_QH","SKX")</f>
        <v>0</v>
      </c>
      <c r="AY49" s="22">
        <f ca="1">+GETPIVOTDATA("XSR4",'suoirao (2016)'!$A$3,"MA_HT","TON","MA_QH","DSH")</f>
        <v>0</v>
      </c>
      <c r="AZ49" s="22">
        <f ca="1">+GETPIVOTDATA("XSR4",'suoirao (2016)'!$A$3,"MA_HT","TON","MA_QH","DKV")</f>
        <v>0</v>
      </c>
      <c r="BA49" s="89">
        <f ca="1">+GETPIVOTDATA("XSR4",'suoirao (2016)'!$A$3,"MA_HT","TON","MA_QH","TIN")</f>
        <v>0</v>
      </c>
      <c r="BB49" s="50">
        <f ca="1">+GETPIVOTDATA("XSR4",'suoirao (2016)'!$A$3,"MA_HT","TON","MA_QH","SON")</f>
        <v>0</v>
      </c>
      <c r="BC49" s="50">
        <f ca="1">+GETPIVOTDATA("XSR4",'suoirao (2016)'!$A$3,"MA_HT","TON","MA_QH","MNC")</f>
        <v>0</v>
      </c>
      <c r="BD49" s="22">
        <f ca="1">+GETPIVOTDATA("XSR4",'suoirao (2016)'!$A$3,"MA_HT","TON","MA_QH","PNK")</f>
        <v>0</v>
      </c>
      <c r="BE49" s="71">
        <f ca="1">+GETPIVOTDATA("XSR4",'suoirao (2016)'!$A$3,"MA_HT","TON","MA_QH","CSD")</f>
        <v>0</v>
      </c>
      <c r="BF49" s="74">
        <f ca="1" t="shared" si="13"/>
        <v>0</v>
      </c>
      <c r="BG49" s="101">
        <f ca="1">AV$59-$BF49</f>
        <v>0</v>
      </c>
      <c r="BH49" s="41" t="e">
        <f ca="1" t="shared" si="14"/>
        <v>#REF!</v>
      </c>
      <c r="BI49" s="98"/>
      <c r="BJ49" s="98" t="e">
        <f>#REF!</f>
        <v>#REF!</v>
      </c>
      <c r="BK49" s="107" t="e">
        <f ca="1">BH49-BJ49</f>
        <v>#REF!</v>
      </c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</row>
    <row r="50" s="2" customFormat="1" ht="15.75" customHeight="1" spans="1:79">
      <c r="A50" s="39" t="s">
        <v>8418</v>
      </c>
      <c r="B50" s="53" t="s">
        <v>8419</v>
      </c>
      <c r="C50" s="40" t="s">
        <v>182</v>
      </c>
      <c r="D50" s="41" t="e">
        <f>+#REF!</f>
        <v>#REF!</v>
      </c>
      <c r="E50" s="42">
        <f ca="1" t="shared" si="15"/>
        <v>0</v>
      </c>
      <c r="F50" s="52">
        <f ca="1" t="shared" si="9"/>
        <v>0</v>
      </c>
      <c r="G50" s="22">
        <f ca="1">+GETPIVOTDATA("XSR4",'suoirao (2016)'!$A$3,"MA_HT","NTD","MA_QH","LUC")</f>
        <v>0</v>
      </c>
      <c r="H50" s="22">
        <f ca="1">+GETPIVOTDATA("XSR4",'suoirao (2016)'!$A$3,"MA_HT","NTD","MA_QH","LUK")</f>
        <v>0</v>
      </c>
      <c r="I50" s="22">
        <f ca="1">+GETPIVOTDATA("XSR4",'suoirao (2016)'!$A$3,"MA_HT","NTD","MA_QH","LUN")</f>
        <v>0</v>
      </c>
      <c r="J50" s="22">
        <f ca="1">+GETPIVOTDATA("XSR4",'suoirao (2016)'!$A$3,"MA_HT","NTD","MA_QH","HNK")</f>
        <v>0</v>
      </c>
      <c r="K50" s="22">
        <f ca="1">+GETPIVOTDATA("XSR4",'suoirao (2016)'!$A$3,"MA_HT","NTD","MA_QH","CLN")</f>
        <v>0</v>
      </c>
      <c r="L50" s="22">
        <f ca="1">+GETPIVOTDATA("XSR4",'suoirao (2016)'!$A$3,"MA_HT","NTD","MA_QH","RSX")</f>
        <v>0</v>
      </c>
      <c r="M50" s="22">
        <f ca="1">+GETPIVOTDATA("XSR4",'suoirao (2016)'!$A$3,"MA_HT","NTD","MA_QH","RPH")</f>
        <v>0</v>
      </c>
      <c r="N50" s="22">
        <f ca="1">+GETPIVOTDATA("XSR4",'suoirao (2016)'!$A$3,"MA_HT","NTD","MA_QH","RDD")</f>
        <v>0</v>
      </c>
      <c r="O50" s="22">
        <f ca="1">+GETPIVOTDATA("XSR4",'suoirao (2016)'!$A$3,"MA_HT","NTD","MA_QH","NTS")</f>
        <v>0</v>
      </c>
      <c r="P50" s="22">
        <f ca="1">+GETPIVOTDATA("XSR4",'suoirao (2016)'!$A$3,"MA_HT","NTD","MA_QH","LMU")</f>
        <v>0</v>
      </c>
      <c r="Q50" s="22">
        <f ca="1">+GETPIVOTDATA("XSR4",'suoirao (2016)'!$A$3,"MA_HT","NTD","MA_QH","NKH")</f>
        <v>0</v>
      </c>
      <c r="R50" s="79">
        <f ca="1">SUM(S50:AA50,AN50:AV50,AX50:BD50)</f>
        <v>0</v>
      </c>
      <c r="S50" s="22">
        <f ca="1">+GETPIVOTDATA("XSR4",'suoirao (2016)'!$A$3,"MA_HT","NTD","MA_QH","CQP")</f>
        <v>0</v>
      </c>
      <c r="T50" s="22">
        <f ca="1">+GETPIVOTDATA("XSR4",'suoirao (2016)'!$A$3,"MA_HT","NTD","MA_QH","CAN")</f>
        <v>0</v>
      </c>
      <c r="U50" s="22">
        <f ca="1">+GETPIVOTDATA("XSR4",'suoirao (2016)'!$A$3,"MA_HT","NTD","MA_QH","SKK")</f>
        <v>0</v>
      </c>
      <c r="V50" s="22">
        <f ca="1">+GETPIVOTDATA("XSR4",'suoirao (2016)'!$A$3,"MA_HT","NTD","MA_QH","SKT")</f>
        <v>0</v>
      </c>
      <c r="W50" s="22">
        <f ca="1">+GETPIVOTDATA("XSR4",'suoirao (2016)'!$A$3,"MA_HT","NTD","MA_QH","SKN")</f>
        <v>0</v>
      </c>
      <c r="X50" s="22">
        <f ca="1">+GETPIVOTDATA("XSR4",'suoirao (2016)'!$A$3,"MA_HT","NTD","MA_QH","TMD")</f>
        <v>0</v>
      </c>
      <c r="Y50" s="22">
        <f ca="1">+GETPIVOTDATA("XSR4",'suoirao (2016)'!$A$3,"MA_HT","NTD","MA_QH","SKC")</f>
        <v>0</v>
      </c>
      <c r="Z50" s="22">
        <f ca="1">+GETPIVOTDATA("XSR4",'suoirao (2016)'!$A$3,"MA_HT","NTD","MA_QH","SKS")</f>
        <v>0</v>
      </c>
      <c r="AA50" s="52">
        <f ca="1" t="shared" si="21"/>
        <v>0</v>
      </c>
      <c r="AB50" s="22">
        <f ca="1">+GETPIVOTDATA("XSR4",'suoirao (2016)'!$A$3,"MA_HT","NTD","MA_QH","DGT")</f>
        <v>0</v>
      </c>
      <c r="AC50" s="22">
        <f ca="1">+GETPIVOTDATA("XSR4",'suoirao (2016)'!$A$3,"MA_HT","NTD","MA_QH","DTL")</f>
        <v>0</v>
      </c>
      <c r="AD50" s="22">
        <f ca="1">+GETPIVOTDATA("XSR4",'suoirao (2016)'!$A$3,"MA_HT","NTD","MA_QH","DNL")</f>
        <v>0</v>
      </c>
      <c r="AE50" s="22">
        <f ca="1">+GETPIVOTDATA("XSR4",'suoirao (2016)'!$A$3,"MA_HT","NTD","MA_QH","DBV")</f>
        <v>0</v>
      </c>
      <c r="AF50" s="22">
        <f ca="1">+GETPIVOTDATA("XSR4",'suoirao (2016)'!$A$3,"MA_HT","NTD","MA_QH","DVH")</f>
        <v>0</v>
      </c>
      <c r="AG50" s="22">
        <f ca="1">+GETPIVOTDATA("XSR4",'suoirao (2016)'!$A$3,"MA_HT","NTD","MA_QH","DYT")</f>
        <v>0</v>
      </c>
      <c r="AH50" s="22">
        <f ca="1">+GETPIVOTDATA("XSR4",'suoirao (2016)'!$A$3,"MA_HT","NTD","MA_QH","DGD")</f>
        <v>0</v>
      </c>
      <c r="AI50" s="22">
        <f ca="1">+GETPIVOTDATA("XSR4",'suoirao (2016)'!$A$3,"MA_HT","NTD","MA_QH","DTT")</f>
        <v>0</v>
      </c>
      <c r="AJ50" s="22">
        <f ca="1">+GETPIVOTDATA("XSR4",'suoirao (2016)'!$A$3,"MA_HT","NTD","MA_QH","NCK")</f>
        <v>0</v>
      </c>
      <c r="AK50" s="22">
        <f ca="1">+GETPIVOTDATA("XSR4",'suoirao (2016)'!$A$3,"MA_HT","NTD","MA_QH","DXH")</f>
        <v>0</v>
      </c>
      <c r="AL50" s="22">
        <f ca="1">+GETPIVOTDATA("XSR4",'suoirao (2016)'!$A$3,"MA_HT","NTD","MA_QH","DCH")</f>
        <v>0</v>
      </c>
      <c r="AM50" s="22">
        <f ca="1">+GETPIVOTDATA("XSR4",'suoirao (2016)'!$A$3,"MA_HT","NTD","MA_QH","DKG")</f>
        <v>0</v>
      </c>
      <c r="AN50" s="22">
        <f ca="1">+GETPIVOTDATA("XSR4",'suoirao (2016)'!$A$3,"MA_HT","NTD","MA_QH","DDT")</f>
        <v>0</v>
      </c>
      <c r="AO50" s="22">
        <f ca="1">+GETPIVOTDATA("XSR4",'suoirao (2016)'!$A$3,"MA_HT","NTD","MA_QH","DDL")</f>
        <v>0</v>
      </c>
      <c r="AP50" s="22">
        <f ca="1">+GETPIVOTDATA("XSR4",'suoirao (2016)'!$A$3,"MA_HT","NTD","MA_QH","DRA")</f>
        <v>0</v>
      </c>
      <c r="AQ50" s="22">
        <f ca="1">+GETPIVOTDATA("XSR4",'suoirao (2016)'!$A$3,"MA_HT","NTD","MA_QH","ONT")</f>
        <v>0</v>
      </c>
      <c r="AR50" s="22">
        <f ca="1">+GETPIVOTDATA("XSR4",'suoirao (2016)'!$A$3,"MA_HT","NTD","MA_QH","ODT")</f>
        <v>0</v>
      </c>
      <c r="AS50" s="22">
        <f ca="1">+GETPIVOTDATA("XSR4",'suoirao (2016)'!$A$3,"MA_HT","NTD","MA_QH","TSC")</f>
        <v>0</v>
      </c>
      <c r="AT50" s="22">
        <f ca="1">+GETPIVOTDATA("XSR4",'suoirao (2016)'!$A$3,"MA_HT","NTD","MA_QH","DTS")</f>
        <v>0</v>
      </c>
      <c r="AU50" s="22">
        <f ca="1">+GETPIVOTDATA("XSR4",'suoirao (2016)'!$A$3,"MA_HT","NTD","MA_QH","DNG")</f>
        <v>0</v>
      </c>
      <c r="AV50" s="22">
        <f ca="1">+GETPIVOTDATA("XSR4",'suoirao (2016)'!$A$3,"MA_HT","NTD","MA_QH","TON")</f>
        <v>0</v>
      </c>
      <c r="AW50" s="43" t="e">
        <f ca="1">$D50-$BF50</f>
        <v>#REF!</v>
      </c>
      <c r="AX50" s="22">
        <f ca="1">+GETPIVOTDATA("XSR4",'suoirao (2016)'!$A$3,"MA_HT","NTD","MA_QH","SKX")</f>
        <v>0</v>
      </c>
      <c r="AY50" s="22">
        <f ca="1">+GETPIVOTDATA("XSR4",'suoirao (2016)'!$A$3,"MA_HT","NTD","MA_QH","DSH")</f>
        <v>0</v>
      </c>
      <c r="AZ50" s="22">
        <f ca="1">+GETPIVOTDATA("XSR4",'suoirao (2016)'!$A$3,"MA_HT","NTD","MA_QH","DKV")</f>
        <v>0</v>
      </c>
      <c r="BA50" s="89">
        <f ca="1">+GETPIVOTDATA("XSR4",'suoirao (2016)'!$A$3,"MA_HT","NTD","MA_QH","TIN")</f>
        <v>0</v>
      </c>
      <c r="BB50" s="50">
        <f ca="1">+GETPIVOTDATA("XSR4",'suoirao (2016)'!$A$3,"MA_HT","NTD","MA_QH","SON")</f>
        <v>0</v>
      </c>
      <c r="BC50" s="50">
        <f ca="1">+GETPIVOTDATA("XSR4",'suoirao (2016)'!$A$3,"MA_HT","NTD","MA_QH","MNC")</f>
        <v>0</v>
      </c>
      <c r="BD50" s="22">
        <f ca="1">+GETPIVOTDATA("XSR4",'suoirao (2016)'!$A$3,"MA_HT","NTD","MA_QH","PNK")</f>
        <v>0</v>
      </c>
      <c r="BE50" s="71">
        <f ca="1">+GETPIVOTDATA("XSR4",'suoirao (2016)'!$A$3,"MA_HT","NTD","MA_QH","CSD")</f>
        <v>0</v>
      </c>
      <c r="BF50" s="74">
        <f ca="1" t="shared" si="13"/>
        <v>0</v>
      </c>
      <c r="BG50" s="101">
        <f ca="1">AW$59-$BF50</f>
        <v>0</v>
      </c>
      <c r="BH50" s="41" t="e">
        <f ca="1" t="shared" si="14"/>
        <v>#REF!</v>
      </c>
      <c r="BI50" s="98"/>
      <c r="BJ50" s="98"/>
      <c r="BK50" s="107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</row>
    <row r="51" s="2" customFormat="1" ht="15.75" customHeight="1" spans="1:79">
      <c r="A51" s="39" t="s">
        <v>8420</v>
      </c>
      <c r="B51" s="39" t="s">
        <v>8421</v>
      </c>
      <c r="C51" s="40" t="s">
        <v>236</v>
      </c>
      <c r="D51" s="41" t="e">
        <f>+#REF!</f>
        <v>#REF!</v>
      </c>
      <c r="E51" s="42">
        <f ca="1" t="shared" si="15"/>
        <v>0</v>
      </c>
      <c r="F51" s="52">
        <f ca="1" t="shared" si="9"/>
        <v>0</v>
      </c>
      <c r="G51" s="22">
        <f ca="1">+GETPIVOTDATA("XSR4",'suoirao (2016)'!$A$3,"MA_HT","SKX","MA_QH","LUC")</f>
        <v>0</v>
      </c>
      <c r="H51" s="22">
        <f ca="1">+GETPIVOTDATA("XSR4",'suoirao (2016)'!$A$3,"MA_HT","SKX","MA_QH","LUK")</f>
        <v>0</v>
      </c>
      <c r="I51" s="22">
        <f ca="1">+GETPIVOTDATA("XSR4",'suoirao (2016)'!$A$3,"MA_HT","SKX","MA_QH","LUN")</f>
        <v>0</v>
      </c>
      <c r="J51" s="22">
        <f ca="1">+GETPIVOTDATA("XSR4",'suoirao (2016)'!$A$3,"MA_HT","SKX","MA_QH","HNK")</f>
        <v>0</v>
      </c>
      <c r="K51" s="22">
        <f ca="1">+GETPIVOTDATA("XSR4",'suoirao (2016)'!$A$3,"MA_HT","SKX","MA_QH","CLN")</f>
        <v>0</v>
      </c>
      <c r="L51" s="22">
        <f ca="1">+GETPIVOTDATA("XSR4",'suoirao (2016)'!$A$3,"MA_HT","SKX","MA_QH","RSX")</f>
        <v>0</v>
      </c>
      <c r="M51" s="22">
        <f ca="1">+GETPIVOTDATA("XSR4",'suoirao (2016)'!$A$3,"MA_HT","SKX","MA_QH","RPH")</f>
        <v>0</v>
      </c>
      <c r="N51" s="22">
        <f ca="1">+GETPIVOTDATA("XSR4",'suoirao (2016)'!$A$3,"MA_HT","SKX","MA_QH","RDD")</f>
        <v>0</v>
      </c>
      <c r="O51" s="22">
        <f ca="1">+GETPIVOTDATA("XSR4",'suoirao (2016)'!$A$3,"MA_HT","SKX","MA_QH","NTS")</f>
        <v>0</v>
      </c>
      <c r="P51" s="22">
        <f ca="1">+GETPIVOTDATA("XSR4",'suoirao (2016)'!$A$3,"MA_HT","SKX","MA_QH","LMU")</f>
        <v>0</v>
      </c>
      <c r="Q51" s="22">
        <f ca="1">+GETPIVOTDATA("XSR4",'suoirao (2016)'!$A$3,"MA_HT","SKX","MA_QH","NKH")</f>
        <v>0</v>
      </c>
      <c r="R51" s="79">
        <f ca="1">SUM(S51:AA51,AN51:AW51,AY51:BD51)</f>
        <v>0</v>
      </c>
      <c r="S51" s="22">
        <f ca="1">+GETPIVOTDATA("XSR4",'suoirao (2016)'!$A$3,"MA_HT","SKX","MA_QH","CQP")</f>
        <v>0</v>
      </c>
      <c r="T51" s="22">
        <f ca="1">+GETPIVOTDATA("XSR4",'suoirao (2016)'!$A$3,"MA_HT","SKX","MA_QH","CAN")</f>
        <v>0</v>
      </c>
      <c r="U51" s="22">
        <f ca="1">+GETPIVOTDATA("XSR4",'suoirao (2016)'!$A$3,"MA_HT","SKX","MA_QH","SKK")</f>
        <v>0</v>
      </c>
      <c r="V51" s="22">
        <f ca="1">+GETPIVOTDATA("XSR4",'suoirao (2016)'!$A$3,"MA_HT","SKX","MA_QH","SKT")</f>
        <v>0</v>
      </c>
      <c r="W51" s="22">
        <f ca="1">+GETPIVOTDATA("XSR4",'suoirao (2016)'!$A$3,"MA_HT","SKX","MA_QH","SKN")</f>
        <v>0</v>
      </c>
      <c r="X51" s="22">
        <f ca="1">+GETPIVOTDATA("XSR4",'suoirao (2016)'!$A$3,"MA_HT","SKX","MA_QH","TMD")</f>
        <v>0</v>
      </c>
      <c r="Y51" s="22">
        <f ca="1">+GETPIVOTDATA("XSR4",'suoirao (2016)'!$A$3,"MA_HT","SKX","MA_QH","SKC")</f>
        <v>0</v>
      </c>
      <c r="Z51" s="22">
        <f ca="1">+GETPIVOTDATA("XSR4",'suoirao (2016)'!$A$3,"MA_HT","SKX","MA_QH","SKS")</f>
        <v>0</v>
      </c>
      <c r="AA51" s="52">
        <f ca="1" t="shared" si="21"/>
        <v>0</v>
      </c>
      <c r="AB51" s="22">
        <f ca="1">+GETPIVOTDATA("XSR4",'suoirao (2016)'!$A$3,"MA_HT","SKX","MA_QH","DGT")</f>
        <v>0</v>
      </c>
      <c r="AC51" s="22">
        <f ca="1">+GETPIVOTDATA("XSR4",'suoirao (2016)'!$A$3,"MA_HT","SKX","MA_QH","DTL")</f>
        <v>0</v>
      </c>
      <c r="AD51" s="22">
        <f ca="1">+GETPIVOTDATA("XSR4",'suoirao (2016)'!$A$3,"MA_HT","SKX","MA_QH","DNL")</f>
        <v>0</v>
      </c>
      <c r="AE51" s="22">
        <f ca="1">+GETPIVOTDATA("XSR4",'suoirao (2016)'!$A$3,"MA_HT","SKX","MA_QH","DBV")</f>
        <v>0</v>
      </c>
      <c r="AF51" s="22">
        <f ca="1">+GETPIVOTDATA("XSR4",'suoirao (2016)'!$A$3,"MA_HT","SKX","MA_QH","DVH")</f>
        <v>0</v>
      </c>
      <c r="AG51" s="22">
        <f ca="1">+GETPIVOTDATA("XSR4",'suoirao (2016)'!$A$3,"MA_HT","SKX","MA_QH","DYT")</f>
        <v>0</v>
      </c>
      <c r="AH51" s="22">
        <f ca="1">+GETPIVOTDATA("XSR4",'suoirao (2016)'!$A$3,"MA_HT","SKX","MA_QH","DGD")</f>
        <v>0</v>
      </c>
      <c r="AI51" s="22">
        <f ca="1">+GETPIVOTDATA("XSR4",'suoirao (2016)'!$A$3,"MA_HT","SKX","MA_QH","DTT")</f>
        <v>0</v>
      </c>
      <c r="AJ51" s="22">
        <f ca="1">+GETPIVOTDATA("XSR4",'suoirao (2016)'!$A$3,"MA_HT","SKX","MA_QH","NCK")</f>
        <v>0</v>
      </c>
      <c r="AK51" s="22">
        <f ca="1">+GETPIVOTDATA("XSR4",'suoirao (2016)'!$A$3,"MA_HT","SKX","MA_QH","DXH")</f>
        <v>0</v>
      </c>
      <c r="AL51" s="22">
        <f ca="1">+GETPIVOTDATA("XSR4",'suoirao (2016)'!$A$3,"MA_HT","SKX","MA_QH","DCH")</f>
        <v>0</v>
      </c>
      <c r="AM51" s="22">
        <f ca="1">+GETPIVOTDATA("XSR4",'suoirao (2016)'!$A$3,"MA_HT","SKX","MA_QH","DKG")</f>
        <v>0</v>
      </c>
      <c r="AN51" s="22">
        <f ca="1">+GETPIVOTDATA("XSR4",'suoirao (2016)'!$A$3,"MA_HT","SKX","MA_QH","DDT")</f>
        <v>0</v>
      </c>
      <c r="AO51" s="22">
        <f ca="1">+GETPIVOTDATA("XSR4",'suoirao (2016)'!$A$3,"MA_HT","SKX","MA_QH","DDL")</f>
        <v>0</v>
      </c>
      <c r="AP51" s="22">
        <f ca="1">+GETPIVOTDATA("XSR4",'suoirao (2016)'!$A$3,"MA_HT","SKX","MA_QH","DRA")</f>
        <v>0</v>
      </c>
      <c r="AQ51" s="22">
        <f ca="1">+GETPIVOTDATA("XSR4",'suoirao (2016)'!$A$3,"MA_HT","SKX","MA_QH","ONT")</f>
        <v>0</v>
      </c>
      <c r="AR51" s="22">
        <f ca="1">+GETPIVOTDATA("XSR4",'suoirao (2016)'!$A$3,"MA_HT","SKX","MA_QH","ODT")</f>
        <v>0</v>
      </c>
      <c r="AS51" s="22">
        <f ca="1">+GETPIVOTDATA("XSR4",'suoirao (2016)'!$A$3,"MA_HT","SKX","MA_QH","TSC")</f>
        <v>0</v>
      </c>
      <c r="AT51" s="22">
        <f ca="1">+GETPIVOTDATA("XSR4",'suoirao (2016)'!$A$3,"MA_HT","SKX","MA_QH","DTS")</f>
        <v>0</v>
      </c>
      <c r="AU51" s="22">
        <f ca="1">+GETPIVOTDATA("XSR4",'suoirao (2016)'!$A$3,"MA_HT","SKX","MA_QH","DNG")</f>
        <v>0</v>
      </c>
      <c r="AV51" s="22">
        <f ca="1">+GETPIVOTDATA("XSR4",'suoirao (2016)'!$A$3,"MA_HT","SKX","MA_QH","TON")</f>
        <v>0</v>
      </c>
      <c r="AW51" s="22">
        <f ca="1">+GETPIVOTDATA("XSR4",'suoirao (2016)'!$A$3,"MA_HT","SKX","MA_QH","NTD")</f>
        <v>0</v>
      </c>
      <c r="AX51" s="43" t="e">
        <f ca="1">$D51-$BF51</f>
        <v>#REF!</v>
      </c>
      <c r="AY51" s="22">
        <f ca="1">+GETPIVOTDATA("XSR4",'suoirao (2016)'!$A$3,"MA_HT","SKX","MA_QH","DSH")</f>
        <v>0</v>
      </c>
      <c r="AZ51" s="22">
        <f ca="1">+GETPIVOTDATA("XSR4",'suoirao (2016)'!$A$3,"MA_HT","SKX","MA_QH","DKV")</f>
        <v>0</v>
      </c>
      <c r="BA51" s="89">
        <f ca="1">+GETPIVOTDATA("XSR4",'suoirao (2016)'!$A$3,"MA_HT","SKX","MA_QH","TIN")</f>
        <v>0</v>
      </c>
      <c r="BB51" s="50">
        <f ca="1">+GETPIVOTDATA("XSR4",'suoirao (2016)'!$A$3,"MA_HT","SKX","MA_QH","SON")</f>
        <v>0</v>
      </c>
      <c r="BC51" s="50">
        <f ca="1">+GETPIVOTDATA("XSR4",'suoirao (2016)'!$A$3,"MA_HT","SKX","MA_QH","MNC")</f>
        <v>0</v>
      </c>
      <c r="BD51" s="22">
        <f ca="1">+GETPIVOTDATA("XSR4",'suoirao (2016)'!$A$3,"MA_HT","SKX","MA_QH","PNK")</f>
        <v>0</v>
      </c>
      <c r="BE51" s="71">
        <f ca="1">+GETPIVOTDATA("XSR4",'suoirao (2016)'!$A$3,"MA_HT","SKX","MA_QH","CSD")</f>
        <v>0</v>
      </c>
      <c r="BF51" s="74">
        <f ca="1" t="shared" si="13"/>
        <v>0</v>
      </c>
      <c r="BG51" s="101">
        <f ca="1">AX$59-$BF51</f>
        <v>0</v>
      </c>
      <c r="BH51" s="41" t="e">
        <f ca="1" t="shared" si="14"/>
        <v>#REF!</v>
      </c>
      <c r="BI51" s="98"/>
      <c r="BJ51" s="98" t="e">
        <f>#REF!</f>
        <v>#REF!</v>
      </c>
      <c r="BK51" s="107" t="e">
        <f ca="1">BH51-BJ51</f>
        <v>#REF!</v>
      </c>
      <c r="BL51" s="98"/>
      <c r="BM51" s="122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</row>
    <row r="52" s="2" customFormat="1" ht="15.75" customHeight="1" spans="1:79">
      <c r="A52" s="39" t="s">
        <v>8422</v>
      </c>
      <c r="B52" s="39" t="s">
        <v>8423</v>
      </c>
      <c r="C52" s="40" t="s">
        <v>8292</v>
      </c>
      <c r="D52" s="41" t="e">
        <f>+#REF!</f>
        <v>#REF!</v>
      </c>
      <c r="E52" s="42">
        <f ca="1" t="shared" si="15"/>
        <v>0</v>
      </c>
      <c r="F52" s="52">
        <f ca="1" t="shared" si="9"/>
        <v>0</v>
      </c>
      <c r="G52" s="22">
        <f ca="1">+GETPIVOTDATA("XSR4",'suoirao (2016)'!$A$3,"MA_HT","DSH","MA_QH","LUC")</f>
        <v>0</v>
      </c>
      <c r="H52" s="22">
        <f ca="1">+GETPIVOTDATA("XSR4",'suoirao (2016)'!$A$3,"MA_HT","DSH","MA_QH","LUK")</f>
        <v>0</v>
      </c>
      <c r="I52" s="22">
        <f ca="1">+GETPIVOTDATA("XSR4",'suoirao (2016)'!$A$3,"MA_HT","DSH","MA_QH","LUN")</f>
        <v>0</v>
      </c>
      <c r="J52" s="22">
        <f ca="1">+GETPIVOTDATA("XSR4",'suoirao (2016)'!$A$3,"MA_HT","DSH","MA_QH","HNK")</f>
        <v>0</v>
      </c>
      <c r="K52" s="22">
        <f ca="1">+GETPIVOTDATA("XSR4",'suoirao (2016)'!$A$3,"MA_HT","DSH","MA_QH","CLN")</f>
        <v>0</v>
      </c>
      <c r="L52" s="22">
        <f ca="1">+GETPIVOTDATA("XSR4",'suoirao (2016)'!$A$3,"MA_HT","DSH","MA_QH","RSX")</f>
        <v>0</v>
      </c>
      <c r="M52" s="22">
        <f ca="1">+GETPIVOTDATA("XSR4",'suoirao (2016)'!$A$3,"MA_HT","DSH","MA_QH","RPH")</f>
        <v>0</v>
      </c>
      <c r="N52" s="22">
        <f ca="1">+GETPIVOTDATA("XSR4",'suoirao (2016)'!$A$3,"MA_HT","DSH","MA_QH","RDD")</f>
        <v>0</v>
      </c>
      <c r="O52" s="22">
        <f ca="1">+GETPIVOTDATA("XSR4",'suoirao (2016)'!$A$3,"MA_HT","DSH","MA_QH","NTS")</f>
        <v>0</v>
      </c>
      <c r="P52" s="22">
        <f ca="1">+GETPIVOTDATA("XSR4",'suoirao (2016)'!$A$3,"MA_HT","DSH","MA_QH","LMU")</f>
        <v>0</v>
      </c>
      <c r="Q52" s="22">
        <f ca="1">+GETPIVOTDATA("XSR4",'suoirao (2016)'!$A$3,"MA_HT","DSH","MA_QH","NKH")</f>
        <v>0</v>
      </c>
      <c r="R52" s="79">
        <f ca="1">SUM(S52:AA52,AN52:AX52,AZ52:BD52)</f>
        <v>0</v>
      </c>
      <c r="S52" s="22">
        <f ca="1">+GETPIVOTDATA("XSR4",'suoirao (2016)'!$A$3,"MA_HT","DSH","MA_QH","CQP")</f>
        <v>0</v>
      </c>
      <c r="T52" s="22">
        <f ca="1">+GETPIVOTDATA("XSR4",'suoirao (2016)'!$A$3,"MA_HT","DSH","MA_QH","CAN")</f>
        <v>0</v>
      </c>
      <c r="U52" s="22">
        <f ca="1">+GETPIVOTDATA("XSR4",'suoirao (2016)'!$A$3,"MA_HT","DSH","MA_QH","SKK")</f>
        <v>0</v>
      </c>
      <c r="V52" s="22">
        <f ca="1">+GETPIVOTDATA("XSR4",'suoirao (2016)'!$A$3,"MA_HT","DSH","MA_QH","SKT")</f>
        <v>0</v>
      </c>
      <c r="W52" s="22">
        <f ca="1">+GETPIVOTDATA("XSR4",'suoirao (2016)'!$A$3,"MA_HT","DSH","MA_QH","SKN")</f>
        <v>0</v>
      </c>
      <c r="X52" s="22">
        <f ca="1">+GETPIVOTDATA("XSR4",'suoirao (2016)'!$A$3,"MA_HT","DSH","MA_QH","TMD")</f>
        <v>0</v>
      </c>
      <c r="Y52" s="22">
        <f ca="1">+GETPIVOTDATA("XSR4",'suoirao (2016)'!$A$3,"MA_HT","DSH","MA_QH","SKC")</f>
        <v>0</v>
      </c>
      <c r="Z52" s="22">
        <f ca="1">+GETPIVOTDATA("XSR4",'suoirao (2016)'!$A$3,"MA_HT","DSH","MA_QH","SKS")</f>
        <v>0</v>
      </c>
      <c r="AA52" s="52">
        <f ca="1" t="shared" si="21"/>
        <v>0</v>
      </c>
      <c r="AB52" s="22">
        <f ca="1">+GETPIVOTDATA("XSR4",'suoirao (2016)'!$A$3,"MA_HT","DSH","MA_QH","DGT")</f>
        <v>0</v>
      </c>
      <c r="AC52" s="22">
        <f ca="1">+GETPIVOTDATA("XSR4",'suoirao (2016)'!$A$3,"MA_HT","DSH","MA_QH","DTL")</f>
        <v>0</v>
      </c>
      <c r="AD52" s="22">
        <f ca="1">+GETPIVOTDATA("XSR4",'suoirao (2016)'!$A$3,"MA_HT","DSH","MA_QH","DNL")</f>
        <v>0</v>
      </c>
      <c r="AE52" s="22">
        <f ca="1">+GETPIVOTDATA("XSR4",'suoirao (2016)'!$A$3,"MA_HT","DSH","MA_QH","DBV")</f>
        <v>0</v>
      </c>
      <c r="AF52" s="22">
        <f ca="1">+GETPIVOTDATA("XSR4",'suoirao (2016)'!$A$3,"MA_HT","DSH","MA_QH","DVH")</f>
        <v>0</v>
      </c>
      <c r="AG52" s="22">
        <f ca="1">+GETPIVOTDATA("XSR4",'suoirao (2016)'!$A$3,"MA_HT","DSH","MA_QH","DYT")</f>
        <v>0</v>
      </c>
      <c r="AH52" s="22">
        <f ca="1">+GETPIVOTDATA("XSR4",'suoirao (2016)'!$A$3,"MA_HT","DSH","MA_QH","DGD")</f>
        <v>0</v>
      </c>
      <c r="AI52" s="22">
        <f ca="1">+GETPIVOTDATA("XSR4",'suoirao (2016)'!$A$3,"MA_HT","DSH","MA_QH","DTT")</f>
        <v>0</v>
      </c>
      <c r="AJ52" s="22">
        <f ca="1">+GETPIVOTDATA("XSR4",'suoirao (2016)'!$A$3,"MA_HT","DSH","MA_QH","NCK")</f>
        <v>0</v>
      </c>
      <c r="AK52" s="22">
        <f ca="1">+GETPIVOTDATA("XSR4",'suoirao (2016)'!$A$3,"MA_HT","DSH","MA_QH","DXH")</f>
        <v>0</v>
      </c>
      <c r="AL52" s="22">
        <f ca="1">+GETPIVOTDATA("XSR4",'suoirao (2016)'!$A$3,"MA_HT","DSH","MA_QH","DCH")</f>
        <v>0</v>
      </c>
      <c r="AM52" s="22">
        <f ca="1">+GETPIVOTDATA("XSR4",'suoirao (2016)'!$A$3,"MA_HT","DSH","MA_QH","DKG")</f>
        <v>0</v>
      </c>
      <c r="AN52" s="22">
        <f ca="1">+GETPIVOTDATA("XSR4",'suoirao (2016)'!$A$3,"MA_HT","DSH","MA_QH","DDT")</f>
        <v>0</v>
      </c>
      <c r="AO52" s="22">
        <f ca="1">+GETPIVOTDATA("XSR4",'suoirao (2016)'!$A$3,"MA_HT","DSH","MA_QH","DDL")</f>
        <v>0</v>
      </c>
      <c r="AP52" s="22">
        <f ca="1">+GETPIVOTDATA("XSR4",'suoirao (2016)'!$A$3,"MA_HT","DSH","MA_QH","DRA")</f>
        <v>0</v>
      </c>
      <c r="AQ52" s="22">
        <f ca="1">+GETPIVOTDATA("XSR4",'suoirao (2016)'!$A$3,"MA_HT","DSH","MA_QH","ONT")</f>
        <v>0</v>
      </c>
      <c r="AR52" s="22">
        <f ca="1">+GETPIVOTDATA("XSR4",'suoirao (2016)'!$A$3,"MA_HT","DSH","MA_QH","ODT")</f>
        <v>0</v>
      </c>
      <c r="AS52" s="22">
        <f ca="1">+GETPIVOTDATA("XSR4",'suoirao (2016)'!$A$3,"MA_HT","DSH","MA_QH","TSC")</f>
        <v>0</v>
      </c>
      <c r="AT52" s="22">
        <f ca="1">+GETPIVOTDATA("XSR4",'suoirao (2016)'!$A$3,"MA_HT","DSH","MA_QH","DTS")</f>
        <v>0</v>
      </c>
      <c r="AU52" s="22">
        <f ca="1">+GETPIVOTDATA("XSR4",'suoirao (2016)'!$A$3,"MA_HT","DSH","MA_QH","DNG")</f>
        <v>0</v>
      </c>
      <c r="AV52" s="22">
        <f ca="1">+GETPIVOTDATA("XSR4",'suoirao (2016)'!$A$3,"MA_HT","DSH","MA_QH","TON")</f>
        <v>0</v>
      </c>
      <c r="AW52" s="22">
        <f ca="1">+GETPIVOTDATA("XSR4",'suoirao (2016)'!$A$3,"MA_HT","DSH","MA_QH","NTD")</f>
        <v>0</v>
      </c>
      <c r="AX52" s="22">
        <f ca="1">+GETPIVOTDATA("XSR4",'suoirao (2016)'!$A$3,"MA_HT","DSH","MA_QH","SKX")</f>
        <v>0</v>
      </c>
      <c r="AY52" s="43" t="e">
        <f ca="1">$D52-$BF52</f>
        <v>#REF!</v>
      </c>
      <c r="AZ52" s="22">
        <f ca="1">+GETPIVOTDATA("XSR4",'suoirao (2016)'!$A$3,"MA_HT","DSH","MA_QH","DKV")</f>
        <v>0</v>
      </c>
      <c r="BA52" s="89">
        <f ca="1">+GETPIVOTDATA("XSR4",'suoirao (2016)'!$A$3,"MA_HT","DSH","MA_QH","TIN")</f>
        <v>0</v>
      </c>
      <c r="BB52" s="50">
        <f ca="1">+GETPIVOTDATA("XSR4",'suoirao (2016)'!$A$3,"MA_HT","DSH","MA_QH","SON")</f>
        <v>0</v>
      </c>
      <c r="BC52" s="50">
        <f ca="1">+GETPIVOTDATA("XSR4",'suoirao (2016)'!$A$3,"MA_HT","DSH","MA_QH","MNC")</f>
        <v>0</v>
      </c>
      <c r="BD52" s="22">
        <f ca="1">+GETPIVOTDATA("XSR4",'suoirao (2016)'!$A$3,"MA_HT","DSH","MA_QH","PNK")</f>
        <v>0</v>
      </c>
      <c r="BE52" s="71">
        <f ca="1">+GETPIVOTDATA("XSR4",'suoirao (2016)'!$A$3,"MA_HT","DSH","MA_QH","CSD")</f>
        <v>0</v>
      </c>
      <c r="BF52" s="74">
        <f ca="1" t="shared" si="13"/>
        <v>0</v>
      </c>
      <c r="BG52" s="101">
        <f ca="1">AY$59-$BF52</f>
        <v>0</v>
      </c>
      <c r="BH52" s="41" t="e">
        <f ca="1" t="shared" si="14"/>
        <v>#REF!</v>
      </c>
      <c r="BI52" s="98"/>
      <c r="BJ52" s="98" t="e">
        <f>#REF!</f>
        <v>#REF!</v>
      </c>
      <c r="BK52" s="107" t="e">
        <f ca="1">BH52-BJ52</f>
        <v>#REF!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</row>
    <row r="53" s="2" customFormat="1" ht="15.75" customHeight="1" spans="1:79">
      <c r="A53" s="39" t="s">
        <v>8424</v>
      </c>
      <c r="B53" s="39" t="s">
        <v>8425</v>
      </c>
      <c r="C53" s="40" t="s">
        <v>8289</v>
      </c>
      <c r="D53" s="41" t="e">
        <f>+#REF!</f>
        <v>#REF!</v>
      </c>
      <c r="E53" s="42">
        <f ca="1" t="shared" si="15"/>
        <v>0</v>
      </c>
      <c r="F53" s="52">
        <f ca="1" t="shared" si="9"/>
        <v>0</v>
      </c>
      <c r="G53" s="22">
        <f ca="1">+GETPIVOTDATA("XSR4",'suoirao (2016)'!$A$3,"MA_HT","DKV","MA_QH","LUC")</f>
        <v>0</v>
      </c>
      <c r="H53" s="22">
        <f ca="1">+GETPIVOTDATA("XSR4",'suoirao (2016)'!$A$3,"MA_HT","DKV","MA_QH","LUK")</f>
        <v>0</v>
      </c>
      <c r="I53" s="22">
        <f ca="1">+GETPIVOTDATA("XSR4",'suoirao (2016)'!$A$3,"MA_HT","DKV","MA_QH","LUN")</f>
        <v>0</v>
      </c>
      <c r="J53" s="22">
        <f ca="1">+GETPIVOTDATA("XSR4",'suoirao (2016)'!$A$3,"MA_HT","DKV","MA_QH","HNK")</f>
        <v>0</v>
      </c>
      <c r="K53" s="22">
        <f ca="1">+GETPIVOTDATA("XSR4",'suoirao (2016)'!$A$3,"MA_HT","DKV","MA_QH","CLN")</f>
        <v>0</v>
      </c>
      <c r="L53" s="22">
        <f ca="1">+GETPIVOTDATA("XSR4",'suoirao (2016)'!$A$3,"MA_HT","DKV","MA_QH","RSX")</f>
        <v>0</v>
      </c>
      <c r="M53" s="22">
        <f ca="1">+GETPIVOTDATA("XSR4",'suoirao (2016)'!$A$3,"MA_HT","DKV","MA_QH","RPH")</f>
        <v>0</v>
      </c>
      <c r="N53" s="22">
        <f ca="1">+GETPIVOTDATA("XSR4",'suoirao (2016)'!$A$3,"MA_HT","DKV","MA_QH","RDD")</f>
        <v>0</v>
      </c>
      <c r="O53" s="22">
        <f ca="1">+GETPIVOTDATA("XSR4",'suoirao (2016)'!$A$3,"MA_HT","DKV","MA_QH","NTS")</f>
        <v>0</v>
      </c>
      <c r="P53" s="22">
        <f ca="1">+GETPIVOTDATA("XSR4",'suoirao (2016)'!$A$3,"MA_HT","DKV","MA_QH","LMU")</f>
        <v>0</v>
      </c>
      <c r="Q53" s="22">
        <f ca="1">+GETPIVOTDATA("XSR4",'suoirao (2016)'!$A$3,"MA_HT","DKV","MA_QH","NKH")</f>
        <v>0</v>
      </c>
      <c r="R53" s="79">
        <f ca="1">SUM(S53:AA53,AN53:AY53,BB53:BD53)</f>
        <v>0</v>
      </c>
      <c r="S53" s="22">
        <f ca="1">+GETPIVOTDATA("XSR4",'suoirao (2016)'!$A$3,"MA_HT","DKV","MA_QH","CQP")</f>
        <v>0</v>
      </c>
      <c r="T53" s="22">
        <f ca="1">+GETPIVOTDATA("XSR4",'suoirao (2016)'!$A$3,"MA_HT","DKV","MA_QH","CAN")</f>
        <v>0</v>
      </c>
      <c r="U53" s="22">
        <f ca="1">+GETPIVOTDATA("XSR4",'suoirao (2016)'!$A$3,"MA_HT","DKV","MA_QH","SKK")</f>
        <v>0</v>
      </c>
      <c r="V53" s="22">
        <f ca="1">+GETPIVOTDATA("XSR4",'suoirao (2016)'!$A$3,"MA_HT","DKV","MA_QH","SKT")</f>
        <v>0</v>
      </c>
      <c r="W53" s="22">
        <f ca="1">+GETPIVOTDATA("XSR4",'suoirao (2016)'!$A$3,"MA_HT","DKV","MA_QH","SKN")</f>
        <v>0</v>
      </c>
      <c r="X53" s="22">
        <f ca="1">+GETPIVOTDATA("XSR4",'suoirao (2016)'!$A$3,"MA_HT","DKV","MA_QH","TMD")</f>
        <v>0</v>
      </c>
      <c r="Y53" s="22">
        <f ca="1">+GETPIVOTDATA("XSR4",'suoirao (2016)'!$A$3,"MA_HT","DKV","MA_QH","SKC")</f>
        <v>0</v>
      </c>
      <c r="Z53" s="22">
        <f ca="1">+GETPIVOTDATA("XSR4",'suoirao (2016)'!$A$3,"MA_HT","DKV","MA_QH","SKS")</f>
        <v>0</v>
      </c>
      <c r="AA53" s="52">
        <f ca="1" t="shared" si="21"/>
        <v>0</v>
      </c>
      <c r="AB53" s="22">
        <f ca="1">+GETPIVOTDATA("XSR4",'suoirao (2016)'!$A$3,"MA_HT","DKV","MA_QH","DGT")</f>
        <v>0</v>
      </c>
      <c r="AC53" s="22">
        <f ca="1">+GETPIVOTDATA("XSR4",'suoirao (2016)'!$A$3,"MA_HT","DKV","MA_QH","DTL")</f>
        <v>0</v>
      </c>
      <c r="AD53" s="22">
        <f ca="1">+GETPIVOTDATA("XSR4",'suoirao (2016)'!$A$3,"MA_HT","DKV","MA_QH","DNL")</f>
        <v>0</v>
      </c>
      <c r="AE53" s="22">
        <f ca="1">+GETPIVOTDATA("XSR4",'suoirao (2016)'!$A$3,"MA_HT","DKV","MA_QH","DBV")</f>
        <v>0</v>
      </c>
      <c r="AF53" s="22">
        <f ca="1">+GETPIVOTDATA("XSR4",'suoirao (2016)'!$A$3,"MA_HT","DKV","MA_QH","DVH")</f>
        <v>0</v>
      </c>
      <c r="AG53" s="22">
        <f ca="1">+GETPIVOTDATA("XSR4",'suoirao (2016)'!$A$3,"MA_HT","DKV","MA_QH","DYT")</f>
        <v>0</v>
      </c>
      <c r="AH53" s="22">
        <f ca="1">+GETPIVOTDATA("XSR4",'suoirao (2016)'!$A$3,"MA_HT","DKV","MA_QH","DGD")</f>
        <v>0</v>
      </c>
      <c r="AI53" s="22">
        <f ca="1">+GETPIVOTDATA("XSR4",'suoirao (2016)'!$A$3,"MA_HT","DKV","MA_QH","DTT")</f>
        <v>0</v>
      </c>
      <c r="AJ53" s="22">
        <f ca="1">+GETPIVOTDATA("XSR4",'suoirao (2016)'!$A$3,"MA_HT","DKV","MA_QH","NCK")</f>
        <v>0</v>
      </c>
      <c r="AK53" s="22">
        <f ca="1">+GETPIVOTDATA("XSR4",'suoirao (2016)'!$A$3,"MA_HT","DKV","MA_QH","DXH")</f>
        <v>0</v>
      </c>
      <c r="AL53" s="22">
        <f ca="1">+GETPIVOTDATA("XSR4",'suoirao (2016)'!$A$3,"MA_HT","DKV","MA_QH","DCH")</f>
        <v>0</v>
      </c>
      <c r="AM53" s="22">
        <f ca="1">+GETPIVOTDATA("XSR4",'suoirao (2016)'!$A$3,"MA_HT","DKV","MA_QH","DKG")</f>
        <v>0</v>
      </c>
      <c r="AN53" s="22">
        <f ca="1">+GETPIVOTDATA("XSR4",'suoirao (2016)'!$A$3,"MA_HT","DKV","MA_QH","DDT")</f>
        <v>0</v>
      </c>
      <c r="AO53" s="22">
        <f ca="1">+GETPIVOTDATA("XSR4",'suoirao (2016)'!$A$3,"MA_HT","DKV","MA_QH","DDL")</f>
        <v>0</v>
      </c>
      <c r="AP53" s="22">
        <f ca="1">+GETPIVOTDATA("XSR4",'suoirao (2016)'!$A$3,"MA_HT","DKV","MA_QH","DRA")</f>
        <v>0</v>
      </c>
      <c r="AQ53" s="22">
        <f ca="1">+GETPIVOTDATA("XSR4",'suoirao (2016)'!$A$3,"MA_HT","DKV","MA_QH","ONT")</f>
        <v>0</v>
      </c>
      <c r="AR53" s="22">
        <f ca="1">+GETPIVOTDATA("XSR4",'suoirao (2016)'!$A$3,"MA_HT","DKV","MA_QH","ODT")</f>
        <v>0</v>
      </c>
      <c r="AS53" s="22">
        <f ca="1">+GETPIVOTDATA("XSR4",'suoirao (2016)'!$A$3,"MA_HT","DKV","MA_QH","TSC")</f>
        <v>0</v>
      </c>
      <c r="AT53" s="22">
        <f ca="1">+GETPIVOTDATA("XSR4",'suoirao (2016)'!$A$3,"MA_HT","DKV","MA_QH","DTS")</f>
        <v>0</v>
      </c>
      <c r="AU53" s="22">
        <f ca="1">+GETPIVOTDATA("XSR4",'suoirao (2016)'!$A$3,"MA_HT","DKV","MA_QH","DNG")</f>
        <v>0</v>
      </c>
      <c r="AV53" s="22">
        <f ca="1">+GETPIVOTDATA("XSR4",'suoirao (2016)'!$A$3,"MA_HT","DKV","MA_QH","TON")</f>
        <v>0</v>
      </c>
      <c r="AW53" s="22">
        <f ca="1">+GETPIVOTDATA("XSR4",'suoirao (2016)'!$A$3,"MA_HT","DKV","MA_QH","NTD")</f>
        <v>0</v>
      </c>
      <c r="AX53" s="22">
        <f ca="1">+GETPIVOTDATA("XSR4",'suoirao (2016)'!$A$3,"MA_HT","DKV","MA_QH","SKX")</f>
        <v>0</v>
      </c>
      <c r="AY53" s="22">
        <f ca="1">+GETPIVOTDATA("XSR4",'suoirao (2016)'!$A$3,"MA_HT","DKV","MA_QH","DSH")</f>
        <v>0</v>
      </c>
      <c r="AZ53" s="43" t="e">
        <f ca="1">$D53-$BF53</f>
        <v>#REF!</v>
      </c>
      <c r="BA53" s="89">
        <f ca="1">+GETPIVOTDATA("XSR4",'suoirao (2016)'!$A$3,"MA_HT","DKV","MA_QH","TIN")</f>
        <v>0</v>
      </c>
      <c r="BB53" s="50">
        <f ca="1">+GETPIVOTDATA("XSR4",'suoirao (2016)'!$A$3,"MA_HT","DKV","MA_QH","SON")</f>
        <v>0</v>
      </c>
      <c r="BC53" s="50">
        <f ca="1">+GETPIVOTDATA("XSR4",'suoirao (2016)'!$A$3,"MA_HT","DKV","MA_QH","MNC")</f>
        <v>0</v>
      </c>
      <c r="BD53" s="22">
        <f ca="1">+GETPIVOTDATA("XSR4",'suoirao (2016)'!$A$3,"MA_HT","DKV","MA_QH","PNK")</f>
        <v>0</v>
      </c>
      <c r="BE53" s="71">
        <f ca="1">+GETPIVOTDATA("XSR4",'suoirao (2016)'!$A$3,"MA_HT","DKV","MA_QH","CSD")</f>
        <v>0</v>
      </c>
      <c r="BF53" s="74">
        <f ca="1" t="shared" si="13"/>
        <v>0</v>
      </c>
      <c r="BG53" s="101">
        <f ca="1">AZ$59-$BF53</f>
        <v>0</v>
      </c>
      <c r="BH53" s="41" t="e">
        <f ca="1" t="shared" si="14"/>
        <v>#REF!</v>
      </c>
      <c r="BI53" s="98"/>
      <c r="BJ53" s="98" t="e">
        <f>#REF!</f>
        <v>#REF!</v>
      </c>
      <c r="BK53" s="107" t="e">
        <f ca="1">BH53-BJ53</f>
        <v>#REF!</v>
      </c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</row>
    <row r="54" s="2" customFormat="1" ht="15.75" customHeight="1" spans="1:75">
      <c r="A54" s="39" t="s">
        <v>8426</v>
      </c>
      <c r="B54" s="39" t="s">
        <v>8427</v>
      </c>
      <c r="C54" s="40" t="s">
        <v>8310</v>
      </c>
      <c r="D54" s="41" t="e">
        <f>+#REF!</f>
        <v>#REF!</v>
      </c>
      <c r="E54" s="33">
        <f ca="1" t="shared" si="15"/>
        <v>0</v>
      </c>
      <c r="F54" s="52">
        <f ca="1">SUM(F29:F39)</f>
        <v>0</v>
      </c>
      <c r="G54" s="22">
        <f ca="1">+GETPIVOTDATA("XSR4",'suoirao (2016)'!$A$3,"MA_HT","TIN","MA_QH","LUC")</f>
        <v>0</v>
      </c>
      <c r="H54" s="22">
        <f ca="1">+GETPIVOTDATA("XSR4",'suoirao (2016)'!$A$3,"MA_HT","TIN","MA_QH","LUK")</f>
        <v>0</v>
      </c>
      <c r="I54" s="22">
        <f ca="1">+GETPIVOTDATA("XSR4",'suoirao (2016)'!$A$3,"MA_HT","TIN","MA_QH","LUN")</f>
        <v>0</v>
      </c>
      <c r="J54" s="22">
        <f ca="1">+GETPIVOTDATA("XSR4",'suoirao (2016)'!$A$3,"MA_HT","TIN","MA_QH","HNK")</f>
        <v>0</v>
      </c>
      <c r="K54" s="22">
        <f ca="1">+GETPIVOTDATA("XSR4",'suoirao (2016)'!$A$3,"MA_HT","TIN","MA_QH","CLN")</f>
        <v>0</v>
      </c>
      <c r="L54" s="22">
        <f ca="1">+GETPIVOTDATA("XSR4",'suoirao (2016)'!$A$3,"MA_HT","TIN","MA_QH","RSX")</f>
        <v>0</v>
      </c>
      <c r="M54" s="22">
        <f ca="1">+GETPIVOTDATA("XSR4",'suoirao (2016)'!$A$3,"MA_HT","TIN","MA_QH","RPH")</f>
        <v>0</v>
      </c>
      <c r="N54" s="22">
        <f ca="1">+GETPIVOTDATA("XSR4",'suoirao (2016)'!$A$3,"MA_HT","TIN","MA_QH","RDD")</f>
        <v>0</v>
      </c>
      <c r="O54" s="22">
        <f ca="1">+GETPIVOTDATA("XSR4",'suoirao (2016)'!$A$3,"MA_HT","TIN","MA_QH","NTS")</f>
        <v>0</v>
      </c>
      <c r="P54" s="22">
        <f ca="1">+GETPIVOTDATA("XSR4",'suoirao (2016)'!$A$3,"MA_HT","TIN","MA_QH","LMU")</f>
        <v>0</v>
      </c>
      <c r="Q54" s="22">
        <f ca="1">+GETPIVOTDATA("XSR4",'suoirao (2016)'!$A$3,"MA_HT","TIN","MA_QH","NKH")</f>
        <v>0</v>
      </c>
      <c r="R54" s="79">
        <f ca="1">SUM(S54:AA54,AN54:AZ54,BB54:BD54)</f>
        <v>0</v>
      </c>
      <c r="S54" s="22">
        <f ca="1">+GETPIVOTDATA("XSR4",'suoirao (2016)'!$A$3,"MA_HT","TIN","MA_QH","CQP")</f>
        <v>0</v>
      </c>
      <c r="T54" s="22">
        <f ca="1">+GETPIVOTDATA("XSR4",'suoirao (2016)'!$A$3,"MA_HT","TIN","MA_QH","CAN")</f>
        <v>0</v>
      </c>
      <c r="U54" s="22">
        <f ca="1">+GETPIVOTDATA("XSR4",'suoirao (2016)'!$A$3,"MA_HT","TIN","MA_QH","SKK")</f>
        <v>0</v>
      </c>
      <c r="V54" s="22">
        <f ca="1">+GETPIVOTDATA("XSR4",'suoirao (2016)'!$A$3,"MA_HT","TIN","MA_QH","SKT")</f>
        <v>0</v>
      </c>
      <c r="W54" s="22">
        <f ca="1">+GETPIVOTDATA("XSR4",'suoirao (2016)'!$A$3,"MA_HT","TIN","MA_QH","SKN")</f>
        <v>0</v>
      </c>
      <c r="X54" s="22">
        <f ca="1">+GETPIVOTDATA("XSR4",'suoirao (2016)'!$A$3,"MA_HT","TIN","MA_QH","TMD")</f>
        <v>0</v>
      </c>
      <c r="Y54" s="22">
        <f ca="1">+GETPIVOTDATA("XSR4",'suoirao (2016)'!$A$3,"MA_HT","TIN","MA_QH","SKC")</f>
        <v>0</v>
      </c>
      <c r="Z54" s="22">
        <f ca="1">+GETPIVOTDATA("XSR4",'suoirao (2016)'!$A$3,"MA_HT","TIN","MA_QH","SKS")</f>
        <v>0</v>
      </c>
      <c r="AA54" s="52">
        <f ca="1" t="shared" si="21"/>
        <v>0</v>
      </c>
      <c r="AB54" s="22">
        <f ca="1">+GETPIVOTDATA("XSR4",'suoirao (2016)'!$A$3,"MA_HT","TIN","MA_QH","DGT")</f>
        <v>0</v>
      </c>
      <c r="AC54" s="22">
        <f ca="1">+GETPIVOTDATA("XSR4",'suoirao (2016)'!$A$3,"MA_HT","TIN","MA_QH","DTL")</f>
        <v>0</v>
      </c>
      <c r="AD54" s="22">
        <f ca="1">+GETPIVOTDATA("XSR4",'suoirao (2016)'!$A$3,"MA_HT","TIN","MA_QH","DNL")</f>
        <v>0</v>
      </c>
      <c r="AE54" s="22">
        <f ca="1">+GETPIVOTDATA("XSR4",'suoirao (2016)'!$A$3,"MA_HT","TIN","MA_QH","DBV")</f>
        <v>0</v>
      </c>
      <c r="AF54" s="22">
        <f ca="1">+GETPIVOTDATA("XSR4",'suoirao (2016)'!$A$3,"MA_HT","TIN","MA_QH","DVH")</f>
        <v>0</v>
      </c>
      <c r="AG54" s="22">
        <f ca="1">+GETPIVOTDATA("XSR4",'suoirao (2016)'!$A$3,"MA_HT","TIN","MA_QH","DYT")</f>
        <v>0</v>
      </c>
      <c r="AH54" s="22">
        <f ca="1">+GETPIVOTDATA("XSR4",'suoirao (2016)'!$A$3,"MA_HT","TIN","MA_QH","DGD")</f>
        <v>0</v>
      </c>
      <c r="AI54" s="22">
        <f ca="1">+GETPIVOTDATA("XSR4",'suoirao (2016)'!$A$3,"MA_HT","TIN","MA_QH","DTT")</f>
        <v>0</v>
      </c>
      <c r="AJ54" s="22">
        <f ca="1">+GETPIVOTDATA("XSR4",'suoirao (2016)'!$A$3,"MA_HT","TIN","MA_QH","NCK")</f>
        <v>0</v>
      </c>
      <c r="AK54" s="22">
        <f ca="1">+GETPIVOTDATA("XSR4",'suoirao (2016)'!$A$3,"MA_HT","TIN","MA_QH","DXH")</f>
        <v>0</v>
      </c>
      <c r="AL54" s="22">
        <f ca="1">+GETPIVOTDATA("XSR4",'suoirao (2016)'!$A$3,"MA_HT","TIN","MA_QH","DCH")</f>
        <v>0</v>
      </c>
      <c r="AM54" s="22">
        <f ca="1">+GETPIVOTDATA("XSR4",'suoirao (2016)'!$A$3,"MA_HT","TIN","MA_QH","DKG")</f>
        <v>0</v>
      </c>
      <c r="AN54" s="22">
        <f ca="1">+GETPIVOTDATA("XSR4",'suoirao (2016)'!$A$3,"MA_HT","TIN","MA_QH","DDT")</f>
        <v>0</v>
      </c>
      <c r="AO54" s="22">
        <f ca="1">+GETPIVOTDATA("XSR4",'suoirao (2016)'!$A$3,"MA_HT","TIN","MA_QH","DDL")</f>
        <v>0</v>
      </c>
      <c r="AP54" s="22">
        <f ca="1">+GETPIVOTDATA("XSR4",'suoirao (2016)'!$A$3,"MA_HT","TIN","MA_QH","DRA")</f>
        <v>0</v>
      </c>
      <c r="AQ54" s="22">
        <f ca="1">+GETPIVOTDATA("XSR4",'suoirao (2016)'!$A$3,"MA_HT","TIN","MA_QH","ONT")</f>
        <v>0</v>
      </c>
      <c r="AR54" s="22">
        <f ca="1">+GETPIVOTDATA("XSR4",'suoirao (2016)'!$A$3,"MA_HT","TIN","MA_QH","ODT")</f>
        <v>0</v>
      </c>
      <c r="AS54" s="22">
        <f ca="1">+GETPIVOTDATA("XSR4",'suoirao (2016)'!$A$3,"MA_HT","TIN","MA_QH","TSC")</f>
        <v>0</v>
      </c>
      <c r="AT54" s="22">
        <f ca="1">+GETPIVOTDATA("XSR4",'suoirao (2016)'!$A$3,"MA_HT","TIN","MA_QH","DTS")</f>
        <v>0</v>
      </c>
      <c r="AU54" s="22">
        <f ca="1">+GETPIVOTDATA("XSR4",'suoirao (2016)'!$A$3,"MA_HT","TIN","MA_QH","DNG")</f>
        <v>0</v>
      </c>
      <c r="AV54" s="22">
        <f ca="1">+GETPIVOTDATA("XSR4",'suoirao (2016)'!$A$3,"MA_HT","TIN","MA_QH","TON")</f>
        <v>0</v>
      </c>
      <c r="AW54" s="22">
        <f ca="1">+GETPIVOTDATA("XSR4",'suoirao (2016)'!$A$3,"MA_HT","TIN","MA_QH","NTD")</f>
        <v>0</v>
      </c>
      <c r="AX54" s="22">
        <f ca="1">+GETPIVOTDATA("XSR4",'suoirao (2016)'!$A$3,"MA_HT","TIN","MA_QH","SKX")</f>
        <v>0</v>
      </c>
      <c r="AY54" s="22">
        <f ca="1">+GETPIVOTDATA("XSR4",'suoirao (2016)'!$A$3,"MA_HT","TIN","MA_QH","DSH")</f>
        <v>0</v>
      </c>
      <c r="AZ54" s="22">
        <f ca="1">+GETPIVOTDATA("XSR4",'suoirao (2016)'!$A$3,"MA_HT","TIN","MA_QH","DKV")</f>
        <v>0</v>
      </c>
      <c r="BA54" s="43" t="e">
        <f ca="1">$D54-$BF54</f>
        <v>#REF!</v>
      </c>
      <c r="BB54" s="22">
        <f ca="1">+GETPIVOTDATA("XSR4",'suoirao (2016)'!$A$3,"MA_HT","TIN","MA_QH","SON")</f>
        <v>0</v>
      </c>
      <c r="BC54" s="22">
        <f ca="1">+GETPIVOTDATA("XSR4",'suoirao (2016)'!$A$3,"MA_HT","TIN","MA_QH","MNC")</f>
        <v>0</v>
      </c>
      <c r="BD54" s="22">
        <f ca="1">+GETPIVOTDATA("XSR4",'suoirao (2016)'!$A$3,"MA_HT","TIN","MA_QH","PNK")</f>
        <v>0</v>
      </c>
      <c r="BE54" s="71">
        <f ca="1">+GETPIVOTDATA("XSR4",'suoirao (2016)'!$A$3,"MA_HT","TIN","MA_QH","CSD")</f>
        <v>0</v>
      </c>
      <c r="BF54" s="74">
        <f ca="1" t="shared" si="13"/>
        <v>0</v>
      </c>
      <c r="BG54" s="101">
        <f ca="1">BA59-BF54</f>
        <v>0</v>
      </c>
      <c r="BH54" s="41" t="e">
        <f ca="1" t="shared" si="14"/>
        <v>#REF!</v>
      </c>
      <c r="BI54" s="98"/>
      <c r="BJ54" s="39" t="e">
        <f>SUM(BJ29:BJ39)</f>
        <v>#REF!</v>
      </c>
      <c r="BK54" s="107" t="e">
        <f ca="1">BH54-BJ54</f>
        <v>#REF!</v>
      </c>
      <c r="BL54" s="107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</row>
    <row r="55" s="2" customFormat="1" ht="15.75" customHeight="1" spans="1:79">
      <c r="A55" s="68" t="s">
        <v>8428</v>
      </c>
      <c r="B55" s="69" t="s">
        <v>8429</v>
      </c>
      <c r="C55" s="40" t="s">
        <v>8309</v>
      </c>
      <c r="D55" s="41" t="e">
        <f>+#REF!</f>
        <v>#REF!</v>
      </c>
      <c r="E55" s="42">
        <f ca="1" t="shared" si="15"/>
        <v>0</v>
      </c>
      <c r="F55" s="52">
        <f ca="1" t="shared" si="9"/>
        <v>0</v>
      </c>
      <c r="G55" s="22">
        <f ca="1">+GETPIVOTDATA("XSR4",'suoirao (2016)'!$A$3,"MA_HT","SON","MA_QH","LUC")</f>
        <v>0</v>
      </c>
      <c r="H55" s="22">
        <f ca="1">+GETPIVOTDATA("XSR4",'suoirao (2016)'!$A$3,"MA_HT","SON","MA_QH","LUK")</f>
        <v>0</v>
      </c>
      <c r="I55" s="22">
        <f ca="1">+GETPIVOTDATA("XSR4",'suoirao (2016)'!$A$3,"MA_HT","SON","MA_QH","LUN")</f>
        <v>0</v>
      </c>
      <c r="J55" s="22">
        <f ca="1">+GETPIVOTDATA("XSR4",'suoirao (2016)'!$A$3,"MA_HT","SON","MA_QH","HNK")</f>
        <v>0</v>
      </c>
      <c r="K55" s="22">
        <f ca="1">+GETPIVOTDATA("XSR4",'suoirao (2016)'!$A$3,"MA_HT","SON","MA_QH","CLN")</f>
        <v>0</v>
      </c>
      <c r="L55" s="22">
        <f ca="1">+GETPIVOTDATA("XSR4",'suoirao (2016)'!$A$3,"MA_HT","SON","MA_QH","RSX")</f>
        <v>0</v>
      </c>
      <c r="M55" s="22">
        <f ca="1">+GETPIVOTDATA("XSR4",'suoirao (2016)'!$A$3,"MA_HT","SON","MA_QH","RPH")</f>
        <v>0</v>
      </c>
      <c r="N55" s="22">
        <f ca="1">+GETPIVOTDATA("XSR4",'suoirao (2016)'!$A$3,"MA_HT","SON","MA_QH","RDD")</f>
        <v>0</v>
      </c>
      <c r="O55" s="22">
        <f ca="1">+GETPIVOTDATA("XSR4",'suoirao (2016)'!$A$3,"MA_HT","SON","MA_QH","NTS")</f>
        <v>0</v>
      </c>
      <c r="P55" s="22">
        <f ca="1">+GETPIVOTDATA("XSR4",'suoirao (2016)'!$A$3,"MA_HT","SON","MA_QH","LMU")</f>
        <v>0</v>
      </c>
      <c r="Q55" s="22">
        <f ca="1">+GETPIVOTDATA("XSR4",'suoirao (2016)'!$A$3,"MA_HT","SON","MA_QH","NKH")</f>
        <v>0</v>
      </c>
      <c r="R55" s="79">
        <f ca="1">SUM(S55:AA55,AN55:AZ55,BC55:BD55)</f>
        <v>0</v>
      </c>
      <c r="S55" s="22">
        <f ca="1">+GETPIVOTDATA("XSR4",'suoirao (2016)'!$A$3,"MA_HT","SON","MA_QH","CQP")</f>
        <v>0</v>
      </c>
      <c r="T55" s="22">
        <f ca="1">+GETPIVOTDATA("XSR4",'suoirao (2016)'!$A$3,"MA_HT","SON","MA_QH","CAN")</f>
        <v>0</v>
      </c>
      <c r="U55" s="22">
        <f ca="1">+GETPIVOTDATA("XSR4",'suoirao (2016)'!$A$3,"MA_HT","SON","MA_QH","SKK")</f>
        <v>0</v>
      </c>
      <c r="V55" s="22">
        <f ca="1">+GETPIVOTDATA("XSR4",'suoirao (2016)'!$A$3,"MA_HT","SON","MA_QH","SKT")</f>
        <v>0</v>
      </c>
      <c r="W55" s="22">
        <f ca="1">+GETPIVOTDATA("XSR4",'suoirao (2016)'!$A$3,"MA_HT","SON","MA_QH","SKN")</f>
        <v>0</v>
      </c>
      <c r="X55" s="22">
        <f ca="1">+GETPIVOTDATA("XSR4",'suoirao (2016)'!$A$3,"MA_HT","SON","MA_QH","TMD")</f>
        <v>0</v>
      </c>
      <c r="Y55" s="22">
        <f ca="1">+GETPIVOTDATA("XSR4",'suoirao (2016)'!$A$3,"MA_HT","SON","MA_QH","SKC")</f>
        <v>0</v>
      </c>
      <c r="Z55" s="22">
        <f ca="1">+GETPIVOTDATA("XSR4",'suoirao (2016)'!$A$3,"MA_HT","SON","MA_QH","SKS")</f>
        <v>0</v>
      </c>
      <c r="AA55" s="52">
        <f ca="1" t="shared" si="21"/>
        <v>0</v>
      </c>
      <c r="AB55" s="22">
        <f ca="1">+GETPIVOTDATA("XSR4",'suoirao (2016)'!$A$3,"MA_HT","SON","MA_QH","DGT")</f>
        <v>0</v>
      </c>
      <c r="AC55" s="22">
        <f ca="1">+GETPIVOTDATA("XSR4",'suoirao (2016)'!$A$3,"MA_HT","SON","MA_QH","DTL")</f>
        <v>0</v>
      </c>
      <c r="AD55" s="22">
        <f ca="1">+GETPIVOTDATA("XSR4",'suoirao (2016)'!$A$3,"MA_HT","SON","MA_QH","DNL")</f>
        <v>0</v>
      </c>
      <c r="AE55" s="22">
        <f ca="1">+GETPIVOTDATA("XSR4",'suoirao (2016)'!$A$3,"MA_HT","SON","MA_QH","DBV")</f>
        <v>0</v>
      </c>
      <c r="AF55" s="22">
        <f ca="1">+GETPIVOTDATA("XSR4",'suoirao (2016)'!$A$3,"MA_HT","SON","MA_QH","DVH")</f>
        <v>0</v>
      </c>
      <c r="AG55" s="22">
        <f ca="1">+GETPIVOTDATA("XSR4",'suoirao (2016)'!$A$3,"MA_HT","SON","MA_QH","DYT")</f>
        <v>0</v>
      </c>
      <c r="AH55" s="22">
        <f ca="1">+GETPIVOTDATA("XSR4",'suoirao (2016)'!$A$3,"MA_HT","SON","MA_QH","DGD")</f>
        <v>0</v>
      </c>
      <c r="AI55" s="22">
        <f ca="1">+GETPIVOTDATA("XSR4",'suoirao (2016)'!$A$3,"MA_HT","SON","MA_QH","DTT")</f>
        <v>0</v>
      </c>
      <c r="AJ55" s="22">
        <f ca="1">+GETPIVOTDATA("XSR4",'suoirao (2016)'!$A$3,"MA_HT","SON","MA_QH","NCK")</f>
        <v>0</v>
      </c>
      <c r="AK55" s="22">
        <f ca="1">+GETPIVOTDATA("XSR4",'suoirao (2016)'!$A$3,"MA_HT","SON","MA_QH","DXH")</f>
        <v>0</v>
      </c>
      <c r="AL55" s="22">
        <f ca="1">+GETPIVOTDATA("XSR4",'suoirao (2016)'!$A$3,"MA_HT","SON","MA_QH","DCH")</f>
        <v>0</v>
      </c>
      <c r="AM55" s="22">
        <f ca="1">+GETPIVOTDATA("XSR4",'suoirao (2016)'!$A$3,"MA_HT","SON","MA_QH","DKG")</f>
        <v>0</v>
      </c>
      <c r="AN55" s="22">
        <f ca="1">+GETPIVOTDATA("XSR4",'suoirao (2016)'!$A$3,"MA_HT","SON","MA_QH","DDT")</f>
        <v>0</v>
      </c>
      <c r="AO55" s="22">
        <f ca="1">+GETPIVOTDATA("XSR4",'suoirao (2016)'!$A$3,"MA_HT","SON","MA_QH","DDL")</f>
        <v>0</v>
      </c>
      <c r="AP55" s="22">
        <f ca="1">+GETPIVOTDATA("XSR4",'suoirao (2016)'!$A$3,"MA_HT","SON","MA_QH","DRA")</f>
        <v>0</v>
      </c>
      <c r="AQ55" s="22">
        <f ca="1">+GETPIVOTDATA("XSR4",'suoirao (2016)'!$A$3,"MA_HT","SON","MA_QH","ONT")</f>
        <v>0</v>
      </c>
      <c r="AR55" s="22">
        <f ca="1">+GETPIVOTDATA("XSR4",'suoirao (2016)'!$A$3,"MA_HT","SON","MA_QH","ODT")</f>
        <v>0</v>
      </c>
      <c r="AS55" s="22">
        <f ca="1">+GETPIVOTDATA("XSR4",'suoirao (2016)'!$A$3,"MA_HT","SON","MA_QH","TSC")</f>
        <v>0</v>
      </c>
      <c r="AT55" s="22">
        <f ca="1">+GETPIVOTDATA("XSR4",'suoirao (2016)'!$A$3,"MA_HT","SON","MA_QH","DTS")</f>
        <v>0</v>
      </c>
      <c r="AU55" s="22">
        <f ca="1">+GETPIVOTDATA("XSR4",'suoirao (2016)'!$A$3,"MA_HT","SON","MA_QH","DNG")</f>
        <v>0</v>
      </c>
      <c r="AV55" s="22">
        <f ca="1">+GETPIVOTDATA("XSR4",'suoirao (2016)'!$A$3,"MA_HT","SON","MA_QH","TON")</f>
        <v>0</v>
      </c>
      <c r="AW55" s="22">
        <f ca="1">+GETPIVOTDATA("XSR4",'suoirao (2016)'!$A$3,"MA_HT","SON","MA_QH","NTD")</f>
        <v>0</v>
      </c>
      <c r="AX55" s="22">
        <f ca="1">+GETPIVOTDATA("XSR4",'suoirao (2016)'!$A$3,"MA_HT","SON","MA_QH","SKX")</f>
        <v>0</v>
      </c>
      <c r="AY55" s="22">
        <f ca="1">+GETPIVOTDATA("XSR4",'suoirao (2016)'!$A$3,"MA_HT","SON","MA_QH","DSH")</f>
        <v>0</v>
      </c>
      <c r="AZ55" s="22">
        <f ca="1">+GETPIVOTDATA("XSR4",'suoirao (2016)'!$A$3,"MA_HT","SON","MA_QH","DKV")</f>
        <v>0</v>
      </c>
      <c r="BA55" s="89">
        <f ca="1">+GETPIVOTDATA("XSR4",'suoirao (2016)'!$A$3,"MA_HT","SON","MA_QH","TIN")</f>
        <v>0</v>
      </c>
      <c r="BB55" s="43" t="e">
        <f ca="1">$D55-$BF55</f>
        <v>#REF!</v>
      </c>
      <c r="BC55" s="50">
        <f ca="1">+GETPIVOTDATA("XSR4",'suoirao (2016)'!$A$3,"MA_HT","SON","MA_QH","MNC")</f>
        <v>0</v>
      </c>
      <c r="BD55" s="22">
        <f ca="1">+GETPIVOTDATA("XSR4",'suoirao (2016)'!$A$3,"MA_HT","SON","MA_QH","PNK")</f>
        <v>0</v>
      </c>
      <c r="BE55" s="71">
        <f ca="1">+GETPIVOTDATA("XSR4",'suoirao (2016)'!$A$3,"MA_HT","SON","MA_QH","CSD")</f>
        <v>0</v>
      </c>
      <c r="BF55" s="74">
        <f ca="1" t="shared" si="13"/>
        <v>0</v>
      </c>
      <c r="BG55" s="101">
        <f ca="1">BB$59-$BF55</f>
        <v>0</v>
      </c>
      <c r="BH55" s="41" t="e">
        <f ca="1" t="shared" si="14"/>
        <v>#REF!</v>
      </c>
      <c r="BI55" s="98"/>
      <c r="BJ55" s="98"/>
      <c r="BK55" s="107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</row>
    <row r="56" s="2" customFormat="1" ht="15.75" customHeight="1" spans="1:79">
      <c r="A56" s="68" t="s">
        <v>8430</v>
      </c>
      <c r="B56" s="69" t="s">
        <v>8431</v>
      </c>
      <c r="C56" s="40" t="s">
        <v>8301</v>
      </c>
      <c r="D56" s="41" t="e">
        <f>+#REF!</f>
        <v>#REF!</v>
      </c>
      <c r="E56" s="42">
        <f ca="1" t="shared" si="15"/>
        <v>0</v>
      </c>
      <c r="F56" s="52">
        <f ca="1" t="shared" si="9"/>
        <v>0</v>
      </c>
      <c r="G56" s="22">
        <f ca="1">+GETPIVOTDATA("XSR4",'suoirao (2016)'!$A$3,"MA_HT","MNC","MA_QH","LUC")</f>
        <v>0</v>
      </c>
      <c r="H56" s="22">
        <f ca="1">+GETPIVOTDATA("XSR4",'suoirao (2016)'!$A$3,"MA_HT","MNC","MA_QH","LUK")</f>
        <v>0</v>
      </c>
      <c r="I56" s="22">
        <f ca="1">+GETPIVOTDATA("XSR4",'suoirao (2016)'!$A$3,"MA_HT","MNC","MA_QH","LUN")</f>
        <v>0</v>
      </c>
      <c r="J56" s="22">
        <f ca="1">+GETPIVOTDATA("XSR4",'suoirao (2016)'!$A$3,"MA_HT","MNC","MA_QH","HNK")</f>
        <v>0</v>
      </c>
      <c r="K56" s="22">
        <f ca="1">+GETPIVOTDATA("XSR4",'suoirao (2016)'!$A$3,"MA_HT","MNC","MA_QH","CLN")</f>
        <v>0</v>
      </c>
      <c r="L56" s="22">
        <f ca="1">+GETPIVOTDATA("XSR4",'suoirao (2016)'!$A$3,"MA_HT","MNC","MA_QH","RSX")</f>
        <v>0</v>
      </c>
      <c r="M56" s="22">
        <f ca="1">+GETPIVOTDATA("XSR4",'suoirao (2016)'!$A$3,"MA_HT","MNC","MA_QH","RPH")</f>
        <v>0</v>
      </c>
      <c r="N56" s="22">
        <f ca="1">+GETPIVOTDATA("XSR4",'suoirao (2016)'!$A$3,"MA_HT","MNC","MA_QH","RDD")</f>
        <v>0</v>
      </c>
      <c r="O56" s="22">
        <f ca="1">+GETPIVOTDATA("XSR4",'suoirao (2016)'!$A$3,"MA_HT","MNC","MA_QH","NTS")</f>
        <v>0</v>
      </c>
      <c r="P56" s="22">
        <f ca="1">+GETPIVOTDATA("XSR4",'suoirao (2016)'!$A$3,"MA_HT","MNC","MA_QH","LMU")</f>
        <v>0</v>
      </c>
      <c r="Q56" s="22">
        <f ca="1">+GETPIVOTDATA("XSR4",'suoirao (2016)'!$A$3,"MA_HT","MNC","MA_QH","NKH")</f>
        <v>0</v>
      </c>
      <c r="R56" s="79">
        <f ca="1">SUM(S56:AA56,AN56:BB56,BD56)</f>
        <v>0</v>
      </c>
      <c r="S56" s="22">
        <f ca="1">+GETPIVOTDATA("XSR4",'suoirao (2016)'!$A$3,"MA_HT","MNC","MA_QH","CQP")</f>
        <v>0</v>
      </c>
      <c r="T56" s="22">
        <f ca="1">+GETPIVOTDATA("XSR4",'suoirao (2016)'!$A$3,"MA_HT","MNC","MA_QH","CAN")</f>
        <v>0</v>
      </c>
      <c r="U56" s="22">
        <f ca="1">+GETPIVOTDATA("XSR4",'suoirao (2016)'!$A$3,"MA_HT","MNC","MA_QH","SKK")</f>
        <v>0</v>
      </c>
      <c r="V56" s="22">
        <f ca="1">+GETPIVOTDATA("XSR4",'suoirao (2016)'!$A$3,"MA_HT","MNC","MA_QH","SKT")</f>
        <v>0</v>
      </c>
      <c r="W56" s="22">
        <f ca="1">+GETPIVOTDATA("XSR4",'suoirao (2016)'!$A$3,"MA_HT","MNC","MA_QH","SKN")</f>
        <v>0</v>
      </c>
      <c r="X56" s="22">
        <f ca="1">+GETPIVOTDATA("XSR4",'suoirao (2016)'!$A$3,"MA_HT","MNC","MA_QH","TMD")</f>
        <v>0</v>
      </c>
      <c r="Y56" s="22">
        <f ca="1">+GETPIVOTDATA("XSR4",'suoirao (2016)'!$A$3,"MA_HT","MNC","MA_QH","SKC")</f>
        <v>0</v>
      </c>
      <c r="Z56" s="22">
        <f ca="1">+GETPIVOTDATA("XSR4",'suoirao (2016)'!$A$3,"MA_HT","MNC","MA_QH","SKS")</f>
        <v>0</v>
      </c>
      <c r="AA56" s="52">
        <f ca="1" t="shared" si="21"/>
        <v>0</v>
      </c>
      <c r="AB56" s="22">
        <f ca="1">+GETPIVOTDATA("XSR4",'suoirao (2016)'!$A$3,"MA_HT","MNC","MA_QH","DGT")</f>
        <v>0</v>
      </c>
      <c r="AC56" s="22">
        <f ca="1">+GETPIVOTDATA("XSR4",'suoirao (2016)'!$A$3,"MA_HT","MNC","MA_QH","DTL")</f>
        <v>0</v>
      </c>
      <c r="AD56" s="22">
        <f ca="1">+GETPIVOTDATA("XSR4",'suoirao (2016)'!$A$3,"MA_HT","MNC","MA_QH","DNL")</f>
        <v>0</v>
      </c>
      <c r="AE56" s="22">
        <f ca="1">+GETPIVOTDATA("XSR4",'suoirao (2016)'!$A$3,"MA_HT","MNC","MA_QH","DBV")</f>
        <v>0</v>
      </c>
      <c r="AF56" s="22">
        <f ca="1">+GETPIVOTDATA("XSR4",'suoirao (2016)'!$A$3,"MA_HT","MNC","MA_QH","DVH")</f>
        <v>0</v>
      </c>
      <c r="AG56" s="22">
        <f ca="1">+GETPIVOTDATA("XSR4",'suoirao (2016)'!$A$3,"MA_HT","MNC","MA_QH","DYT")</f>
        <v>0</v>
      </c>
      <c r="AH56" s="22">
        <f ca="1">+GETPIVOTDATA("XSR4",'suoirao (2016)'!$A$3,"MA_HT","MNC","MA_QH","DGD")</f>
        <v>0</v>
      </c>
      <c r="AI56" s="22">
        <f ca="1">+GETPIVOTDATA("XSR4",'suoirao (2016)'!$A$3,"MA_HT","MNC","MA_QH","DTT")</f>
        <v>0</v>
      </c>
      <c r="AJ56" s="22">
        <f ca="1">+GETPIVOTDATA("XSR4",'suoirao (2016)'!$A$3,"MA_HT","MNC","MA_QH","NCK")</f>
        <v>0</v>
      </c>
      <c r="AK56" s="22">
        <f ca="1">+GETPIVOTDATA("XSR4",'suoirao (2016)'!$A$3,"MA_HT","MNC","MA_QH","DXH")</f>
        <v>0</v>
      </c>
      <c r="AL56" s="22">
        <f ca="1">+GETPIVOTDATA("XSR4",'suoirao (2016)'!$A$3,"MA_HT","MNC","MA_QH","DCH")</f>
        <v>0</v>
      </c>
      <c r="AM56" s="22">
        <f ca="1">+GETPIVOTDATA("XSR4",'suoirao (2016)'!$A$3,"MA_HT","MNC","MA_QH","DKG")</f>
        <v>0</v>
      </c>
      <c r="AN56" s="22">
        <f ca="1">+GETPIVOTDATA("XSR4",'suoirao (2016)'!$A$3,"MA_HT","MNC","MA_QH","DDT")</f>
        <v>0</v>
      </c>
      <c r="AO56" s="22">
        <f ca="1">+GETPIVOTDATA("XSR4",'suoirao (2016)'!$A$3,"MA_HT","MNC","MA_QH","DDL")</f>
        <v>0</v>
      </c>
      <c r="AP56" s="22">
        <f ca="1">+GETPIVOTDATA("XSR4",'suoirao (2016)'!$A$3,"MA_HT","MNC","MA_QH","DRA")</f>
        <v>0</v>
      </c>
      <c r="AQ56" s="22">
        <f ca="1">+GETPIVOTDATA("XSR4",'suoirao (2016)'!$A$3,"MA_HT","MNC","MA_QH","ONT")</f>
        <v>0</v>
      </c>
      <c r="AR56" s="22">
        <f ca="1">+GETPIVOTDATA("XSR4",'suoirao (2016)'!$A$3,"MA_HT","MNC","MA_QH","ODT")</f>
        <v>0</v>
      </c>
      <c r="AS56" s="22">
        <f ca="1">+GETPIVOTDATA("XSR4",'suoirao (2016)'!$A$3,"MA_HT","MNC","MA_QH","TSC")</f>
        <v>0</v>
      </c>
      <c r="AT56" s="22">
        <f ca="1">+GETPIVOTDATA("XSR4",'suoirao (2016)'!$A$3,"MA_HT","MNC","MA_QH","DTS")</f>
        <v>0</v>
      </c>
      <c r="AU56" s="22">
        <f ca="1">+GETPIVOTDATA("XSR4",'suoirao (2016)'!$A$3,"MA_HT","MNC","MA_QH","DNG")</f>
        <v>0</v>
      </c>
      <c r="AV56" s="22">
        <f ca="1">+GETPIVOTDATA("XSR4",'suoirao (2016)'!$A$3,"MA_HT","MNC","MA_QH","TON")</f>
        <v>0</v>
      </c>
      <c r="AW56" s="22">
        <f ca="1">+GETPIVOTDATA("XSR4",'suoirao (2016)'!$A$3,"MA_HT","MNC","MA_QH","NTD")</f>
        <v>0</v>
      </c>
      <c r="AX56" s="22">
        <f ca="1">+GETPIVOTDATA("XSR4",'suoirao (2016)'!$A$3,"MA_HT","MNC","MA_QH","SKX")</f>
        <v>0</v>
      </c>
      <c r="AY56" s="22">
        <f ca="1">+GETPIVOTDATA("XSR4",'suoirao (2016)'!$A$3,"MA_HT","MNC","MA_QH","DSH")</f>
        <v>0</v>
      </c>
      <c r="AZ56" s="22">
        <f ca="1">+GETPIVOTDATA("XSR4",'suoirao (2016)'!$A$3,"MA_HT","MNC","MA_QH","DKV")</f>
        <v>0</v>
      </c>
      <c r="BA56" s="89">
        <f ca="1">+GETPIVOTDATA("XSR4",'suoirao (2016)'!$A$3,"MA_HT","MNC","MA_QH","TIN")</f>
        <v>0</v>
      </c>
      <c r="BB56" s="50">
        <f ca="1">+GETPIVOTDATA("XSR4",'suoirao (2016)'!$A$3,"MA_HT","MNC","MA_QH","SON")</f>
        <v>0</v>
      </c>
      <c r="BC56" s="43" t="e">
        <f ca="1">$D56-$BF56</f>
        <v>#REF!</v>
      </c>
      <c r="BD56" s="22">
        <f ca="1">+GETPIVOTDATA("XSR4",'suoirao (2016)'!$A$3,"MA_HT","MNC","MA_QH","PNK")</f>
        <v>0</v>
      </c>
      <c r="BE56" s="71">
        <f ca="1">+GETPIVOTDATA("XSR4",'suoirao (2016)'!$A$3,"MA_HT","MNC","MA_QH","CSD")</f>
        <v>0</v>
      </c>
      <c r="BF56" s="74">
        <f ca="1" t="shared" si="13"/>
        <v>0</v>
      </c>
      <c r="BG56" s="101">
        <f ca="1">BC$59-$BF56</f>
        <v>0</v>
      </c>
      <c r="BH56" s="41" t="e">
        <f ca="1" t="shared" si="14"/>
        <v>#REF!</v>
      </c>
      <c r="BI56" s="98"/>
      <c r="BJ56" s="98"/>
      <c r="BK56" s="107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</row>
    <row r="57" s="2" customFormat="1" ht="15.75" customHeight="1" spans="1:79">
      <c r="A57" s="68" t="s">
        <v>8432</v>
      </c>
      <c r="B57" s="69" t="s">
        <v>8433</v>
      </c>
      <c r="C57" s="40" t="s">
        <v>59</v>
      </c>
      <c r="D57" s="41" t="e">
        <f>+#REF!</f>
        <v>#REF!</v>
      </c>
      <c r="E57" s="42">
        <f ca="1" t="shared" si="15"/>
        <v>0</v>
      </c>
      <c r="F57" s="52">
        <f ca="1" t="shared" si="9"/>
        <v>0</v>
      </c>
      <c r="G57" s="22">
        <f ca="1">+GETPIVOTDATA("XSR4",'suoirao (2016)'!$A$3,"MA_HT","PNK","MA_QH","LUC")</f>
        <v>0</v>
      </c>
      <c r="H57" s="22">
        <f ca="1">+GETPIVOTDATA("XSR4",'suoirao (2016)'!$A$3,"MA_HT","PNK","MA_QH","LUK")</f>
        <v>0</v>
      </c>
      <c r="I57" s="22">
        <f ca="1">+GETPIVOTDATA("XSR4",'suoirao (2016)'!$A$3,"MA_HT","PNK","MA_QH","LUN")</f>
        <v>0</v>
      </c>
      <c r="J57" s="22">
        <f ca="1">+GETPIVOTDATA("XSR4",'suoirao (2016)'!$A$3,"MA_HT","PNK","MA_QH","HNK")</f>
        <v>0</v>
      </c>
      <c r="K57" s="22">
        <f ca="1">+GETPIVOTDATA("XSR4",'suoirao (2016)'!$A$3,"MA_HT","PNK","MA_QH","CLN")</f>
        <v>0</v>
      </c>
      <c r="L57" s="22">
        <f ca="1">+GETPIVOTDATA("XSR4",'suoirao (2016)'!$A$3,"MA_HT","PNK","MA_QH","RSX")</f>
        <v>0</v>
      </c>
      <c r="M57" s="22">
        <f ca="1">+GETPIVOTDATA("XSR4",'suoirao (2016)'!$A$3,"MA_HT","PNK","MA_QH","RPH")</f>
        <v>0</v>
      </c>
      <c r="N57" s="22">
        <f ca="1">+GETPIVOTDATA("XSR4",'suoirao (2016)'!$A$3,"MA_HT","PNK","MA_QH","RDD")</f>
        <v>0</v>
      </c>
      <c r="O57" s="22">
        <f ca="1">+GETPIVOTDATA("XSR4",'suoirao (2016)'!$A$3,"MA_HT","PNK","MA_QH","NTS")</f>
        <v>0</v>
      </c>
      <c r="P57" s="22">
        <f ca="1">+GETPIVOTDATA("XSR4",'suoirao (2016)'!$A$3,"MA_HT","PNK","MA_QH","LMU")</f>
        <v>0</v>
      </c>
      <c r="Q57" s="22">
        <f ca="1">+GETPIVOTDATA("XSR4",'suoirao (2016)'!$A$3,"MA_HT","PNK","MA_QH","NKH")</f>
        <v>0</v>
      </c>
      <c r="R57" s="79">
        <f ca="1">SUM(S57:AA57,AN57:BC57)</f>
        <v>0</v>
      </c>
      <c r="S57" s="22">
        <f ca="1">+GETPIVOTDATA("XSR4",'suoirao (2016)'!$A$3,"MA_HT","PNK","MA_QH","CQP")</f>
        <v>0</v>
      </c>
      <c r="T57" s="22">
        <f ca="1">+GETPIVOTDATA("XSR4",'suoirao (2016)'!$A$3,"MA_HT","PNK","MA_QH","CAN")</f>
        <v>0</v>
      </c>
      <c r="U57" s="22">
        <f ca="1">+GETPIVOTDATA("XSR4",'suoirao (2016)'!$A$3,"MA_HT","PNK","MA_QH","SKK")</f>
        <v>0</v>
      </c>
      <c r="V57" s="22">
        <f ca="1">+GETPIVOTDATA("XSR4",'suoirao (2016)'!$A$3,"MA_HT","PNK","MA_QH","SKT")</f>
        <v>0</v>
      </c>
      <c r="W57" s="22">
        <f ca="1">+GETPIVOTDATA("XSR4",'suoirao (2016)'!$A$3,"MA_HT","PNK","MA_QH","SKN")</f>
        <v>0</v>
      </c>
      <c r="X57" s="22">
        <f ca="1">+GETPIVOTDATA("XSR4",'suoirao (2016)'!$A$3,"MA_HT","PNK","MA_QH","TMD")</f>
        <v>0</v>
      </c>
      <c r="Y57" s="22">
        <f ca="1">+GETPIVOTDATA("XSR4",'suoirao (2016)'!$A$3,"MA_HT","PNK","MA_QH","SKC")</f>
        <v>0</v>
      </c>
      <c r="Z57" s="22">
        <f ca="1">+GETPIVOTDATA("XSR4",'suoirao (2016)'!$A$3,"MA_HT","PNK","MA_QH","SKS")</f>
        <v>0</v>
      </c>
      <c r="AA57" s="52">
        <f ca="1" t="shared" si="21"/>
        <v>0</v>
      </c>
      <c r="AB57" s="22">
        <f ca="1">+GETPIVOTDATA("XSR4",'suoirao (2016)'!$A$3,"MA_HT","PNK","MA_QH","DGT")</f>
        <v>0</v>
      </c>
      <c r="AC57" s="22">
        <f ca="1">+GETPIVOTDATA("XSR4",'suoirao (2016)'!$A$3,"MA_HT","PNK","MA_QH","DTL")</f>
        <v>0</v>
      </c>
      <c r="AD57" s="22">
        <f ca="1">+GETPIVOTDATA("XSR4",'suoirao (2016)'!$A$3,"MA_HT","PNK","MA_QH","DNL")</f>
        <v>0</v>
      </c>
      <c r="AE57" s="22">
        <f ca="1">+GETPIVOTDATA("XSR4",'suoirao (2016)'!$A$3,"MA_HT","PNK","MA_QH","DBV")</f>
        <v>0</v>
      </c>
      <c r="AF57" s="22">
        <f ca="1">+GETPIVOTDATA("XSR4",'suoirao (2016)'!$A$3,"MA_HT","PNK","MA_QH","DVH")</f>
        <v>0</v>
      </c>
      <c r="AG57" s="22">
        <f ca="1">+GETPIVOTDATA("XSR4",'suoirao (2016)'!$A$3,"MA_HT","PNK","MA_QH","DYT")</f>
        <v>0</v>
      </c>
      <c r="AH57" s="22">
        <f ca="1">+GETPIVOTDATA("XSR4",'suoirao (2016)'!$A$3,"MA_HT","PNK","MA_QH","DGD")</f>
        <v>0</v>
      </c>
      <c r="AI57" s="22">
        <f ca="1">+GETPIVOTDATA("XSR4",'suoirao (2016)'!$A$3,"MA_HT","PNK","MA_QH","DTT")</f>
        <v>0</v>
      </c>
      <c r="AJ57" s="22">
        <f ca="1">+GETPIVOTDATA("XSR4",'suoirao (2016)'!$A$3,"MA_HT","PNK","MA_QH","NCK")</f>
        <v>0</v>
      </c>
      <c r="AK57" s="22">
        <f ca="1">+GETPIVOTDATA("XSR4",'suoirao (2016)'!$A$3,"MA_HT","PNK","MA_QH","DXH")</f>
        <v>0</v>
      </c>
      <c r="AL57" s="22">
        <f ca="1">+GETPIVOTDATA("XSR4",'suoirao (2016)'!$A$3,"MA_HT","PNK","MA_QH","DCH")</f>
        <v>0</v>
      </c>
      <c r="AM57" s="22">
        <f ca="1">+GETPIVOTDATA("XSR4",'suoirao (2016)'!$A$3,"MA_HT","PNK","MA_QH","DKG")</f>
        <v>0</v>
      </c>
      <c r="AN57" s="22">
        <f ca="1">+GETPIVOTDATA("XSR4",'suoirao (2016)'!$A$3,"MA_HT","PNK","MA_QH","DDT")</f>
        <v>0</v>
      </c>
      <c r="AO57" s="22">
        <f ca="1">+GETPIVOTDATA("XSR4",'suoirao (2016)'!$A$3,"MA_HT","PNK","MA_QH","DDL")</f>
        <v>0</v>
      </c>
      <c r="AP57" s="22">
        <f ca="1">+GETPIVOTDATA("XSR4",'suoirao (2016)'!$A$3,"MA_HT","PNK","MA_QH","DRA")</f>
        <v>0</v>
      </c>
      <c r="AQ57" s="22">
        <f ca="1">+GETPIVOTDATA("XSR4",'suoirao (2016)'!$A$3,"MA_HT","PNK","MA_QH","ONT")</f>
        <v>0</v>
      </c>
      <c r="AR57" s="22">
        <f ca="1">+GETPIVOTDATA("XSR4",'suoirao (2016)'!$A$3,"MA_HT","PNK","MA_QH","ODT")</f>
        <v>0</v>
      </c>
      <c r="AS57" s="22">
        <f ca="1">+GETPIVOTDATA("XSR4",'suoirao (2016)'!$A$3,"MA_HT","PNK","MA_QH","TSC")</f>
        <v>0</v>
      </c>
      <c r="AT57" s="22">
        <f ca="1">+GETPIVOTDATA("XSR4",'suoirao (2016)'!$A$3,"MA_HT","PNK","MA_QH","DTS")</f>
        <v>0</v>
      </c>
      <c r="AU57" s="22">
        <f ca="1">+GETPIVOTDATA("XSR4",'suoirao (2016)'!$A$3,"MA_HT","PNK","MA_QH","DNG")</f>
        <v>0</v>
      </c>
      <c r="AV57" s="22">
        <f ca="1">+GETPIVOTDATA("XSR4",'suoirao (2016)'!$A$3,"MA_HT","PNK","MA_QH","TON")</f>
        <v>0</v>
      </c>
      <c r="AW57" s="22">
        <f ca="1">+GETPIVOTDATA("XSR4",'suoirao (2016)'!$A$3,"MA_HT","PNK","MA_QH","NTD")</f>
        <v>0</v>
      </c>
      <c r="AX57" s="22">
        <f ca="1">+GETPIVOTDATA("XSR4",'suoirao (2016)'!$A$3,"MA_HT","PNK","MA_QH","SKX")</f>
        <v>0</v>
      </c>
      <c r="AY57" s="22">
        <f ca="1">+GETPIVOTDATA("XSR4",'suoirao (2016)'!$A$3,"MA_HT","PNK","MA_QH","DSH")</f>
        <v>0</v>
      </c>
      <c r="AZ57" s="22">
        <f ca="1">+GETPIVOTDATA("XSR4",'suoirao (2016)'!$A$3,"MA_HT","PNK","MA_QH","DKV")</f>
        <v>0</v>
      </c>
      <c r="BA57" s="89">
        <f ca="1">+GETPIVOTDATA("XSR4",'suoirao (2016)'!$A$3,"MA_HT","PNK","MA_QH","TIN")</f>
        <v>0</v>
      </c>
      <c r="BB57" s="50">
        <f ca="1">+GETPIVOTDATA("XSR4",'suoirao (2016)'!$A$3,"MA_HT","PNK","MA_QH","SON")</f>
        <v>0</v>
      </c>
      <c r="BC57" s="50">
        <f ca="1">+GETPIVOTDATA("XSR4",'suoirao (2016)'!$A$3,"MA_HT","PNK","MA_QH","MNC")</f>
        <v>0</v>
      </c>
      <c r="BD57" s="43" t="e">
        <f ca="1">$D57-$BF57</f>
        <v>#REF!</v>
      </c>
      <c r="BE57" s="71">
        <f ca="1">+GETPIVOTDATA("XSR4",'suoirao (2016)'!$A$3,"MA_HT","PNK","MA_QH","CSD")</f>
        <v>0</v>
      </c>
      <c r="BF57" s="74">
        <f ca="1" t="shared" si="13"/>
        <v>0</v>
      </c>
      <c r="BG57" s="101">
        <f ca="1">BD$59-$BF57</f>
        <v>0</v>
      </c>
      <c r="BH57" s="41" t="e">
        <f ca="1" t="shared" si="14"/>
        <v>#REF!</v>
      </c>
      <c r="BI57" s="98"/>
      <c r="BJ57" s="98" t="e">
        <f>#REF!</f>
        <v>#REF!</v>
      </c>
      <c r="BK57" s="107" t="e">
        <f ca="1">BH57-BJ57</f>
        <v>#REF!</v>
      </c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</row>
    <row r="58" s="3" customFormat="1" ht="15.75" customHeight="1" spans="1:79">
      <c r="A58" s="70" t="s">
        <v>8434</v>
      </c>
      <c r="B58" s="36" t="s">
        <v>8435</v>
      </c>
      <c r="C58" s="37" t="s">
        <v>8284</v>
      </c>
      <c r="D58" s="32" t="e">
        <f>+#REF!</f>
        <v>#REF!</v>
      </c>
      <c r="E58" s="42">
        <f ca="1" t="shared" si="15"/>
        <v>0</v>
      </c>
      <c r="F58" s="33">
        <f ca="1" t="shared" si="9"/>
        <v>0</v>
      </c>
      <c r="G58" s="71">
        <f ca="1">+GETPIVOTDATA("XSR4",'suoirao (2016)'!$A$3,"MA_HT","CSD","MA_QH","LUC")</f>
        <v>0</v>
      </c>
      <c r="H58" s="71">
        <f ca="1">+GETPIVOTDATA("XSR4",'suoirao (2016)'!$A$3,"MA_HT","CSD","MA_QH","LUK")</f>
        <v>0</v>
      </c>
      <c r="I58" s="71">
        <f ca="1">+GETPIVOTDATA("XSR4",'suoirao (2016)'!$A$3,"MA_HT","CSD","MA_QH","LUN")</f>
        <v>0</v>
      </c>
      <c r="J58" s="71">
        <f ca="1">+GETPIVOTDATA("XSR4",'suoirao (2016)'!$A$3,"MA_HT","CSD","MA_QH","HNK")</f>
        <v>0</v>
      </c>
      <c r="K58" s="71">
        <f ca="1">+GETPIVOTDATA("XSR4",'suoirao (2016)'!$A$3,"MA_HT","CSD","MA_QH","CLN")</f>
        <v>0</v>
      </c>
      <c r="L58" s="71">
        <f ca="1">+GETPIVOTDATA("XSR4",'suoirao (2016)'!$A$3,"MA_HT","CSD","MA_QH","RSX")</f>
        <v>0</v>
      </c>
      <c r="M58" s="71">
        <f ca="1">+GETPIVOTDATA("XSR4",'suoirao (2016)'!$A$3,"MA_HT","CSD","MA_QH","RPH")</f>
        <v>0</v>
      </c>
      <c r="N58" s="71">
        <f ca="1">+GETPIVOTDATA("XSR4",'suoirao (2016)'!$A$3,"MA_HT","CSD","MA_QH","RDD")</f>
        <v>0</v>
      </c>
      <c r="O58" s="71">
        <f ca="1">+GETPIVOTDATA("XSR4",'suoirao (2016)'!$A$3,"MA_HT","CSD","MA_QH","NTS")</f>
        <v>0</v>
      </c>
      <c r="P58" s="71">
        <f ca="1">+GETPIVOTDATA("XSR4",'suoirao (2016)'!$A$3,"MA_HT","CSD","MA_QH","LMU")</f>
        <v>0</v>
      </c>
      <c r="Q58" s="71">
        <f ca="1">+GETPIVOTDATA("XSR4",'suoirao (2016)'!$A$3,"MA_HT","CSD","MA_QH","NKH")</f>
        <v>0</v>
      </c>
      <c r="R58" s="79">
        <f ca="1">SUM(S58:AA58,AN58:BD58)</f>
        <v>0</v>
      </c>
      <c r="S58" s="80">
        <f ca="1">+GETPIVOTDATA("XSR4",'suoirao (2016)'!$A$3,"MA_HT","CSD","MA_QH","CQP")</f>
        <v>0</v>
      </c>
      <c r="T58" s="80">
        <f ca="1">+GETPIVOTDATA("XSR4",'suoirao (2016)'!$A$3,"MA_HT","CSD","MA_QH","CAN")</f>
        <v>0</v>
      </c>
      <c r="U58" s="71">
        <f ca="1">+GETPIVOTDATA("XSR4",'suoirao (2016)'!$A$3,"MA_HT","CSD","MA_QH","SKK")</f>
        <v>0</v>
      </c>
      <c r="V58" s="71">
        <f ca="1">+GETPIVOTDATA("XSR4",'suoirao (2016)'!$A$3,"MA_HT","CSD","MA_QH","SKT")</f>
        <v>0</v>
      </c>
      <c r="W58" s="71">
        <f ca="1">+GETPIVOTDATA("XSR4",'suoirao (2016)'!$A$3,"MA_HT","CSD","MA_QH","SKN")</f>
        <v>0</v>
      </c>
      <c r="X58" s="71">
        <f ca="1">+GETPIVOTDATA("XSR4",'suoirao (2016)'!$A$3,"MA_HT","CSD","MA_QH","TMD")</f>
        <v>0</v>
      </c>
      <c r="Y58" s="71">
        <f ca="1">+GETPIVOTDATA("XSR4",'suoirao (2016)'!$A$3,"MA_HT","CSD","MA_QH","SKC")</f>
        <v>0</v>
      </c>
      <c r="Z58" s="71">
        <f ca="1">+GETPIVOTDATA("XSR4",'suoirao (2016)'!$A$3,"MA_HT","CSD","MA_QH","SKS")</f>
        <v>0</v>
      </c>
      <c r="AA58" s="52">
        <f ca="1" t="shared" si="21"/>
        <v>0</v>
      </c>
      <c r="AB58" s="80">
        <f ca="1">+GETPIVOTDATA("XSR4",'suoirao (2016)'!$A$3,"MA_HT","CSD","MA_QH","DGT")</f>
        <v>0</v>
      </c>
      <c r="AC58" s="80">
        <f ca="1">+GETPIVOTDATA("XSR4",'suoirao (2016)'!$A$3,"MA_HT","CSD","MA_QH","DTL")</f>
        <v>0</v>
      </c>
      <c r="AD58" s="80">
        <f ca="1">+GETPIVOTDATA("XSR4",'suoirao (2016)'!$A$3,"MA_HT","CSD","MA_QH","DNL")</f>
        <v>0</v>
      </c>
      <c r="AE58" s="80">
        <f ca="1">+GETPIVOTDATA("XSR4",'suoirao (2016)'!$A$3,"MA_HT","CSD","MA_QH","DBV")</f>
        <v>0</v>
      </c>
      <c r="AF58" s="80">
        <f ca="1">+GETPIVOTDATA("XSR4",'suoirao (2016)'!$A$3,"MA_HT","CSD","MA_QH","DVH")</f>
        <v>0</v>
      </c>
      <c r="AG58" s="80">
        <f ca="1">+GETPIVOTDATA("XSR4",'suoirao (2016)'!$A$3,"MA_HT","CSD","MA_QH","DYT")</f>
        <v>0</v>
      </c>
      <c r="AH58" s="80">
        <f ca="1">+GETPIVOTDATA("XSR4",'suoirao (2016)'!$A$3,"MA_HT","CSD","MA_QH","DGD")</f>
        <v>0</v>
      </c>
      <c r="AI58" s="80">
        <f ca="1">+GETPIVOTDATA("XSR4",'suoirao (2016)'!$A$3,"MA_HT","CSD","MA_QH","DTT")</f>
        <v>0</v>
      </c>
      <c r="AJ58" s="80">
        <f ca="1">+GETPIVOTDATA("XSR4",'suoirao (2016)'!$A$3,"MA_HT","CSD","MA_QH","NCK")</f>
        <v>0</v>
      </c>
      <c r="AK58" s="80">
        <f ca="1">+GETPIVOTDATA("XSR4",'suoirao (2016)'!$A$3,"MA_HT","CSD","MA_QH","DXH")</f>
        <v>0</v>
      </c>
      <c r="AL58" s="80">
        <f ca="1">+GETPIVOTDATA("XSR4",'suoirao (2016)'!$A$3,"MA_HT","CSD","MA_QH","DCH")</f>
        <v>0</v>
      </c>
      <c r="AM58" s="80">
        <f ca="1">+GETPIVOTDATA("XSR4",'suoirao (2016)'!$A$3,"MA_HT","CSD","MA_QH","DKG")</f>
        <v>0</v>
      </c>
      <c r="AN58" s="71">
        <f ca="1">+GETPIVOTDATA("XSR4",'suoirao (2016)'!$A$3,"MA_HT","CSD","MA_QH","DDT")</f>
        <v>0</v>
      </c>
      <c r="AO58" s="71">
        <f ca="1">+GETPIVOTDATA("XSR4",'suoirao (2016)'!$A$3,"MA_HT","CSD","MA_QH","DDL")</f>
        <v>0</v>
      </c>
      <c r="AP58" s="71">
        <f ca="1">+GETPIVOTDATA("XSR4",'suoirao (2016)'!$A$3,"MA_HT","CSD","MA_QH","DRA")</f>
        <v>0</v>
      </c>
      <c r="AQ58" s="71">
        <f ca="1">+GETPIVOTDATA("XSR4",'suoirao (2016)'!$A$3,"MA_HT","CSD","MA_QH","ONT")</f>
        <v>0</v>
      </c>
      <c r="AR58" s="71">
        <f ca="1">+GETPIVOTDATA("XSR4",'suoirao (2016)'!$A$3,"MA_HT","CSD","MA_QH","ODT")</f>
        <v>0</v>
      </c>
      <c r="AS58" s="71">
        <f ca="1">+GETPIVOTDATA("XSR4",'suoirao (2016)'!$A$3,"MA_HT","CSD","MA_QH","TSC")</f>
        <v>0</v>
      </c>
      <c r="AT58" s="71">
        <f ca="1">+GETPIVOTDATA("XSR4",'suoirao (2016)'!$A$3,"MA_HT","CSD","MA_QH","DTS")</f>
        <v>0</v>
      </c>
      <c r="AU58" s="71">
        <f ca="1">+GETPIVOTDATA("XSR4",'suoirao (2016)'!$A$3,"MA_HT","CSD","MA_QH","DNG")</f>
        <v>0</v>
      </c>
      <c r="AV58" s="71">
        <f ca="1">+GETPIVOTDATA("XSR4",'suoirao (2016)'!$A$3,"MA_HT","CSD","MA_QH","TON")</f>
        <v>0</v>
      </c>
      <c r="AW58" s="71">
        <f ca="1">+GETPIVOTDATA("XSR4",'suoirao (2016)'!$A$3,"MA_HT","CSD","MA_QH","NTD")</f>
        <v>0</v>
      </c>
      <c r="AX58" s="71">
        <f ca="1">+GETPIVOTDATA("XSR4",'suoirao (2016)'!$A$3,"MA_HT","CSD","MA_QH","SKX")</f>
        <v>0</v>
      </c>
      <c r="AY58" s="71">
        <f ca="1">+GETPIVOTDATA("XSR4",'suoirao (2016)'!$A$3,"MA_HT","CSD","MA_QH","DSH")</f>
        <v>0</v>
      </c>
      <c r="AZ58" s="71">
        <f ca="1">+GETPIVOTDATA("XSR4",'suoirao (2016)'!$A$3,"MA_HT","CSD","MA_QH","DKV")</f>
        <v>0</v>
      </c>
      <c r="BA58" s="89">
        <f ca="1">+GETPIVOTDATA("XSR4",'suoirao (2016)'!$A$3,"MA_HT","CSD","MA_QH","TIN")</f>
        <v>0</v>
      </c>
      <c r="BB58" s="80">
        <f ca="1">+GETPIVOTDATA("XSR4",'suoirao (2016)'!$A$3,"MA_HT","CSD","MA_QH","SON")</f>
        <v>0</v>
      </c>
      <c r="BC58" s="80">
        <f ca="1">+GETPIVOTDATA("XSR4",'suoirao (2016)'!$A$3,"MA_HT","CSD","MA_QH","MNC")</f>
        <v>0</v>
      </c>
      <c r="BD58" s="71">
        <f ca="1">+GETPIVOTDATA("XSR4",'suoirao (2016)'!$A$3,"MA_HT","CSD","MA_QH","PNK")</f>
        <v>0</v>
      </c>
      <c r="BE58" s="38" t="e">
        <f ca="1">$D58-$BF58</f>
        <v>#REF!</v>
      </c>
      <c r="BF58" s="74">
        <f ca="1">R58+E58</f>
        <v>0</v>
      </c>
      <c r="BG58" s="119">
        <f ca="1">BE$59-$BF58</f>
        <v>0</v>
      </c>
      <c r="BH58" s="41" t="e">
        <f ca="1" t="shared" si="14"/>
        <v>#REF!</v>
      </c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</row>
    <row r="59" s="2" customFormat="1" ht="13.5" spans="1:246">
      <c r="A59" s="72"/>
      <c r="B59" s="72" t="s">
        <v>8436</v>
      </c>
      <c r="C59" s="73"/>
      <c r="D59" s="74"/>
      <c r="E59" s="75">
        <f ca="1">E58+E19</f>
        <v>0</v>
      </c>
      <c r="F59" s="74">
        <f ca="1" t="shared" ref="F59:Q59" si="22">F58+F19+F6</f>
        <v>0</v>
      </c>
      <c r="G59" s="74">
        <f ca="1" t="shared" si="22"/>
        <v>0</v>
      </c>
      <c r="H59" s="74">
        <f ca="1" t="shared" si="22"/>
        <v>0</v>
      </c>
      <c r="I59" s="74">
        <f ca="1" t="shared" si="22"/>
        <v>0</v>
      </c>
      <c r="J59" s="74">
        <f ca="1" t="shared" si="22"/>
        <v>0</v>
      </c>
      <c r="K59" s="74">
        <f ca="1" t="shared" si="22"/>
        <v>0</v>
      </c>
      <c r="L59" s="74">
        <f ca="1" t="shared" si="22"/>
        <v>0</v>
      </c>
      <c r="M59" s="74">
        <f ca="1" t="shared" si="22"/>
        <v>0</v>
      </c>
      <c r="N59" s="74">
        <f ca="1" t="shared" si="22"/>
        <v>0</v>
      </c>
      <c r="O59" s="74">
        <f ca="1" t="shared" si="22"/>
        <v>0</v>
      </c>
      <c r="P59" s="74">
        <f ca="1" t="shared" si="22"/>
        <v>0</v>
      </c>
      <c r="Q59" s="74">
        <f ca="1" t="shared" si="22"/>
        <v>0</v>
      </c>
      <c r="R59" s="75">
        <f ca="1">+R58+R6</f>
        <v>0</v>
      </c>
      <c r="S59" s="74">
        <f ca="1" t="shared" ref="S59:BD59" si="23">S58+S19+S6</f>
        <v>0</v>
      </c>
      <c r="T59" s="74">
        <f ca="1" t="shared" si="23"/>
        <v>0</v>
      </c>
      <c r="U59" s="74">
        <f ca="1" t="shared" si="23"/>
        <v>0</v>
      </c>
      <c r="V59" s="74">
        <f ca="1" t="shared" si="23"/>
        <v>0</v>
      </c>
      <c r="W59" s="74">
        <f ca="1" t="shared" si="23"/>
        <v>0</v>
      </c>
      <c r="X59" s="74">
        <f ca="1" t="shared" si="23"/>
        <v>0</v>
      </c>
      <c r="Y59" s="74">
        <f ca="1" t="shared" si="23"/>
        <v>0</v>
      </c>
      <c r="Z59" s="74">
        <f ca="1" t="shared" si="23"/>
        <v>0</v>
      </c>
      <c r="AA59" s="74">
        <f ca="1" t="shared" si="23"/>
        <v>0</v>
      </c>
      <c r="AB59" s="74">
        <f ca="1" t="shared" si="23"/>
        <v>0</v>
      </c>
      <c r="AC59" s="74">
        <f ca="1" t="shared" si="23"/>
        <v>0</v>
      </c>
      <c r="AD59" s="74">
        <f ca="1" t="shared" si="23"/>
        <v>0</v>
      </c>
      <c r="AE59" s="74">
        <f ca="1" t="shared" si="23"/>
        <v>0</v>
      </c>
      <c r="AF59" s="74">
        <f ca="1" t="shared" si="23"/>
        <v>0</v>
      </c>
      <c r="AG59" s="74">
        <f ca="1" t="shared" si="23"/>
        <v>0</v>
      </c>
      <c r="AH59" s="74">
        <f ca="1" t="shared" si="23"/>
        <v>0</v>
      </c>
      <c r="AI59" s="74">
        <f ca="1" t="shared" si="23"/>
        <v>0</v>
      </c>
      <c r="AJ59" s="74">
        <f ca="1" t="shared" si="23"/>
        <v>0</v>
      </c>
      <c r="AK59" s="74">
        <f ca="1" t="shared" si="23"/>
        <v>0</v>
      </c>
      <c r="AL59" s="74">
        <f ca="1" t="shared" si="23"/>
        <v>0</v>
      </c>
      <c r="AM59" s="74">
        <f ca="1" t="shared" si="23"/>
        <v>0</v>
      </c>
      <c r="AN59" s="74">
        <f ca="1" t="shared" si="23"/>
        <v>0</v>
      </c>
      <c r="AO59" s="74">
        <f ca="1" t="shared" si="23"/>
        <v>0</v>
      </c>
      <c r="AP59" s="74">
        <f ca="1" t="shared" si="23"/>
        <v>0</v>
      </c>
      <c r="AQ59" s="74">
        <f ca="1" t="shared" si="23"/>
        <v>0</v>
      </c>
      <c r="AR59" s="74">
        <f ca="1" t="shared" si="23"/>
        <v>0</v>
      </c>
      <c r="AS59" s="74">
        <f ca="1" t="shared" si="23"/>
        <v>0</v>
      </c>
      <c r="AT59" s="74">
        <f ca="1" t="shared" si="23"/>
        <v>0</v>
      </c>
      <c r="AU59" s="74">
        <f ca="1" t="shared" si="23"/>
        <v>0</v>
      </c>
      <c r="AV59" s="74">
        <f ca="1" t="shared" si="23"/>
        <v>0</v>
      </c>
      <c r="AW59" s="74">
        <f ca="1" t="shared" si="23"/>
        <v>0</v>
      </c>
      <c r="AX59" s="74">
        <f ca="1" t="shared" si="23"/>
        <v>0</v>
      </c>
      <c r="AY59" s="74">
        <f ca="1" t="shared" si="23"/>
        <v>0</v>
      </c>
      <c r="AZ59" s="74">
        <f ca="1" t="shared" si="23"/>
        <v>0</v>
      </c>
      <c r="BA59" s="75">
        <f ca="1" t="shared" si="23"/>
        <v>0</v>
      </c>
      <c r="BB59" s="74">
        <f ca="1" t="shared" si="23"/>
        <v>0</v>
      </c>
      <c r="BC59" s="74">
        <f ca="1" t="shared" si="23"/>
        <v>0</v>
      </c>
      <c r="BD59" s="74">
        <f ca="1" t="shared" si="23"/>
        <v>0</v>
      </c>
      <c r="BE59" s="120">
        <f ca="1">BE19+BE6</f>
        <v>0</v>
      </c>
      <c r="BF59" s="74"/>
      <c r="BG59" s="74"/>
      <c r="BH59" s="74"/>
      <c r="BI59" s="121"/>
      <c r="BJ59" s="121"/>
      <c r="BK59" s="121"/>
      <c r="BL59" s="1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3"/>
      <c r="CB59" s="123"/>
      <c r="CC59" s="124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</row>
    <row r="61" spans="61:76"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</row>
  </sheetData>
  <mergeCells count="3">
    <mergeCell ref="A3:A4"/>
    <mergeCell ref="B3:B4"/>
    <mergeCell ref="C3:C4"/>
  </mergeCells>
  <pageMargins left="0.65" right="0" top="0.5" bottom="0.25" header="0.5" footer="0.5"/>
  <pageSetup paperSize="8" orientation="landscape" horizontalDpi="360" verticalDpi="36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3">
    <tabColor rgb="FFFF0000"/>
  </sheetPr>
  <dimension ref="A1:IL61"/>
  <sheetViews>
    <sheetView workbookViewId="0">
      <selection activeCell="A1" sqref="A1"/>
    </sheetView>
  </sheetViews>
  <sheetFormatPr defaultColWidth="9" defaultRowHeight="15"/>
  <cols>
    <col min="1" max="1" width="6.375" style="7" customWidth="1"/>
    <col min="2" max="2" width="29.125" style="7" customWidth="1"/>
    <col min="3" max="3" width="6" style="7" customWidth="1"/>
    <col min="4" max="4" width="9.75" style="8" customWidth="1"/>
    <col min="5" max="5" width="9.375" style="9" customWidth="1"/>
    <col min="6" max="6" width="7" style="8" customWidth="1"/>
    <col min="7" max="7" width="7.75" style="8" customWidth="1"/>
    <col min="8" max="8" width="7" style="8" customWidth="1"/>
    <col min="9" max="9" width="6.875" style="8" customWidth="1"/>
    <col min="10" max="10" width="7.625" style="8" customWidth="1"/>
    <col min="11" max="11" width="9.125" style="8" customWidth="1"/>
    <col min="12" max="12" width="8.25" style="8" customWidth="1"/>
    <col min="13" max="13" width="6" style="8" customWidth="1"/>
    <col min="14" max="14" width="6.25" style="8" customWidth="1"/>
    <col min="15" max="15" width="5.875" style="8" customWidth="1"/>
    <col min="16" max="16" width="5.75" style="8" customWidth="1"/>
    <col min="17" max="17" width="6.25" style="8" customWidth="1"/>
    <col min="18" max="18" width="8.75" style="10" customWidth="1"/>
    <col min="19" max="19" width="7.125" style="8" customWidth="1"/>
    <col min="20" max="20" width="7.75" style="8" customWidth="1"/>
    <col min="21" max="23" width="6.125" style="8" customWidth="1"/>
    <col min="24" max="24" width="7.125" style="8" customWidth="1"/>
    <col min="25" max="25" width="7.75" style="8" customWidth="1"/>
    <col min="26" max="26" width="6.875" style="8" customWidth="1"/>
    <col min="27" max="27" width="7.375" style="8" customWidth="1"/>
    <col min="28" max="28" width="9" style="8"/>
    <col min="29" max="29" width="7.25" style="8" customWidth="1"/>
    <col min="30" max="30" width="7" style="8" customWidth="1"/>
    <col min="31" max="31" width="6.125" style="8" customWidth="1"/>
    <col min="32" max="33" width="6.625" style="8" customWidth="1"/>
    <col min="34" max="34" width="6.125" style="8" customWidth="1"/>
    <col min="35" max="35" width="8.5" style="8" customWidth="1"/>
    <col min="36" max="36" width="8.875" style="8" customWidth="1"/>
    <col min="37" max="37" width="8.75" style="8" customWidth="1"/>
    <col min="38" max="39" width="6.625" style="8" customWidth="1"/>
    <col min="40" max="41" width="6.875" style="8" customWidth="1"/>
    <col min="42" max="42" width="6.75" style="8" customWidth="1"/>
    <col min="43" max="43" width="6.375" style="8" customWidth="1"/>
    <col min="44" max="44" width="6.125" style="8" customWidth="1"/>
    <col min="45" max="46" width="5.75" style="8" customWidth="1"/>
    <col min="47" max="47" width="6.5" style="8" customWidth="1"/>
    <col min="48" max="49" width="5.625" style="8" customWidth="1"/>
    <col min="50" max="51" width="6.125" style="8" customWidth="1"/>
    <col min="52" max="52" width="7.625" style="8" customWidth="1"/>
    <col min="53" max="53" width="9.375" style="11" customWidth="1"/>
    <col min="54" max="54" width="6.625" style="12" customWidth="1"/>
    <col min="55" max="55" width="6.25" style="12" customWidth="1"/>
    <col min="56" max="56" width="7.125" style="8" customWidth="1"/>
    <col min="57" max="57" width="6.25" style="9" customWidth="1"/>
    <col min="58" max="58" width="7.25" style="11" customWidth="1"/>
    <col min="59" max="59" width="8.25" style="11" customWidth="1"/>
    <col min="60" max="60" width="10.125" style="11" customWidth="1"/>
    <col min="61" max="61" width="5.125" style="7" customWidth="1"/>
    <col min="62" max="62" width="8.375" style="7" hidden="1" customWidth="1"/>
    <col min="63" max="63" width="9" style="7" hidden="1" customWidth="1"/>
    <col min="64" max="64" width="4.875" style="7" customWidth="1"/>
    <col min="65" max="65" width="6.25" style="7" customWidth="1"/>
    <col min="66" max="66" width="5" style="7" customWidth="1"/>
    <col min="67" max="67" width="4.25" style="7" customWidth="1"/>
    <col min="68" max="68" width="5.375" style="7" customWidth="1"/>
    <col min="69" max="69" width="5.125" style="7" customWidth="1"/>
    <col min="70" max="70" width="4.625" style="7" customWidth="1"/>
    <col min="71" max="71" width="5.625" style="7" customWidth="1"/>
    <col min="72" max="72" width="5.875" style="7" customWidth="1"/>
    <col min="73" max="73" width="5" style="7" customWidth="1"/>
    <col min="74" max="74" width="3.875" style="7" customWidth="1"/>
    <col min="75" max="75" width="4.625" style="7" customWidth="1"/>
    <col min="76" max="76" width="5.5" style="7" customWidth="1"/>
    <col min="77" max="77" width="7.625" style="13" customWidth="1"/>
    <col min="78" max="79" width="8.375" style="13" customWidth="1"/>
    <col min="80" max="80" width="7.5" style="7" customWidth="1"/>
    <col min="81" max="16384" width="9" style="7"/>
  </cols>
  <sheetData>
    <row r="1" ht="21" customHeight="1" spans="1:82">
      <c r="A1" s="14" t="s">
        <v>8330</v>
      </c>
      <c r="B1" s="15"/>
      <c r="C1" s="16" t="e">
        <f>+"CHU CHUYỂN ĐẤT ĐAI TRONG KẾ HOẠCH SỬ DỤNG ĐẤT NĂM 2015 CỦA "&amp;#REF!</f>
        <v>#REF!</v>
      </c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83"/>
      <c r="BC1" s="83"/>
      <c r="BD1" s="18"/>
      <c r="BE1" s="18"/>
      <c r="BF1" s="18"/>
      <c r="BG1" s="18"/>
      <c r="BH1" s="18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7"/>
      <c r="BZ1" s="7"/>
      <c r="CA1" s="7"/>
      <c r="CB1" s="8"/>
      <c r="CC1" s="8"/>
      <c r="CD1" s="8"/>
    </row>
    <row r="2" s="1" customFormat="1" ht="7.5" customHeight="1" spans="1:82">
      <c r="A2" s="1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9"/>
      <c r="BA2" s="20"/>
      <c r="BB2" s="84"/>
      <c r="BC2" s="84"/>
      <c r="BD2" s="20"/>
      <c r="BE2" s="20"/>
      <c r="BF2" s="20"/>
      <c r="BG2" s="20"/>
      <c r="BH2" s="95" t="s">
        <v>8331</v>
      </c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CB2" s="9"/>
      <c r="CC2" s="9"/>
      <c r="CD2" s="9"/>
    </row>
    <row r="3" s="2" customFormat="1" ht="15.75" customHeight="1" spans="1:79">
      <c r="A3" s="21" t="s">
        <v>3</v>
      </c>
      <c r="B3" s="21" t="s">
        <v>8332</v>
      </c>
      <c r="C3" s="21" t="s">
        <v>8333</v>
      </c>
      <c r="D3" s="22"/>
      <c r="E3" s="23" t="s">
        <v>8334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7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85"/>
      <c r="BC3" s="85"/>
      <c r="BD3" s="24"/>
      <c r="BE3" s="97"/>
      <c r="BF3" s="22"/>
      <c r="BG3" s="22"/>
      <c r="BH3" s="22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</row>
    <row r="4" s="2" customFormat="1" ht="31.5" customHeight="1" spans="1:79">
      <c r="A4" s="25"/>
      <c r="B4" s="25"/>
      <c r="C4" s="25"/>
      <c r="D4" s="26" t="s">
        <v>8335</v>
      </c>
      <c r="E4" s="27" t="s">
        <v>8303</v>
      </c>
      <c r="F4" s="28" t="s">
        <v>8298</v>
      </c>
      <c r="G4" s="29" t="s">
        <v>8299</v>
      </c>
      <c r="H4" s="29" t="s">
        <v>221</v>
      </c>
      <c r="I4" s="29" t="s">
        <v>8300</v>
      </c>
      <c r="J4" s="28" t="s">
        <v>2492</v>
      </c>
      <c r="K4" s="28" t="s">
        <v>30</v>
      </c>
      <c r="L4" s="28" t="s">
        <v>8307</v>
      </c>
      <c r="M4" s="28" t="s">
        <v>8306</v>
      </c>
      <c r="N4" s="28" t="s">
        <v>8305</v>
      </c>
      <c r="O4" s="76" t="s">
        <v>318</v>
      </c>
      <c r="P4" s="28" t="s">
        <v>8297</v>
      </c>
      <c r="Q4" s="28" t="s">
        <v>553</v>
      </c>
      <c r="R4" s="37" t="s">
        <v>8304</v>
      </c>
      <c r="S4" s="40" t="s">
        <v>31</v>
      </c>
      <c r="T4" s="40" t="s">
        <v>8283</v>
      </c>
      <c r="U4" s="40" t="s">
        <v>47</v>
      </c>
      <c r="V4" s="40" t="s">
        <v>8308</v>
      </c>
      <c r="W4" s="40" t="s">
        <v>56</v>
      </c>
      <c r="X4" s="40" t="s">
        <v>265</v>
      </c>
      <c r="Y4" s="40" t="s">
        <v>204</v>
      </c>
      <c r="Z4" s="40" t="s">
        <v>174</v>
      </c>
      <c r="AA4" s="40" t="s">
        <v>8288</v>
      </c>
      <c r="AB4" s="46" t="s">
        <v>94</v>
      </c>
      <c r="AC4" s="46" t="s">
        <v>216</v>
      </c>
      <c r="AD4" s="46" t="s">
        <v>71</v>
      </c>
      <c r="AE4" s="46" t="s">
        <v>8285</v>
      </c>
      <c r="AF4" s="46" t="s">
        <v>212</v>
      </c>
      <c r="AG4" s="46" t="s">
        <v>8296</v>
      </c>
      <c r="AH4" s="46" t="s">
        <v>165</v>
      </c>
      <c r="AI4" s="46" t="s">
        <v>8294</v>
      </c>
      <c r="AJ4" s="46" t="s">
        <v>8302</v>
      </c>
      <c r="AK4" s="46" t="s">
        <v>8295</v>
      </c>
      <c r="AL4" s="46" t="s">
        <v>178</v>
      </c>
      <c r="AM4" s="46" t="s">
        <v>8312</v>
      </c>
      <c r="AN4" s="40" t="s">
        <v>8287</v>
      </c>
      <c r="AO4" s="40" t="s">
        <v>8286</v>
      </c>
      <c r="AP4" s="40" t="s">
        <v>8291</v>
      </c>
      <c r="AQ4" s="40" t="s">
        <v>188</v>
      </c>
      <c r="AR4" s="40" t="s">
        <v>201</v>
      </c>
      <c r="AS4" s="40" t="s">
        <v>336</v>
      </c>
      <c r="AT4" s="40" t="s">
        <v>8293</v>
      </c>
      <c r="AU4" s="40" t="s">
        <v>8290</v>
      </c>
      <c r="AV4" s="40" t="s">
        <v>324</v>
      </c>
      <c r="AW4" s="40" t="s">
        <v>182</v>
      </c>
      <c r="AX4" s="40" t="s">
        <v>236</v>
      </c>
      <c r="AY4" s="40" t="s">
        <v>8292</v>
      </c>
      <c r="AZ4" s="40" t="s">
        <v>8289</v>
      </c>
      <c r="BA4" s="40" t="s">
        <v>8310</v>
      </c>
      <c r="BB4" s="40" t="s">
        <v>8309</v>
      </c>
      <c r="BC4" s="40" t="s">
        <v>8301</v>
      </c>
      <c r="BD4" s="40" t="s">
        <v>59</v>
      </c>
      <c r="BE4" s="27" t="s">
        <v>8284</v>
      </c>
      <c r="BF4" s="99" t="s">
        <v>8336</v>
      </c>
      <c r="BG4" s="100" t="s">
        <v>8337</v>
      </c>
      <c r="BH4" s="26" t="s">
        <v>8335</v>
      </c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</row>
    <row r="5" s="2" customFormat="1" ht="15.75" customHeight="1" spans="1:79">
      <c r="A5" s="30"/>
      <c r="B5" s="30" t="s">
        <v>8338</v>
      </c>
      <c r="C5" s="31"/>
      <c r="D5" s="32" t="e">
        <f>+#REF!</f>
        <v>#REF!</v>
      </c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86"/>
      <c r="BC5" s="86"/>
      <c r="BD5" s="34"/>
      <c r="BE5" s="33"/>
      <c r="BF5" s="34"/>
      <c r="BG5" s="34"/>
      <c r="BH5" s="34" t="e">
        <f ca="1">BH6+BH19+BH58</f>
        <v>#REF!</v>
      </c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</row>
    <row r="6" s="3" customFormat="1" ht="15.75" customHeight="1" spans="1:79">
      <c r="A6" s="35">
        <v>1</v>
      </c>
      <c r="B6" s="36" t="s">
        <v>8339</v>
      </c>
      <c r="C6" s="37" t="s">
        <v>8303</v>
      </c>
      <c r="D6" s="33" t="e">
        <f>+#REF!</f>
        <v>#REF!</v>
      </c>
      <c r="E6" s="38" t="e">
        <f ca="1">$D6-$BF6</f>
        <v>#REF!</v>
      </c>
      <c r="F6" s="33">
        <f ca="1">SUM(F11:F18)</f>
        <v>0</v>
      </c>
      <c r="G6" s="33">
        <f ca="1">SUM(G7,G11:G18)</f>
        <v>0</v>
      </c>
      <c r="H6" s="33">
        <f ca="1">SUM(H7,H11:H18)</f>
        <v>0</v>
      </c>
      <c r="I6" s="33">
        <f ca="1">SUM(I7,I11:I18)</f>
        <v>0</v>
      </c>
      <c r="J6" s="33">
        <f ca="1">SUM(J7,J12:J18)</f>
        <v>0</v>
      </c>
      <c r="K6" s="33">
        <f ca="1">SUM(K7,K11,K13:K18)</f>
        <v>0</v>
      </c>
      <c r="L6" s="33">
        <f ca="1">SUM(L7,L11:L12,L14:L18)</f>
        <v>0</v>
      </c>
      <c r="M6" s="33">
        <f ca="1">SUM(M7,M11:M13,M15:M18)</f>
        <v>0</v>
      </c>
      <c r="N6" s="33">
        <f ca="1">SUM(N7,N11:N14,N16:N18)</f>
        <v>0</v>
      </c>
      <c r="O6" s="33">
        <f ca="1">SUM(O7,O11:O15,O17:O18)</f>
        <v>0</v>
      </c>
      <c r="P6" s="33">
        <f ca="1">SUM(P7,P11:P16,P18:P18)</f>
        <v>0</v>
      </c>
      <c r="Q6" s="33">
        <f ca="1">SUM(Q7,Q11:Q17)</f>
        <v>0</v>
      </c>
      <c r="R6" s="33">
        <f ca="1">SUM(R7,R11:R18)</f>
        <v>0</v>
      </c>
      <c r="S6" s="33">
        <f ca="1">SUM(S7,S11:S18)</f>
        <v>0</v>
      </c>
      <c r="T6" s="33">
        <f ca="1" t="shared" ref="T6:BE6" si="0">SUM(T7,T11:T18)</f>
        <v>0</v>
      </c>
      <c r="U6" s="33">
        <f ca="1" t="shared" si="0"/>
        <v>0</v>
      </c>
      <c r="V6" s="33">
        <f ca="1" t="shared" si="0"/>
        <v>0</v>
      </c>
      <c r="W6" s="33">
        <f ca="1" t="shared" si="0"/>
        <v>0</v>
      </c>
      <c r="X6" s="33">
        <f ca="1" t="shared" si="0"/>
        <v>0</v>
      </c>
      <c r="Y6" s="33">
        <f ca="1" t="shared" si="0"/>
        <v>0</v>
      </c>
      <c r="Z6" s="33">
        <f ca="1" t="shared" si="0"/>
        <v>0</v>
      </c>
      <c r="AA6" s="33">
        <f ca="1" t="shared" si="0"/>
        <v>0</v>
      </c>
      <c r="AB6" s="33">
        <f ca="1" t="shared" si="0"/>
        <v>0</v>
      </c>
      <c r="AC6" s="33">
        <f ca="1" t="shared" si="0"/>
        <v>0</v>
      </c>
      <c r="AD6" s="33">
        <f ca="1" t="shared" si="0"/>
        <v>0</v>
      </c>
      <c r="AE6" s="33">
        <f ca="1" t="shared" si="0"/>
        <v>0</v>
      </c>
      <c r="AF6" s="33">
        <f ca="1" t="shared" si="0"/>
        <v>0</v>
      </c>
      <c r="AG6" s="33">
        <f ca="1" t="shared" si="0"/>
        <v>0</v>
      </c>
      <c r="AH6" s="33">
        <f ca="1" t="shared" si="0"/>
        <v>0</v>
      </c>
      <c r="AI6" s="33">
        <f ca="1" t="shared" si="0"/>
        <v>0</v>
      </c>
      <c r="AJ6" s="33">
        <f ca="1" t="shared" si="0"/>
        <v>0</v>
      </c>
      <c r="AK6" s="33">
        <f ca="1" t="shared" si="0"/>
        <v>0</v>
      </c>
      <c r="AL6" s="33">
        <f ca="1" t="shared" si="0"/>
        <v>0</v>
      </c>
      <c r="AM6" s="33">
        <f ca="1" t="shared" si="0"/>
        <v>0</v>
      </c>
      <c r="AN6" s="33">
        <f ca="1" t="shared" si="0"/>
        <v>0</v>
      </c>
      <c r="AO6" s="33">
        <f ca="1" t="shared" si="0"/>
        <v>0</v>
      </c>
      <c r="AP6" s="33">
        <f ca="1" t="shared" si="0"/>
        <v>0</v>
      </c>
      <c r="AQ6" s="33">
        <f ca="1" t="shared" si="0"/>
        <v>0</v>
      </c>
      <c r="AR6" s="33">
        <f ca="1" t="shared" si="0"/>
        <v>0</v>
      </c>
      <c r="AS6" s="33">
        <f ca="1" t="shared" si="0"/>
        <v>0</v>
      </c>
      <c r="AT6" s="33">
        <f ca="1" t="shared" si="0"/>
        <v>0</v>
      </c>
      <c r="AU6" s="33">
        <f ca="1" t="shared" si="0"/>
        <v>0</v>
      </c>
      <c r="AV6" s="33">
        <f ca="1" t="shared" si="0"/>
        <v>0</v>
      </c>
      <c r="AW6" s="33">
        <f ca="1" t="shared" si="0"/>
        <v>0</v>
      </c>
      <c r="AX6" s="33">
        <f ca="1" t="shared" si="0"/>
        <v>0</v>
      </c>
      <c r="AY6" s="33">
        <f ca="1" t="shared" si="0"/>
        <v>0</v>
      </c>
      <c r="AZ6" s="33">
        <f ca="1" t="shared" si="0"/>
        <v>0</v>
      </c>
      <c r="BA6" s="33">
        <f ca="1" t="shared" si="0"/>
        <v>0</v>
      </c>
      <c r="BB6" s="33">
        <f ca="1" t="shared" si="0"/>
        <v>0</v>
      </c>
      <c r="BC6" s="33">
        <f ca="1" t="shared" si="0"/>
        <v>0</v>
      </c>
      <c r="BD6" s="33">
        <f ca="1" t="shared" si="0"/>
        <v>0</v>
      </c>
      <c r="BE6" s="33">
        <f ca="1" t="shared" si="0"/>
        <v>0</v>
      </c>
      <c r="BF6" s="74">
        <f ca="1">BE6+R6</f>
        <v>0</v>
      </c>
      <c r="BG6" s="101">
        <f ca="1">E$59-$BF6</f>
        <v>0</v>
      </c>
      <c r="BH6" s="33" t="e">
        <f ca="1">SUM(BH7,BH11:BH18)</f>
        <v>#REF!</v>
      </c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</row>
    <row r="7" s="2" customFormat="1" ht="15.75" customHeight="1" spans="1:79">
      <c r="A7" s="39" t="s">
        <v>27</v>
      </c>
      <c r="B7" s="39" t="s">
        <v>8340</v>
      </c>
      <c r="C7" s="40" t="s">
        <v>8298</v>
      </c>
      <c r="D7" s="41" t="e">
        <f>+#REF!</f>
        <v>#REF!</v>
      </c>
      <c r="E7" s="42">
        <f ca="1">SUM(J7:Q7)</f>
        <v>0</v>
      </c>
      <c r="F7" s="43" t="e">
        <f ca="1">$D7-$BF7</f>
        <v>#REF!</v>
      </c>
      <c r="G7" s="44">
        <f ca="1">SUM(G9:G10)</f>
        <v>0</v>
      </c>
      <c r="H7" s="44">
        <f ca="1">SUM(H8,H10)</f>
        <v>0</v>
      </c>
      <c r="I7" s="44">
        <f ca="1">SUM(I8:I9)</f>
        <v>0</v>
      </c>
      <c r="J7" s="44">
        <f ca="1">SUM(J8:J10)</f>
        <v>0</v>
      </c>
      <c r="K7" s="44">
        <f ca="1" t="shared" ref="K7:Q7" si="1">SUM(K8:K10)</f>
        <v>0</v>
      </c>
      <c r="L7" s="44">
        <f ca="1" t="shared" si="1"/>
        <v>0</v>
      </c>
      <c r="M7" s="44">
        <f ca="1" t="shared" si="1"/>
        <v>0</v>
      </c>
      <c r="N7" s="44">
        <f ca="1" t="shared" si="1"/>
        <v>0</v>
      </c>
      <c r="O7" s="44">
        <f ca="1" t="shared" si="1"/>
        <v>0</v>
      </c>
      <c r="P7" s="44">
        <f ca="1" t="shared" si="1"/>
        <v>0</v>
      </c>
      <c r="Q7" s="44">
        <f ca="1" t="shared" si="1"/>
        <v>0</v>
      </c>
      <c r="R7" s="42">
        <f ca="1" t="shared" ref="R7:R18" si="2">SUM(S7:AA7,AN7:BD7)</f>
        <v>0</v>
      </c>
      <c r="S7" s="52">
        <f ca="1" t="shared" ref="S7:AY7" si="3">SUM(S8:S10)</f>
        <v>0</v>
      </c>
      <c r="T7" s="52">
        <f ca="1" t="shared" si="3"/>
        <v>0</v>
      </c>
      <c r="U7" s="52">
        <f ca="1" t="shared" si="3"/>
        <v>0</v>
      </c>
      <c r="V7" s="52">
        <f ca="1" t="shared" si="3"/>
        <v>0</v>
      </c>
      <c r="W7" s="52">
        <f ca="1" t="shared" si="3"/>
        <v>0</v>
      </c>
      <c r="X7" s="52">
        <f ca="1" t="shared" si="3"/>
        <v>0</v>
      </c>
      <c r="Y7" s="52">
        <f ca="1" t="shared" si="3"/>
        <v>0</v>
      </c>
      <c r="Z7" s="52">
        <f ca="1" t="shared" si="3"/>
        <v>0</v>
      </c>
      <c r="AA7" s="52">
        <f ca="1" t="shared" ref="AA7:AA18" si="4">+SUM(AB7:AM7)</f>
        <v>0</v>
      </c>
      <c r="AB7" s="52">
        <f ca="1" t="shared" ref="AB7:AM7" si="5">SUM(AB8:AB10)</f>
        <v>0</v>
      </c>
      <c r="AC7" s="52">
        <f ca="1" t="shared" si="5"/>
        <v>0</v>
      </c>
      <c r="AD7" s="52">
        <f ca="1" t="shared" si="5"/>
        <v>0</v>
      </c>
      <c r="AE7" s="52">
        <f ca="1" t="shared" si="5"/>
        <v>0</v>
      </c>
      <c r="AF7" s="52">
        <f ca="1" t="shared" si="5"/>
        <v>0</v>
      </c>
      <c r="AG7" s="52">
        <f ca="1" t="shared" si="5"/>
        <v>0</v>
      </c>
      <c r="AH7" s="52">
        <f ca="1" t="shared" si="5"/>
        <v>0</v>
      </c>
      <c r="AI7" s="52">
        <f ca="1" t="shared" si="5"/>
        <v>0</v>
      </c>
      <c r="AJ7" s="52">
        <f ca="1" t="shared" si="5"/>
        <v>0</v>
      </c>
      <c r="AK7" s="52">
        <f ca="1" t="shared" si="5"/>
        <v>0</v>
      </c>
      <c r="AL7" s="52">
        <f ca="1" t="shared" si="5"/>
        <v>0</v>
      </c>
      <c r="AM7" s="52">
        <f ca="1" t="shared" si="5"/>
        <v>0</v>
      </c>
      <c r="AN7" s="52">
        <f ca="1" t="shared" si="3"/>
        <v>0</v>
      </c>
      <c r="AO7" s="52">
        <f ca="1" t="shared" si="3"/>
        <v>0</v>
      </c>
      <c r="AP7" s="52">
        <f ca="1" t="shared" si="3"/>
        <v>0</v>
      </c>
      <c r="AQ7" s="52">
        <f ca="1" t="shared" si="3"/>
        <v>0</v>
      </c>
      <c r="AR7" s="52">
        <f ca="1" t="shared" si="3"/>
        <v>0</v>
      </c>
      <c r="AS7" s="52">
        <f ca="1" t="shared" si="3"/>
        <v>0</v>
      </c>
      <c r="AT7" s="52">
        <f ca="1" t="shared" si="3"/>
        <v>0</v>
      </c>
      <c r="AU7" s="52">
        <f ca="1" t="shared" si="3"/>
        <v>0</v>
      </c>
      <c r="AV7" s="52">
        <f ca="1" t="shared" si="3"/>
        <v>0</v>
      </c>
      <c r="AW7" s="52">
        <f ca="1" t="shared" si="3"/>
        <v>0</v>
      </c>
      <c r="AX7" s="52">
        <f ca="1" t="shared" si="3"/>
        <v>0</v>
      </c>
      <c r="AY7" s="52">
        <f ca="1" t="shared" si="3"/>
        <v>0</v>
      </c>
      <c r="AZ7" s="52">
        <f ca="1" t="shared" ref="AZ7:BE7" si="6">SUM(AZ8:AZ10)</f>
        <v>0</v>
      </c>
      <c r="BA7" s="87">
        <f ca="1" t="shared" si="6"/>
        <v>0</v>
      </c>
      <c r="BB7" s="52">
        <f ca="1" t="shared" si="6"/>
        <v>0</v>
      </c>
      <c r="BC7" s="52">
        <f ca="1" t="shared" si="6"/>
        <v>0</v>
      </c>
      <c r="BD7" s="52">
        <f ca="1" t="shared" si="6"/>
        <v>0</v>
      </c>
      <c r="BE7" s="52">
        <f ca="1" t="shared" si="6"/>
        <v>0</v>
      </c>
      <c r="BF7" s="74">
        <f ca="1" t="shared" ref="BF7:BF18" si="7">BE7+R7+E7</f>
        <v>0</v>
      </c>
      <c r="BG7" s="101">
        <f ca="1">F$59-$BF7</f>
        <v>0</v>
      </c>
      <c r="BH7" s="41" t="e">
        <f ca="1" t="shared" ref="BH7:BH18" si="8">BG7+D7</f>
        <v>#REF!</v>
      </c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</row>
    <row r="8" s="4" customFormat="1" ht="15.75" customHeight="1" spans="1:79">
      <c r="A8" s="45"/>
      <c r="B8" s="316" t="s">
        <v>8341</v>
      </c>
      <c r="C8" s="46" t="s">
        <v>8299</v>
      </c>
      <c r="D8" s="47" t="e">
        <f>+#REF!</f>
        <v>#REF!</v>
      </c>
      <c r="E8" s="48">
        <f ca="1">SUM(F8,J8:Q8)</f>
        <v>0</v>
      </c>
      <c r="F8" s="44">
        <f ca="1">SUM(H8:I8)</f>
        <v>0</v>
      </c>
      <c r="G8" s="49" t="e">
        <f ca="1">$D8-$BF8</f>
        <v>#REF!</v>
      </c>
      <c r="H8" s="50">
        <f ca="1">+GETPIVOTDATA("XXB4",'xabang (2016)'!$A$3,"MA_HT","LUC","MA_QH","LUK")</f>
        <v>0</v>
      </c>
      <c r="I8" s="50">
        <f ca="1">+GETPIVOTDATA("XXB4",'xabang (2016)'!$A$3,"MA_HT","LUC","MA_QH","LUN")</f>
        <v>0</v>
      </c>
      <c r="J8" s="50">
        <f ca="1">+GETPIVOTDATA("XXB4",'xabang (2016)'!$A$3,"MA_HT","LUC","MA_QH","HNK")</f>
        <v>0</v>
      </c>
      <c r="K8" s="50">
        <f ca="1">+GETPIVOTDATA("XXB4",'xabang (2016)'!$A$3,"MA_HT","LUC","MA_QH","CLN")</f>
        <v>0</v>
      </c>
      <c r="L8" s="50">
        <f ca="1">+GETPIVOTDATA("XXB4",'xabang (2016)'!$A$3,"MA_HT","LUC","MA_QH","RSX")</f>
        <v>0</v>
      </c>
      <c r="M8" s="50">
        <f ca="1">+GETPIVOTDATA("XXB4",'xabang (2016)'!$A$3,"MA_HT","LUC","MA_QH","RPH")</f>
        <v>0</v>
      </c>
      <c r="N8" s="50">
        <f ca="1">+GETPIVOTDATA("XXB4",'xabang (2016)'!$A$3,"MA_HT","LUC","MA_QH","RDD")</f>
        <v>0</v>
      </c>
      <c r="O8" s="50">
        <f ca="1">+GETPIVOTDATA("XXB4",'xabang (2016)'!$A$3,"MA_HT","LUC","MA_QH","NTS")</f>
        <v>0</v>
      </c>
      <c r="P8" s="50">
        <f ca="1">+GETPIVOTDATA("XXB4",'xabang (2016)'!$A$3,"MA_HT","LUC","MA_QH","LMU")</f>
        <v>0</v>
      </c>
      <c r="Q8" s="50">
        <f ca="1">+GETPIVOTDATA("XXB4",'xabang (2016)'!$A$3,"MA_HT","LUC","MA_QH","NKH")</f>
        <v>0</v>
      </c>
      <c r="R8" s="48">
        <f ca="1" t="shared" si="2"/>
        <v>0</v>
      </c>
      <c r="S8" s="50">
        <f ca="1">+GETPIVOTDATA("XXB4",'xabang (2016)'!$A$3,"MA_HT","LUC","MA_QH","CQP")</f>
        <v>0</v>
      </c>
      <c r="T8" s="50">
        <f ca="1">+GETPIVOTDATA("XXB4",'xabang (2016)'!$A$3,"MA_HT","LUC","MA_QH","CAN")</f>
        <v>0</v>
      </c>
      <c r="U8" s="50">
        <f ca="1">+GETPIVOTDATA("XXB4",'xabang (2016)'!$A$3,"MA_HT","LUC","MA_QH","SKK")</f>
        <v>0</v>
      </c>
      <c r="V8" s="50">
        <f ca="1">+GETPIVOTDATA("XXB4",'xabang (2016)'!$A$3,"MA_HT","LUC","MA_QH","SKT")</f>
        <v>0</v>
      </c>
      <c r="W8" s="50">
        <f ca="1">+GETPIVOTDATA("XXB4",'xabang (2016)'!$A$3,"MA_HT","LUC","MA_QH","SKN")</f>
        <v>0</v>
      </c>
      <c r="X8" s="50">
        <f ca="1">+GETPIVOTDATA("XXB4",'xabang (2016)'!$A$3,"MA_HT","LUC","MA_QH","TMD")</f>
        <v>0</v>
      </c>
      <c r="Y8" s="50">
        <f ca="1">+GETPIVOTDATA("XXB4",'xabang (2016)'!$A$3,"MA_HT","LUC","MA_QH","SKC")</f>
        <v>0</v>
      </c>
      <c r="Z8" s="50">
        <f ca="1">+GETPIVOTDATA("XXB4",'xabang (2016)'!$A$3,"MA_HT","LUC","MA_QH","SKS")</f>
        <v>0</v>
      </c>
      <c r="AA8" s="52">
        <f ca="1" t="shared" si="4"/>
        <v>0</v>
      </c>
      <c r="AB8" s="50">
        <f ca="1">+GETPIVOTDATA("XXB4",'xabang (2016)'!$A$3,"MA_HT","LUC","MA_QH","DGT")</f>
        <v>0</v>
      </c>
      <c r="AC8" s="50">
        <f ca="1">+GETPIVOTDATA("XXB4",'xabang (2016)'!$A$3,"MA_HT","LUC","MA_QH","DTL")</f>
        <v>0</v>
      </c>
      <c r="AD8" s="50">
        <f ca="1">+GETPIVOTDATA("XXB4",'xabang (2016)'!$A$3,"MA_HT","LUC","MA_QH","DNL")</f>
        <v>0</v>
      </c>
      <c r="AE8" s="50">
        <f ca="1">+GETPIVOTDATA("XXB4",'xabang (2016)'!$A$3,"MA_HT","LUC","MA_QH","DBV")</f>
        <v>0</v>
      </c>
      <c r="AF8" s="50">
        <f ca="1">+GETPIVOTDATA("XXB4",'xabang (2016)'!$A$3,"MA_HT","LUC","MA_QH","DVH")</f>
        <v>0</v>
      </c>
      <c r="AG8" s="50">
        <f ca="1">+GETPIVOTDATA("XXB4",'xabang (2016)'!$A$3,"MA_HT","LUC","MA_QH","DYT")</f>
        <v>0</v>
      </c>
      <c r="AH8" s="50">
        <f ca="1">+GETPIVOTDATA("XXB4",'xabang (2016)'!$A$3,"MA_HT","LUC","MA_QH","DGD")</f>
        <v>0</v>
      </c>
      <c r="AI8" s="50">
        <f ca="1">+GETPIVOTDATA("XXB4",'xabang (2016)'!$A$3,"MA_HT","LUC","MA_QH","DTT")</f>
        <v>0</v>
      </c>
      <c r="AJ8" s="50">
        <f ca="1">+GETPIVOTDATA("XXB4",'xabang (2016)'!$A$3,"MA_HT","LUC","MA_QH","NCK")</f>
        <v>0</v>
      </c>
      <c r="AK8" s="50">
        <f ca="1">+GETPIVOTDATA("XXB4",'xabang (2016)'!$A$3,"MA_HT","LUC","MA_QH","DXH")</f>
        <v>0</v>
      </c>
      <c r="AL8" s="50">
        <f ca="1">+GETPIVOTDATA("XXB4",'xabang (2016)'!$A$3,"MA_HT","LUC","MA_QH","DCH")</f>
        <v>0</v>
      </c>
      <c r="AM8" s="50">
        <f ca="1">+GETPIVOTDATA("XXB4",'xabang (2016)'!$A$3,"MA_HT","LUC","MA_QH","DKG")</f>
        <v>0</v>
      </c>
      <c r="AN8" s="50">
        <f ca="1">+GETPIVOTDATA("XXB4",'xabang (2016)'!$A$3,"MA_HT","LUC","MA_QH","DDT")</f>
        <v>0</v>
      </c>
      <c r="AO8" s="50">
        <f ca="1">+GETPIVOTDATA("XXB4",'xabang (2016)'!$A$3,"MA_HT","LUC","MA_QH","DDL")</f>
        <v>0</v>
      </c>
      <c r="AP8" s="50">
        <f ca="1">+GETPIVOTDATA("XXB4",'xabang (2016)'!$A$3,"MA_HT","LUC","MA_QH","DRA")</f>
        <v>0</v>
      </c>
      <c r="AQ8" s="50">
        <f ca="1">+GETPIVOTDATA("XXB4",'xabang (2016)'!$A$3,"MA_HT","LUC","MA_QH","ONT")</f>
        <v>0</v>
      </c>
      <c r="AR8" s="50">
        <f ca="1">+GETPIVOTDATA("XXB4",'xabang (2016)'!$A$3,"MA_HT","LUC","MA_QH","ODT")</f>
        <v>0</v>
      </c>
      <c r="AS8" s="50">
        <f ca="1">+GETPIVOTDATA("XXB4",'xabang (2016)'!$A$3,"MA_HT","LUC","MA_QH","TSC")</f>
        <v>0</v>
      </c>
      <c r="AT8" s="50">
        <f ca="1">+GETPIVOTDATA("XXB4",'xabang (2016)'!$A$3,"MA_HT","LUC","MA_QH","DTS")</f>
        <v>0</v>
      </c>
      <c r="AU8" s="50">
        <f ca="1">+GETPIVOTDATA("XXB4",'xabang (2016)'!$A$3,"MA_HT","LUC","MA_QH","DNG")</f>
        <v>0</v>
      </c>
      <c r="AV8" s="50">
        <f ca="1">+GETPIVOTDATA("XXB4",'xabang (2016)'!$A$3,"MA_HT","LUC","MA_QH","TON")</f>
        <v>0</v>
      </c>
      <c r="AW8" s="50">
        <f ca="1">+GETPIVOTDATA("XXB4",'xabang (2016)'!$A$3,"MA_HT","LUC","MA_QH","NTD")</f>
        <v>0</v>
      </c>
      <c r="AX8" s="50">
        <f ca="1">+GETPIVOTDATA("XXB4",'xabang (2016)'!$A$3,"MA_HT","LUC","MA_QH","SKX")</f>
        <v>0</v>
      </c>
      <c r="AY8" s="50">
        <f ca="1">+GETPIVOTDATA("XXB4",'xabang (2016)'!$A$3,"MA_HT","LUC","MA_QH","DSH")</f>
        <v>0</v>
      </c>
      <c r="AZ8" s="50">
        <f ca="1">+GETPIVOTDATA("XXB4",'xabang (2016)'!$A$3,"MA_HT","LUC","MA_QH","DKV")</f>
        <v>0</v>
      </c>
      <c r="BA8" s="88">
        <f ca="1">+GETPIVOTDATA("XXB4",'xabang (2016)'!$A$3,"MA_HT","LUC","MA_QH","TIN")</f>
        <v>0</v>
      </c>
      <c r="BB8" s="50">
        <f ca="1">+GETPIVOTDATA("XXB4",'xabang (2016)'!$A$3,"MA_HT","LUC","MA_QH","SON")</f>
        <v>0</v>
      </c>
      <c r="BC8" s="50">
        <f ca="1">+GETPIVOTDATA("XXB4",'xabang (2016)'!$A$3,"MA_HT","LUC","MA_QH","MNC")</f>
        <v>0</v>
      </c>
      <c r="BD8" s="50">
        <f ca="1">+GETPIVOTDATA("XXB4",'xabang (2016)'!$A$3,"MA_HT","LUC","MA_QH","PNK")</f>
        <v>0</v>
      </c>
      <c r="BE8" s="80">
        <f ca="1">+GETPIVOTDATA("XXB4",'xabang (2016)'!$A$3,"MA_HT","LUC","MA_QH","CSD")</f>
        <v>0</v>
      </c>
      <c r="BF8" s="103">
        <f ca="1" t="shared" si="7"/>
        <v>0</v>
      </c>
      <c r="BG8" s="104">
        <f ca="1">G$59-$BF8</f>
        <v>0</v>
      </c>
      <c r="BH8" s="47" t="e">
        <f ca="1" t="shared" si="8"/>
        <v>#REF!</v>
      </c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</row>
    <row r="9" s="4" customFormat="1" ht="15.75" customHeight="1" spans="1:79">
      <c r="A9" s="45"/>
      <c r="B9" s="316" t="s">
        <v>8342</v>
      </c>
      <c r="C9" s="46" t="s">
        <v>221</v>
      </c>
      <c r="D9" s="47" t="e">
        <f>+#REF!</f>
        <v>#REF!</v>
      </c>
      <c r="E9" s="48">
        <f ca="1">SUM(F9,J9:Q9)</f>
        <v>0</v>
      </c>
      <c r="F9" s="44">
        <f ca="1">SUM(G9,I9)</f>
        <v>0</v>
      </c>
      <c r="G9" s="51">
        <f ca="1">+GETPIVOTDATA("XXB4",'xabang (2016)'!$A$3,"MA_HT","LUK","MA_QH","LUC")</f>
        <v>0</v>
      </c>
      <c r="H9" s="49" t="e">
        <f ca="1">$D9-$BF9</f>
        <v>#REF!</v>
      </c>
      <c r="I9" s="50">
        <f ca="1">+GETPIVOTDATA("XXB4",'xabang (2016)'!$A$3,"MA_HT","LUK","MA_QH","LUN")</f>
        <v>0</v>
      </c>
      <c r="J9" s="50">
        <f ca="1">+GETPIVOTDATA("XXB4",'xabang (2016)'!$A$3,"MA_HT","LUK","MA_QH","HNK")</f>
        <v>0</v>
      </c>
      <c r="K9" s="50">
        <f ca="1">+GETPIVOTDATA("XXB4",'xabang (2016)'!$A$3,"MA_HT","LUK","MA_QH","CLN")</f>
        <v>0</v>
      </c>
      <c r="L9" s="50">
        <f ca="1">+GETPIVOTDATA("XXB4",'xabang (2016)'!$A$3,"MA_HT","LUK","MA_QH","RSX")</f>
        <v>0</v>
      </c>
      <c r="M9" s="50">
        <f ca="1">+GETPIVOTDATA("XXB4",'xabang (2016)'!$A$3,"MA_HT","LUK","MA_QH","RPH")</f>
        <v>0</v>
      </c>
      <c r="N9" s="50">
        <f ca="1">+GETPIVOTDATA("XXB4",'xabang (2016)'!$A$3,"MA_HT","LUK","MA_QH","RDD")</f>
        <v>0</v>
      </c>
      <c r="O9" s="50">
        <f ca="1">+GETPIVOTDATA("XXB4",'xabang (2016)'!$A$3,"MA_HT","LUK","MA_QH","NTS")</f>
        <v>0</v>
      </c>
      <c r="P9" s="50">
        <f ca="1">+GETPIVOTDATA("XXB4",'xabang (2016)'!$A$3,"MA_HT","LUK","MA_QH","LMU")</f>
        <v>0</v>
      </c>
      <c r="Q9" s="50">
        <f ca="1">+GETPIVOTDATA("XXB4",'xabang (2016)'!$A$3,"MA_HT","LUK","MA_QH","NKH")</f>
        <v>0</v>
      </c>
      <c r="R9" s="48">
        <f ca="1" t="shared" si="2"/>
        <v>0</v>
      </c>
      <c r="S9" s="50">
        <f ca="1">+GETPIVOTDATA("XXB4",'xabang (2016)'!$A$3,"MA_HT","LUK","MA_QH","CQP")</f>
        <v>0</v>
      </c>
      <c r="T9" s="50">
        <f ca="1">+GETPIVOTDATA("XXB4",'xabang (2016)'!$A$3,"MA_HT","LUK","MA_QH","CAN")</f>
        <v>0</v>
      </c>
      <c r="U9" s="50">
        <f ca="1">+GETPIVOTDATA("XXB4",'xabang (2016)'!$A$3,"MA_HT","LUK","MA_QH","SKK")</f>
        <v>0</v>
      </c>
      <c r="V9" s="50">
        <f ca="1">+GETPIVOTDATA("XXB4",'xabang (2016)'!$A$3,"MA_HT","LUK","MA_QH","SKT")</f>
        <v>0</v>
      </c>
      <c r="W9" s="50">
        <f ca="1">+GETPIVOTDATA("XXB4",'xabang (2016)'!$A$3,"MA_HT","LUK","MA_QH","SKN")</f>
        <v>0</v>
      </c>
      <c r="X9" s="50">
        <f ca="1">+GETPIVOTDATA("XXB4",'xabang (2016)'!$A$3,"MA_HT","LUK","MA_QH","TMD")</f>
        <v>0</v>
      </c>
      <c r="Y9" s="50">
        <f ca="1">+GETPIVOTDATA("XXB4",'xabang (2016)'!$A$3,"MA_HT","LUK","MA_QH","SKC")</f>
        <v>0</v>
      </c>
      <c r="Z9" s="50">
        <f ca="1">+GETPIVOTDATA("XXB4",'xabang (2016)'!$A$3,"MA_HT","LUK","MA_QH","SKS")</f>
        <v>0</v>
      </c>
      <c r="AA9" s="52">
        <f ca="1" t="shared" si="4"/>
        <v>0</v>
      </c>
      <c r="AB9" s="50">
        <f ca="1">+GETPIVOTDATA("XXB4",'xabang (2016)'!$A$3,"MA_HT","LUK","MA_QH","DGT")</f>
        <v>0</v>
      </c>
      <c r="AC9" s="50">
        <f ca="1">+GETPIVOTDATA("XXB4",'xabang (2016)'!$A$3,"MA_HT","LUK","MA_QH","DTL")</f>
        <v>0</v>
      </c>
      <c r="AD9" s="50">
        <f ca="1">+GETPIVOTDATA("XXB4",'xabang (2016)'!$A$3,"MA_HT","LUK","MA_QH","DNL")</f>
        <v>0</v>
      </c>
      <c r="AE9" s="50">
        <f ca="1">+GETPIVOTDATA("XXB4",'xabang (2016)'!$A$3,"MA_HT","LUK","MA_QH","DBV")</f>
        <v>0</v>
      </c>
      <c r="AF9" s="50">
        <f ca="1">+GETPIVOTDATA("XXB4",'xabang (2016)'!$A$3,"MA_HT","LUK","MA_QH","DVH")</f>
        <v>0</v>
      </c>
      <c r="AG9" s="50">
        <f ca="1">+GETPIVOTDATA("XXB4",'xabang (2016)'!$A$3,"MA_HT","LUK","MA_QH","DYT")</f>
        <v>0</v>
      </c>
      <c r="AH9" s="50">
        <f ca="1">+GETPIVOTDATA("XXB4",'xabang (2016)'!$A$3,"MA_HT","LUK","MA_QH","DGD")</f>
        <v>0</v>
      </c>
      <c r="AI9" s="50">
        <f ca="1">+GETPIVOTDATA("XXB4",'xabang (2016)'!$A$3,"MA_HT","LUK","MA_QH","DTT")</f>
        <v>0</v>
      </c>
      <c r="AJ9" s="50">
        <f ca="1">+GETPIVOTDATA("XXB4",'xabang (2016)'!$A$3,"MA_HT","LUK","MA_QH","NCK")</f>
        <v>0</v>
      </c>
      <c r="AK9" s="50">
        <f ca="1">+GETPIVOTDATA("XXB4",'xabang (2016)'!$A$3,"MA_HT","LUK","MA_QH","DXH")</f>
        <v>0</v>
      </c>
      <c r="AL9" s="50">
        <f ca="1">+GETPIVOTDATA("XXB4",'xabang (2016)'!$A$3,"MA_HT","LUK","MA_QH","DCH")</f>
        <v>0</v>
      </c>
      <c r="AM9" s="50">
        <f ca="1">+GETPIVOTDATA("XXB4",'xabang (2016)'!$A$3,"MA_HT","LUK","MA_QH","DKG")</f>
        <v>0</v>
      </c>
      <c r="AN9" s="50">
        <f ca="1">+GETPIVOTDATA("XXB4",'xabang (2016)'!$A$3,"MA_HT","LUK","MA_QH","DDT")</f>
        <v>0</v>
      </c>
      <c r="AO9" s="50">
        <f ca="1">+GETPIVOTDATA("XXB4",'xabang (2016)'!$A$3,"MA_HT","LUK","MA_QH","DDL")</f>
        <v>0</v>
      </c>
      <c r="AP9" s="50">
        <f ca="1">+GETPIVOTDATA("XXB4",'xabang (2016)'!$A$3,"MA_HT","LUK","MA_QH","DRA")</f>
        <v>0</v>
      </c>
      <c r="AQ9" s="50">
        <f ca="1">+GETPIVOTDATA("XXB4",'xabang (2016)'!$A$3,"MA_HT","LUK","MA_QH","ONT")</f>
        <v>0</v>
      </c>
      <c r="AR9" s="50">
        <f ca="1">+GETPIVOTDATA("XXB4",'xabang (2016)'!$A$3,"MA_HT","LUK","MA_QH","ODT")</f>
        <v>0</v>
      </c>
      <c r="AS9" s="50">
        <f ca="1">+GETPIVOTDATA("XXB4",'xabang (2016)'!$A$3,"MA_HT","LUK","MA_QH","TSC")</f>
        <v>0</v>
      </c>
      <c r="AT9" s="50">
        <f ca="1">+GETPIVOTDATA("XXB4",'xabang (2016)'!$A$3,"MA_HT","LUK","MA_QH","DTS")</f>
        <v>0</v>
      </c>
      <c r="AU9" s="50">
        <f ca="1">+GETPIVOTDATA("XXB4",'xabang (2016)'!$A$3,"MA_HT","LUK","MA_QH","DNG")</f>
        <v>0</v>
      </c>
      <c r="AV9" s="50">
        <f ca="1">+GETPIVOTDATA("XXB4",'xabang (2016)'!$A$3,"MA_HT","LUK","MA_QH","TON")</f>
        <v>0</v>
      </c>
      <c r="AW9" s="50">
        <f ca="1">+GETPIVOTDATA("XXB4",'xabang (2016)'!$A$3,"MA_HT","LUK","MA_QH","NTD")</f>
        <v>0</v>
      </c>
      <c r="AX9" s="50">
        <f ca="1">+GETPIVOTDATA("XXB4",'xabang (2016)'!$A$3,"MA_HT","LUK","MA_QH","SKX")</f>
        <v>0</v>
      </c>
      <c r="AY9" s="50">
        <f ca="1">+GETPIVOTDATA("XXB4",'xabang (2016)'!$A$3,"MA_HT","LUK","MA_QH","DSH")</f>
        <v>0</v>
      </c>
      <c r="AZ9" s="50">
        <f ca="1">+GETPIVOTDATA("XXB4",'xabang (2016)'!$A$3,"MA_HT","LUK","MA_QH","DKV")</f>
        <v>0</v>
      </c>
      <c r="BA9" s="88">
        <f ca="1">+GETPIVOTDATA("XXB4",'xabang (2016)'!$A$3,"MA_HT","LUK","MA_QH","TIN")</f>
        <v>0</v>
      </c>
      <c r="BB9" s="50">
        <f ca="1">+GETPIVOTDATA("XXB4",'xabang (2016)'!$A$3,"MA_HT","LUK","MA_QH","SON")</f>
        <v>0</v>
      </c>
      <c r="BC9" s="50">
        <f ca="1">+GETPIVOTDATA("XXB4",'xabang (2016)'!$A$3,"MA_HT","LUK","MA_QH","MNC")</f>
        <v>0</v>
      </c>
      <c r="BD9" s="50">
        <f ca="1">+GETPIVOTDATA("XXB4",'xabang (2016)'!$A$3,"MA_HT","LUK","MA_QH","PNK")</f>
        <v>0</v>
      </c>
      <c r="BE9" s="80">
        <f ca="1">+GETPIVOTDATA("XXB4",'xabang (2016)'!$A$3,"MA_HT","LUK","MA_QH","CSD")</f>
        <v>0</v>
      </c>
      <c r="BF9" s="103">
        <f ca="1" t="shared" si="7"/>
        <v>0</v>
      </c>
      <c r="BG9" s="104">
        <f ca="1">H$59-$BF9</f>
        <v>0</v>
      </c>
      <c r="BH9" s="47" t="e">
        <f ca="1" t="shared" si="8"/>
        <v>#REF!</v>
      </c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</row>
    <row r="10" s="4" customFormat="1" ht="15.75" customHeight="1" spans="1:79">
      <c r="A10" s="45"/>
      <c r="B10" s="316" t="s">
        <v>8343</v>
      </c>
      <c r="C10" s="46" t="s">
        <v>8300</v>
      </c>
      <c r="D10" s="47" t="e">
        <f>+#REF!</f>
        <v>#REF!</v>
      </c>
      <c r="E10" s="48">
        <f ca="1">SUM(J10:Q10,F10)</f>
        <v>0</v>
      </c>
      <c r="F10" s="44">
        <f ca="1">SUM(G10:H10)</f>
        <v>0</v>
      </c>
      <c r="G10" s="50">
        <f ca="1">+GETPIVOTDATA("XXB4",'xabang (2016)'!$A$3,"MA_HT","LUN","MA_QH","LUC")</f>
        <v>0</v>
      </c>
      <c r="H10" s="50">
        <f ca="1">+GETPIVOTDATA("XXB4",'xabang (2016)'!$A$3,"MA_HT","LUN","MA_QH","LUK")</f>
        <v>0</v>
      </c>
      <c r="I10" s="49" t="e">
        <f ca="1">$D10-$BF10</f>
        <v>#REF!</v>
      </c>
      <c r="J10" s="50">
        <f ca="1">+GETPIVOTDATA("XXB4",'xabang (2016)'!$A$3,"MA_HT","LUN","MA_QH","HNK")</f>
        <v>0</v>
      </c>
      <c r="K10" s="50">
        <f ca="1">+GETPIVOTDATA("XXB4",'xabang (2016)'!$A$3,"MA_HT","LUN","MA_QH","CLN")</f>
        <v>0</v>
      </c>
      <c r="L10" s="50">
        <f ca="1">+GETPIVOTDATA("XXB4",'xabang (2016)'!$A$3,"MA_HT","LUN","MA_QH","RSX")</f>
        <v>0</v>
      </c>
      <c r="M10" s="50">
        <f ca="1">+GETPIVOTDATA("XXB4",'xabang (2016)'!$A$3,"MA_HT","LUN","MA_QH","RPH")</f>
        <v>0</v>
      </c>
      <c r="N10" s="50">
        <f ca="1">+GETPIVOTDATA("XXB4",'xabang (2016)'!$A$3,"MA_HT","LUN","MA_QH","RDD")</f>
        <v>0</v>
      </c>
      <c r="O10" s="50">
        <f ca="1">+GETPIVOTDATA("XXB4",'xabang (2016)'!$A$3,"MA_HT","LUN","MA_QH","NTS")</f>
        <v>0</v>
      </c>
      <c r="P10" s="50">
        <f ca="1">+GETPIVOTDATA("XXB4",'xabang (2016)'!$A$3,"MA_HT","LUN","MA_QH","LMU")</f>
        <v>0</v>
      </c>
      <c r="Q10" s="50">
        <f ca="1">+GETPIVOTDATA("XXB4",'xabang (2016)'!$A$3,"MA_HT","LUN","MA_QH","NKH")</f>
        <v>0</v>
      </c>
      <c r="R10" s="48">
        <f ca="1" t="shared" si="2"/>
        <v>0</v>
      </c>
      <c r="S10" s="50">
        <f ca="1">+GETPIVOTDATA("XXB4",'xabang (2016)'!$A$3,"MA_HT","LUN","MA_QH","CQP")</f>
        <v>0</v>
      </c>
      <c r="T10" s="50">
        <f ca="1">+GETPIVOTDATA("XXB4",'xabang (2016)'!$A$3,"MA_HT","LUN","MA_QH","CAN")</f>
        <v>0</v>
      </c>
      <c r="U10" s="50">
        <f ca="1">+GETPIVOTDATA("XXB4",'xabang (2016)'!$A$3,"MA_HT","LUN","MA_QH","SKK")</f>
        <v>0</v>
      </c>
      <c r="V10" s="50">
        <f ca="1">+GETPIVOTDATA("XXB4",'xabang (2016)'!$A$3,"MA_HT","LUN","MA_QH","SKT")</f>
        <v>0</v>
      </c>
      <c r="W10" s="50">
        <f ca="1">+GETPIVOTDATA("XXB4",'xabang (2016)'!$A$3,"MA_HT","LUN","MA_QH","SKN")</f>
        <v>0</v>
      </c>
      <c r="X10" s="50">
        <f ca="1">+GETPIVOTDATA("XXB4",'xabang (2016)'!$A$3,"MA_HT","LUN","MA_QH","TMD")</f>
        <v>0</v>
      </c>
      <c r="Y10" s="50">
        <f ca="1">+GETPIVOTDATA("XXB4",'xabang (2016)'!$A$3,"MA_HT","LUN","MA_QH","SKC")</f>
        <v>0</v>
      </c>
      <c r="Z10" s="50">
        <f ca="1">+GETPIVOTDATA("XXB4",'xabang (2016)'!$A$3,"MA_HT","LUN","MA_QH","SKS")</f>
        <v>0</v>
      </c>
      <c r="AA10" s="52">
        <f ca="1" t="shared" si="4"/>
        <v>0</v>
      </c>
      <c r="AB10" s="50">
        <f ca="1">+GETPIVOTDATA("XXB4",'xabang (2016)'!$A$3,"MA_HT","LUN","MA_QH","DGT")</f>
        <v>0</v>
      </c>
      <c r="AC10" s="50">
        <f ca="1">+GETPIVOTDATA("XXB4",'xabang (2016)'!$A$3,"MA_HT","LUN","MA_QH","DTL")</f>
        <v>0</v>
      </c>
      <c r="AD10" s="50">
        <f ca="1">+GETPIVOTDATA("XXB4",'xabang (2016)'!$A$3,"MA_HT","LUN","MA_QH","DNL")</f>
        <v>0</v>
      </c>
      <c r="AE10" s="50">
        <f ca="1">+GETPIVOTDATA("XXB4",'xabang (2016)'!$A$3,"MA_HT","LUN","MA_QH","DBV")</f>
        <v>0</v>
      </c>
      <c r="AF10" s="50">
        <f ca="1">+GETPIVOTDATA("XXB4",'xabang (2016)'!$A$3,"MA_HT","LUN","MA_QH","DVH")</f>
        <v>0</v>
      </c>
      <c r="AG10" s="50">
        <f ca="1">+GETPIVOTDATA("XXB4",'xabang (2016)'!$A$3,"MA_HT","LUN","MA_QH","DYT")</f>
        <v>0</v>
      </c>
      <c r="AH10" s="50">
        <f ca="1">+GETPIVOTDATA("XXB4",'xabang (2016)'!$A$3,"MA_HT","LUN","MA_QH","DGD")</f>
        <v>0</v>
      </c>
      <c r="AI10" s="50">
        <f ca="1">+GETPIVOTDATA("XXB4",'xabang (2016)'!$A$3,"MA_HT","LUN","MA_QH","DTT")</f>
        <v>0</v>
      </c>
      <c r="AJ10" s="50">
        <f ca="1">+GETPIVOTDATA("XXB4",'xabang (2016)'!$A$3,"MA_HT","LUN","MA_QH","NCK")</f>
        <v>0</v>
      </c>
      <c r="AK10" s="50">
        <f ca="1">+GETPIVOTDATA("XXB4",'xabang (2016)'!$A$3,"MA_HT","LUN","MA_QH","DXH")</f>
        <v>0</v>
      </c>
      <c r="AL10" s="50">
        <f ca="1">+GETPIVOTDATA("XXB4",'xabang (2016)'!$A$3,"MA_HT","LUN","MA_QH","DCH")</f>
        <v>0</v>
      </c>
      <c r="AM10" s="50">
        <f ca="1">+GETPIVOTDATA("XXB4",'xabang (2016)'!$A$3,"MA_HT","LUN","MA_QH","DKG")</f>
        <v>0</v>
      </c>
      <c r="AN10" s="50">
        <f ca="1">+GETPIVOTDATA("XXB4",'xabang (2016)'!$A$3,"MA_HT","LUN","MA_QH","DDT")</f>
        <v>0</v>
      </c>
      <c r="AO10" s="50">
        <f ca="1">+GETPIVOTDATA("XXB4",'xabang (2016)'!$A$3,"MA_HT","LUN","MA_QH","DDL")</f>
        <v>0</v>
      </c>
      <c r="AP10" s="50">
        <f ca="1">+GETPIVOTDATA("XXB4",'xabang (2016)'!$A$3,"MA_HT","LUN","MA_QH","DRA")</f>
        <v>0</v>
      </c>
      <c r="AQ10" s="50">
        <f ca="1">+GETPIVOTDATA("XXB4",'xabang (2016)'!$A$3,"MA_HT","LUN","MA_QH","ONT")</f>
        <v>0</v>
      </c>
      <c r="AR10" s="50">
        <f ca="1">+GETPIVOTDATA("XXB4",'xabang (2016)'!$A$3,"MA_HT","LUN","MA_QH","ODT")</f>
        <v>0</v>
      </c>
      <c r="AS10" s="50">
        <f ca="1">+GETPIVOTDATA("XXB4",'xabang (2016)'!$A$3,"MA_HT","LUN","MA_QH","TSC")</f>
        <v>0</v>
      </c>
      <c r="AT10" s="50">
        <f ca="1">+GETPIVOTDATA("XXB4",'xabang (2016)'!$A$3,"MA_HT","LUN","MA_QH","DTS")</f>
        <v>0</v>
      </c>
      <c r="AU10" s="50">
        <f ca="1">+GETPIVOTDATA("XXB4",'xabang (2016)'!$A$3,"MA_HT","LUN","MA_QH","DNG")</f>
        <v>0</v>
      </c>
      <c r="AV10" s="50">
        <f ca="1">+GETPIVOTDATA("XXB4",'xabang (2016)'!$A$3,"MA_HT","LUN","MA_QH","TON")</f>
        <v>0</v>
      </c>
      <c r="AW10" s="50">
        <f ca="1">+GETPIVOTDATA("XXB4",'xabang (2016)'!$A$3,"MA_HT","LUN","MA_QH","NTD")</f>
        <v>0</v>
      </c>
      <c r="AX10" s="50">
        <f ca="1">+GETPIVOTDATA("XXB4",'xabang (2016)'!$A$3,"MA_HT","LUN","MA_QH","SKX")</f>
        <v>0</v>
      </c>
      <c r="AY10" s="50">
        <f ca="1">+GETPIVOTDATA("XXB4",'xabang (2016)'!$A$3,"MA_HT","LUN","MA_QH","DSH")</f>
        <v>0</v>
      </c>
      <c r="AZ10" s="50">
        <f ca="1">+GETPIVOTDATA("XXB4",'xabang (2016)'!$A$3,"MA_HT","LUN","MA_QH","DKV")</f>
        <v>0</v>
      </c>
      <c r="BA10" s="88">
        <f ca="1">+GETPIVOTDATA("XXB4",'xabang (2016)'!$A$3,"MA_HT","LUN","MA_QH","TIN")</f>
        <v>0</v>
      </c>
      <c r="BB10" s="50">
        <f ca="1">+GETPIVOTDATA("XXB4",'xabang (2016)'!$A$3,"MA_HT","LUN","MA_QH","SON")</f>
        <v>0</v>
      </c>
      <c r="BC10" s="50">
        <f ca="1">+GETPIVOTDATA("XXB4",'xabang (2016)'!$A$3,"MA_HT","LUN","MA_QH","MNC")</f>
        <v>0</v>
      </c>
      <c r="BD10" s="50">
        <f ca="1">+GETPIVOTDATA("XXB4",'xabang (2016)'!$A$3,"MA_HT","LUN","MA_QH","PNK")</f>
        <v>0</v>
      </c>
      <c r="BE10" s="80">
        <f ca="1">+GETPIVOTDATA("XXB4",'xabang (2016)'!$A$3,"MA_HT","LUN","MA_QH","CSD")</f>
        <v>0</v>
      </c>
      <c r="BF10" s="103">
        <f ca="1" t="shared" si="7"/>
        <v>0</v>
      </c>
      <c r="BG10" s="104">
        <f ca="1">I$59-$BF10</f>
        <v>0</v>
      </c>
      <c r="BH10" s="47" t="e">
        <f ca="1" t="shared" si="8"/>
        <v>#REF!</v>
      </c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</row>
    <row r="11" s="2" customFormat="1" ht="15.75" customHeight="1" spans="1:79">
      <c r="A11" s="39" t="s">
        <v>40</v>
      </c>
      <c r="B11" s="39" t="s">
        <v>8344</v>
      </c>
      <c r="C11" s="40" t="s">
        <v>2492</v>
      </c>
      <c r="D11" s="47" t="e">
        <f>+#REF!</f>
        <v>#REF!</v>
      </c>
      <c r="E11" s="42">
        <f ca="1">SUM(K11:Q11,F11)</f>
        <v>0</v>
      </c>
      <c r="F11" s="52">
        <f ca="1">SUM(G11:I11)</f>
        <v>0</v>
      </c>
      <c r="G11" s="22">
        <f ca="1">+GETPIVOTDATA("XXB4",'xabang (2016)'!$A$3,"MA_HT","HNK","MA_QH","LUC")</f>
        <v>0</v>
      </c>
      <c r="H11" s="22">
        <f ca="1">+GETPIVOTDATA("XXB4",'xabang (2016)'!$A$3,"MA_HT","HNK","MA_QH","LUK")</f>
        <v>0</v>
      </c>
      <c r="I11" s="22">
        <f ca="1">+GETPIVOTDATA("XXB4",'xabang (2016)'!$A$3,"MA_HT","HNK","MA_QH","LUN")</f>
        <v>0</v>
      </c>
      <c r="J11" s="43" t="e">
        <f ca="1">$D11-$BF11</f>
        <v>#REF!</v>
      </c>
      <c r="K11" s="22">
        <f ca="1">+GETPIVOTDATA("XXB4",'xabang (2016)'!$A$3,"MA_HT","HNK","MA_QH","CLN")</f>
        <v>0</v>
      </c>
      <c r="L11" s="22">
        <f ca="1">+GETPIVOTDATA("XXB4",'xabang (2016)'!$A$3,"MA_HT","HNK","MA_QH","RSX")</f>
        <v>0</v>
      </c>
      <c r="M11" s="22">
        <f ca="1">+GETPIVOTDATA("XXB4",'xabang (2016)'!$A$3,"MA_HT","HNK","MA_QH","RPH")</f>
        <v>0</v>
      </c>
      <c r="N11" s="22">
        <f ca="1">+GETPIVOTDATA("XXB4",'xabang (2016)'!$A$3,"MA_HT","HNK","MA_QH","RDD")</f>
        <v>0</v>
      </c>
      <c r="O11" s="22">
        <f ca="1">+GETPIVOTDATA("XXB4",'xabang (2016)'!$A$3,"MA_HT","HNK","MA_QH","NTS")</f>
        <v>0</v>
      </c>
      <c r="P11" s="22">
        <f ca="1">+GETPIVOTDATA("XXB4",'xabang (2016)'!$A$3,"MA_HT","HNK","MA_QH","LMU")</f>
        <v>0</v>
      </c>
      <c r="Q11" s="22">
        <f ca="1">+GETPIVOTDATA("XXB4",'xabang (2016)'!$A$3,"MA_HT","HNK","MA_QH","NKH")</f>
        <v>0</v>
      </c>
      <c r="R11" s="42">
        <f ca="1" t="shared" si="2"/>
        <v>0</v>
      </c>
      <c r="S11" s="22">
        <f ca="1">+GETPIVOTDATA("XXB4",'xabang (2016)'!$A$3,"MA_HT","HNK","MA_QH","CQP")</f>
        <v>0</v>
      </c>
      <c r="T11" s="22">
        <f ca="1">+GETPIVOTDATA("XXB4",'xabang (2016)'!$A$3,"MA_HT","HNK","MA_QH","CAN")</f>
        <v>0</v>
      </c>
      <c r="U11" s="22">
        <f ca="1">+GETPIVOTDATA("XXB4",'xabang (2016)'!$A$3,"MA_HT","HNK","MA_QH","SKK")</f>
        <v>0</v>
      </c>
      <c r="V11" s="22">
        <f ca="1">+GETPIVOTDATA("XXB4",'xabang (2016)'!$A$3,"MA_HT","HNK","MA_QH","SKT")</f>
        <v>0</v>
      </c>
      <c r="W11" s="22">
        <f ca="1">+GETPIVOTDATA("XXB4",'xabang (2016)'!$A$3,"MA_HT","HNK","MA_QH","SKN")</f>
        <v>0</v>
      </c>
      <c r="X11" s="22">
        <f ca="1">+GETPIVOTDATA("XXB4",'xabang (2016)'!$A$3,"MA_HT","HNK","MA_QH","TMD")</f>
        <v>0</v>
      </c>
      <c r="Y11" s="22">
        <f ca="1">+GETPIVOTDATA("XXB4",'xabang (2016)'!$A$3,"MA_HT","HNK","MA_QH","SKC")</f>
        <v>0</v>
      </c>
      <c r="Z11" s="22">
        <f ca="1">+GETPIVOTDATA("XXB4",'xabang (2016)'!$A$3,"MA_HT","HNK","MA_QH","SKS")</f>
        <v>0</v>
      </c>
      <c r="AA11" s="52">
        <f ca="1" t="shared" si="4"/>
        <v>0</v>
      </c>
      <c r="AB11" s="22">
        <f ca="1">+GETPIVOTDATA("XXB4",'xabang (2016)'!$A$3,"MA_HT","HNK","MA_QH","DGT")</f>
        <v>0</v>
      </c>
      <c r="AC11" s="22">
        <f ca="1">+GETPIVOTDATA("XXB4",'xabang (2016)'!$A$3,"MA_HT","HNK","MA_QH","DTL")</f>
        <v>0</v>
      </c>
      <c r="AD11" s="22">
        <f ca="1">+GETPIVOTDATA("XXB4",'xabang (2016)'!$A$3,"MA_HT","HNK","MA_QH","DNL")</f>
        <v>0</v>
      </c>
      <c r="AE11" s="22">
        <f ca="1">+GETPIVOTDATA("XXB4",'xabang (2016)'!$A$3,"MA_HT","HNK","MA_QH","DBV")</f>
        <v>0</v>
      </c>
      <c r="AF11" s="22">
        <f ca="1">+GETPIVOTDATA("XXB4",'xabang (2016)'!$A$3,"MA_HT","HNK","MA_QH","DVH")</f>
        <v>0</v>
      </c>
      <c r="AG11" s="22">
        <f ca="1">+GETPIVOTDATA("XXB4",'xabang (2016)'!$A$3,"MA_HT","HNK","MA_QH","DYT")</f>
        <v>0</v>
      </c>
      <c r="AH11" s="22">
        <f ca="1">+GETPIVOTDATA("XXB4",'xabang (2016)'!$A$3,"MA_HT","HNK","MA_QH","DGD")</f>
        <v>0</v>
      </c>
      <c r="AI11" s="22">
        <f ca="1">+GETPIVOTDATA("XXB4",'xabang (2016)'!$A$3,"MA_HT","HNK","MA_QH","DTT")</f>
        <v>0</v>
      </c>
      <c r="AJ11" s="22">
        <f ca="1">+GETPIVOTDATA("XXB4",'xabang (2016)'!$A$3,"MA_HT","HNK","MA_QH","NCK")</f>
        <v>0</v>
      </c>
      <c r="AK11" s="22">
        <f ca="1">+GETPIVOTDATA("XXB4",'xabang (2016)'!$A$3,"MA_HT","HNK","MA_QH","DXH")</f>
        <v>0</v>
      </c>
      <c r="AL11" s="22">
        <f ca="1">+GETPIVOTDATA("XXB4",'xabang (2016)'!$A$3,"MA_HT","HNK","MA_QH","DCH")</f>
        <v>0</v>
      </c>
      <c r="AM11" s="22">
        <f ca="1">+GETPIVOTDATA("XXB4",'xabang (2016)'!$A$3,"MA_HT","HNK","MA_QH","DKG")</f>
        <v>0</v>
      </c>
      <c r="AN11" s="22">
        <f ca="1">+GETPIVOTDATA("XXB4",'xabang (2016)'!$A$3,"MA_HT","HNK","MA_QH","DDT")</f>
        <v>0</v>
      </c>
      <c r="AO11" s="22">
        <f ca="1">+GETPIVOTDATA("XXB4",'xabang (2016)'!$A$3,"MA_HT","HNK","MA_QH","DDL")</f>
        <v>0</v>
      </c>
      <c r="AP11" s="22">
        <f ca="1">+GETPIVOTDATA("XXB4",'xabang (2016)'!$A$3,"MA_HT","HNK","MA_QH","DRA")</f>
        <v>0</v>
      </c>
      <c r="AQ11" s="22">
        <f ca="1">+GETPIVOTDATA("XXB4",'xabang (2016)'!$A$3,"MA_HT","HNK","MA_QH","ONT")</f>
        <v>0</v>
      </c>
      <c r="AR11" s="22">
        <f ca="1">+GETPIVOTDATA("XXB4",'xabang (2016)'!$A$3,"MA_HT","HNK","MA_QH","ODT")</f>
        <v>0</v>
      </c>
      <c r="AS11" s="22">
        <f ca="1">+GETPIVOTDATA("XXB4",'xabang (2016)'!$A$3,"MA_HT","HNK","MA_QH","TSC")</f>
        <v>0</v>
      </c>
      <c r="AT11" s="22">
        <f ca="1">+GETPIVOTDATA("XXB4",'xabang (2016)'!$A$3,"MA_HT","HNK","MA_QH","DTS")</f>
        <v>0</v>
      </c>
      <c r="AU11" s="22">
        <f ca="1">+GETPIVOTDATA("XXB4",'xabang (2016)'!$A$3,"MA_HT","HNK","MA_QH","DNG")</f>
        <v>0</v>
      </c>
      <c r="AV11" s="22">
        <f ca="1">+GETPIVOTDATA("XXB4",'xabang (2016)'!$A$3,"MA_HT","HNK","MA_QH","TON")</f>
        <v>0</v>
      </c>
      <c r="AW11" s="22">
        <f ca="1">+GETPIVOTDATA("XXB4",'xabang (2016)'!$A$3,"MA_HT","HNK","MA_QH","NTD")</f>
        <v>0</v>
      </c>
      <c r="AX11" s="22">
        <f ca="1">+GETPIVOTDATA("XXB4",'xabang (2016)'!$A$3,"MA_HT","HNK","MA_QH","SKX")</f>
        <v>0</v>
      </c>
      <c r="AY11" s="22">
        <f ca="1">+GETPIVOTDATA("XXB4",'xabang (2016)'!$A$3,"MA_HT","HNK","MA_QH","DSH")</f>
        <v>0</v>
      </c>
      <c r="AZ11" s="22">
        <f ca="1">+GETPIVOTDATA("XXB4",'xabang (2016)'!$A$3,"MA_HT","HNK","MA_QH","DKV")</f>
        <v>0</v>
      </c>
      <c r="BA11" s="89">
        <f ca="1">+GETPIVOTDATA("XXB4",'xabang (2016)'!$A$3,"MA_HT","HNK","MA_QH","TIN")</f>
        <v>0</v>
      </c>
      <c r="BB11" s="50">
        <f ca="1">+GETPIVOTDATA("XXB4",'xabang (2016)'!$A$3,"MA_HT","HNK","MA_QH","SON")</f>
        <v>0</v>
      </c>
      <c r="BC11" s="50">
        <f ca="1">+GETPIVOTDATA("XXB4",'xabang (2016)'!$A$3,"MA_HT","HNK","MA_QH","MNC")</f>
        <v>0</v>
      </c>
      <c r="BD11" s="22">
        <f ca="1">+GETPIVOTDATA("XXB4",'xabang (2016)'!$A$3,"MA_HT","HNK","MA_QH","PNK")</f>
        <v>0</v>
      </c>
      <c r="BE11" s="71">
        <f ca="1">+GETPIVOTDATA("XXB4",'xabang (2016)'!$A$3,"MA_HT","HNK","MA_QH","CSD")</f>
        <v>0</v>
      </c>
      <c r="BF11" s="74">
        <f ca="1" t="shared" si="7"/>
        <v>0</v>
      </c>
      <c r="BG11" s="101">
        <f ca="1">J$59-$BF11</f>
        <v>0</v>
      </c>
      <c r="BH11" s="41" t="e">
        <f ca="1" t="shared" si="8"/>
        <v>#REF!</v>
      </c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</row>
    <row r="12" s="2" customFormat="1" ht="15.75" customHeight="1" spans="1:79">
      <c r="A12" s="39" t="s">
        <v>8345</v>
      </c>
      <c r="B12" s="39" t="s">
        <v>8346</v>
      </c>
      <c r="C12" s="40" t="s">
        <v>30</v>
      </c>
      <c r="D12" s="47" t="e">
        <f>+#REF!</f>
        <v>#REF!</v>
      </c>
      <c r="E12" s="42">
        <f ca="1">SUM(L12:Q12,F12,J12)</f>
        <v>0</v>
      </c>
      <c r="F12" s="52">
        <f ca="1" t="shared" ref="F12:F58" si="9">SUM(G12:I12)</f>
        <v>0</v>
      </c>
      <c r="G12" s="22">
        <f ca="1">+GETPIVOTDATA("XXB4",'xabang (2016)'!$A$3,"MA_HT","CLN","MA_QH","LUC")</f>
        <v>0</v>
      </c>
      <c r="H12" s="22">
        <f ca="1">+GETPIVOTDATA("XXB4",'xabang (2016)'!$A$3,"MA_HT","CLN","MA_QH","LUK")</f>
        <v>0</v>
      </c>
      <c r="I12" s="22">
        <f ca="1">+GETPIVOTDATA("XXB4",'xabang (2016)'!$A$3,"MA_HT","CLN","MA_QH","LUN")</f>
        <v>0</v>
      </c>
      <c r="J12" s="22">
        <f ca="1">+GETPIVOTDATA("XXB4",'xabang (2016)'!$A$3,"MA_HT","CLN","MA_QH","HNK")</f>
        <v>0</v>
      </c>
      <c r="K12" s="43" t="e">
        <f ca="1">$D12-$BF12</f>
        <v>#REF!</v>
      </c>
      <c r="L12" s="22">
        <f ca="1">+GETPIVOTDATA("XXB4",'xabang (2016)'!$A$3,"MA_HT","CLN","MA_QH","RSX")</f>
        <v>0</v>
      </c>
      <c r="M12" s="22">
        <f ca="1">+GETPIVOTDATA("XXB4",'xabang (2016)'!$A$3,"MA_HT","CLN","MA_QH","RPH")</f>
        <v>0</v>
      </c>
      <c r="N12" s="22">
        <f ca="1">+GETPIVOTDATA("XXB4",'xabang (2016)'!$A$3,"MA_HT","CLN","MA_QH","RDD")</f>
        <v>0</v>
      </c>
      <c r="O12" s="22">
        <f ca="1">+GETPIVOTDATA("XXB4",'xabang (2016)'!$A$3,"MA_HT","CLN","MA_QH","NTS")</f>
        <v>0</v>
      </c>
      <c r="P12" s="22">
        <f ca="1">+GETPIVOTDATA("XXB4",'xabang (2016)'!$A$3,"MA_HT","CLN","MA_QH","LMU")</f>
        <v>0</v>
      </c>
      <c r="Q12" s="22">
        <f ca="1">+GETPIVOTDATA("XXB4",'xabang (2016)'!$A$3,"MA_HT","CLN","MA_QH","NKH")</f>
        <v>0</v>
      </c>
      <c r="R12" s="42">
        <f ca="1" t="shared" si="2"/>
        <v>0</v>
      </c>
      <c r="S12" s="22">
        <f ca="1">+GETPIVOTDATA("XXB4",'xabang (2016)'!$A$3,"MA_HT","CLN","MA_QH","CQP")</f>
        <v>0</v>
      </c>
      <c r="T12" s="22">
        <f ca="1">+GETPIVOTDATA("XXB4",'xabang (2016)'!$A$3,"MA_HT","CLN","MA_QH","CAN")</f>
        <v>0</v>
      </c>
      <c r="U12" s="22">
        <f ca="1">+GETPIVOTDATA("XXB4",'xabang (2016)'!$A$3,"MA_HT","CLN","MA_QH","SKK")</f>
        <v>0</v>
      </c>
      <c r="V12" s="22">
        <f ca="1">+GETPIVOTDATA("XXB4",'xabang (2016)'!$A$3,"MA_HT","CLN","MA_QH","SKT")</f>
        <v>0</v>
      </c>
      <c r="W12" s="22">
        <f ca="1">+GETPIVOTDATA("XXB4",'xabang (2016)'!$A$3,"MA_HT","CLN","MA_QH","SKN")</f>
        <v>0</v>
      </c>
      <c r="X12" s="22">
        <f ca="1">+GETPIVOTDATA("XXB4",'xabang (2016)'!$A$3,"MA_HT","CLN","MA_QH","TMD")</f>
        <v>0</v>
      </c>
      <c r="Y12" s="22">
        <f ca="1">+GETPIVOTDATA("XXB4",'xabang (2016)'!$A$3,"MA_HT","CLN","MA_QH","SKC")</f>
        <v>0</v>
      </c>
      <c r="Z12" s="22">
        <f ca="1">+GETPIVOTDATA("XXB4",'xabang (2016)'!$A$3,"MA_HT","CLN","MA_QH","SKS")</f>
        <v>0</v>
      </c>
      <c r="AA12" s="52">
        <f ca="1" t="shared" si="4"/>
        <v>0</v>
      </c>
      <c r="AB12" s="22">
        <f ca="1">+GETPIVOTDATA("XXB4",'xabang (2016)'!$A$3,"MA_HT","CLN","MA_QH","DGT")</f>
        <v>0</v>
      </c>
      <c r="AC12" s="22">
        <f ca="1">+GETPIVOTDATA("XXB4",'xabang (2016)'!$A$3,"MA_HT","CLN","MA_QH","DTL")</f>
        <v>0</v>
      </c>
      <c r="AD12" s="22">
        <f ca="1">+GETPIVOTDATA("XXB4",'xabang (2016)'!$A$3,"MA_HT","CLN","MA_QH","DNL")</f>
        <v>0</v>
      </c>
      <c r="AE12" s="22">
        <f ca="1">+GETPIVOTDATA("XXB4",'xabang (2016)'!$A$3,"MA_HT","CLN","MA_QH","DBV")</f>
        <v>0</v>
      </c>
      <c r="AF12" s="22">
        <f ca="1">+GETPIVOTDATA("XXB4",'xabang (2016)'!$A$3,"MA_HT","CLN","MA_QH","DVH")</f>
        <v>0</v>
      </c>
      <c r="AG12" s="22">
        <f ca="1">+GETPIVOTDATA("XXB4",'xabang (2016)'!$A$3,"MA_HT","CLN","MA_QH","DYT")</f>
        <v>0</v>
      </c>
      <c r="AH12" s="22">
        <f ca="1">+GETPIVOTDATA("XXB4",'xabang (2016)'!$A$3,"MA_HT","CLN","MA_QH","DGD")</f>
        <v>0</v>
      </c>
      <c r="AI12" s="22">
        <f ca="1">+GETPIVOTDATA("XXB4",'xabang (2016)'!$A$3,"MA_HT","CLN","MA_QH","DTT")</f>
        <v>0</v>
      </c>
      <c r="AJ12" s="22">
        <f ca="1">+GETPIVOTDATA("XXB4",'xabang (2016)'!$A$3,"MA_HT","CLN","MA_QH","NCK")</f>
        <v>0</v>
      </c>
      <c r="AK12" s="22">
        <f ca="1">+GETPIVOTDATA("XXB4",'xabang (2016)'!$A$3,"MA_HT","CLN","MA_QH","DXH")</f>
        <v>0</v>
      </c>
      <c r="AL12" s="22">
        <f ca="1">+GETPIVOTDATA("XXB4",'xabang (2016)'!$A$3,"MA_HT","CLN","MA_QH","DCH")</f>
        <v>0</v>
      </c>
      <c r="AM12" s="22">
        <f ca="1">+GETPIVOTDATA("XXB4",'xabang (2016)'!$A$3,"MA_HT","CLN","MA_QH","DKG")</f>
        <v>0</v>
      </c>
      <c r="AN12" s="22">
        <f ca="1">+GETPIVOTDATA("XXB4",'xabang (2016)'!$A$3,"MA_HT","CLN","MA_QH","DDT")</f>
        <v>0</v>
      </c>
      <c r="AO12" s="22">
        <f ca="1">+GETPIVOTDATA("XXB4",'xabang (2016)'!$A$3,"MA_HT","CLN","MA_QH","DDL")</f>
        <v>0</v>
      </c>
      <c r="AP12" s="22">
        <f ca="1">+GETPIVOTDATA("XXB4",'xabang (2016)'!$A$3,"MA_HT","CLN","MA_QH","DRA")</f>
        <v>0</v>
      </c>
      <c r="AQ12" s="22">
        <f ca="1">+GETPIVOTDATA("XXB4",'xabang (2016)'!$A$3,"MA_HT","CLN","MA_QH","ONT")</f>
        <v>0</v>
      </c>
      <c r="AR12" s="22">
        <f ca="1">+GETPIVOTDATA("XXB4",'xabang (2016)'!$A$3,"MA_HT","CLN","MA_QH","ODT")</f>
        <v>0</v>
      </c>
      <c r="AS12" s="22">
        <f ca="1">+GETPIVOTDATA("XXB4",'xabang (2016)'!$A$3,"MA_HT","CLN","MA_QH","TSC")</f>
        <v>0</v>
      </c>
      <c r="AT12" s="22">
        <f ca="1">+GETPIVOTDATA("XXB4",'xabang (2016)'!$A$3,"MA_HT","CLN","MA_QH","DTS")</f>
        <v>0</v>
      </c>
      <c r="AU12" s="22">
        <f ca="1">+GETPIVOTDATA("XXB4",'xabang (2016)'!$A$3,"MA_HT","CLN","MA_QH","DNG")</f>
        <v>0</v>
      </c>
      <c r="AV12" s="22">
        <f ca="1">+GETPIVOTDATA("XXB4",'xabang (2016)'!$A$3,"MA_HT","CLN","MA_QH","TON")</f>
        <v>0</v>
      </c>
      <c r="AW12" s="22">
        <f ca="1">+GETPIVOTDATA("XXB4",'xabang (2016)'!$A$3,"MA_HT","CLN","MA_QH","NTD")</f>
        <v>0</v>
      </c>
      <c r="AX12" s="22">
        <f ca="1">+GETPIVOTDATA("XXB4",'xabang (2016)'!$A$3,"MA_HT","CLN","MA_QH","SKX")</f>
        <v>0</v>
      </c>
      <c r="AY12" s="22">
        <f ca="1">+GETPIVOTDATA("XXB4",'xabang (2016)'!$A$3,"MA_HT","CLN","MA_QH","DSH")</f>
        <v>0</v>
      </c>
      <c r="AZ12" s="22">
        <f ca="1">+GETPIVOTDATA("XXB4",'xabang (2016)'!$A$3,"MA_HT","CLN","MA_QH","DKV")</f>
        <v>0</v>
      </c>
      <c r="BA12" s="89">
        <f ca="1">+GETPIVOTDATA("XXB4",'xabang (2016)'!$A$3,"MA_HT","CLN","MA_QH","TIN")</f>
        <v>0</v>
      </c>
      <c r="BB12" s="50">
        <f ca="1">+GETPIVOTDATA("XXB4",'xabang (2016)'!$A$3,"MA_HT","CLN","MA_QH","SON")</f>
        <v>0</v>
      </c>
      <c r="BC12" s="50">
        <f ca="1">+GETPIVOTDATA("XXB4",'xabang (2016)'!$A$3,"MA_HT","CLN","MA_QH","MNC")</f>
        <v>0</v>
      </c>
      <c r="BD12" s="22">
        <f ca="1">+GETPIVOTDATA("XXB4",'xabang (2016)'!$A$3,"MA_HT","CLN","MA_QH","PNK")</f>
        <v>0</v>
      </c>
      <c r="BE12" s="71">
        <f ca="1">+GETPIVOTDATA("XXB4",'xabang (2016)'!$A$3,"MA_HT","CLN","MA_QH","CSD")</f>
        <v>0</v>
      </c>
      <c r="BF12" s="74">
        <f ca="1" t="shared" si="7"/>
        <v>0</v>
      </c>
      <c r="BG12" s="101">
        <f ca="1">K$59-$BF12</f>
        <v>0</v>
      </c>
      <c r="BH12" s="41" t="e">
        <f ca="1" t="shared" si="8"/>
        <v>#REF!</v>
      </c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</row>
    <row r="13" s="2" customFormat="1" ht="15.75" customHeight="1" spans="1:79">
      <c r="A13" s="39" t="s">
        <v>8347</v>
      </c>
      <c r="B13" s="39" t="s">
        <v>8348</v>
      </c>
      <c r="C13" s="40" t="s">
        <v>8307</v>
      </c>
      <c r="D13" s="47" t="e">
        <f>+#REF!</f>
        <v>#REF!</v>
      </c>
      <c r="E13" s="42">
        <f ca="1">SUM(F13,J13:K13,M13:Q13)</f>
        <v>0</v>
      </c>
      <c r="F13" s="52">
        <f ca="1" t="shared" si="9"/>
        <v>0</v>
      </c>
      <c r="G13" s="22">
        <f ca="1">+GETPIVOTDATA("XXB4",'xabang (2016)'!$A$3,"MA_HT","RSX","MA_QH","LUC")</f>
        <v>0</v>
      </c>
      <c r="H13" s="22">
        <f ca="1">+GETPIVOTDATA("XXB4",'xabang (2016)'!$A$3,"MA_HT","RSX","MA_QH","LUK")</f>
        <v>0</v>
      </c>
      <c r="I13" s="22">
        <f ca="1">+GETPIVOTDATA("XXB4",'xabang (2016)'!$A$3,"MA_HT","RSX","MA_QH","LUN")</f>
        <v>0</v>
      </c>
      <c r="J13" s="22">
        <f ca="1">+GETPIVOTDATA("XXB4",'xabang (2016)'!$A$3,"MA_HT","RSX","MA_QH","HNK")</f>
        <v>0</v>
      </c>
      <c r="K13" s="22">
        <f ca="1">+GETPIVOTDATA("XXB4",'xabang (2016)'!$A$3,"MA_HT","RSX","MA_QH","CLN")</f>
        <v>0</v>
      </c>
      <c r="L13" s="43" t="e">
        <f ca="1">$D13-$BF13</f>
        <v>#REF!</v>
      </c>
      <c r="M13" s="22">
        <f ca="1">+GETPIVOTDATA("XXB4",'xabang (2016)'!$A$3,"MA_HT","RSX","MA_QH","RPH")</f>
        <v>0</v>
      </c>
      <c r="N13" s="22">
        <f ca="1">+GETPIVOTDATA("XXB4",'xabang (2016)'!$A$3,"MA_HT","RSX","MA_QH","RDD")</f>
        <v>0</v>
      </c>
      <c r="O13" s="22">
        <f ca="1">+GETPIVOTDATA("XXB4",'xabang (2016)'!$A$3,"MA_HT","RSX","MA_QH","NTS")</f>
        <v>0</v>
      </c>
      <c r="P13" s="22">
        <f ca="1">+GETPIVOTDATA("XXB4",'xabang (2016)'!$A$3,"MA_HT","RSX","MA_QH","LMU")</f>
        <v>0</v>
      </c>
      <c r="Q13" s="22">
        <f ca="1">+GETPIVOTDATA("XXB4",'xabang (2016)'!$A$3,"MA_HT","RSX","MA_QH","NKH")</f>
        <v>0</v>
      </c>
      <c r="R13" s="42">
        <f ca="1" t="shared" si="2"/>
        <v>0</v>
      </c>
      <c r="S13" s="22">
        <f ca="1">+GETPIVOTDATA("XXB4",'xabang (2016)'!$A$3,"MA_HT","RSX","MA_QH","CQP")</f>
        <v>0</v>
      </c>
      <c r="T13" s="22">
        <f ca="1">+GETPIVOTDATA("XXB4",'xabang (2016)'!$A$3,"MA_HT","RSX","MA_QH","CAN")</f>
        <v>0</v>
      </c>
      <c r="U13" s="22">
        <f ca="1">+GETPIVOTDATA("XXB4",'xabang (2016)'!$A$3,"MA_HT","RSX","MA_QH","SKK")</f>
        <v>0</v>
      </c>
      <c r="V13" s="22">
        <f ca="1">+GETPIVOTDATA("XXB4",'xabang (2016)'!$A$3,"MA_HT","RSX","MA_QH","SKT")</f>
        <v>0</v>
      </c>
      <c r="W13" s="22">
        <f ca="1">+GETPIVOTDATA("XXB4",'xabang (2016)'!$A$3,"MA_HT","RSX","MA_QH","SKN")</f>
        <v>0</v>
      </c>
      <c r="X13" s="22">
        <f ca="1">+GETPIVOTDATA("XXB4",'xabang (2016)'!$A$3,"MA_HT","RSX","MA_QH","TMD")</f>
        <v>0</v>
      </c>
      <c r="Y13" s="22">
        <f ca="1">+GETPIVOTDATA("XXB4",'xabang (2016)'!$A$3,"MA_HT","RSX","MA_QH","SKC")</f>
        <v>0</v>
      </c>
      <c r="Z13" s="22">
        <f ca="1">+GETPIVOTDATA("XXB4",'xabang (2016)'!$A$3,"MA_HT","RSX","MA_QH","SKS")</f>
        <v>0</v>
      </c>
      <c r="AA13" s="52">
        <f ca="1" t="shared" si="4"/>
        <v>0</v>
      </c>
      <c r="AB13" s="22">
        <f ca="1">+GETPIVOTDATA("XXB4",'xabang (2016)'!$A$3,"MA_HT","RSX","MA_QH","DGT")</f>
        <v>0</v>
      </c>
      <c r="AC13" s="22">
        <f ca="1">+GETPIVOTDATA("XXB4",'xabang (2016)'!$A$3,"MA_HT","RSX","MA_QH","DTL")</f>
        <v>0</v>
      </c>
      <c r="AD13" s="22">
        <f ca="1">+GETPIVOTDATA("XXB4",'xabang (2016)'!$A$3,"MA_HT","RSX","MA_QH","DNL")</f>
        <v>0</v>
      </c>
      <c r="AE13" s="22">
        <f ca="1">+GETPIVOTDATA("XXB4",'xabang (2016)'!$A$3,"MA_HT","RSX","MA_QH","DBV")</f>
        <v>0</v>
      </c>
      <c r="AF13" s="22">
        <f ca="1">+GETPIVOTDATA("XXB4",'xabang (2016)'!$A$3,"MA_HT","RSX","MA_QH","DVH")</f>
        <v>0</v>
      </c>
      <c r="AG13" s="22">
        <f ca="1">+GETPIVOTDATA("XXB4",'xabang (2016)'!$A$3,"MA_HT","RSX","MA_QH","DYT")</f>
        <v>0</v>
      </c>
      <c r="AH13" s="22">
        <f ca="1">+GETPIVOTDATA("XXB4",'xabang (2016)'!$A$3,"MA_HT","RSX","MA_QH","DGD")</f>
        <v>0</v>
      </c>
      <c r="AI13" s="22">
        <f ca="1">+GETPIVOTDATA("XXB4",'xabang (2016)'!$A$3,"MA_HT","RSX","MA_QH","DTT")</f>
        <v>0</v>
      </c>
      <c r="AJ13" s="22">
        <f ca="1">+GETPIVOTDATA("XXB4",'xabang (2016)'!$A$3,"MA_HT","RSX","MA_QH","NCK")</f>
        <v>0</v>
      </c>
      <c r="AK13" s="22">
        <f ca="1">+GETPIVOTDATA("XXB4",'xabang (2016)'!$A$3,"MA_HT","RSX","MA_QH","DXH")</f>
        <v>0</v>
      </c>
      <c r="AL13" s="22">
        <f ca="1">+GETPIVOTDATA("XXB4",'xabang (2016)'!$A$3,"MA_HT","RSX","MA_QH","DCH")</f>
        <v>0</v>
      </c>
      <c r="AM13" s="22">
        <f ca="1">+GETPIVOTDATA("XXB4",'xabang (2016)'!$A$3,"MA_HT","RSX","MA_QH","DKG")</f>
        <v>0</v>
      </c>
      <c r="AN13" s="22">
        <f ca="1">+GETPIVOTDATA("XXB4",'xabang (2016)'!$A$3,"MA_HT","RSX","MA_QH","DDT")</f>
        <v>0</v>
      </c>
      <c r="AO13" s="22">
        <f ca="1">+GETPIVOTDATA("XXB4",'xabang (2016)'!$A$3,"MA_HT","RSX","MA_QH","DDL")</f>
        <v>0</v>
      </c>
      <c r="AP13" s="22">
        <f ca="1">+GETPIVOTDATA("XXB4",'xabang (2016)'!$A$3,"MA_HT","RSX","MA_QH","DRA")</f>
        <v>0</v>
      </c>
      <c r="AQ13" s="22">
        <f ca="1">+GETPIVOTDATA("XXB4",'xabang (2016)'!$A$3,"MA_HT","RSX","MA_QH","ONT")</f>
        <v>0</v>
      </c>
      <c r="AR13" s="22">
        <f ca="1">+GETPIVOTDATA("XXB4",'xabang (2016)'!$A$3,"MA_HT","RSX","MA_QH","ODT")</f>
        <v>0</v>
      </c>
      <c r="AS13" s="22">
        <f ca="1">+GETPIVOTDATA("XXB4",'xabang (2016)'!$A$3,"MA_HT","RSX","MA_QH","TSC")</f>
        <v>0</v>
      </c>
      <c r="AT13" s="22">
        <f ca="1">+GETPIVOTDATA("XXB4",'xabang (2016)'!$A$3,"MA_HT","RSX","MA_QH","DTS")</f>
        <v>0</v>
      </c>
      <c r="AU13" s="22">
        <f ca="1">+GETPIVOTDATA("XXB4",'xabang (2016)'!$A$3,"MA_HT","RSX","MA_QH","DNG")</f>
        <v>0</v>
      </c>
      <c r="AV13" s="22">
        <f ca="1">+GETPIVOTDATA("XXB4",'xabang (2016)'!$A$3,"MA_HT","RSX","MA_QH","TON")</f>
        <v>0</v>
      </c>
      <c r="AW13" s="22">
        <f ca="1">+GETPIVOTDATA("XXB4",'xabang (2016)'!$A$3,"MA_HT","RSX","MA_QH","NTD")</f>
        <v>0</v>
      </c>
      <c r="AX13" s="22">
        <f ca="1">+GETPIVOTDATA("XXB4",'xabang (2016)'!$A$3,"MA_HT","RSX","MA_QH","SKX")</f>
        <v>0</v>
      </c>
      <c r="AY13" s="22">
        <f ca="1">+GETPIVOTDATA("XXB4",'xabang (2016)'!$A$3,"MA_HT","RSX","MA_QH","DSH")</f>
        <v>0</v>
      </c>
      <c r="AZ13" s="22">
        <f ca="1">+GETPIVOTDATA("XXB4",'xabang (2016)'!$A$3,"MA_HT","RSX","MA_QH","DKV")</f>
        <v>0</v>
      </c>
      <c r="BA13" s="89">
        <f ca="1">+GETPIVOTDATA("XXB4",'xabang (2016)'!$A$3,"MA_HT","RSX","MA_QH","TIN")</f>
        <v>0</v>
      </c>
      <c r="BB13" s="50">
        <f ca="1">+GETPIVOTDATA("XXB4",'xabang (2016)'!$A$3,"MA_HT","RSX","MA_QH","SON")</f>
        <v>0</v>
      </c>
      <c r="BC13" s="50">
        <f ca="1">+GETPIVOTDATA("XXB4",'xabang (2016)'!$A$3,"MA_HT","RSX","MA_QH","MNC")</f>
        <v>0</v>
      </c>
      <c r="BD13" s="22">
        <f ca="1">+GETPIVOTDATA("XXB4",'xabang (2016)'!$A$3,"MA_HT","RSX","MA_QH","PNK")</f>
        <v>0</v>
      </c>
      <c r="BE13" s="71">
        <f ca="1">+GETPIVOTDATA("XXB4",'xabang (2016)'!$A$3,"MA_HT","RSX","MA_QH","CSD")</f>
        <v>0</v>
      </c>
      <c r="BF13" s="74">
        <f ca="1" t="shared" si="7"/>
        <v>0</v>
      </c>
      <c r="BG13" s="101">
        <f ca="1">L$59-$BF13</f>
        <v>0</v>
      </c>
      <c r="BH13" s="41" t="e">
        <f ca="1" t="shared" si="8"/>
        <v>#REF!</v>
      </c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</row>
    <row r="14" s="2" customFormat="1" ht="15.75" customHeight="1" spans="1:79">
      <c r="A14" s="39" t="s">
        <v>8349</v>
      </c>
      <c r="B14" s="39" t="s">
        <v>8350</v>
      </c>
      <c r="C14" s="40" t="s">
        <v>8306</v>
      </c>
      <c r="D14" s="47" t="e">
        <f>+#REF!</f>
        <v>#REF!</v>
      </c>
      <c r="E14" s="42">
        <f ca="1">SUM(F14,J14:L14,N14:Q14)</f>
        <v>0</v>
      </c>
      <c r="F14" s="52">
        <f ca="1" t="shared" si="9"/>
        <v>0</v>
      </c>
      <c r="G14" s="22">
        <f ca="1">+GETPIVOTDATA("XXB4",'xabang (2016)'!$A$3,"MA_HT","RPH","MA_QH","LUC")</f>
        <v>0</v>
      </c>
      <c r="H14" s="22">
        <f ca="1">+GETPIVOTDATA("XXB4",'xabang (2016)'!$A$3,"MA_HT","RPH","MA_QH","LUK")</f>
        <v>0</v>
      </c>
      <c r="I14" s="22">
        <f ca="1">+GETPIVOTDATA("XXB4",'xabang (2016)'!$A$3,"MA_HT","RPH","MA_QH","LUN")</f>
        <v>0</v>
      </c>
      <c r="J14" s="22">
        <f ca="1">+GETPIVOTDATA("XXB4",'xabang (2016)'!$A$3,"MA_HT","RPH","MA_QH","HNK")</f>
        <v>0</v>
      </c>
      <c r="K14" s="22">
        <f ca="1">+GETPIVOTDATA("XXB4",'xabang (2016)'!$A$3,"MA_HT","RPH","MA_QH","CLN")</f>
        <v>0</v>
      </c>
      <c r="L14" s="22">
        <f ca="1">+GETPIVOTDATA("XXB4",'xabang (2016)'!$A$3,"MA_HT","RPH","MA_QH","RSX")</f>
        <v>0</v>
      </c>
      <c r="M14" s="43" t="e">
        <f ca="1">$D14-$BF14</f>
        <v>#REF!</v>
      </c>
      <c r="N14" s="22">
        <f ca="1">+GETPIVOTDATA("XXB4",'xabang (2016)'!$A$3,"MA_HT","RPH","MA_QH","RDD")</f>
        <v>0</v>
      </c>
      <c r="O14" s="22">
        <f ca="1">+GETPIVOTDATA("XXB4",'xabang (2016)'!$A$3,"MA_HT","RPH","MA_QH","NTS")</f>
        <v>0</v>
      </c>
      <c r="P14" s="22">
        <f ca="1">+GETPIVOTDATA("XXB4",'xabang (2016)'!$A$3,"MA_HT","RPH","MA_QH","LMU")</f>
        <v>0</v>
      </c>
      <c r="Q14" s="22">
        <f ca="1">+GETPIVOTDATA("XXB4",'xabang (2016)'!$A$3,"MA_HT","RPH","MA_QH","NKH")</f>
        <v>0</v>
      </c>
      <c r="R14" s="42">
        <f ca="1" t="shared" si="2"/>
        <v>0</v>
      </c>
      <c r="S14" s="22">
        <f ca="1">+GETPIVOTDATA("XXB4",'xabang (2016)'!$A$3,"MA_HT","RPH","MA_QH","CQP")</f>
        <v>0</v>
      </c>
      <c r="T14" s="22">
        <f ca="1">+GETPIVOTDATA("XXB4",'xabang (2016)'!$A$3,"MA_HT","RPH","MA_QH","CAN")</f>
        <v>0</v>
      </c>
      <c r="U14" s="22">
        <f ca="1">+GETPIVOTDATA("XXB4",'xabang (2016)'!$A$3,"MA_HT","RPH","MA_QH","SKK")</f>
        <v>0</v>
      </c>
      <c r="V14" s="22">
        <f ca="1">+GETPIVOTDATA("XXB4",'xabang (2016)'!$A$3,"MA_HT","RPH","MA_QH","SKT")</f>
        <v>0</v>
      </c>
      <c r="W14" s="22">
        <f ca="1">+GETPIVOTDATA("XXB4",'xabang (2016)'!$A$3,"MA_HT","RPH","MA_QH","SKN")</f>
        <v>0</v>
      </c>
      <c r="X14" s="22">
        <f ca="1">+GETPIVOTDATA("XXB4",'xabang (2016)'!$A$3,"MA_HT","RPH","MA_QH","TMD")</f>
        <v>0</v>
      </c>
      <c r="Y14" s="22">
        <f ca="1">+GETPIVOTDATA("XXB4",'xabang (2016)'!$A$3,"MA_HT","RPH","MA_QH","SKC")</f>
        <v>0</v>
      </c>
      <c r="Z14" s="22">
        <f ca="1">+GETPIVOTDATA("XXB4",'xabang (2016)'!$A$3,"MA_HT","RPH","MA_QH","SKS")</f>
        <v>0</v>
      </c>
      <c r="AA14" s="52">
        <f ca="1" t="shared" si="4"/>
        <v>0</v>
      </c>
      <c r="AB14" s="22">
        <f ca="1">+GETPIVOTDATA("XXB4",'xabang (2016)'!$A$3,"MA_HT","RPH","MA_QH","DGT")</f>
        <v>0</v>
      </c>
      <c r="AC14" s="22">
        <f ca="1">+GETPIVOTDATA("XXB4",'xabang (2016)'!$A$3,"MA_HT","RPH","MA_QH","DTL")</f>
        <v>0</v>
      </c>
      <c r="AD14" s="22">
        <f ca="1">+GETPIVOTDATA("XXB4",'xabang (2016)'!$A$3,"MA_HT","RPH","MA_QH","DNL")</f>
        <v>0</v>
      </c>
      <c r="AE14" s="22">
        <f ca="1">+GETPIVOTDATA("XXB4",'xabang (2016)'!$A$3,"MA_HT","RPH","MA_QH","DBV")</f>
        <v>0</v>
      </c>
      <c r="AF14" s="22">
        <f ca="1">+GETPIVOTDATA("XXB4",'xabang (2016)'!$A$3,"MA_HT","RPH","MA_QH","DVH")</f>
        <v>0</v>
      </c>
      <c r="AG14" s="22">
        <f ca="1">+GETPIVOTDATA("XXB4",'xabang (2016)'!$A$3,"MA_HT","RPH","MA_QH","DYT")</f>
        <v>0</v>
      </c>
      <c r="AH14" s="22">
        <f ca="1">+GETPIVOTDATA("XXB4",'xabang (2016)'!$A$3,"MA_HT","RPH","MA_QH","DGD")</f>
        <v>0</v>
      </c>
      <c r="AI14" s="22">
        <f ca="1">+GETPIVOTDATA("XXB4",'xabang (2016)'!$A$3,"MA_HT","RPH","MA_QH","DTT")</f>
        <v>0</v>
      </c>
      <c r="AJ14" s="22">
        <f ca="1">+GETPIVOTDATA("XXB4",'xabang (2016)'!$A$3,"MA_HT","RPH","MA_QH","NCK")</f>
        <v>0</v>
      </c>
      <c r="AK14" s="22">
        <f ca="1">+GETPIVOTDATA("XXB4",'xabang (2016)'!$A$3,"MA_HT","RPH","MA_QH","DXH")</f>
        <v>0</v>
      </c>
      <c r="AL14" s="22">
        <f ca="1">+GETPIVOTDATA("XXB4",'xabang (2016)'!$A$3,"MA_HT","RPH","MA_QH","DCH")</f>
        <v>0</v>
      </c>
      <c r="AM14" s="22">
        <f ca="1">+GETPIVOTDATA("XXB4",'xabang (2016)'!$A$3,"MA_HT","RPH","MA_QH","DKG")</f>
        <v>0</v>
      </c>
      <c r="AN14" s="22">
        <f ca="1">+GETPIVOTDATA("XXB4",'xabang (2016)'!$A$3,"MA_HT","RPH","MA_QH","DDT")</f>
        <v>0</v>
      </c>
      <c r="AO14" s="22">
        <f ca="1">+GETPIVOTDATA("XXB4",'xabang (2016)'!$A$3,"MA_HT","RPH","MA_QH","DDL")</f>
        <v>0</v>
      </c>
      <c r="AP14" s="22">
        <f ca="1">+GETPIVOTDATA("XXB4",'xabang (2016)'!$A$3,"MA_HT","RPH","MA_QH","DRA")</f>
        <v>0</v>
      </c>
      <c r="AQ14" s="22">
        <f ca="1">+GETPIVOTDATA("XXB4",'xabang (2016)'!$A$3,"MA_HT","RPH","MA_QH","ONT")</f>
        <v>0</v>
      </c>
      <c r="AR14" s="22">
        <f ca="1">+GETPIVOTDATA("XXB4",'xabang (2016)'!$A$3,"MA_HT","RPH","MA_QH","ODT")</f>
        <v>0</v>
      </c>
      <c r="AS14" s="22">
        <f ca="1">+GETPIVOTDATA("XXB4",'xabang (2016)'!$A$3,"MA_HT","RPH","MA_QH","TSC")</f>
        <v>0</v>
      </c>
      <c r="AT14" s="22">
        <f ca="1">+GETPIVOTDATA("XXB4",'xabang (2016)'!$A$3,"MA_HT","RPH","MA_QH","DTS")</f>
        <v>0</v>
      </c>
      <c r="AU14" s="22">
        <f ca="1">+GETPIVOTDATA("XXB4",'xabang (2016)'!$A$3,"MA_HT","RPH","MA_QH","DNG")</f>
        <v>0</v>
      </c>
      <c r="AV14" s="22">
        <f ca="1">+GETPIVOTDATA("XXB4",'xabang (2016)'!$A$3,"MA_HT","RPH","MA_QH","TON")</f>
        <v>0</v>
      </c>
      <c r="AW14" s="22">
        <f ca="1">+GETPIVOTDATA("XXB4",'xabang (2016)'!$A$3,"MA_HT","RPH","MA_QH","NTD")</f>
        <v>0</v>
      </c>
      <c r="AX14" s="22">
        <f ca="1">+GETPIVOTDATA("XXB4",'xabang (2016)'!$A$3,"MA_HT","RPH","MA_QH","SKX")</f>
        <v>0</v>
      </c>
      <c r="AY14" s="22">
        <f ca="1">+GETPIVOTDATA("XXB4",'xabang (2016)'!$A$3,"MA_HT","RPH","MA_QH","DSH")</f>
        <v>0</v>
      </c>
      <c r="AZ14" s="22">
        <f ca="1">+GETPIVOTDATA("XXB4",'xabang (2016)'!$A$3,"MA_HT","RPH","MA_QH","DKV")</f>
        <v>0</v>
      </c>
      <c r="BA14" s="89">
        <f ca="1">+GETPIVOTDATA("XXB4",'xabang (2016)'!$A$3,"MA_HT","RPH","MA_QH","TIN")</f>
        <v>0</v>
      </c>
      <c r="BB14" s="50">
        <f ca="1">+GETPIVOTDATA("XXB4",'xabang (2016)'!$A$3,"MA_HT","RPH","MA_QH","SON")</f>
        <v>0</v>
      </c>
      <c r="BC14" s="50">
        <f ca="1">+GETPIVOTDATA("XXB4",'xabang (2016)'!$A$3,"MA_HT","RPH","MA_QH","MNC")</f>
        <v>0</v>
      </c>
      <c r="BD14" s="22">
        <f ca="1">+GETPIVOTDATA("XXB4",'xabang (2016)'!$A$3,"MA_HT","RPH","MA_QH","PNK")</f>
        <v>0</v>
      </c>
      <c r="BE14" s="71">
        <f ca="1">+GETPIVOTDATA("XXB4",'xabang (2016)'!$A$3,"MA_HT","RPH","MA_QH","CSD")</f>
        <v>0</v>
      </c>
      <c r="BF14" s="74">
        <f ca="1" t="shared" si="7"/>
        <v>0</v>
      </c>
      <c r="BG14" s="101">
        <f ca="1">M$59-$BF14</f>
        <v>0</v>
      </c>
      <c r="BH14" s="41" t="e">
        <f ca="1" t="shared" si="8"/>
        <v>#REF!</v>
      </c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</row>
    <row r="15" s="2" customFormat="1" ht="15.75" customHeight="1" spans="1:79">
      <c r="A15" s="39" t="s">
        <v>8351</v>
      </c>
      <c r="B15" s="39" t="s">
        <v>8352</v>
      </c>
      <c r="C15" s="40" t="s">
        <v>8305</v>
      </c>
      <c r="D15" s="47" t="e">
        <f>+#REF!</f>
        <v>#REF!</v>
      </c>
      <c r="E15" s="42">
        <f ca="1">SUM(F15,J15:M15,O15:Q15)</f>
        <v>0</v>
      </c>
      <c r="F15" s="52">
        <f ca="1" t="shared" si="9"/>
        <v>0</v>
      </c>
      <c r="G15" s="22">
        <f ca="1">+GETPIVOTDATA("XXB4",'xabang (2016)'!$A$3,"MA_HT","RDD","MA_QH","LUC")</f>
        <v>0</v>
      </c>
      <c r="H15" s="22">
        <f ca="1">+GETPIVOTDATA("XXB4",'xabang (2016)'!$A$3,"MA_HT","RDD","MA_QH","LUK")</f>
        <v>0</v>
      </c>
      <c r="I15" s="22">
        <f ca="1">+GETPIVOTDATA("XXB4",'xabang (2016)'!$A$3,"MA_HT","RDD","MA_QH","LUN")</f>
        <v>0</v>
      </c>
      <c r="J15" s="22">
        <f ca="1">+GETPIVOTDATA("XXB4",'xabang (2016)'!$A$3,"MA_HT","RDD","MA_QH","HNK")</f>
        <v>0</v>
      </c>
      <c r="K15" s="22">
        <f ca="1">+GETPIVOTDATA("XXB4",'xabang (2016)'!$A$3,"MA_HT","RDD","MA_QH","CLN")</f>
        <v>0</v>
      </c>
      <c r="L15" s="22">
        <f ca="1">+GETPIVOTDATA("XXB4",'xabang (2016)'!$A$3,"MA_HT","RDD","MA_QH","RSX")</f>
        <v>0</v>
      </c>
      <c r="M15" s="22">
        <f ca="1">+GETPIVOTDATA("XXB4",'xabang (2016)'!$A$3,"MA_HT","RDD","MA_QH","RPH")</f>
        <v>0</v>
      </c>
      <c r="N15" s="43" t="e">
        <f ca="1">$D15-$BF15</f>
        <v>#REF!</v>
      </c>
      <c r="O15" s="22">
        <f ca="1">+GETPIVOTDATA("XXB4",'xabang (2016)'!$A$3,"MA_HT","RDD","MA_QH","NTS")</f>
        <v>0</v>
      </c>
      <c r="P15" s="22">
        <f ca="1">+GETPIVOTDATA("XXB4",'xabang (2016)'!$A$3,"MA_HT","RDD","MA_QH","LMU")</f>
        <v>0</v>
      </c>
      <c r="Q15" s="22">
        <f ca="1">+GETPIVOTDATA("XXB4",'xabang (2016)'!$A$3,"MA_HT","RDD","MA_QH","NKH")</f>
        <v>0</v>
      </c>
      <c r="R15" s="42">
        <f ca="1" t="shared" si="2"/>
        <v>0</v>
      </c>
      <c r="S15" s="22">
        <f ca="1">+GETPIVOTDATA("XXB4",'xabang (2016)'!$A$3,"MA_HT","RDD","MA_QH","CQP")</f>
        <v>0</v>
      </c>
      <c r="T15" s="22">
        <f ca="1">+GETPIVOTDATA("XXB4",'xabang (2016)'!$A$3,"MA_HT","RDD","MA_QH","CAN")</f>
        <v>0</v>
      </c>
      <c r="U15" s="22">
        <f ca="1">+GETPIVOTDATA("XXB4",'xabang (2016)'!$A$3,"MA_HT","RDD","MA_QH","SKK")</f>
        <v>0</v>
      </c>
      <c r="V15" s="22">
        <f ca="1">+GETPIVOTDATA("XXB4",'xabang (2016)'!$A$3,"MA_HT","RDD","MA_QH","SKT")</f>
        <v>0</v>
      </c>
      <c r="W15" s="22">
        <f ca="1">+GETPIVOTDATA("XXB4",'xabang (2016)'!$A$3,"MA_HT","RDD","MA_QH","SKN")</f>
        <v>0</v>
      </c>
      <c r="X15" s="22">
        <f ca="1">+GETPIVOTDATA("XXB4",'xabang (2016)'!$A$3,"MA_HT","RDD","MA_QH","TMD")</f>
        <v>0</v>
      </c>
      <c r="Y15" s="22">
        <f ca="1">+GETPIVOTDATA("XXB4",'xabang (2016)'!$A$3,"MA_HT","RDD","MA_QH","SKC")</f>
        <v>0</v>
      </c>
      <c r="Z15" s="22">
        <f ca="1">+GETPIVOTDATA("XXB4",'xabang (2016)'!$A$3,"MA_HT","RDD","MA_QH","SKS")</f>
        <v>0</v>
      </c>
      <c r="AA15" s="52">
        <f ca="1" t="shared" si="4"/>
        <v>0</v>
      </c>
      <c r="AB15" s="22">
        <f ca="1">+GETPIVOTDATA("XXB4",'xabang (2016)'!$A$3,"MA_HT","RDD","MA_QH","DGT")</f>
        <v>0</v>
      </c>
      <c r="AC15" s="22">
        <f ca="1">+GETPIVOTDATA("XXB4",'xabang (2016)'!$A$3,"MA_HT","RDD","MA_QH","DTL")</f>
        <v>0</v>
      </c>
      <c r="AD15" s="22">
        <f ca="1">+GETPIVOTDATA("XXB4",'xabang (2016)'!$A$3,"MA_HT","RDD","MA_QH","DNL")</f>
        <v>0</v>
      </c>
      <c r="AE15" s="22">
        <f ca="1">+GETPIVOTDATA("XXB4",'xabang (2016)'!$A$3,"MA_HT","RDD","MA_QH","DBV")</f>
        <v>0</v>
      </c>
      <c r="AF15" s="22">
        <f ca="1">+GETPIVOTDATA("XXB4",'xabang (2016)'!$A$3,"MA_HT","RDD","MA_QH","DVH")</f>
        <v>0</v>
      </c>
      <c r="AG15" s="22">
        <f ca="1">+GETPIVOTDATA("XXB4",'xabang (2016)'!$A$3,"MA_HT","RDD","MA_QH","DYT")</f>
        <v>0</v>
      </c>
      <c r="AH15" s="22">
        <f ca="1">+GETPIVOTDATA("XXB4",'xabang (2016)'!$A$3,"MA_HT","RDD","MA_QH","DGD")</f>
        <v>0</v>
      </c>
      <c r="AI15" s="22">
        <f ca="1">+GETPIVOTDATA("XXB4",'xabang (2016)'!$A$3,"MA_HT","RDD","MA_QH","DTT")</f>
        <v>0</v>
      </c>
      <c r="AJ15" s="22">
        <f ca="1">+GETPIVOTDATA("XXB4",'xabang (2016)'!$A$3,"MA_HT","RDD","MA_QH","NCK")</f>
        <v>0</v>
      </c>
      <c r="AK15" s="22">
        <f ca="1">+GETPIVOTDATA("XXB4",'xabang (2016)'!$A$3,"MA_HT","RDD","MA_QH","DXH")</f>
        <v>0</v>
      </c>
      <c r="AL15" s="22">
        <f ca="1">+GETPIVOTDATA("XXB4",'xabang (2016)'!$A$3,"MA_HT","RDD","MA_QH","DCH")</f>
        <v>0</v>
      </c>
      <c r="AM15" s="22">
        <f ca="1">+GETPIVOTDATA("XXB4",'xabang (2016)'!$A$3,"MA_HT","RDD","MA_QH","DKG")</f>
        <v>0</v>
      </c>
      <c r="AN15" s="22">
        <f ca="1">+GETPIVOTDATA("XXB4",'xabang (2016)'!$A$3,"MA_HT","RDD","MA_QH","DDT")</f>
        <v>0</v>
      </c>
      <c r="AO15" s="22">
        <f ca="1">+GETPIVOTDATA("XXB4",'xabang (2016)'!$A$3,"MA_HT","RDD","MA_QH","DDL")</f>
        <v>0</v>
      </c>
      <c r="AP15" s="22">
        <f ca="1">+GETPIVOTDATA("XXB4",'xabang (2016)'!$A$3,"MA_HT","RDD","MA_QH","DRA")</f>
        <v>0</v>
      </c>
      <c r="AQ15" s="22">
        <f ca="1">+GETPIVOTDATA("XXB4",'xabang (2016)'!$A$3,"MA_HT","RDD","MA_QH","ONT")</f>
        <v>0</v>
      </c>
      <c r="AR15" s="22">
        <f ca="1">+GETPIVOTDATA("XXB4",'xabang (2016)'!$A$3,"MA_HT","RDD","MA_QH","ODT")</f>
        <v>0</v>
      </c>
      <c r="AS15" s="22">
        <f ca="1">+GETPIVOTDATA("XXB4",'xabang (2016)'!$A$3,"MA_HT","RDD","MA_QH","TSC")</f>
        <v>0</v>
      </c>
      <c r="AT15" s="22">
        <f ca="1">+GETPIVOTDATA("XXB4",'xabang (2016)'!$A$3,"MA_HT","RDD","MA_QH","DTS")</f>
        <v>0</v>
      </c>
      <c r="AU15" s="22">
        <f ca="1">+GETPIVOTDATA("XXB4",'xabang (2016)'!$A$3,"MA_HT","RDD","MA_QH","DNG")</f>
        <v>0</v>
      </c>
      <c r="AV15" s="22">
        <f ca="1">+GETPIVOTDATA("XXB4",'xabang (2016)'!$A$3,"MA_HT","RDD","MA_QH","TON")</f>
        <v>0</v>
      </c>
      <c r="AW15" s="22">
        <f ca="1">+GETPIVOTDATA("XXB4",'xabang (2016)'!$A$3,"MA_HT","RDD","MA_QH","NTD")</f>
        <v>0</v>
      </c>
      <c r="AX15" s="22">
        <f ca="1">+GETPIVOTDATA("XXB4",'xabang (2016)'!$A$3,"MA_HT","RDD","MA_QH","SKX")</f>
        <v>0</v>
      </c>
      <c r="AY15" s="22">
        <f ca="1">+GETPIVOTDATA("XXB4",'xabang (2016)'!$A$3,"MA_HT","RDD","MA_QH","DSH")</f>
        <v>0</v>
      </c>
      <c r="AZ15" s="22">
        <f ca="1">+GETPIVOTDATA("XXB4",'xabang (2016)'!$A$3,"MA_HT","RDD","MA_QH","DKV")</f>
        <v>0</v>
      </c>
      <c r="BA15" s="89">
        <f ca="1">+GETPIVOTDATA("XXB4",'xabang (2016)'!$A$3,"MA_HT","RDD","MA_QH","TIN")</f>
        <v>0</v>
      </c>
      <c r="BB15" s="50">
        <f ca="1">+GETPIVOTDATA("XXB4",'xabang (2016)'!$A$3,"MA_HT","RDD","MA_QH","SON")</f>
        <v>0</v>
      </c>
      <c r="BC15" s="50">
        <f ca="1">+GETPIVOTDATA("XXB4",'xabang (2016)'!$A$3,"MA_HT","RDD","MA_QH","MNC")</f>
        <v>0</v>
      </c>
      <c r="BD15" s="22">
        <f ca="1">+GETPIVOTDATA("XXB4",'xabang (2016)'!$A$3,"MA_HT","RDD","MA_QH","PNK")</f>
        <v>0</v>
      </c>
      <c r="BE15" s="71">
        <f ca="1">+GETPIVOTDATA("XXB4",'xabang (2016)'!$A$3,"MA_HT","RDD","MA_QH","CSD")</f>
        <v>0</v>
      </c>
      <c r="BF15" s="74">
        <f ca="1" t="shared" si="7"/>
        <v>0</v>
      </c>
      <c r="BG15" s="101">
        <f ca="1">N$59-$BF15</f>
        <v>0</v>
      </c>
      <c r="BH15" s="41" t="e">
        <f ca="1" t="shared" si="8"/>
        <v>#REF!</v>
      </c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</row>
    <row r="16" s="2" customFormat="1" ht="15.75" customHeight="1" spans="1:79">
      <c r="A16" s="39" t="s">
        <v>8353</v>
      </c>
      <c r="B16" s="39" t="s">
        <v>8354</v>
      </c>
      <c r="C16" s="40" t="s">
        <v>318</v>
      </c>
      <c r="D16" s="47" t="e">
        <f>+#REF!</f>
        <v>#REF!</v>
      </c>
      <c r="E16" s="42">
        <f ca="1">SUM(F16,J16:N16,P16:Q16)</f>
        <v>0</v>
      </c>
      <c r="F16" s="52">
        <f ca="1" t="shared" si="9"/>
        <v>0</v>
      </c>
      <c r="G16" s="22">
        <f ca="1">+GETPIVOTDATA("XXB4",'xabang (2016)'!$A$3,"MA_HT","NTS","MA_QH","LUC")</f>
        <v>0</v>
      </c>
      <c r="H16" s="22">
        <f ca="1">+GETPIVOTDATA("XXB4",'xabang (2016)'!$A$3,"MA_HT","NTS","MA_QH","LUK")</f>
        <v>0</v>
      </c>
      <c r="I16" s="22">
        <f ca="1">+GETPIVOTDATA("XXB4",'xabang (2016)'!$A$3,"MA_HT","NTS","MA_QH","LUN")</f>
        <v>0</v>
      </c>
      <c r="J16" s="22">
        <f ca="1">+GETPIVOTDATA("XXB4",'xabang (2016)'!$A$3,"MA_HT","NTS","MA_QH","HNK")</f>
        <v>0</v>
      </c>
      <c r="K16" s="22">
        <f ca="1">+GETPIVOTDATA("XXB4",'xabang (2016)'!$A$3,"MA_HT","NTS","MA_QH","CLN")</f>
        <v>0</v>
      </c>
      <c r="L16" s="22">
        <f ca="1">+GETPIVOTDATA("XXB4",'xabang (2016)'!$A$3,"MA_HT","NTS","MA_QH","RSX")</f>
        <v>0</v>
      </c>
      <c r="M16" s="22">
        <f ca="1">+GETPIVOTDATA("XXB4",'xabang (2016)'!$A$3,"MA_HT","NTS","MA_QH","RPH")</f>
        <v>0</v>
      </c>
      <c r="N16" s="22">
        <f ca="1">+GETPIVOTDATA("XXB4",'xabang (2016)'!$A$3,"MA_HT","NTS","MA_QH","RDD")</f>
        <v>0</v>
      </c>
      <c r="O16" s="43" t="e">
        <f ca="1">$D16-$BF16</f>
        <v>#REF!</v>
      </c>
      <c r="P16" s="22">
        <f ca="1">+GETPIVOTDATA("XXB4",'xabang (2016)'!$A$3,"MA_HT","NTS","MA_QH","LMU")</f>
        <v>0</v>
      </c>
      <c r="Q16" s="22">
        <f ca="1">+GETPIVOTDATA("XXB4",'xabang (2016)'!$A$3,"MA_HT","NTS","MA_QH","NKH")</f>
        <v>0</v>
      </c>
      <c r="R16" s="42">
        <f ca="1" t="shared" si="2"/>
        <v>0</v>
      </c>
      <c r="S16" s="22">
        <f ca="1">+GETPIVOTDATA("XXB4",'xabang (2016)'!$A$3,"MA_HT","NTS","MA_QH","CQP")</f>
        <v>0</v>
      </c>
      <c r="T16" s="22">
        <f ca="1">+GETPIVOTDATA("XXB4",'xabang (2016)'!$A$3,"MA_HT","NTS","MA_QH","CAN")</f>
        <v>0</v>
      </c>
      <c r="U16" s="22">
        <f ca="1">+GETPIVOTDATA("XXB4",'xabang (2016)'!$A$3,"MA_HT","NTS","MA_QH","SKK")</f>
        <v>0</v>
      </c>
      <c r="V16" s="22">
        <f ca="1">+GETPIVOTDATA("XXB4",'xabang (2016)'!$A$3,"MA_HT","NTS","MA_QH","SKT")</f>
        <v>0</v>
      </c>
      <c r="W16" s="22">
        <f ca="1">+GETPIVOTDATA("XXB4",'xabang (2016)'!$A$3,"MA_HT","NTS","MA_QH","SKN")</f>
        <v>0</v>
      </c>
      <c r="X16" s="22">
        <f ca="1">+GETPIVOTDATA("XXB4",'xabang (2016)'!$A$3,"MA_HT","NTS","MA_QH","TMD")</f>
        <v>0</v>
      </c>
      <c r="Y16" s="22">
        <f ca="1">+GETPIVOTDATA("XXB4",'xabang (2016)'!$A$3,"MA_HT","NTS","MA_QH","SKC")</f>
        <v>0</v>
      </c>
      <c r="Z16" s="22">
        <f ca="1">+GETPIVOTDATA("XXB4",'xabang (2016)'!$A$3,"MA_HT","NTS","MA_QH","SKS")</f>
        <v>0</v>
      </c>
      <c r="AA16" s="52">
        <f ca="1" t="shared" si="4"/>
        <v>0</v>
      </c>
      <c r="AB16" s="22">
        <f ca="1">+GETPIVOTDATA("XXB4",'xabang (2016)'!$A$3,"MA_HT","NTS","MA_QH","DGT")</f>
        <v>0</v>
      </c>
      <c r="AC16" s="22">
        <f ca="1">+GETPIVOTDATA("XXB4",'xabang (2016)'!$A$3,"MA_HT","NTS","MA_QH","DTL")</f>
        <v>0</v>
      </c>
      <c r="AD16" s="22">
        <f ca="1">+GETPIVOTDATA("XXB4",'xabang (2016)'!$A$3,"MA_HT","NTS","MA_QH","DNL")</f>
        <v>0</v>
      </c>
      <c r="AE16" s="22">
        <f ca="1">+GETPIVOTDATA("XXB4",'xabang (2016)'!$A$3,"MA_HT","NTS","MA_QH","DBV")</f>
        <v>0</v>
      </c>
      <c r="AF16" s="22">
        <f ca="1">+GETPIVOTDATA("XXB4",'xabang (2016)'!$A$3,"MA_HT","NTS","MA_QH","DVH")</f>
        <v>0</v>
      </c>
      <c r="AG16" s="22">
        <f ca="1">+GETPIVOTDATA("XXB4",'xabang (2016)'!$A$3,"MA_HT","NTS","MA_QH","DYT")</f>
        <v>0</v>
      </c>
      <c r="AH16" s="22">
        <f ca="1">+GETPIVOTDATA("XXB4",'xabang (2016)'!$A$3,"MA_HT","NTS","MA_QH","DGD")</f>
        <v>0</v>
      </c>
      <c r="AI16" s="22">
        <f ca="1">+GETPIVOTDATA("XXB4",'xabang (2016)'!$A$3,"MA_HT","NTS","MA_QH","DTT")</f>
        <v>0</v>
      </c>
      <c r="AJ16" s="22">
        <f ca="1">+GETPIVOTDATA("XXB4",'xabang (2016)'!$A$3,"MA_HT","NTS","MA_QH","NCK")</f>
        <v>0</v>
      </c>
      <c r="AK16" s="22">
        <f ca="1">+GETPIVOTDATA("XXB4",'xabang (2016)'!$A$3,"MA_HT","NTS","MA_QH","DXH")</f>
        <v>0</v>
      </c>
      <c r="AL16" s="22">
        <f ca="1">+GETPIVOTDATA("XXB4",'xabang (2016)'!$A$3,"MA_HT","NTS","MA_QH","DCH")</f>
        <v>0</v>
      </c>
      <c r="AM16" s="22">
        <f ca="1">+GETPIVOTDATA("XXB4",'xabang (2016)'!$A$3,"MA_HT","NTS","MA_QH","DKG")</f>
        <v>0</v>
      </c>
      <c r="AN16" s="22">
        <f ca="1">+GETPIVOTDATA("XXB4",'xabang (2016)'!$A$3,"MA_HT","NTS","MA_QH","DDT")</f>
        <v>0</v>
      </c>
      <c r="AO16" s="22">
        <f ca="1">+GETPIVOTDATA("XXB4",'xabang (2016)'!$A$3,"MA_HT","NTS","MA_QH","DDL")</f>
        <v>0</v>
      </c>
      <c r="AP16" s="22">
        <f ca="1">+GETPIVOTDATA("XXB4",'xabang (2016)'!$A$3,"MA_HT","NTS","MA_QH","DRA")</f>
        <v>0</v>
      </c>
      <c r="AQ16" s="22">
        <f ca="1">+GETPIVOTDATA("XXB4",'xabang (2016)'!$A$3,"MA_HT","NTS","MA_QH","ONT")</f>
        <v>0</v>
      </c>
      <c r="AR16" s="22">
        <f ca="1">+GETPIVOTDATA("XXB4",'xabang (2016)'!$A$3,"MA_HT","NTS","MA_QH","ODT")</f>
        <v>0</v>
      </c>
      <c r="AS16" s="22">
        <f ca="1">+GETPIVOTDATA("XXB4",'xabang (2016)'!$A$3,"MA_HT","NTS","MA_QH","TSC")</f>
        <v>0</v>
      </c>
      <c r="AT16" s="22">
        <f ca="1">+GETPIVOTDATA("XXB4",'xabang (2016)'!$A$3,"MA_HT","NTS","MA_QH","DTS")</f>
        <v>0</v>
      </c>
      <c r="AU16" s="22">
        <f ca="1">+GETPIVOTDATA("XXB4",'xabang (2016)'!$A$3,"MA_HT","NTS","MA_QH","DNG")</f>
        <v>0</v>
      </c>
      <c r="AV16" s="22">
        <f ca="1">+GETPIVOTDATA("XXB4",'xabang (2016)'!$A$3,"MA_HT","NTS","MA_QH","TON")</f>
        <v>0</v>
      </c>
      <c r="AW16" s="22">
        <f ca="1">+GETPIVOTDATA("XXB4",'xabang (2016)'!$A$3,"MA_HT","NTS","MA_QH","NTD")</f>
        <v>0</v>
      </c>
      <c r="AX16" s="22">
        <f ca="1">+GETPIVOTDATA("XXB4",'xabang (2016)'!$A$3,"MA_HT","NTS","MA_QH","SKX")</f>
        <v>0</v>
      </c>
      <c r="AY16" s="22">
        <f ca="1">+GETPIVOTDATA("XXB4",'xabang (2016)'!$A$3,"MA_HT","NTS","MA_QH","DSH")</f>
        <v>0</v>
      </c>
      <c r="AZ16" s="22">
        <f ca="1">+GETPIVOTDATA("XXB4",'xabang (2016)'!$A$3,"MA_HT","NTS","MA_QH","DKV")</f>
        <v>0</v>
      </c>
      <c r="BA16" s="89">
        <f ca="1">+GETPIVOTDATA("XXB4",'xabang (2016)'!$A$3,"MA_HT","NTS","MA_QH","TIN")</f>
        <v>0</v>
      </c>
      <c r="BB16" s="50">
        <f ca="1">+GETPIVOTDATA("XXB4",'xabang (2016)'!$A$3,"MA_HT","NTS","MA_QH","SON")</f>
        <v>0</v>
      </c>
      <c r="BC16" s="50">
        <f ca="1">+GETPIVOTDATA("XXB4",'xabang (2016)'!$A$3,"MA_HT","NTS","MA_QH","MNC")</f>
        <v>0</v>
      </c>
      <c r="BD16" s="22">
        <f ca="1">+GETPIVOTDATA("XXB4",'xabang (2016)'!$A$3,"MA_HT","NTS","MA_QH","PNK")</f>
        <v>0</v>
      </c>
      <c r="BE16" s="71">
        <f ca="1">+GETPIVOTDATA("XXB4",'xabang (2016)'!$A$3,"MA_HT","NTS","MA_QH","CSD")</f>
        <v>0</v>
      </c>
      <c r="BF16" s="74">
        <f ca="1" t="shared" si="7"/>
        <v>0</v>
      </c>
      <c r="BG16" s="101">
        <f ca="1">O$59-$BF16</f>
        <v>0</v>
      </c>
      <c r="BH16" s="41" t="e">
        <f ca="1" t="shared" si="8"/>
        <v>#REF!</v>
      </c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</row>
    <row r="17" s="2" customFormat="1" ht="15.75" customHeight="1" spans="1:79">
      <c r="A17" s="39" t="s">
        <v>8355</v>
      </c>
      <c r="B17" s="39" t="s">
        <v>8356</v>
      </c>
      <c r="C17" s="40" t="s">
        <v>8297</v>
      </c>
      <c r="D17" s="47" t="e">
        <f>+#REF!</f>
        <v>#REF!</v>
      </c>
      <c r="E17" s="42">
        <f ca="1">SUM(F17,J17:O17,Q17:Q17)</f>
        <v>0</v>
      </c>
      <c r="F17" s="52">
        <f ca="1" t="shared" si="9"/>
        <v>0</v>
      </c>
      <c r="G17" s="22">
        <f ca="1">+GETPIVOTDATA("XXB4",'xabang (2016)'!$A$3,"MA_HT","LMU","MA_QH","LUC")</f>
        <v>0</v>
      </c>
      <c r="H17" s="22">
        <f ca="1">+GETPIVOTDATA("XXB4",'xabang (2016)'!$A$3,"MA_HT","LMU","MA_QH","LUK")</f>
        <v>0</v>
      </c>
      <c r="I17" s="22">
        <f ca="1">+GETPIVOTDATA("XXB4",'xabang (2016)'!$A$3,"MA_HT","LMU","MA_QH","LUN")</f>
        <v>0</v>
      </c>
      <c r="J17" s="22">
        <f ca="1">+GETPIVOTDATA("XXB4",'xabang (2016)'!$A$3,"MA_HT","LMU","MA_QH","HNK")</f>
        <v>0</v>
      </c>
      <c r="K17" s="22">
        <f ca="1">+GETPIVOTDATA("XXB4",'xabang (2016)'!$A$3,"MA_HT","LMU","MA_QH","CLN")</f>
        <v>0</v>
      </c>
      <c r="L17" s="22">
        <f ca="1">+GETPIVOTDATA("XXB4",'xabang (2016)'!$A$3,"MA_HT","LMU","MA_QH","RSX")</f>
        <v>0</v>
      </c>
      <c r="M17" s="22">
        <f ca="1">+GETPIVOTDATA("XXB4",'xabang (2016)'!$A$3,"MA_HT","LMU","MA_QH","RPH")</f>
        <v>0</v>
      </c>
      <c r="N17" s="22">
        <f ca="1">+GETPIVOTDATA("XXB4",'xabang (2016)'!$A$3,"MA_HT","LMU","MA_QH","RDD")</f>
        <v>0</v>
      </c>
      <c r="O17" s="22">
        <f ca="1">+GETPIVOTDATA("XXB4",'xabang (2016)'!$A$3,"MA_HT","LMU","MA_QH","NTS")</f>
        <v>0</v>
      </c>
      <c r="P17" s="43" t="e">
        <f ca="1">$D17-$BF17</f>
        <v>#REF!</v>
      </c>
      <c r="Q17" s="22">
        <f ca="1">+GETPIVOTDATA("XXB4",'xabang (2016)'!$A$3,"MA_HT","LMU","MA_QH","NKH")</f>
        <v>0</v>
      </c>
      <c r="R17" s="42">
        <f ca="1" t="shared" si="2"/>
        <v>0</v>
      </c>
      <c r="S17" s="22">
        <f ca="1">+GETPIVOTDATA("XXB4",'xabang (2016)'!$A$3,"MA_HT","LMU","MA_QH","CQP")</f>
        <v>0</v>
      </c>
      <c r="T17" s="22">
        <f ca="1">+GETPIVOTDATA("XXB4",'xabang (2016)'!$A$3,"MA_HT","LMU","MA_QH","CAN")</f>
        <v>0</v>
      </c>
      <c r="U17" s="22">
        <f ca="1">+GETPIVOTDATA("XXB4",'xabang (2016)'!$A$3,"MA_HT","LMU","MA_QH","SKK")</f>
        <v>0</v>
      </c>
      <c r="V17" s="22">
        <f ca="1">+GETPIVOTDATA("XXB4",'xabang (2016)'!$A$3,"MA_HT","LMU","MA_QH","SKT")</f>
        <v>0</v>
      </c>
      <c r="W17" s="22">
        <f ca="1">+GETPIVOTDATA("XXB4",'xabang (2016)'!$A$3,"MA_HT","LMU","MA_QH","SKN")</f>
        <v>0</v>
      </c>
      <c r="X17" s="22">
        <f ca="1">+GETPIVOTDATA("XXB4",'xabang (2016)'!$A$3,"MA_HT","LMU","MA_QH","TMD")</f>
        <v>0</v>
      </c>
      <c r="Y17" s="22">
        <f ca="1">+GETPIVOTDATA("XXB4",'xabang (2016)'!$A$3,"MA_HT","LMU","MA_QH","SKC")</f>
        <v>0</v>
      </c>
      <c r="Z17" s="22">
        <f ca="1">+GETPIVOTDATA("XXB4",'xabang (2016)'!$A$3,"MA_HT","LMU","MA_QH","SKS")</f>
        <v>0</v>
      </c>
      <c r="AA17" s="52">
        <f ca="1" t="shared" si="4"/>
        <v>0</v>
      </c>
      <c r="AB17" s="22">
        <f ca="1">+GETPIVOTDATA("XXB4",'xabang (2016)'!$A$3,"MA_HT","LMU","MA_QH","DGT")</f>
        <v>0</v>
      </c>
      <c r="AC17" s="22">
        <f ca="1">+GETPIVOTDATA("XXB4",'xabang (2016)'!$A$3,"MA_HT","LMU","MA_QH","DTL")</f>
        <v>0</v>
      </c>
      <c r="AD17" s="22">
        <f ca="1">+GETPIVOTDATA("XXB4",'xabang (2016)'!$A$3,"MA_HT","LMU","MA_QH","DNL")</f>
        <v>0</v>
      </c>
      <c r="AE17" s="22">
        <f ca="1">+GETPIVOTDATA("XXB4",'xabang (2016)'!$A$3,"MA_HT","LMU","MA_QH","DBV")</f>
        <v>0</v>
      </c>
      <c r="AF17" s="22">
        <f ca="1">+GETPIVOTDATA("XXB4",'xabang (2016)'!$A$3,"MA_HT","LMU","MA_QH","DVH")</f>
        <v>0</v>
      </c>
      <c r="AG17" s="22">
        <f ca="1">+GETPIVOTDATA("XXB4",'xabang (2016)'!$A$3,"MA_HT","LMU","MA_QH","DYT")</f>
        <v>0</v>
      </c>
      <c r="AH17" s="22">
        <f ca="1">+GETPIVOTDATA("XXB4",'xabang (2016)'!$A$3,"MA_HT","LMU","MA_QH","DGD")</f>
        <v>0</v>
      </c>
      <c r="AI17" s="22">
        <f ca="1">+GETPIVOTDATA("XXB4",'xabang (2016)'!$A$3,"MA_HT","LMU","MA_QH","DTT")</f>
        <v>0</v>
      </c>
      <c r="AJ17" s="22">
        <f ca="1">+GETPIVOTDATA("XXB4",'xabang (2016)'!$A$3,"MA_HT","LMU","MA_QH","NCK")</f>
        <v>0</v>
      </c>
      <c r="AK17" s="22">
        <f ca="1">+GETPIVOTDATA("XXB4",'xabang (2016)'!$A$3,"MA_HT","LMU","MA_QH","DXH")</f>
        <v>0</v>
      </c>
      <c r="AL17" s="22">
        <f ca="1">+GETPIVOTDATA("XXB4",'xabang (2016)'!$A$3,"MA_HT","LMU","MA_QH","DCH")</f>
        <v>0</v>
      </c>
      <c r="AM17" s="22">
        <f ca="1">+GETPIVOTDATA("XXB4",'xabang (2016)'!$A$3,"MA_HT","LMU","MA_QH","DKG")</f>
        <v>0</v>
      </c>
      <c r="AN17" s="22">
        <f ca="1">+GETPIVOTDATA("XXB4",'xabang (2016)'!$A$3,"MA_HT","LMU","MA_QH","DDT")</f>
        <v>0</v>
      </c>
      <c r="AO17" s="22">
        <f ca="1">+GETPIVOTDATA("XXB4",'xabang (2016)'!$A$3,"MA_HT","LMU","MA_QH","DDL")</f>
        <v>0</v>
      </c>
      <c r="AP17" s="22">
        <f ca="1">+GETPIVOTDATA("XXB4",'xabang (2016)'!$A$3,"MA_HT","LMU","MA_QH","DRA")</f>
        <v>0</v>
      </c>
      <c r="AQ17" s="22">
        <f ca="1">+GETPIVOTDATA("XXB4",'xabang (2016)'!$A$3,"MA_HT","LMU","MA_QH","ONT")</f>
        <v>0</v>
      </c>
      <c r="AR17" s="22">
        <f ca="1">+GETPIVOTDATA("XXB4",'xabang (2016)'!$A$3,"MA_HT","LMU","MA_QH","ODT")</f>
        <v>0</v>
      </c>
      <c r="AS17" s="22">
        <f ca="1">+GETPIVOTDATA("XXB4",'xabang (2016)'!$A$3,"MA_HT","LMU","MA_QH","TSC")</f>
        <v>0</v>
      </c>
      <c r="AT17" s="22">
        <f ca="1">+GETPIVOTDATA("XXB4",'xabang (2016)'!$A$3,"MA_HT","LMU","MA_QH","DTS")</f>
        <v>0</v>
      </c>
      <c r="AU17" s="22">
        <f ca="1">+GETPIVOTDATA("XXB4",'xabang (2016)'!$A$3,"MA_HT","LMU","MA_QH","DNG")</f>
        <v>0</v>
      </c>
      <c r="AV17" s="22">
        <f ca="1">+GETPIVOTDATA("XXB4",'xabang (2016)'!$A$3,"MA_HT","LMU","MA_QH","TON")</f>
        <v>0</v>
      </c>
      <c r="AW17" s="22">
        <f ca="1">+GETPIVOTDATA("XXB4",'xabang (2016)'!$A$3,"MA_HT","LMU","MA_QH","NTD")</f>
        <v>0</v>
      </c>
      <c r="AX17" s="22">
        <f ca="1">+GETPIVOTDATA("XXB4",'xabang (2016)'!$A$3,"MA_HT","LMU","MA_QH","SKX")</f>
        <v>0</v>
      </c>
      <c r="AY17" s="22">
        <f ca="1">+GETPIVOTDATA("XXB4",'xabang (2016)'!$A$3,"MA_HT","LMU","MA_QH","DSH")</f>
        <v>0</v>
      </c>
      <c r="AZ17" s="22">
        <f ca="1">+GETPIVOTDATA("XXB4",'xabang (2016)'!$A$3,"MA_HT","LMU","MA_QH","DKV")</f>
        <v>0</v>
      </c>
      <c r="BA17" s="89">
        <f ca="1">+GETPIVOTDATA("XXB4",'xabang (2016)'!$A$3,"MA_HT","LMU","MA_QH","TIN")</f>
        <v>0</v>
      </c>
      <c r="BB17" s="50">
        <f ca="1">+GETPIVOTDATA("XXB4",'xabang (2016)'!$A$3,"MA_HT","LMU","MA_QH","SON")</f>
        <v>0</v>
      </c>
      <c r="BC17" s="50">
        <f ca="1">+GETPIVOTDATA("XXB4",'xabang (2016)'!$A$3,"MA_HT","LMU","MA_QH","MNC")</f>
        <v>0</v>
      </c>
      <c r="BD17" s="22">
        <f ca="1">+GETPIVOTDATA("XXB4",'xabang (2016)'!$A$3,"MA_HT","LMU","MA_QH","PNK")</f>
        <v>0</v>
      </c>
      <c r="BE17" s="71">
        <f ca="1">+GETPIVOTDATA("XXB4",'xabang (2016)'!$A$3,"MA_HT","LMU","MA_QH","CSD")</f>
        <v>0</v>
      </c>
      <c r="BF17" s="74">
        <f ca="1" t="shared" si="7"/>
        <v>0</v>
      </c>
      <c r="BG17" s="101">
        <f ca="1">P$59-$BF17</f>
        <v>0</v>
      </c>
      <c r="BH17" s="41" t="e">
        <f ca="1" t="shared" si="8"/>
        <v>#REF!</v>
      </c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</row>
    <row r="18" s="2" customFormat="1" ht="15.75" customHeight="1" spans="1:79">
      <c r="A18" s="39" t="s">
        <v>8357</v>
      </c>
      <c r="B18" s="39" t="s">
        <v>8358</v>
      </c>
      <c r="C18" s="40" t="s">
        <v>553</v>
      </c>
      <c r="D18" s="47" t="e">
        <f>+#REF!</f>
        <v>#REF!</v>
      </c>
      <c r="E18" s="42">
        <f ca="1">SUM(F18,J18:P18)</f>
        <v>0</v>
      </c>
      <c r="F18" s="52">
        <f ca="1" t="shared" si="9"/>
        <v>0</v>
      </c>
      <c r="G18" s="22">
        <f ca="1">+GETPIVOTDATA("XXB4",'xabang (2016)'!$A$3,"MA_HT","NKH","MA_QH","LUC")</f>
        <v>0</v>
      </c>
      <c r="H18" s="22">
        <f ca="1">+GETPIVOTDATA("XXB4",'xabang (2016)'!$A$3,"MA_HT","NKH","MA_QH","LUK")</f>
        <v>0</v>
      </c>
      <c r="I18" s="22">
        <f ca="1">+GETPIVOTDATA("XXB4",'xabang (2016)'!$A$3,"MA_HT","NKH","MA_QH","LUN")</f>
        <v>0</v>
      </c>
      <c r="J18" s="22">
        <f ca="1">+GETPIVOTDATA("XXB4",'xabang (2016)'!$A$3,"MA_HT","NKH","MA_QH","HNK")</f>
        <v>0</v>
      </c>
      <c r="K18" s="22">
        <f ca="1">+GETPIVOTDATA("XXB4",'xabang (2016)'!$A$3,"MA_HT","NKH","MA_QH","CLN")</f>
        <v>0</v>
      </c>
      <c r="L18" s="22">
        <f ca="1">+GETPIVOTDATA("XXB4",'xabang (2016)'!$A$3,"MA_HT","NKH","MA_QH","RSX")</f>
        <v>0</v>
      </c>
      <c r="M18" s="22">
        <f ca="1">+GETPIVOTDATA("XXB4",'xabang (2016)'!$A$3,"MA_HT","NKH","MA_QH","RPH")</f>
        <v>0</v>
      </c>
      <c r="N18" s="22">
        <f ca="1">+GETPIVOTDATA("XXB4",'xabang (2016)'!$A$3,"MA_HT","NKH","MA_QH","RDD")</f>
        <v>0</v>
      </c>
      <c r="O18" s="22">
        <f ca="1">+GETPIVOTDATA("XXB4",'xabang (2016)'!$A$3,"MA_HT","NKH","MA_QH","NTS")</f>
        <v>0</v>
      </c>
      <c r="P18" s="22">
        <f ca="1">+GETPIVOTDATA("XXB4",'xabang (2016)'!$A$3,"MA_HT","NKH","MA_QH","LMU")</f>
        <v>0</v>
      </c>
      <c r="Q18" s="43" t="e">
        <f ca="1">$D18-$BF18</f>
        <v>#REF!</v>
      </c>
      <c r="R18" s="42">
        <f ca="1" t="shared" si="2"/>
        <v>0</v>
      </c>
      <c r="S18" s="22">
        <f ca="1">+GETPIVOTDATA("XXB4",'xabang (2016)'!$A$3,"MA_HT","NKH","MA_QH","CQP")</f>
        <v>0</v>
      </c>
      <c r="T18" s="22">
        <f ca="1">+GETPIVOTDATA("XXB4",'xabang (2016)'!$A$3,"MA_HT","NKH","MA_QH","CAN")</f>
        <v>0</v>
      </c>
      <c r="U18" s="22">
        <f ca="1">+GETPIVOTDATA("XXB4",'xabang (2016)'!$A$3,"MA_HT","NKH","MA_QH","SKK")</f>
        <v>0</v>
      </c>
      <c r="V18" s="22">
        <f ca="1">+GETPIVOTDATA("XXB4",'xabang (2016)'!$A$3,"MA_HT","NKH","MA_QH","SKT")</f>
        <v>0</v>
      </c>
      <c r="W18" s="22">
        <f ca="1">+GETPIVOTDATA("XXB4",'xabang (2016)'!$A$3,"MA_HT","NKH","MA_QH","SKN")</f>
        <v>0</v>
      </c>
      <c r="X18" s="22">
        <f ca="1">+GETPIVOTDATA("XXB4",'xabang (2016)'!$A$3,"MA_HT","NKH","MA_QH","TMD")</f>
        <v>0</v>
      </c>
      <c r="Y18" s="22">
        <f ca="1">+GETPIVOTDATA("XXB4",'xabang (2016)'!$A$3,"MA_HT","NKH","MA_QH","SKC")</f>
        <v>0</v>
      </c>
      <c r="Z18" s="22">
        <f ca="1">+GETPIVOTDATA("XXB4",'xabang (2016)'!$A$3,"MA_HT","NKH","MA_QH","SKS")</f>
        <v>0</v>
      </c>
      <c r="AA18" s="52">
        <f ca="1" t="shared" si="4"/>
        <v>0</v>
      </c>
      <c r="AB18" s="22">
        <f ca="1">+GETPIVOTDATA("XXB4",'xabang (2016)'!$A$3,"MA_HT","NKH","MA_QH","DGT")</f>
        <v>0</v>
      </c>
      <c r="AC18" s="22">
        <f ca="1">+GETPIVOTDATA("XXB4",'xabang (2016)'!$A$3,"MA_HT","NKH","MA_QH","DTL")</f>
        <v>0</v>
      </c>
      <c r="AD18" s="22">
        <f ca="1">+GETPIVOTDATA("XXB4",'xabang (2016)'!$A$3,"MA_HT","NKH","MA_QH","DNL")</f>
        <v>0</v>
      </c>
      <c r="AE18" s="22">
        <f ca="1">+GETPIVOTDATA("XXB4",'xabang (2016)'!$A$3,"MA_HT","NKH","MA_QH","DBV")</f>
        <v>0</v>
      </c>
      <c r="AF18" s="22">
        <f ca="1">+GETPIVOTDATA("XXB4",'xabang (2016)'!$A$3,"MA_HT","NKH","MA_QH","DVH")</f>
        <v>0</v>
      </c>
      <c r="AG18" s="22">
        <f ca="1">+GETPIVOTDATA("XXB4",'xabang (2016)'!$A$3,"MA_HT","NKH","MA_QH","DYT")</f>
        <v>0</v>
      </c>
      <c r="AH18" s="22">
        <f ca="1">+GETPIVOTDATA("XXB4",'xabang (2016)'!$A$3,"MA_HT","NKH","MA_QH","DGD")</f>
        <v>0</v>
      </c>
      <c r="AI18" s="22">
        <f ca="1">+GETPIVOTDATA("XXB4",'xabang (2016)'!$A$3,"MA_HT","NKH","MA_QH","DTT")</f>
        <v>0</v>
      </c>
      <c r="AJ18" s="22">
        <f ca="1">+GETPIVOTDATA("XXB4",'xabang (2016)'!$A$3,"MA_HT","NKH","MA_QH","NCK")</f>
        <v>0</v>
      </c>
      <c r="AK18" s="22">
        <f ca="1">+GETPIVOTDATA("XXB4",'xabang (2016)'!$A$3,"MA_HT","NKH","MA_QH","DXH")</f>
        <v>0</v>
      </c>
      <c r="AL18" s="22">
        <f ca="1">+GETPIVOTDATA("XXB4",'xabang (2016)'!$A$3,"MA_HT","NKH","MA_QH","DCH")</f>
        <v>0</v>
      </c>
      <c r="AM18" s="22">
        <f ca="1">+GETPIVOTDATA("XXB4",'xabang (2016)'!$A$3,"MA_HT","NKH","MA_QH","DKG")</f>
        <v>0</v>
      </c>
      <c r="AN18" s="22">
        <f ca="1">+GETPIVOTDATA("XXB4",'xabang (2016)'!$A$3,"MA_HT","NKH","MA_QH","DDT")</f>
        <v>0</v>
      </c>
      <c r="AO18" s="22">
        <f ca="1">+GETPIVOTDATA("XXB4",'xabang (2016)'!$A$3,"MA_HT","NKH","MA_QH","DDL")</f>
        <v>0</v>
      </c>
      <c r="AP18" s="22">
        <f ca="1">+GETPIVOTDATA("XXB4",'xabang (2016)'!$A$3,"MA_HT","NKH","MA_QH","DRA")</f>
        <v>0</v>
      </c>
      <c r="AQ18" s="22">
        <f ca="1">+GETPIVOTDATA("XXB4",'xabang (2016)'!$A$3,"MA_HT","NKH","MA_QH","ONT")</f>
        <v>0</v>
      </c>
      <c r="AR18" s="22">
        <f ca="1">+GETPIVOTDATA("XXB4",'xabang (2016)'!$A$3,"MA_HT","NKH","MA_QH","ODT")</f>
        <v>0</v>
      </c>
      <c r="AS18" s="22">
        <f ca="1">+GETPIVOTDATA("XXB4",'xabang (2016)'!$A$3,"MA_HT","NKH","MA_QH","TSC")</f>
        <v>0</v>
      </c>
      <c r="AT18" s="22">
        <f ca="1">+GETPIVOTDATA("XXB4",'xabang (2016)'!$A$3,"MA_HT","NKH","MA_QH","DTS")</f>
        <v>0</v>
      </c>
      <c r="AU18" s="22">
        <f ca="1">+GETPIVOTDATA("XXB4",'xabang (2016)'!$A$3,"MA_HT","NKH","MA_QH","DNG")</f>
        <v>0</v>
      </c>
      <c r="AV18" s="22">
        <f ca="1">+GETPIVOTDATA("XXB4",'xabang (2016)'!$A$3,"MA_HT","NKH","MA_QH","TON")</f>
        <v>0</v>
      </c>
      <c r="AW18" s="22">
        <f ca="1">+GETPIVOTDATA("XXB4",'xabang (2016)'!$A$3,"MA_HT","NKH","MA_QH","NTD")</f>
        <v>0</v>
      </c>
      <c r="AX18" s="22">
        <f ca="1">+GETPIVOTDATA("XXB4",'xabang (2016)'!$A$3,"MA_HT","NKH","MA_QH","SKX")</f>
        <v>0</v>
      </c>
      <c r="AY18" s="22">
        <f ca="1">+GETPIVOTDATA("XXB4",'xabang (2016)'!$A$3,"MA_HT","NKH","MA_QH","DSH")</f>
        <v>0</v>
      </c>
      <c r="AZ18" s="22">
        <f ca="1">+GETPIVOTDATA("XXB4",'xabang (2016)'!$A$3,"MA_HT","NKH","MA_QH","DKV")</f>
        <v>0</v>
      </c>
      <c r="BA18" s="89">
        <f ca="1">+GETPIVOTDATA("XXB4",'xabang (2016)'!$A$3,"MA_HT","NKH","MA_QH","TIN")</f>
        <v>0</v>
      </c>
      <c r="BB18" s="50">
        <f ca="1">+GETPIVOTDATA("XXB4",'xabang (2016)'!$A$3,"MA_HT","NKH","MA_QH","SON")</f>
        <v>0</v>
      </c>
      <c r="BC18" s="50">
        <f ca="1">+GETPIVOTDATA("XXB4",'xabang (2016)'!$A$3,"MA_HT","NKH","MA_QH","MNC")</f>
        <v>0</v>
      </c>
      <c r="BD18" s="22">
        <f ca="1">+GETPIVOTDATA("XXB4",'xabang (2016)'!$A$3,"MA_HT","NKH","MA_QH","PNK")</f>
        <v>0</v>
      </c>
      <c r="BE18" s="71">
        <f ca="1">+GETPIVOTDATA("XXB4",'xabang (2016)'!$A$3,"MA_HT","NKH","MA_QH","CSD")</f>
        <v>0</v>
      </c>
      <c r="BF18" s="74">
        <f ca="1" t="shared" si="7"/>
        <v>0</v>
      </c>
      <c r="BG18" s="101">
        <f ca="1">Q$59-$BF18</f>
        <v>0</v>
      </c>
      <c r="BH18" s="41" t="e">
        <f ca="1" t="shared" si="8"/>
        <v>#REF!</v>
      </c>
      <c r="BI18" s="98"/>
      <c r="BJ18" s="98"/>
      <c r="BK18" s="98"/>
      <c r="BL18" s="98"/>
      <c r="BM18" s="107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</row>
    <row r="19" s="3" customFormat="1" ht="15.75" customHeight="1" spans="1:75">
      <c r="A19" s="35">
        <v>2</v>
      </c>
      <c r="B19" s="36" t="s">
        <v>8359</v>
      </c>
      <c r="C19" s="37" t="s">
        <v>8304</v>
      </c>
      <c r="D19" s="33" t="e">
        <f>+#REF!</f>
        <v>#REF!</v>
      </c>
      <c r="E19" s="33">
        <f ca="1">SUM(E20:E28,E41:E57)</f>
        <v>0</v>
      </c>
      <c r="F19" s="33">
        <f ca="1">SUM(F20:F28,F41:F57)</f>
        <v>0</v>
      </c>
      <c r="G19" s="33">
        <f ca="1">SUM(G20:G28,G41:G57)</f>
        <v>0</v>
      </c>
      <c r="H19" s="33">
        <f ca="1">SUM(H20:H28,H41:H57)</f>
        <v>0</v>
      </c>
      <c r="I19" s="33">
        <f ca="1">SUM(I20:I28,I41:I57)</f>
        <v>0</v>
      </c>
      <c r="J19" s="33">
        <f ca="1" t="shared" ref="J19:Q19" si="10">SUM(J20:J28,J41:J57)</f>
        <v>0</v>
      </c>
      <c r="K19" s="33">
        <f ca="1" t="shared" si="10"/>
        <v>0</v>
      </c>
      <c r="L19" s="33">
        <f ca="1" t="shared" si="10"/>
        <v>0</v>
      </c>
      <c r="M19" s="33">
        <f ca="1" t="shared" si="10"/>
        <v>0</v>
      </c>
      <c r="N19" s="33">
        <f ca="1" t="shared" si="10"/>
        <v>0</v>
      </c>
      <c r="O19" s="33">
        <f ca="1" t="shared" si="10"/>
        <v>0</v>
      </c>
      <c r="P19" s="33">
        <f ca="1" t="shared" si="10"/>
        <v>0</v>
      </c>
      <c r="Q19" s="33">
        <f ca="1" t="shared" si="10"/>
        <v>0</v>
      </c>
      <c r="R19" s="38" t="e">
        <f ca="1">$D19-$BF19</f>
        <v>#REF!</v>
      </c>
      <c r="S19" s="33">
        <f ca="1">SUM(S21:S28,S41:S57)</f>
        <v>0</v>
      </c>
      <c r="T19" s="33">
        <f ca="1">SUM(T20,T22:T28,T41:T57)</f>
        <v>0</v>
      </c>
      <c r="U19" s="33">
        <f ca="1">SUM(U20:U21,U23:U28,U41:U57)</f>
        <v>0</v>
      </c>
      <c r="V19" s="33">
        <f ca="1">SUM(V20:V22,V24:V28,V41:V57)</f>
        <v>0</v>
      </c>
      <c r="W19" s="33">
        <f ca="1">SUM(W20:W23,W25:W28,W41:W57)</f>
        <v>0</v>
      </c>
      <c r="X19" s="33">
        <f ca="1">SUM(X20:X24,X26:X28,X41:X57)</f>
        <v>0</v>
      </c>
      <c r="Y19" s="33">
        <f ca="1">SUM(Y20:Y25,Y27:Y28,Y41:Y57)</f>
        <v>0</v>
      </c>
      <c r="Z19" s="33">
        <f ca="1">SUM(Z20:Z26,Z28,Z41:Z57)</f>
        <v>0</v>
      </c>
      <c r="AA19" s="33">
        <f ca="1">SUM(AA20:AA27,AA41:AA57)</f>
        <v>0</v>
      </c>
      <c r="AB19" s="33">
        <f ca="1" t="shared" ref="AB19:AM19" si="11">SUM(AB20:AB28,AB41:AB57)</f>
        <v>0</v>
      </c>
      <c r="AC19" s="33">
        <f ca="1" t="shared" si="11"/>
        <v>0</v>
      </c>
      <c r="AD19" s="33">
        <f ca="1" t="shared" si="11"/>
        <v>0</v>
      </c>
      <c r="AE19" s="33">
        <f ca="1" t="shared" si="11"/>
        <v>0</v>
      </c>
      <c r="AF19" s="33">
        <f ca="1" t="shared" si="11"/>
        <v>0</v>
      </c>
      <c r="AG19" s="33">
        <f ca="1" t="shared" si="11"/>
        <v>0</v>
      </c>
      <c r="AH19" s="33">
        <f ca="1" t="shared" si="11"/>
        <v>0</v>
      </c>
      <c r="AI19" s="33">
        <f ca="1" t="shared" si="11"/>
        <v>0</v>
      </c>
      <c r="AJ19" s="33">
        <f ca="1" t="shared" si="11"/>
        <v>0</v>
      </c>
      <c r="AK19" s="33">
        <f ca="1" t="shared" si="11"/>
        <v>0</v>
      </c>
      <c r="AL19" s="33">
        <f ca="1" t="shared" si="11"/>
        <v>0</v>
      </c>
      <c r="AM19" s="33">
        <f ca="1" t="shared" si="11"/>
        <v>0</v>
      </c>
      <c r="AN19" s="33">
        <f ca="1">SUM(AN20:AN28,AN42:AN57)</f>
        <v>0</v>
      </c>
      <c r="AO19" s="33">
        <f ca="1">SUM(AO20:AO28,AO41,AO43:AO57)</f>
        <v>0</v>
      </c>
      <c r="AP19" s="33">
        <f ca="1">SUM(AP20:AP28,AP41:AP42,AP44:AP57)</f>
        <v>0</v>
      </c>
      <c r="AQ19" s="33">
        <f ca="1">SUM(AQ20:AQ28,AQ41:AQ43,AQ45:AQ57)</f>
        <v>0</v>
      </c>
      <c r="AR19" s="33">
        <f ca="1">SUM(AR20:AR28,AR41:AR44,AR46:AR57)</f>
        <v>0</v>
      </c>
      <c r="AS19" s="33">
        <f ca="1">SUM(AS20:AS28,AS41:AS45,AS47:AS57)</f>
        <v>0</v>
      </c>
      <c r="AT19" s="33">
        <f ca="1">SUM(AT20:AT28,AT41:AT46,AT48:AT57)</f>
        <v>0</v>
      </c>
      <c r="AU19" s="33">
        <f ca="1">SUM(AU20:AU28,AU41:AU47,AU49:AU57)</f>
        <v>0</v>
      </c>
      <c r="AV19" s="33">
        <f ca="1">SUM(AV20:AV28,AV41:AV48,AV50:AV57)</f>
        <v>0</v>
      </c>
      <c r="AW19" s="33">
        <f ca="1">SUM(AW20:AW28,AW41:AW49,AW51:AW57)</f>
        <v>0</v>
      </c>
      <c r="AX19" s="33">
        <f ca="1">SUM(AX20:AX28,AX41:AX50,AX52:AX57)</f>
        <v>0</v>
      </c>
      <c r="AY19" s="33">
        <f ca="1">SUM(AY20:AY28,AY41:AY51,AY53:AY57)</f>
        <v>0</v>
      </c>
      <c r="AZ19" s="33">
        <f ca="1">SUM(AZ20:AZ28,AZ41:AZ52,AZ54:AZ57)</f>
        <v>0</v>
      </c>
      <c r="BA19" s="33">
        <f ca="1">SUM(BA20:BA28,BA41:BA53,BA55:BA57)</f>
        <v>0</v>
      </c>
      <c r="BB19" s="33">
        <f ca="1">SUM(BB20:BB28,BB41:BB54,BB56:BB57)</f>
        <v>0</v>
      </c>
      <c r="BC19" s="33">
        <f ca="1">SUM(BC20:BC28,BC41:BC55,BC57)</f>
        <v>0</v>
      </c>
      <c r="BD19" s="33">
        <f ca="1">SUM(BD20:BD28,BD41:BD56,BD58)</f>
        <v>0</v>
      </c>
      <c r="BE19" s="33">
        <f ca="1">SUM(BE20:BE28,BE41:BE57)</f>
        <v>0</v>
      </c>
      <c r="BF19" s="74">
        <f ca="1">SUM(BE19,E19)</f>
        <v>0</v>
      </c>
      <c r="BG19" s="101">
        <f ca="1">R$59-$BF19</f>
        <v>0</v>
      </c>
      <c r="BH19" s="33" t="e">
        <f ca="1">SUM(BH20:BH28,BH41:BH57)</f>
        <v>#REF!</v>
      </c>
      <c r="BI19" s="102"/>
      <c r="BJ19" s="36" t="e">
        <f>SUM(BJ22:BJ54,BJ57:BJ57)</f>
        <v>#REF!</v>
      </c>
      <c r="BK19" s="106" t="e">
        <f ca="1">BH19-BJ19</f>
        <v>#REF!</v>
      </c>
      <c r="BL19" s="106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</row>
    <row r="20" s="2" customFormat="1" ht="15.75" customHeight="1" spans="1:79">
      <c r="A20" s="39" t="s">
        <v>69</v>
      </c>
      <c r="B20" s="39" t="s">
        <v>8360</v>
      </c>
      <c r="C20" s="40" t="s">
        <v>31</v>
      </c>
      <c r="D20" s="41" t="e">
        <f>+#REF!</f>
        <v>#REF!</v>
      </c>
      <c r="E20" s="42">
        <f ca="1">SUM(F20,J20:Q20)</f>
        <v>0</v>
      </c>
      <c r="F20" s="52">
        <f ca="1" t="shared" si="9"/>
        <v>0</v>
      </c>
      <c r="G20" s="22">
        <f ca="1">+GETPIVOTDATA("XXB4",'xabang (2016)'!$A$3,"MA_HT","CQP","MA_QH","LUC")</f>
        <v>0</v>
      </c>
      <c r="H20" s="22">
        <f ca="1">+GETPIVOTDATA("XXB4",'xabang (2016)'!$A$3,"MA_HT","CQP","MA_QH","LUK")</f>
        <v>0</v>
      </c>
      <c r="I20" s="22">
        <f ca="1">+GETPIVOTDATA("XXB4",'xabang (2016)'!$A$3,"MA_HT","CQP","MA_QH","LUN")</f>
        <v>0</v>
      </c>
      <c r="J20" s="22">
        <f ca="1">+GETPIVOTDATA("XXB4",'xabang (2016)'!$A$3,"MA_HT","CQP","MA_QH","HNK")</f>
        <v>0</v>
      </c>
      <c r="K20" s="22">
        <f ca="1">+GETPIVOTDATA("XXB4",'xabang (2016)'!$A$3,"MA_HT","CQP","MA_QH","CLN")</f>
        <v>0</v>
      </c>
      <c r="L20" s="22">
        <f ca="1">+GETPIVOTDATA("XXB4",'xabang (2016)'!$A$3,"MA_HT","CQP","MA_QH","RSX")</f>
        <v>0</v>
      </c>
      <c r="M20" s="22">
        <f ca="1">+GETPIVOTDATA("XXB4",'xabang (2016)'!$A$3,"MA_HT","CQP","MA_QH","RPH")</f>
        <v>0</v>
      </c>
      <c r="N20" s="22">
        <f ca="1">+GETPIVOTDATA("XXB4",'xabang (2016)'!$A$3,"MA_HT","CQP","MA_QH","RDD")</f>
        <v>0</v>
      </c>
      <c r="O20" s="22">
        <f ca="1">+GETPIVOTDATA("XXB4",'xabang (2016)'!$A$3,"MA_HT","CQP","MA_QH","NTS")</f>
        <v>0</v>
      </c>
      <c r="P20" s="22">
        <f ca="1">+GETPIVOTDATA("XXB4",'xabang (2016)'!$A$3,"MA_HT","CQP","MA_QH","LMU")</f>
        <v>0</v>
      </c>
      <c r="Q20" s="22">
        <f ca="1">+GETPIVOTDATA("XXB4",'xabang (2016)'!$A$3,"MA_HT","CQP","MA_QH","NKH")</f>
        <v>0</v>
      </c>
      <c r="R20" s="42">
        <f ca="1">SUM(T20:AA20,AN20:BD20)</f>
        <v>0</v>
      </c>
      <c r="S20" s="43" t="e">
        <f ca="1">$D20-$BF20</f>
        <v>#REF!</v>
      </c>
      <c r="T20" s="22">
        <f ca="1">+GETPIVOTDATA("XXB4",'xabang (2016)'!$A$3,"MA_HT","CQP","MA_QH","CAN")</f>
        <v>0</v>
      </c>
      <c r="U20" s="22">
        <f ca="1">+GETPIVOTDATA("XXB4",'xabang (2016)'!$A$3,"MA_HT","CQP","MA_QH","SKK")</f>
        <v>0</v>
      </c>
      <c r="V20" s="22">
        <f ca="1">+GETPIVOTDATA("XXB4",'xabang (2016)'!$A$3,"MA_HT","CQP","MA_QH","SKT")</f>
        <v>0</v>
      </c>
      <c r="W20" s="22">
        <f ca="1">+GETPIVOTDATA("XXB4",'xabang (2016)'!$A$3,"MA_HT","CQP","MA_QH","SKN")</f>
        <v>0</v>
      </c>
      <c r="X20" s="22">
        <f ca="1">+GETPIVOTDATA("XXB4",'xabang (2016)'!$A$3,"MA_HT","CQP","MA_QH","TMD")</f>
        <v>0</v>
      </c>
      <c r="Y20" s="22">
        <f ca="1">+GETPIVOTDATA("XXB4",'xabang (2016)'!$A$3,"MA_HT","CQP","MA_QH","SKC")</f>
        <v>0</v>
      </c>
      <c r="Z20" s="22">
        <f ca="1">+GETPIVOTDATA("XXB4",'xabang (2016)'!$A$3,"MA_HT","CQP","MA_QH","SKS")</f>
        <v>0</v>
      </c>
      <c r="AA20" s="52">
        <f ca="1" t="shared" ref="AA20:AA27" si="12">+SUM(AB20:AM20)</f>
        <v>0</v>
      </c>
      <c r="AB20" s="22">
        <f ca="1">+GETPIVOTDATA("XXB4",'xabang (2016)'!$A$3,"MA_HT","CQP","MA_QH","DGT")</f>
        <v>0</v>
      </c>
      <c r="AC20" s="22">
        <f ca="1">+GETPIVOTDATA("XXB4",'xabang (2016)'!$A$3,"MA_HT","CQP","MA_QH","DTL")</f>
        <v>0</v>
      </c>
      <c r="AD20" s="22">
        <f ca="1">+GETPIVOTDATA("XXB4",'xabang (2016)'!$A$3,"MA_HT","CQP","MA_QH","DNL")</f>
        <v>0</v>
      </c>
      <c r="AE20" s="22">
        <f ca="1">+GETPIVOTDATA("XXB4",'xabang (2016)'!$A$3,"MA_HT","CQP","MA_QH","DBV")</f>
        <v>0</v>
      </c>
      <c r="AF20" s="22">
        <f ca="1">+GETPIVOTDATA("XXB4",'xabang (2016)'!$A$3,"MA_HT","CQP","MA_QH","DVH")</f>
        <v>0</v>
      </c>
      <c r="AG20" s="22">
        <f ca="1">+GETPIVOTDATA("XXB4",'xabang (2016)'!$A$3,"MA_HT","CQP","MA_QH","DYT")</f>
        <v>0</v>
      </c>
      <c r="AH20" s="22">
        <f ca="1">+GETPIVOTDATA("XXB4",'xabang (2016)'!$A$3,"MA_HT","CQP","MA_QH","DGD")</f>
        <v>0</v>
      </c>
      <c r="AI20" s="22">
        <f ca="1">+GETPIVOTDATA("XXB4",'xabang (2016)'!$A$3,"MA_HT","CQP","MA_QH","DTT")</f>
        <v>0</v>
      </c>
      <c r="AJ20" s="22">
        <f ca="1">+GETPIVOTDATA("XXB4",'xabang (2016)'!$A$3,"MA_HT","CQP","MA_QH","NCK")</f>
        <v>0</v>
      </c>
      <c r="AK20" s="22">
        <f ca="1">+GETPIVOTDATA("XXB4",'xabang (2016)'!$A$3,"MA_HT","CQP","MA_QH","DXH")</f>
        <v>0</v>
      </c>
      <c r="AL20" s="22">
        <f ca="1">+GETPIVOTDATA("XXB4",'xabang (2016)'!$A$3,"MA_HT","CQP","MA_QH","DCH")</f>
        <v>0</v>
      </c>
      <c r="AM20" s="22">
        <f ca="1">+GETPIVOTDATA("XXB4",'xabang (2016)'!$A$3,"MA_HT","CQP","MA_QH","DKG")</f>
        <v>0</v>
      </c>
      <c r="AN20" s="22">
        <f ca="1">+GETPIVOTDATA("XXB4",'xabang (2016)'!$A$3,"MA_HT","CQP","MA_QH","DDT")</f>
        <v>0</v>
      </c>
      <c r="AO20" s="22">
        <f ca="1">+GETPIVOTDATA("XXB4",'xabang (2016)'!$A$3,"MA_HT","CQP","MA_QH","DDL")</f>
        <v>0</v>
      </c>
      <c r="AP20" s="22">
        <f ca="1">+GETPIVOTDATA("XXB4",'xabang (2016)'!$A$3,"MA_HT","CQP","MA_QH","DRA")</f>
        <v>0</v>
      </c>
      <c r="AQ20" s="22">
        <f ca="1">+GETPIVOTDATA("XXB4",'xabang (2016)'!$A$3,"MA_HT","CQP","MA_QH","ONT")</f>
        <v>0</v>
      </c>
      <c r="AR20" s="22">
        <f ca="1">+GETPIVOTDATA("XXB4",'xabang (2016)'!$A$3,"MA_HT","CQP","MA_QH","ODT")</f>
        <v>0</v>
      </c>
      <c r="AS20" s="22">
        <f ca="1">+GETPIVOTDATA("XXB4",'xabang (2016)'!$A$3,"MA_HT","CQP","MA_QH","TSC")</f>
        <v>0</v>
      </c>
      <c r="AT20" s="22">
        <f ca="1">+GETPIVOTDATA("XXB4",'xabang (2016)'!$A$3,"MA_HT","CQP","MA_QH","DTS")</f>
        <v>0</v>
      </c>
      <c r="AU20" s="22">
        <f ca="1">+GETPIVOTDATA("XXB4",'xabang (2016)'!$A$3,"MA_HT","CQP","MA_QH","DNG")</f>
        <v>0</v>
      </c>
      <c r="AV20" s="22">
        <f ca="1">+GETPIVOTDATA("XXB4",'xabang (2016)'!$A$3,"MA_HT","CQP","MA_QH","TON")</f>
        <v>0</v>
      </c>
      <c r="AW20" s="22">
        <f ca="1">+GETPIVOTDATA("XXB4",'xabang (2016)'!$A$3,"MA_HT","CQP","MA_QH","NTD")</f>
        <v>0</v>
      </c>
      <c r="AX20" s="22">
        <f ca="1">+GETPIVOTDATA("XXB4",'xabang (2016)'!$A$3,"MA_HT","CQP","MA_QH","SKX")</f>
        <v>0</v>
      </c>
      <c r="AY20" s="22">
        <f ca="1">+GETPIVOTDATA("XXB4",'xabang (2016)'!$A$3,"MA_HT","CQP","MA_QH","DSH")</f>
        <v>0</v>
      </c>
      <c r="AZ20" s="22">
        <f ca="1">+GETPIVOTDATA("XXB4",'xabang (2016)'!$A$3,"MA_HT","CQP","MA_QH","DKV")</f>
        <v>0</v>
      </c>
      <c r="BA20" s="89">
        <f ca="1">+GETPIVOTDATA("XXB4",'xabang (2016)'!$A$3,"MA_HT","CQP","MA_QH","TIN")</f>
        <v>0</v>
      </c>
      <c r="BB20" s="50">
        <f ca="1">+GETPIVOTDATA("XXB4",'xabang (2016)'!$A$3,"MA_HT","CQP","MA_QH","SON")</f>
        <v>0</v>
      </c>
      <c r="BC20" s="50">
        <f ca="1">+GETPIVOTDATA("XXB4",'xabang (2016)'!$A$3,"MA_HT","CQP","MA_QH","MNC")</f>
        <v>0</v>
      </c>
      <c r="BD20" s="22">
        <f ca="1">+GETPIVOTDATA("XXB4",'xabang (2016)'!$A$3,"MA_HT","CQP","MA_QH","PNK")</f>
        <v>0</v>
      </c>
      <c r="BE20" s="71">
        <f ca="1">+GETPIVOTDATA("XXB4",'xabang (2016)'!$A$3,"MA_HT","CQP","MA_QH","CSD")</f>
        <v>0</v>
      </c>
      <c r="BF20" s="74">
        <f ca="1" t="shared" ref="BF20:BF57" si="13">BE20+R20+E20</f>
        <v>0</v>
      </c>
      <c r="BG20" s="101">
        <f ca="1">S$59-$BF20</f>
        <v>0</v>
      </c>
      <c r="BH20" s="41" t="e">
        <f ca="1" t="shared" ref="BH20:BH58" si="14">BG20+D20</f>
        <v>#REF!</v>
      </c>
      <c r="BI20" s="98"/>
      <c r="BJ20" s="98" t="e">
        <f>#REF!</f>
        <v>#REF!</v>
      </c>
      <c r="BK20" s="107" t="e">
        <f ca="1">BH20-BJ20</f>
        <v>#REF!</v>
      </c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</row>
    <row r="21" s="2" customFormat="1" ht="15.75" customHeight="1" spans="1:79">
      <c r="A21" s="39" t="s">
        <v>232</v>
      </c>
      <c r="B21" s="39" t="s">
        <v>8361</v>
      </c>
      <c r="C21" s="40" t="s">
        <v>8283</v>
      </c>
      <c r="D21" s="41" t="e">
        <f>+#REF!</f>
        <v>#REF!</v>
      </c>
      <c r="E21" s="42">
        <f ca="1" t="shared" ref="E21:E58" si="15">SUM(F21,J21:Q21)</f>
        <v>0</v>
      </c>
      <c r="F21" s="52">
        <f ca="1" t="shared" si="9"/>
        <v>0</v>
      </c>
      <c r="G21" s="22">
        <f ca="1">+GETPIVOTDATA("XXB4",'xabang (2016)'!$A$3,"MA_HT","CAN","MA_QH","LUC")</f>
        <v>0</v>
      </c>
      <c r="H21" s="22">
        <f ca="1">+GETPIVOTDATA("XXB4",'xabang (2016)'!$A$3,"MA_HT","CAN","MA_QH","LUK")</f>
        <v>0</v>
      </c>
      <c r="I21" s="22">
        <f ca="1">+GETPIVOTDATA("XXB4",'xabang (2016)'!$A$3,"MA_HT","CAN","MA_QH","LUN")</f>
        <v>0</v>
      </c>
      <c r="J21" s="22">
        <f ca="1">+GETPIVOTDATA("XXB4",'xabang (2016)'!$A$3,"MA_HT","CAN","MA_QH","HNK")</f>
        <v>0</v>
      </c>
      <c r="K21" s="22">
        <f ca="1">+GETPIVOTDATA("XXB4",'xabang (2016)'!$A$3,"MA_HT","CAN","MA_QH","CLN")</f>
        <v>0</v>
      </c>
      <c r="L21" s="22">
        <f ca="1">+GETPIVOTDATA("XXB4",'xabang (2016)'!$A$3,"MA_HT","CAN","MA_QH","RSX")</f>
        <v>0</v>
      </c>
      <c r="M21" s="22">
        <f ca="1">+GETPIVOTDATA("XXB4",'xabang (2016)'!$A$3,"MA_HT","CAN","MA_QH","RPH")</f>
        <v>0</v>
      </c>
      <c r="N21" s="22">
        <f ca="1">+GETPIVOTDATA("XXB4",'xabang (2016)'!$A$3,"MA_HT","CAN","MA_QH","RDD")</f>
        <v>0</v>
      </c>
      <c r="O21" s="22">
        <f ca="1">+GETPIVOTDATA("XXB4",'xabang (2016)'!$A$3,"MA_HT","CAN","MA_QH","NTS")</f>
        <v>0</v>
      </c>
      <c r="P21" s="22">
        <f ca="1">+GETPIVOTDATA("XXB4",'xabang (2016)'!$A$3,"MA_HT","CAN","MA_QH","LMU")</f>
        <v>0</v>
      </c>
      <c r="Q21" s="22">
        <f ca="1">+GETPIVOTDATA("XXB4",'xabang (2016)'!$A$3,"MA_HT","CAN","MA_QH","NKH")</f>
        <v>0</v>
      </c>
      <c r="R21" s="42">
        <f ca="1">SUM(S21,U21:AA21,AN21:BD21)</f>
        <v>0</v>
      </c>
      <c r="S21" s="22">
        <f ca="1">+GETPIVOTDATA("XXB4",'xabang (2016)'!$A$3,"MA_HT","CAN","MA_QH","CQP")</f>
        <v>0</v>
      </c>
      <c r="T21" s="43" t="e">
        <f ca="1">$D21-$BF21</f>
        <v>#REF!</v>
      </c>
      <c r="U21" s="22">
        <f ca="1">+GETPIVOTDATA("XXB4",'xabang (2016)'!$A$3,"MA_HT","CAN","MA_QH","SKK")</f>
        <v>0</v>
      </c>
      <c r="V21" s="22">
        <f ca="1">+GETPIVOTDATA("XXB4",'xabang (2016)'!$A$3,"MA_HT","CAN","MA_QH","SKT")</f>
        <v>0</v>
      </c>
      <c r="W21" s="22">
        <f ca="1">+GETPIVOTDATA("XXB4",'xabang (2016)'!$A$3,"MA_HT","CAN","MA_QH","SKN")</f>
        <v>0</v>
      </c>
      <c r="X21" s="22">
        <f ca="1">+GETPIVOTDATA("XXB4",'xabang (2016)'!$A$3,"MA_HT","CAN","MA_QH","TMD")</f>
        <v>0</v>
      </c>
      <c r="Y21" s="22">
        <f ca="1">+GETPIVOTDATA("XXB4",'xabang (2016)'!$A$3,"MA_HT","CAN","MA_QH","SKC")</f>
        <v>0</v>
      </c>
      <c r="Z21" s="22">
        <f ca="1">+GETPIVOTDATA("XXB4",'xabang (2016)'!$A$3,"MA_HT","CAN","MA_QH","SKS")</f>
        <v>0</v>
      </c>
      <c r="AA21" s="52">
        <f ca="1" t="shared" si="12"/>
        <v>0</v>
      </c>
      <c r="AB21" s="22">
        <f ca="1">+GETPIVOTDATA("XXB4",'xabang (2016)'!$A$3,"MA_HT","CAN","MA_QH","DGT")</f>
        <v>0</v>
      </c>
      <c r="AC21" s="22">
        <f ca="1">+GETPIVOTDATA("XXB4",'xabang (2016)'!$A$3,"MA_HT","CAN","MA_QH","DTL")</f>
        <v>0</v>
      </c>
      <c r="AD21" s="22">
        <f ca="1">+GETPIVOTDATA("XXB4",'xabang (2016)'!$A$3,"MA_HT","CAN","MA_QH","DNL")</f>
        <v>0</v>
      </c>
      <c r="AE21" s="22">
        <f ca="1">+GETPIVOTDATA("XXB4",'xabang (2016)'!$A$3,"MA_HT","CAN","MA_QH","DBV")</f>
        <v>0</v>
      </c>
      <c r="AF21" s="22">
        <f ca="1">+GETPIVOTDATA("XXB4",'xabang (2016)'!$A$3,"MA_HT","CAN","MA_QH","DVH")</f>
        <v>0</v>
      </c>
      <c r="AG21" s="22">
        <f ca="1">+GETPIVOTDATA("XXB4",'xabang (2016)'!$A$3,"MA_HT","CAN","MA_QH","DYT")</f>
        <v>0</v>
      </c>
      <c r="AH21" s="22">
        <f ca="1">+GETPIVOTDATA("XXB4",'xabang (2016)'!$A$3,"MA_HT","CAN","MA_QH","DGD")</f>
        <v>0</v>
      </c>
      <c r="AI21" s="22">
        <f ca="1">+GETPIVOTDATA("XXB4",'xabang (2016)'!$A$3,"MA_HT","CAN","MA_QH","DTT")</f>
        <v>0</v>
      </c>
      <c r="AJ21" s="22">
        <f ca="1">+GETPIVOTDATA("XXB4",'xabang (2016)'!$A$3,"MA_HT","CAN","MA_QH","NCK")</f>
        <v>0</v>
      </c>
      <c r="AK21" s="22">
        <f ca="1">+GETPIVOTDATA("XXB4",'xabang (2016)'!$A$3,"MA_HT","CAN","MA_QH","DXH")</f>
        <v>0</v>
      </c>
      <c r="AL21" s="22">
        <f ca="1">+GETPIVOTDATA("XXB4",'xabang (2016)'!$A$3,"MA_HT","CAN","MA_QH","DCH")</f>
        <v>0</v>
      </c>
      <c r="AM21" s="22">
        <f ca="1">+GETPIVOTDATA("XXB4",'xabang (2016)'!$A$3,"MA_HT","CAN","MA_QH","DKG")</f>
        <v>0</v>
      </c>
      <c r="AN21" s="22">
        <f ca="1">+GETPIVOTDATA("XXB4",'xabang (2016)'!$A$3,"MA_HT","CAN","MA_QH","DDT")</f>
        <v>0</v>
      </c>
      <c r="AO21" s="22">
        <f ca="1">+GETPIVOTDATA("XXB4",'xabang (2016)'!$A$3,"MA_HT","CAN","MA_QH","DDL")</f>
        <v>0</v>
      </c>
      <c r="AP21" s="22">
        <f ca="1">+GETPIVOTDATA("XXB4",'xabang (2016)'!$A$3,"MA_HT","CAN","MA_QH","DRA")</f>
        <v>0</v>
      </c>
      <c r="AQ21" s="22">
        <f ca="1">+GETPIVOTDATA("XXB4",'xabang (2016)'!$A$3,"MA_HT","CAN","MA_QH","ONT")</f>
        <v>0</v>
      </c>
      <c r="AR21" s="22">
        <f ca="1">+GETPIVOTDATA("XXB4",'xabang (2016)'!$A$3,"MA_HT","CAN","MA_QH","ODT")</f>
        <v>0</v>
      </c>
      <c r="AS21" s="22">
        <f ca="1">+GETPIVOTDATA("XXB4",'xabang (2016)'!$A$3,"MA_HT","CAN","MA_QH","TSC")</f>
        <v>0</v>
      </c>
      <c r="AT21" s="22">
        <f ca="1">+GETPIVOTDATA("XXB4",'xabang (2016)'!$A$3,"MA_HT","CAN","MA_QH","DTS")</f>
        <v>0</v>
      </c>
      <c r="AU21" s="22">
        <f ca="1">+GETPIVOTDATA("XXB4",'xabang (2016)'!$A$3,"MA_HT","CAN","MA_QH","DNG")</f>
        <v>0</v>
      </c>
      <c r="AV21" s="22">
        <f ca="1">+GETPIVOTDATA("XXB4",'xabang (2016)'!$A$3,"MA_HT","CAN","MA_QH","TON")</f>
        <v>0</v>
      </c>
      <c r="AW21" s="22">
        <f ca="1">+GETPIVOTDATA("XXB4",'xabang (2016)'!$A$3,"MA_HT","CAN","MA_QH","NTD")</f>
        <v>0</v>
      </c>
      <c r="AX21" s="22">
        <f ca="1">+GETPIVOTDATA("XXB4",'xabang (2016)'!$A$3,"MA_HT","CAN","MA_QH","SKX")</f>
        <v>0</v>
      </c>
      <c r="AY21" s="22">
        <f ca="1">+GETPIVOTDATA("XXB4",'xabang (2016)'!$A$3,"MA_HT","CAN","MA_QH","DSH")</f>
        <v>0</v>
      </c>
      <c r="AZ21" s="22">
        <f ca="1">+GETPIVOTDATA("XXB4",'xabang (2016)'!$A$3,"MA_HT","CAN","MA_QH","DKV")</f>
        <v>0</v>
      </c>
      <c r="BA21" s="89">
        <f ca="1">+GETPIVOTDATA("XXB4",'xabang (2016)'!$A$3,"MA_HT","CAN","MA_QH","TIN")</f>
        <v>0</v>
      </c>
      <c r="BB21" s="50">
        <f ca="1">+GETPIVOTDATA("XXB4",'xabang (2016)'!$A$3,"MA_HT","CAN","MA_QH","SON")</f>
        <v>0</v>
      </c>
      <c r="BC21" s="50">
        <f ca="1">+GETPIVOTDATA("XXB4",'xabang (2016)'!$A$3,"MA_HT","CAN","MA_QH","MNC")</f>
        <v>0</v>
      </c>
      <c r="BD21" s="22">
        <f ca="1">+GETPIVOTDATA("XXB4",'xabang (2016)'!$A$3,"MA_HT","CAN","MA_QH","PNK")</f>
        <v>0</v>
      </c>
      <c r="BE21" s="71">
        <f ca="1">+GETPIVOTDATA("XXB4",'xabang (2016)'!$A$3,"MA_HT","CAN","MA_QH","CSD")</f>
        <v>0</v>
      </c>
      <c r="BF21" s="74">
        <f ca="1" t="shared" si="13"/>
        <v>0</v>
      </c>
      <c r="BG21" s="101">
        <f ca="1">T$59-$BF21</f>
        <v>0</v>
      </c>
      <c r="BH21" s="41" t="e">
        <f ca="1" t="shared" si="14"/>
        <v>#REF!</v>
      </c>
      <c r="BI21" s="98"/>
      <c r="BJ21" s="98" t="e">
        <f>#REF!</f>
        <v>#REF!</v>
      </c>
      <c r="BK21" s="107" t="e">
        <f ca="1">BH21-BJ21</f>
        <v>#REF!</v>
      </c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</row>
    <row r="22" s="2" customFormat="1" ht="15.75" customHeight="1" spans="1:79">
      <c r="A22" s="39" t="s">
        <v>8362</v>
      </c>
      <c r="B22" s="53" t="s">
        <v>8363</v>
      </c>
      <c r="C22" s="40" t="s">
        <v>47</v>
      </c>
      <c r="D22" s="41" t="e">
        <f>+#REF!</f>
        <v>#REF!</v>
      </c>
      <c r="E22" s="42">
        <f ca="1" t="shared" si="15"/>
        <v>0</v>
      </c>
      <c r="F22" s="52">
        <f ca="1" t="shared" si="9"/>
        <v>0</v>
      </c>
      <c r="G22" s="22">
        <f ca="1">+GETPIVOTDATA("XXB4",'xabang (2016)'!$A$3,"MA_HT","SKK","MA_QH","LUC")</f>
        <v>0</v>
      </c>
      <c r="H22" s="22">
        <f ca="1">+GETPIVOTDATA("XXB4",'xabang (2016)'!$A$3,"MA_HT","SKK","MA_QH","LUK")</f>
        <v>0</v>
      </c>
      <c r="I22" s="22">
        <f ca="1">+GETPIVOTDATA("XXB4",'xabang (2016)'!$A$3,"MA_HT","SKK","MA_QH","LUN")</f>
        <v>0</v>
      </c>
      <c r="J22" s="22">
        <f ca="1">+GETPIVOTDATA("XXB4",'xabang (2016)'!$A$3,"MA_HT","SKK","MA_QH","HNK")</f>
        <v>0</v>
      </c>
      <c r="K22" s="22">
        <f ca="1">+GETPIVOTDATA("XXB4",'xabang (2016)'!$A$3,"MA_HT","SKK","MA_QH","CLN")</f>
        <v>0</v>
      </c>
      <c r="L22" s="22">
        <f ca="1">+GETPIVOTDATA("XXB4",'xabang (2016)'!$A$3,"MA_HT","SKK","MA_QH","RSX")</f>
        <v>0</v>
      </c>
      <c r="M22" s="22">
        <f ca="1">+GETPIVOTDATA("XXB4",'xabang (2016)'!$A$3,"MA_HT","SKK","MA_QH","RPH")</f>
        <v>0</v>
      </c>
      <c r="N22" s="22">
        <f ca="1">+GETPIVOTDATA("XXB4",'xabang (2016)'!$A$3,"MA_HT","SKK","MA_QH","RDD")</f>
        <v>0</v>
      </c>
      <c r="O22" s="22">
        <f ca="1">+GETPIVOTDATA("XXB4",'xabang (2016)'!$A$3,"MA_HT","SKK","MA_QH","NTS")</f>
        <v>0</v>
      </c>
      <c r="P22" s="22">
        <f ca="1">+GETPIVOTDATA("XXB4",'xabang (2016)'!$A$3,"MA_HT","SKK","MA_QH","LMU")</f>
        <v>0</v>
      </c>
      <c r="Q22" s="22">
        <f ca="1">+GETPIVOTDATA("XXB4",'xabang (2016)'!$A$3,"MA_HT","SKK","MA_QH","NKH")</f>
        <v>0</v>
      </c>
      <c r="R22" s="42">
        <f ca="1">SUM(S22:T22,V22:AA22,AN22:BD22)</f>
        <v>0</v>
      </c>
      <c r="S22" s="22">
        <f ca="1">+GETPIVOTDATA("XXB4",'xabang (2016)'!$A$3,"MA_HT","SKK","MA_QH","CQP")</f>
        <v>0</v>
      </c>
      <c r="T22" s="22">
        <f ca="1">+GETPIVOTDATA("XXB4",'xabang (2016)'!$A$3,"MA_HT","SKK","MA_QH","CAN")</f>
        <v>0</v>
      </c>
      <c r="U22" s="43" t="e">
        <f ca="1">$D22-$BF22</f>
        <v>#REF!</v>
      </c>
      <c r="V22" s="22">
        <f ca="1">+GETPIVOTDATA("XXB4",'xabang (2016)'!$A$3,"MA_HT","SKK","MA_QH","SKT")</f>
        <v>0</v>
      </c>
      <c r="W22" s="22">
        <f ca="1">+GETPIVOTDATA("XXB4",'xabang (2016)'!$A$3,"MA_HT","SKK","MA_QH","SKN")</f>
        <v>0</v>
      </c>
      <c r="X22" s="22">
        <f ca="1">+GETPIVOTDATA("XXB4",'xabang (2016)'!$A$3,"MA_HT","SKK","MA_QH","TMD")</f>
        <v>0</v>
      </c>
      <c r="Y22" s="22">
        <f ca="1">+GETPIVOTDATA("XXB4",'xabang (2016)'!$A$3,"MA_HT","SKK","MA_QH","SKC")</f>
        <v>0</v>
      </c>
      <c r="Z22" s="22">
        <f ca="1">+GETPIVOTDATA("XXB4",'xabang (2016)'!$A$3,"MA_HT","SKK","MA_QH","SKS")</f>
        <v>0</v>
      </c>
      <c r="AA22" s="52">
        <f ca="1" t="shared" si="12"/>
        <v>0</v>
      </c>
      <c r="AB22" s="22">
        <f ca="1">+GETPIVOTDATA("XXB4",'xabang (2016)'!$A$3,"MA_HT","SKK","MA_QH","DGT")</f>
        <v>0</v>
      </c>
      <c r="AC22" s="22">
        <f ca="1">+GETPIVOTDATA("XXB4",'xabang (2016)'!$A$3,"MA_HT","SKK","MA_QH","DTL")</f>
        <v>0</v>
      </c>
      <c r="AD22" s="22">
        <f ca="1">+GETPIVOTDATA("XXB4",'xabang (2016)'!$A$3,"MA_HT","SKK","MA_QH","DNL")</f>
        <v>0</v>
      </c>
      <c r="AE22" s="22">
        <f ca="1">+GETPIVOTDATA("XXB4",'xabang (2016)'!$A$3,"MA_HT","SKK","MA_QH","DBV")</f>
        <v>0</v>
      </c>
      <c r="AF22" s="22">
        <f ca="1">+GETPIVOTDATA("XXB4",'xabang (2016)'!$A$3,"MA_HT","SKK","MA_QH","DVH")</f>
        <v>0</v>
      </c>
      <c r="AG22" s="22">
        <f ca="1">+GETPIVOTDATA("XXB4",'xabang (2016)'!$A$3,"MA_HT","SKK","MA_QH","DYT")</f>
        <v>0</v>
      </c>
      <c r="AH22" s="22">
        <f ca="1">+GETPIVOTDATA("XXB4",'xabang (2016)'!$A$3,"MA_HT","SKK","MA_QH","DGD")</f>
        <v>0</v>
      </c>
      <c r="AI22" s="22">
        <f ca="1">+GETPIVOTDATA("XXB4",'xabang (2016)'!$A$3,"MA_HT","SKK","MA_QH","DTT")</f>
        <v>0</v>
      </c>
      <c r="AJ22" s="22">
        <f ca="1">+GETPIVOTDATA("XXB4",'xabang (2016)'!$A$3,"MA_HT","SKK","MA_QH","NCK")</f>
        <v>0</v>
      </c>
      <c r="AK22" s="22">
        <f ca="1">+GETPIVOTDATA("XXB4",'xabang (2016)'!$A$3,"MA_HT","SKK","MA_QH","DXH")</f>
        <v>0</v>
      </c>
      <c r="AL22" s="22">
        <f ca="1">+GETPIVOTDATA("XXB4",'xabang (2016)'!$A$3,"MA_HT","SKK","MA_QH","DCH")</f>
        <v>0</v>
      </c>
      <c r="AM22" s="22">
        <f ca="1">+GETPIVOTDATA("XXB4",'xabang (2016)'!$A$3,"MA_HT","SKK","MA_QH","DKG")</f>
        <v>0</v>
      </c>
      <c r="AN22" s="22">
        <f ca="1">+GETPIVOTDATA("XXB4",'xabang (2016)'!$A$3,"MA_HT","SKK","MA_QH","DDT")</f>
        <v>0</v>
      </c>
      <c r="AO22" s="22">
        <f ca="1">+GETPIVOTDATA("XXB4",'xabang (2016)'!$A$3,"MA_HT","SKK","MA_QH","DDL")</f>
        <v>0</v>
      </c>
      <c r="AP22" s="22">
        <f ca="1">+GETPIVOTDATA("XXB4",'xabang (2016)'!$A$3,"MA_HT","SKK","MA_QH","DRA")</f>
        <v>0</v>
      </c>
      <c r="AQ22" s="22">
        <f ca="1">+GETPIVOTDATA("XXB4",'xabang (2016)'!$A$3,"MA_HT","SKK","MA_QH","ONT")</f>
        <v>0</v>
      </c>
      <c r="AR22" s="22">
        <f ca="1">+GETPIVOTDATA("XXB4",'xabang (2016)'!$A$3,"MA_HT","SKK","MA_QH","ODT")</f>
        <v>0</v>
      </c>
      <c r="AS22" s="22">
        <f ca="1">+GETPIVOTDATA("XXB4",'xabang (2016)'!$A$3,"MA_HT","SKK","MA_QH","TSC")</f>
        <v>0</v>
      </c>
      <c r="AT22" s="22">
        <f ca="1">+GETPIVOTDATA("XXB4",'xabang (2016)'!$A$3,"MA_HT","SKK","MA_QH","DTS")</f>
        <v>0</v>
      </c>
      <c r="AU22" s="22">
        <f ca="1">+GETPIVOTDATA("XXB4",'xabang (2016)'!$A$3,"MA_HT","SKK","MA_QH","DNG")</f>
        <v>0</v>
      </c>
      <c r="AV22" s="22">
        <f ca="1">+GETPIVOTDATA("XXB4",'xabang (2016)'!$A$3,"MA_HT","SKK","MA_QH","TON")</f>
        <v>0</v>
      </c>
      <c r="AW22" s="22">
        <f ca="1">+GETPIVOTDATA("XXB4",'xabang (2016)'!$A$3,"MA_HT","SKK","MA_QH","NTD")</f>
        <v>0</v>
      </c>
      <c r="AX22" s="22">
        <f ca="1">+GETPIVOTDATA("XXB4",'xabang (2016)'!$A$3,"MA_HT","SKK","MA_QH","SKX")</f>
        <v>0</v>
      </c>
      <c r="AY22" s="22">
        <f ca="1">+GETPIVOTDATA("XXB4",'xabang (2016)'!$A$3,"MA_HT","SKK","MA_QH","DSH")</f>
        <v>0</v>
      </c>
      <c r="AZ22" s="22">
        <f ca="1">+GETPIVOTDATA("XXB4",'xabang (2016)'!$A$3,"MA_HT","SKK","MA_QH","DKV")</f>
        <v>0</v>
      </c>
      <c r="BA22" s="89">
        <f ca="1">+GETPIVOTDATA("XXB4",'xabang (2016)'!$A$3,"MA_HT","SKK","MA_QH","TIN")</f>
        <v>0</v>
      </c>
      <c r="BB22" s="50">
        <f ca="1">+GETPIVOTDATA("XXB4",'xabang (2016)'!$A$3,"MA_HT","SKK","MA_QH","SON")</f>
        <v>0</v>
      </c>
      <c r="BC22" s="50">
        <f ca="1">+GETPIVOTDATA("XXB4",'xabang (2016)'!$A$3,"MA_HT","SKK","MA_QH","MNC")</f>
        <v>0</v>
      </c>
      <c r="BD22" s="22">
        <f ca="1">+GETPIVOTDATA("XXB4",'xabang (2016)'!$A$3,"MA_HT","SKK","MA_QH","PNK")</f>
        <v>0</v>
      </c>
      <c r="BE22" s="71">
        <f ca="1">+GETPIVOTDATA("XXB4",'xabang (2016)'!$A$3,"MA_HT","SKK","MA_QH","CSD")</f>
        <v>0</v>
      </c>
      <c r="BF22" s="74">
        <f ca="1" t="shared" si="13"/>
        <v>0</v>
      </c>
      <c r="BG22" s="101">
        <f ca="1">U$59-$BF22</f>
        <v>0</v>
      </c>
      <c r="BH22" s="41" t="e">
        <f ca="1" t="shared" si="14"/>
        <v>#REF!</v>
      </c>
      <c r="BI22" s="98"/>
      <c r="BJ22" s="107" t="e">
        <f>#REF!</f>
        <v>#REF!</v>
      </c>
      <c r="BK22" s="107" t="e">
        <f ca="1">BH22-BJ22</f>
        <v>#REF!</v>
      </c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</row>
    <row r="23" s="2" customFormat="1" ht="15.75" customHeight="1" spans="1:79">
      <c r="A23" s="39" t="s">
        <v>8364</v>
      </c>
      <c r="B23" s="53" t="s">
        <v>8365</v>
      </c>
      <c r="C23" s="40" t="s">
        <v>8308</v>
      </c>
      <c r="D23" s="41" t="e">
        <f>+#REF!</f>
        <v>#REF!</v>
      </c>
      <c r="E23" s="42">
        <f ca="1" t="shared" si="15"/>
        <v>0</v>
      </c>
      <c r="F23" s="52">
        <f ca="1" t="shared" si="9"/>
        <v>0</v>
      </c>
      <c r="G23" s="22">
        <f ca="1">+GETPIVOTDATA("XXB4",'xabang (2016)'!$A$3,"MA_HT","SKT","MA_QH","LUC")</f>
        <v>0</v>
      </c>
      <c r="H23" s="22">
        <f ca="1">+GETPIVOTDATA("XXB4",'xabang (2016)'!$A$3,"MA_HT","SKT","MA_QH","LUK")</f>
        <v>0</v>
      </c>
      <c r="I23" s="22">
        <f ca="1">+GETPIVOTDATA("XXB4",'xabang (2016)'!$A$3,"MA_HT","SKT","MA_QH","LUN")</f>
        <v>0</v>
      </c>
      <c r="J23" s="22">
        <f ca="1">+GETPIVOTDATA("XXB4",'xabang (2016)'!$A$3,"MA_HT","SKT","MA_QH","HNK")</f>
        <v>0</v>
      </c>
      <c r="K23" s="22">
        <f ca="1">+GETPIVOTDATA("XXB4",'xabang (2016)'!$A$3,"MA_HT","SKT","MA_QH","CLN")</f>
        <v>0</v>
      </c>
      <c r="L23" s="22">
        <f ca="1">+GETPIVOTDATA("XXB4",'xabang (2016)'!$A$3,"MA_HT","SKT","MA_QH","RSX")</f>
        <v>0</v>
      </c>
      <c r="M23" s="22">
        <f ca="1">+GETPIVOTDATA("XXB4",'xabang (2016)'!$A$3,"MA_HT","SKT","MA_QH","RPH")</f>
        <v>0</v>
      </c>
      <c r="N23" s="22">
        <f ca="1">+GETPIVOTDATA("XXB4",'xabang (2016)'!$A$3,"MA_HT","SKT","MA_QH","RDD")</f>
        <v>0</v>
      </c>
      <c r="O23" s="22">
        <f ca="1">+GETPIVOTDATA("XXB4",'xabang (2016)'!$A$3,"MA_HT","SKT","MA_QH","NTS")</f>
        <v>0</v>
      </c>
      <c r="P23" s="22">
        <f ca="1">+GETPIVOTDATA("XXB4",'xabang (2016)'!$A$3,"MA_HT","SKT","MA_QH","LMU")</f>
        <v>0</v>
      </c>
      <c r="Q23" s="22">
        <f ca="1">+GETPIVOTDATA("XXB4",'xabang (2016)'!$A$3,"MA_HT","SKT","MA_QH","NKH")</f>
        <v>0</v>
      </c>
      <c r="R23" s="42">
        <f ca="1">SUM(S23:U23,W23:AA23,AN23:BD23)</f>
        <v>0</v>
      </c>
      <c r="S23" s="22">
        <f ca="1">+GETPIVOTDATA("XXB4",'xabang (2016)'!$A$3,"MA_HT","SKT","MA_QH","CQP")</f>
        <v>0</v>
      </c>
      <c r="T23" s="22">
        <f ca="1">+GETPIVOTDATA("XXB4",'xabang (2016)'!$A$3,"MA_HT","SKT","MA_QH","CAN")</f>
        <v>0</v>
      </c>
      <c r="U23" s="22">
        <f ca="1">+GETPIVOTDATA("XXB4",'xabang (2016)'!$A$3,"MA_HT","SKT","MA_QH","SKK")</f>
        <v>0</v>
      </c>
      <c r="V23" s="43" t="e">
        <f ca="1">$D23-$BF23</f>
        <v>#REF!</v>
      </c>
      <c r="W23" s="22">
        <f ca="1">+GETPIVOTDATA("XXB4",'xabang (2016)'!$A$3,"MA_HT","SKT","MA_QH","SKN")</f>
        <v>0</v>
      </c>
      <c r="X23" s="22">
        <f ca="1">+GETPIVOTDATA("XXB4",'xabang (2016)'!$A$3,"MA_HT","SKT","MA_QH","TMD")</f>
        <v>0</v>
      </c>
      <c r="Y23" s="22">
        <f ca="1">+GETPIVOTDATA("XXB4",'xabang (2016)'!$A$3,"MA_HT","SKT","MA_QH","SKC")</f>
        <v>0</v>
      </c>
      <c r="Z23" s="22">
        <f ca="1">+GETPIVOTDATA("XXB4",'xabang (2016)'!$A$3,"MA_HT","SKT","MA_QH","SKS")</f>
        <v>0</v>
      </c>
      <c r="AA23" s="52">
        <f ca="1" t="shared" si="12"/>
        <v>0</v>
      </c>
      <c r="AB23" s="22">
        <f ca="1">+GETPIVOTDATA("XXB4",'xabang (2016)'!$A$3,"MA_HT","SKT","MA_QH","DGT")</f>
        <v>0</v>
      </c>
      <c r="AC23" s="22">
        <f ca="1">+GETPIVOTDATA("XXB4",'xabang (2016)'!$A$3,"MA_HT","SKT","MA_QH","DTL")</f>
        <v>0</v>
      </c>
      <c r="AD23" s="22">
        <f ca="1">+GETPIVOTDATA("XXB4",'xabang (2016)'!$A$3,"MA_HT","SKT","MA_QH","DNL")</f>
        <v>0</v>
      </c>
      <c r="AE23" s="22">
        <f ca="1">+GETPIVOTDATA("XXB4",'xabang (2016)'!$A$3,"MA_HT","SKT","MA_QH","DBV")</f>
        <v>0</v>
      </c>
      <c r="AF23" s="22">
        <f ca="1">+GETPIVOTDATA("XXB4",'xabang (2016)'!$A$3,"MA_HT","SKT","MA_QH","DVH")</f>
        <v>0</v>
      </c>
      <c r="AG23" s="22">
        <f ca="1">+GETPIVOTDATA("XXB4",'xabang (2016)'!$A$3,"MA_HT","SKT","MA_QH","DYT")</f>
        <v>0</v>
      </c>
      <c r="AH23" s="22">
        <f ca="1">+GETPIVOTDATA("XXB4",'xabang (2016)'!$A$3,"MA_HT","SKT","MA_QH","DGD")</f>
        <v>0</v>
      </c>
      <c r="AI23" s="22">
        <f ca="1">+GETPIVOTDATA("XXB4",'xabang (2016)'!$A$3,"MA_HT","SKT","MA_QH","DTT")</f>
        <v>0</v>
      </c>
      <c r="AJ23" s="22">
        <f ca="1">+GETPIVOTDATA("XXB4",'xabang (2016)'!$A$3,"MA_HT","SKT","MA_QH","NCK")</f>
        <v>0</v>
      </c>
      <c r="AK23" s="22">
        <f ca="1">+GETPIVOTDATA("XXB4",'xabang (2016)'!$A$3,"MA_HT","SKT","MA_QH","DXH")</f>
        <v>0</v>
      </c>
      <c r="AL23" s="22">
        <f ca="1">+GETPIVOTDATA("XXB4",'xabang (2016)'!$A$3,"MA_HT","SKT","MA_QH","DCH")</f>
        <v>0</v>
      </c>
      <c r="AM23" s="22">
        <f ca="1">+GETPIVOTDATA("XXB4",'xabang (2016)'!$A$3,"MA_HT","SKT","MA_QH","DKG")</f>
        <v>0</v>
      </c>
      <c r="AN23" s="22">
        <f ca="1">+GETPIVOTDATA("XXB4",'xabang (2016)'!$A$3,"MA_HT","SKT","MA_QH","DDT")</f>
        <v>0</v>
      </c>
      <c r="AO23" s="22">
        <f ca="1">+GETPIVOTDATA("XXB4",'xabang (2016)'!$A$3,"MA_HT","SKT","MA_QH","DDL")</f>
        <v>0</v>
      </c>
      <c r="AP23" s="22">
        <f ca="1">+GETPIVOTDATA("XXB4",'xabang (2016)'!$A$3,"MA_HT","SKT","MA_QH","DRA")</f>
        <v>0</v>
      </c>
      <c r="AQ23" s="22">
        <f ca="1">+GETPIVOTDATA("XXB4",'xabang (2016)'!$A$3,"MA_HT","SKT","MA_QH","ONT")</f>
        <v>0</v>
      </c>
      <c r="AR23" s="22">
        <f ca="1">+GETPIVOTDATA("XXB4",'xabang (2016)'!$A$3,"MA_HT","SKT","MA_QH","ODT")</f>
        <v>0</v>
      </c>
      <c r="AS23" s="22">
        <f ca="1">+GETPIVOTDATA("XXB4",'xabang (2016)'!$A$3,"MA_HT","SKT","MA_QH","TSC")</f>
        <v>0</v>
      </c>
      <c r="AT23" s="22">
        <f ca="1">+GETPIVOTDATA("XXB4",'xabang (2016)'!$A$3,"MA_HT","SKT","MA_QH","DTS")</f>
        <v>0</v>
      </c>
      <c r="AU23" s="22">
        <f ca="1">+GETPIVOTDATA("XXB4",'xabang (2016)'!$A$3,"MA_HT","SKT","MA_QH","DNG")</f>
        <v>0</v>
      </c>
      <c r="AV23" s="22">
        <f ca="1">+GETPIVOTDATA("XXB4",'xabang (2016)'!$A$3,"MA_HT","SKT","MA_QH","TON")</f>
        <v>0</v>
      </c>
      <c r="AW23" s="22">
        <f ca="1">+GETPIVOTDATA("XXB4",'xabang (2016)'!$A$3,"MA_HT","SKT","MA_QH","NTD")</f>
        <v>0</v>
      </c>
      <c r="AX23" s="22">
        <f ca="1">+GETPIVOTDATA("XXB4",'xabang (2016)'!$A$3,"MA_HT","SKT","MA_QH","SKX")</f>
        <v>0</v>
      </c>
      <c r="AY23" s="22">
        <f ca="1">+GETPIVOTDATA("XXB4",'xabang (2016)'!$A$3,"MA_HT","SKT","MA_QH","DSH")</f>
        <v>0</v>
      </c>
      <c r="AZ23" s="22">
        <f ca="1">+GETPIVOTDATA("XXB4",'xabang (2016)'!$A$3,"MA_HT","SKT","MA_QH","DKV")</f>
        <v>0</v>
      </c>
      <c r="BA23" s="89">
        <f ca="1">+GETPIVOTDATA("XXB4",'xabang (2016)'!$A$3,"MA_HT","SKT","MA_QH","TIN")</f>
        <v>0</v>
      </c>
      <c r="BB23" s="50">
        <f ca="1">+GETPIVOTDATA("XXB4",'xabang (2016)'!$A$3,"MA_HT","SKT","MA_QH","SON")</f>
        <v>0</v>
      </c>
      <c r="BC23" s="50">
        <f ca="1">+GETPIVOTDATA("XXB4",'xabang (2016)'!$A$3,"MA_HT","SKT","MA_QH","MNC")</f>
        <v>0</v>
      </c>
      <c r="BD23" s="22">
        <f ca="1">+GETPIVOTDATA("XXB4",'xabang (2016)'!$A$3,"MA_HT","SKT","MA_QH","PNK")</f>
        <v>0</v>
      </c>
      <c r="BE23" s="71">
        <f ca="1">+GETPIVOTDATA("XXB4",'xabang (2016)'!$A$3,"MA_HT","SKT","MA_QH","CSD")</f>
        <v>0</v>
      </c>
      <c r="BF23" s="74">
        <f ca="1" t="shared" si="13"/>
        <v>0</v>
      </c>
      <c r="BG23" s="101">
        <f ca="1">V$59-$BF23</f>
        <v>0</v>
      </c>
      <c r="BH23" s="41" t="e">
        <f ca="1" t="shared" si="14"/>
        <v>#REF!</v>
      </c>
      <c r="BI23" s="98"/>
      <c r="BJ23" s="107"/>
      <c r="BK23" s="107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</row>
    <row r="24" s="2" customFormat="1" ht="15.75" customHeight="1" spans="1:79">
      <c r="A24" s="39" t="s">
        <v>8366</v>
      </c>
      <c r="B24" s="53" t="s">
        <v>8367</v>
      </c>
      <c r="C24" s="40" t="s">
        <v>56</v>
      </c>
      <c r="D24" s="41" t="e">
        <f>+#REF!</f>
        <v>#REF!</v>
      </c>
      <c r="E24" s="42">
        <f ca="1" t="shared" si="15"/>
        <v>0</v>
      </c>
      <c r="F24" s="52">
        <f ca="1" t="shared" si="9"/>
        <v>0</v>
      </c>
      <c r="G24" s="22">
        <f ca="1">+GETPIVOTDATA("XXB4",'xabang (2016)'!$A$3,"MA_HT","SKN","MA_QH","LUC")</f>
        <v>0</v>
      </c>
      <c r="H24" s="22">
        <f ca="1">+GETPIVOTDATA("XXB4",'xabang (2016)'!$A$3,"MA_HT","SKN","MA_QH","LUK")</f>
        <v>0</v>
      </c>
      <c r="I24" s="22">
        <f ca="1">+GETPIVOTDATA("XXB4",'xabang (2016)'!$A$3,"MA_HT","SKN","MA_QH","LUN")</f>
        <v>0</v>
      </c>
      <c r="J24" s="22">
        <f ca="1">+GETPIVOTDATA("XXB4",'xabang (2016)'!$A$3,"MA_HT","SKN","MA_QH","HNK")</f>
        <v>0</v>
      </c>
      <c r="K24" s="22">
        <f ca="1">+GETPIVOTDATA("XXB4",'xabang (2016)'!$A$3,"MA_HT","SKN","MA_QH","CLN")</f>
        <v>0</v>
      </c>
      <c r="L24" s="22">
        <f ca="1">+GETPIVOTDATA("XXB4",'xabang (2016)'!$A$3,"MA_HT","SKN","MA_QH","RSX")</f>
        <v>0</v>
      </c>
      <c r="M24" s="22">
        <f ca="1">+GETPIVOTDATA("XXB4",'xabang (2016)'!$A$3,"MA_HT","SKN","MA_QH","RPH")</f>
        <v>0</v>
      </c>
      <c r="N24" s="22">
        <f ca="1">+GETPIVOTDATA("XXB4",'xabang (2016)'!$A$3,"MA_HT","SKN","MA_QH","RDD")</f>
        <v>0</v>
      </c>
      <c r="O24" s="22">
        <f ca="1">+GETPIVOTDATA("XXB4",'xabang (2016)'!$A$3,"MA_HT","SKN","MA_QH","NTS")</f>
        <v>0</v>
      </c>
      <c r="P24" s="22">
        <f ca="1">+GETPIVOTDATA("XXB4",'xabang (2016)'!$A$3,"MA_HT","SKN","MA_QH","LMU")</f>
        <v>0</v>
      </c>
      <c r="Q24" s="22">
        <f ca="1">+GETPIVOTDATA("XXB4",'xabang (2016)'!$A$3,"MA_HT","SKN","MA_QH","NKH")</f>
        <v>0</v>
      </c>
      <c r="R24" s="42">
        <f ca="1">SUM(S24:V24,X24:AA24,AN24:BD24)</f>
        <v>0</v>
      </c>
      <c r="S24" s="22">
        <f ca="1">+GETPIVOTDATA("XXB4",'xabang (2016)'!$A$3,"MA_HT","SKN","MA_QH","CQP")</f>
        <v>0</v>
      </c>
      <c r="T24" s="22">
        <f ca="1">+GETPIVOTDATA("XXB4",'xabang (2016)'!$A$3,"MA_HT","SKN","MA_QH","CAN")</f>
        <v>0</v>
      </c>
      <c r="U24" s="22">
        <f ca="1">+GETPIVOTDATA("XXB4",'xabang (2016)'!$A$3,"MA_HT","SKN","MA_QH","SKK")</f>
        <v>0</v>
      </c>
      <c r="V24" s="22">
        <f ca="1">+GETPIVOTDATA("XXB4",'xabang (2016)'!$A$3,"MA_HT","SKN","MA_QH","SKT")</f>
        <v>0</v>
      </c>
      <c r="W24" s="43" t="e">
        <f ca="1">$D24-$BF24</f>
        <v>#REF!</v>
      </c>
      <c r="X24" s="22">
        <f ca="1">+GETPIVOTDATA("XXB4",'xabang (2016)'!$A$3,"MA_HT","SKN","MA_QH","TMD")</f>
        <v>0</v>
      </c>
      <c r="Y24" s="22">
        <f ca="1">+GETPIVOTDATA("XXB4",'xabang (2016)'!$A$3,"MA_HT","SKN","MA_QH","SKC")</f>
        <v>0</v>
      </c>
      <c r="Z24" s="22">
        <f ca="1">+GETPIVOTDATA("XXB4",'xabang (2016)'!$A$3,"MA_HT","SKN","MA_QH","SKS")</f>
        <v>0</v>
      </c>
      <c r="AA24" s="52">
        <f ca="1" t="shared" si="12"/>
        <v>0</v>
      </c>
      <c r="AB24" s="22">
        <f ca="1">+GETPIVOTDATA("XXB4",'xabang (2016)'!$A$3,"MA_HT","SKN","MA_QH","DGT")</f>
        <v>0</v>
      </c>
      <c r="AC24" s="22">
        <f ca="1">+GETPIVOTDATA("XXB4",'xabang (2016)'!$A$3,"MA_HT","SKN","MA_QH","DTL")</f>
        <v>0</v>
      </c>
      <c r="AD24" s="22">
        <f ca="1">+GETPIVOTDATA("XXB4",'xabang (2016)'!$A$3,"MA_HT","SKN","MA_QH","DNL")</f>
        <v>0</v>
      </c>
      <c r="AE24" s="22">
        <f ca="1">+GETPIVOTDATA("XXB4",'xabang (2016)'!$A$3,"MA_HT","SKN","MA_QH","DBV")</f>
        <v>0</v>
      </c>
      <c r="AF24" s="22">
        <f ca="1">+GETPIVOTDATA("XXB4",'xabang (2016)'!$A$3,"MA_HT","SKN","MA_QH","DVH")</f>
        <v>0</v>
      </c>
      <c r="AG24" s="22">
        <f ca="1">+GETPIVOTDATA("XXB4",'xabang (2016)'!$A$3,"MA_HT","SKN","MA_QH","DYT")</f>
        <v>0</v>
      </c>
      <c r="AH24" s="22">
        <f ca="1">+GETPIVOTDATA("XXB4",'xabang (2016)'!$A$3,"MA_HT","SKN","MA_QH","DGD")</f>
        <v>0</v>
      </c>
      <c r="AI24" s="22">
        <f ca="1">+GETPIVOTDATA("XXB4",'xabang (2016)'!$A$3,"MA_HT","SKN","MA_QH","DTT")</f>
        <v>0</v>
      </c>
      <c r="AJ24" s="22">
        <f ca="1">+GETPIVOTDATA("XXB4",'xabang (2016)'!$A$3,"MA_HT","SKN","MA_QH","NCK")</f>
        <v>0</v>
      </c>
      <c r="AK24" s="22">
        <f ca="1">+GETPIVOTDATA("XXB4",'xabang (2016)'!$A$3,"MA_HT","SKN","MA_QH","DXH")</f>
        <v>0</v>
      </c>
      <c r="AL24" s="22">
        <f ca="1">+GETPIVOTDATA("XXB4",'xabang (2016)'!$A$3,"MA_HT","SKN","MA_QH","DCH")</f>
        <v>0</v>
      </c>
      <c r="AM24" s="22">
        <f ca="1">+GETPIVOTDATA("XXB4",'xabang (2016)'!$A$3,"MA_HT","SKN","MA_QH","DKG")</f>
        <v>0</v>
      </c>
      <c r="AN24" s="22">
        <f ca="1">+GETPIVOTDATA("XXB4",'xabang (2016)'!$A$3,"MA_HT","SKN","MA_QH","DDT")</f>
        <v>0</v>
      </c>
      <c r="AO24" s="22">
        <f ca="1">+GETPIVOTDATA("XXB4",'xabang (2016)'!$A$3,"MA_HT","SKN","MA_QH","DDL")</f>
        <v>0</v>
      </c>
      <c r="AP24" s="22">
        <f ca="1">+GETPIVOTDATA("XXB4",'xabang (2016)'!$A$3,"MA_HT","SKN","MA_QH","DRA")</f>
        <v>0</v>
      </c>
      <c r="AQ24" s="22">
        <f ca="1">+GETPIVOTDATA("XXB4",'xabang (2016)'!$A$3,"MA_HT","SKN","MA_QH","ONT")</f>
        <v>0</v>
      </c>
      <c r="AR24" s="22">
        <f ca="1">+GETPIVOTDATA("XXB4",'xabang (2016)'!$A$3,"MA_HT","SKN","MA_QH","ODT")</f>
        <v>0</v>
      </c>
      <c r="AS24" s="22">
        <f ca="1">+GETPIVOTDATA("XXB4",'xabang (2016)'!$A$3,"MA_HT","SKN","MA_QH","TSC")</f>
        <v>0</v>
      </c>
      <c r="AT24" s="22">
        <f ca="1">+GETPIVOTDATA("XXB4",'xabang (2016)'!$A$3,"MA_HT","SKN","MA_QH","DTS")</f>
        <v>0</v>
      </c>
      <c r="AU24" s="22">
        <f ca="1">+GETPIVOTDATA("XXB4",'xabang (2016)'!$A$3,"MA_HT","SKN","MA_QH","DNG")</f>
        <v>0</v>
      </c>
      <c r="AV24" s="22">
        <f ca="1">+GETPIVOTDATA("XXB4",'xabang (2016)'!$A$3,"MA_HT","SKN","MA_QH","TON")</f>
        <v>0</v>
      </c>
      <c r="AW24" s="22">
        <f ca="1">+GETPIVOTDATA("XXB4",'xabang (2016)'!$A$3,"MA_HT","SKN","MA_QH","NTD")</f>
        <v>0</v>
      </c>
      <c r="AX24" s="22">
        <f ca="1">+GETPIVOTDATA("XXB4",'xabang (2016)'!$A$3,"MA_HT","SKN","MA_QH","SKX")</f>
        <v>0</v>
      </c>
      <c r="AY24" s="22">
        <f ca="1">+GETPIVOTDATA("XXB4",'xabang (2016)'!$A$3,"MA_HT","SKN","MA_QH","DSH")</f>
        <v>0</v>
      </c>
      <c r="AZ24" s="22">
        <f ca="1">+GETPIVOTDATA("XXB4",'xabang (2016)'!$A$3,"MA_HT","SKN","MA_QH","DKV")</f>
        <v>0</v>
      </c>
      <c r="BA24" s="89">
        <f ca="1">+GETPIVOTDATA("XXB4",'xabang (2016)'!$A$3,"MA_HT","SKN","MA_QH","TIN")</f>
        <v>0</v>
      </c>
      <c r="BB24" s="50">
        <f ca="1">+GETPIVOTDATA("XXB4",'xabang (2016)'!$A$3,"MA_HT","SKN","MA_QH","SON")</f>
        <v>0</v>
      </c>
      <c r="BC24" s="50">
        <f ca="1">+GETPIVOTDATA("XXB4",'xabang (2016)'!$A$3,"MA_HT","SKN","MA_QH","MNC")</f>
        <v>0</v>
      </c>
      <c r="BD24" s="22">
        <f ca="1">+GETPIVOTDATA("XXB4",'xabang (2016)'!$A$3,"MA_HT","SKN","MA_QH","PNK")</f>
        <v>0</v>
      </c>
      <c r="BE24" s="71">
        <f ca="1">+GETPIVOTDATA("XXB4",'xabang (2016)'!$A$3,"MA_HT","SKN","MA_QH","CSD")</f>
        <v>0</v>
      </c>
      <c r="BF24" s="74">
        <f ca="1" t="shared" si="13"/>
        <v>0</v>
      </c>
      <c r="BG24" s="101">
        <f ca="1">W$59-$BF24</f>
        <v>0</v>
      </c>
      <c r="BH24" s="41" t="e">
        <f ca="1" t="shared" si="14"/>
        <v>#REF!</v>
      </c>
      <c r="BI24" s="98"/>
      <c r="BJ24" s="107"/>
      <c r="BK24" s="107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</row>
    <row r="25" s="2" customFormat="1" ht="15.75" customHeight="1" spans="1:79">
      <c r="A25" s="39" t="s">
        <v>8368</v>
      </c>
      <c r="B25" s="39" t="s">
        <v>8369</v>
      </c>
      <c r="C25" s="40" t="s">
        <v>265</v>
      </c>
      <c r="D25" s="41" t="e">
        <f>+#REF!</f>
        <v>#REF!</v>
      </c>
      <c r="E25" s="42">
        <f ca="1" t="shared" si="15"/>
        <v>0</v>
      </c>
      <c r="F25" s="52">
        <f ca="1" t="shared" si="9"/>
        <v>0</v>
      </c>
      <c r="G25" s="22">
        <f ca="1">+GETPIVOTDATA("XXB4",'xabang (2016)'!$A$3,"MA_HT","TMD","MA_QH","LUC")</f>
        <v>0</v>
      </c>
      <c r="H25" s="22">
        <f ca="1">+GETPIVOTDATA("XXB4",'xabang (2016)'!$A$3,"MA_HT","TMD","MA_QH","LUK")</f>
        <v>0</v>
      </c>
      <c r="I25" s="22">
        <f ca="1">+GETPIVOTDATA("XXB4",'xabang (2016)'!$A$3,"MA_HT","TMD","MA_QH","LUN")</f>
        <v>0</v>
      </c>
      <c r="J25" s="22">
        <f ca="1">+GETPIVOTDATA("XXB4",'xabang (2016)'!$A$3,"MA_HT","TMD","MA_QH","HNK")</f>
        <v>0</v>
      </c>
      <c r="K25" s="22">
        <f ca="1">+GETPIVOTDATA("XXB4",'xabang (2016)'!$A$3,"MA_HT","TMD","MA_QH","CLN")</f>
        <v>0</v>
      </c>
      <c r="L25" s="22">
        <f ca="1">+GETPIVOTDATA("XXB4",'xabang (2016)'!$A$3,"MA_HT","TMD","MA_QH","RSX")</f>
        <v>0</v>
      </c>
      <c r="M25" s="22">
        <f ca="1">+GETPIVOTDATA("XXB4",'xabang (2016)'!$A$3,"MA_HT","TMD","MA_QH","RPH")</f>
        <v>0</v>
      </c>
      <c r="N25" s="22">
        <f ca="1">+GETPIVOTDATA("XXB4",'xabang (2016)'!$A$3,"MA_HT","TMD","MA_QH","RDD")</f>
        <v>0</v>
      </c>
      <c r="O25" s="22">
        <f ca="1">+GETPIVOTDATA("XXB4",'xabang (2016)'!$A$3,"MA_HT","TMD","MA_QH","NTS")</f>
        <v>0</v>
      </c>
      <c r="P25" s="22">
        <f ca="1">+GETPIVOTDATA("XXB4",'xabang (2016)'!$A$3,"MA_HT","TMD","MA_QH","LMU")</f>
        <v>0</v>
      </c>
      <c r="Q25" s="22">
        <f ca="1">+GETPIVOTDATA("XXB4",'xabang (2016)'!$A$3,"MA_HT","TMD","MA_QH","NKH")</f>
        <v>0</v>
      </c>
      <c r="R25" s="42">
        <f ca="1">SUM(S25:W25,Y25:AA25,AN25:BD25)</f>
        <v>0</v>
      </c>
      <c r="S25" s="22">
        <f ca="1">+GETPIVOTDATA("XXB4",'xabang (2016)'!$A$3,"MA_HT","TMD","MA_QH","CQP")</f>
        <v>0</v>
      </c>
      <c r="T25" s="22">
        <f ca="1">+GETPIVOTDATA("XXB4",'xabang (2016)'!$A$3,"MA_HT","TMD","MA_QH","CAN")</f>
        <v>0</v>
      </c>
      <c r="U25" s="22">
        <f ca="1">+GETPIVOTDATA("XXB4",'xabang (2016)'!$A$3,"MA_HT","TMD","MA_QH","SKK")</f>
        <v>0</v>
      </c>
      <c r="V25" s="22">
        <f ca="1">+GETPIVOTDATA("XXB4",'xabang (2016)'!$A$3,"MA_HT","TMD","MA_QH","SKT")</f>
        <v>0</v>
      </c>
      <c r="W25" s="22">
        <f ca="1">+GETPIVOTDATA("XXB4",'xabang (2016)'!$A$3,"MA_HT","TMD","MA_QH","SKN")</f>
        <v>0</v>
      </c>
      <c r="X25" s="43" t="e">
        <f ca="1">$D25-$BF25</f>
        <v>#REF!</v>
      </c>
      <c r="Y25" s="22">
        <f ca="1">+GETPIVOTDATA("XXB4",'xabang (2016)'!$A$3,"MA_HT","TMD","MA_QH","SKC")</f>
        <v>0</v>
      </c>
      <c r="Z25" s="22">
        <f ca="1">+GETPIVOTDATA("XXB4",'xabang (2016)'!$A$3,"MA_HT","TMD","MA_QH","SKS")</f>
        <v>0</v>
      </c>
      <c r="AA25" s="52">
        <f ca="1" t="shared" si="12"/>
        <v>0</v>
      </c>
      <c r="AB25" s="22">
        <f ca="1">+GETPIVOTDATA("XXB4",'xabang (2016)'!$A$3,"MA_HT","TMD","MA_QH","DGT")</f>
        <v>0</v>
      </c>
      <c r="AC25" s="22">
        <f ca="1">+GETPIVOTDATA("XXB4",'xabang (2016)'!$A$3,"MA_HT","TMD","MA_QH","DTL")</f>
        <v>0</v>
      </c>
      <c r="AD25" s="22">
        <f ca="1">+GETPIVOTDATA("XXB4",'xabang (2016)'!$A$3,"MA_HT","TMD","MA_QH","DNL")</f>
        <v>0</v>
      </c>
      <c r="AE25" s="22">
        <f ca="1">+GETPIVOTDATA("XXB4",'xabang (2016)'!$A$3,"MA_HT","TMD","MA_QH","DBV")</f>
        <v>0</v>
      </c>
      <c r="AF25" s="22">
        <f ca="1">+GETPIVOTDATA("XXB4",'xabang (2016)'!$A$3,"MA_HT","TMD","MA_QH","DVH")</f>
        <v>0</v>
      </c>
      <c r="AG25" s="22">
        <f ca="1">+GETPIVOTDATA("XXB4",'xabang (2016)'!$A$3,"MA_HT","TMD","MA_QH","DYT")</f>
        <v>0</v>
      </c>
      <c r="AH25" s="22">
        <f ca="1">+GETPIVOTDATA("XXB4",'xabang (2016)'!$A$3,"MA_HT","TMD","MA_QH","DGD")</f>
        <v>0</v>
      </c>
      <c r="AI25" s="22">
        <f ca="1">+GETPIVOTDATA("XXB4",'xabang (2016)'!$A$3,"MA_HT","TMD","MA_QH","DTT")</f>
        <v>0</v>
      </c>
      <c r="AJ25" s="22">
        <f ca="1">+GETPIVOTDATA("XXB4",'xabang (2016)'!$A$3,"MA_HT","TMD","MA_QH","NCK")</f>
        <v>0</v>
      </c>
      <c r="AK25" s="22">
        <f ca="1">+GETPIVOTDATA("XXB4",'xabang (2016)'!$A$3,"MA_HT","TMD","MA_QH","DXH")</f>
        <v>0</v>
      </c>
      <c r="AL25" s="22">
        <f ca="1">+GETPIVOTDATA("XXB4",'xabang (2016)'!$A$3,"MA_HT","TMD","MA_QH","DCH")</f>
        <v>0</v>
      </c>
      <c r="AM25" s="22">
        <f ca="1">+GETPIVOTDATA("XXB4",'xabang (2016)'!$A$3,"MA_HT","TMD","MA_QH","DKG")</f>
        <v>0</v>
      </c>
      <c r="AN25" s="22">
        <f ca="1">+GETPIVOTDATA("XXB4",'xabang (2016)'!$A$3,"MA_HT","TMD","MA_QH","DDT")</f>
        <v>0</v>
      </c>
      <c r="AO25" s="22">
        <f ca="1">+GETPIVOTDATA("XXB4",'xabang (2016)'!$A$3,"MA_HT","TMD","MA_QH","DDL")</f>
        <v>0</v>
      </c>
      <c r="AP25" s="22">
        <f ca="1">+GETPIVOTDATA("XXB4",'xabang (2016)'!$A$3,"MA_HT","TMD","MA_QH","DRA")</f>
        <v>0</v>
      </c>
      <c r="AQ25" s="22">
        <f ca="1">+GETPIVOTDATA("XXB4",'xabang (2016)'!$A$3,"MA_HT","TMD","MA_QH","ONT")</f>
        <v>0</v>
      </c>
      <c r="AR25" s="22">
        <f ca="1">+GETPIVOTDATA("XXB4",'xabang (2016)'!$A$3,"MA_HT","TMD","MA_QH","ODT")</f>
        <v>0</v>
      </c>
      <c r="AS25" s="22">
        <f ca="1">+GETPIVOTDATA("XXB4",'xabang (2016)'!$A$3,"MA_HT","TMD","MA_QH","TSC")</f>
        <v>0</v>
      </c>
      <c r="AT25" s="22">
        <f ca="1">+GETPIVOTDATA("XXB4",'xabang (2016)'!$A$3,"MA_HT","TMD","MA_QH","DTS")</f>
        <v>0</v>
      </c>
      <c r="AU25" s="22">
        <f ca="1">+GETPIVOTDATA("XXB4",'xabang (2016)'!$A$3,"MA_HT","TMD","MA_QH","DNG")</f>
        <v>0</v>
      </c>
      <c r="AV25" s="22">
        <f ca="1">+GETPIVOTDATA("XXB4",'xabang (2016)'!$A$3,"MA_HT","TMD","MA_QH","TON")</f>
        <v>0</v>
      </c>
      <c r="AW25" s="22">
        <f ca="1">+GETPIVOTDATA("XXB4",'xabang (2016)'!$A$3,"MA_HT","TMD","MA_QH","NTD")</f>
        <v>0</v>
      </c>
      <c r="AX25" s="22">
        <f ca="1">+GETPIVOTDATA("XXB4",'xabang (2016)'!$A$3,"MA_HT","TMD","MA_QH","SKX")</f>
        <v>0</v>
      </c>
      <c r="AY25" s="22">
        <f ca="1">+GETPIVOTDATA("XXB4",'xabang (2016)'!$A$3,"MA_HT","TMD","MA_QH","DSH")</f>
        <v>0</v>
      </c>
      <c r="AZ25" s="22">
        <f ca="1">+GETPIVOTDATA("XXB4",'xabang (2016)'!$A$3,"MA_HT","TMD","MA_QH","DKV")</f>
        <v>0</v>
      </c>
      <c r="BA25" s="89">
        <f ca="1">+GETPIVOTDATA("XXB4",'xabang (2016)'!$A$3,"MA_HT","TMD","MA_QH","TIN")</f>
        <v>0</v>
      </c>
      <c r="BB25" s="50">
        <f ca="1">+GETPIVOTDATA("XXB4",'xabang (2016)'!$A$3,"MA_HT","TMD","MA_QH","SON")</f>
        <v>0</v>
      </c>
      <c r="BC25" s="50">
        <f ca="1">+GETPIVOTDATA("XXB4",'xabang (2016)'!$A$3,"MA_HT","TMD","MA_QH","MNC")</f>
        <v>0</v>
      </c>
      <c r="BD25" s="22">
        <f ca="1">+GETPIVOTDATA("XXB4",'xabang (2016)'!$A$3,"MA_HT","TMD","MA_QH","PNK")</f>
        <v>0</v>
      </c>
      <c r="BE25" s="71">
        <f ca="1">+GETPIVOTDATA("XXB4",'xabang (2016)'!$A$3,"MA_HT","TMD","MA_QH","CSD")</f>
        <v>0</v>
      </c>
      <c r="BF25" s="74">
        <f ca="1" t="shared" si="13"/>
        <v>0</v>
      </c>
      <c r="BG25" s="101">
        <f ca="1">X$59-$BF25</f>
        <v>0</v>
      </c>
      <c r="BH25" s="41" t="e">
        <f ca="1" t="shared" si="14"/>
        <v>#REF!</v>
      </c>
      <c r="BI25" s="98"/>
      <c r="BJ25" s="107" t="e">
        <f>#REF!</f>
        <v>#REF!</v>
      </c>
      <c r="BK25" s="107" t="e">
        <f ca="1">BH25-BJ25</f>
        <v>#REF!</v>
      </c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</row>
    <row r="26" s="2" customFormat="1" ht="15.75" customHeight="1" spans="1:79">
      <c r="A26" s="39" t="s">
        <v>8370</v>
      </c>
      <c r="B26" s="39" t="s">
        <v>8371</v>
      </c>
      <c r="C26" s="40" t="s">
        <v>204</v>
      </c>
      <c r="D26" s="41" t="e">
        <f>+#REF!</f>
        <v>#REF!</v>
      </c>
      <c r="E26" s="42">
        <f ca="1" t="shared" si="15"/>
        <v>0</v>
      </c>
      <c r="F26" s="52">
        <f ca="1" t="shared" si="9"/>
        <v>0</v>
      </c>
      <c r="G26" s="22">
        <f ca="1">+GETPIVOTDATA("XXB4",'xabang (2016)'!$A$3,"MA_HT","SKC","MA_QH","LUC")</f>
        <v>0</v>
      </c>
      <c r="H26" s="22">
        <f ca="1">+GETPIVOTDATA("XXB4",'xabang (2016)'!$A$3,"MA_HT","SKC","MA_QH","LUK")</f>
        <v>0</v>
      </c>
      <c r="I26" s="22">
        <f ca="1">+GETPIVOTDATA("XXB4",'xabang (2016)'!$A$3,"MA_HT","SKC","MA_QH","LUN")</f>
        <v>0</v>
      </c>
      <c r="J26" s="22">
        <f ca="1">+GETPIVOTDATA("XXB4",'xabang (2016)'!$A$3,"MA_HT","SKC","MA_QH","HNK")</f>
        <v>0</v>
      </c>
      <c r="K26" s="22">
        <f ca="1">+GETPIVOTDATA("XXB4",'xabang (2016)'!$A$3,"MA_HT","SKC","MA_QH","CLN")</f>
        <v>0</v>
      </c>
      <c r="L26" s="22">
        <f ca="1">+GETPIVOTDATA("XXB4",'xabang (2016)'!$A$3,"MA_HT","SKC","MA_QH","RSX")</f>
        <v>0</v>
      </c>
      <c r="M26" s="22">
        <f ca="1">+GETPIVOTDATA("XXB4",'xabang (2016)'!$A$3,"MA_HT","SKC","MA_QH","RPH")</f>
        <v>0</v>
      </c>
      <c r="N26" s="22">
        <f ca="1">+GETPIVOTDATA("XXB4",'xabang (2016)'!$A$3,"MA_HT","SKC","MA_QH","RDD")</f>
        <v>0</v>
      </c>
      <c r="O26" s="22">
        <f ca="1">+GETPIVOTDATA("XXB4",'xabang (2016)'!$A$3,"MA_HT","SKC","MA_QH","NTS")</f>
        <v>0</v>
      </c>
      <c r="P26" s="22">
        <f ca="1">+GETPIVOTDATA("XXB4",'xabang (2016)'!$A$3,"MA_HT","SKC","MA_QH","LMU")</f>
        <v>0</v>
      </c>
      <c r="Q26" s="22">
        <f ca="1">+GETPIVOTDATA("XXB4",'xabang (2016)'!$A$3,"MA_HT","SKC","MA_QH","NKH")</f>
        <v>0</v>
      </c>
      <c r="R26" s="42">
        <f ca="1">SUM(S26:X26,Z26,AN26:BD26)</f>
        <v>0</v>
      </c>
      <c r="S26" s="22">
        <f ca="1">+GETPIVOTDATA("XXB4",'xabang (2016)'!$A$3,"MA_HT","SKC","MA_QH","CQP")</f>
        <v>0</v>
      </c>
      <c r="T26" s="22">
        <f ca="1">+GETPIVOTDATA("XXB4",'xabang (2016)'!$A$3,"MA_HT","SKC","MA_QH","CAN")</f>
        <v>0</v>
      </c>
      <c r="U26" s="22">
        <f ca="1">+GETPIVOTDATA("XXB4",'xabang (2016)'!$A$3,"MA_HT","SKC","MA_QH","SKK")</f>
        <v>0</v>
      </c>
      <c r="V26" s="22">
        <f ca="1">+GETPIVOTDATA("XXB4",'xabang (2016)'!$A$3,"MA_HT","SKC","MA_QH","SKT")</f>
        <v>0</v>
      </c>
      <c r="W26" s="22">
        <f ca="1">+GETPIVOTDATA("XXB4",'xabang (2016)'!$A$3,"MA_HT","SKC","MA_QH","SKN")</f>
        <v>0</v>
      </c>
      <c r="X26" s="22">
        <f ca="1">+GETPIVOTDATA("XXB4",'xabang (2016)'!$A$3,"MA_HT","SKC","MA_QH","TMD")</f>
        <v>0</v>
      </c>
      <c r="Y26" s="43" t="e">
        <f ca="1">$D26-$BF26</f>
        <v>#REF!</v>
      </c>
      <c r="Z26" s="22">
        <f ca="1">+GETPIVOTDATA("XXB4",'xabang (2016)'!$A$3,"MA_HT","SKC","MA_QH","SKS")</f>
        <v>0</v>
      </c>
      <c r="AA26" s="52">
        <f ca="1" t="shared" si="12"/>
        <v>0</v>
      </c>
      <c r="AB26" s="22">
        <f ca="1">+GETPIVOTDATA("XXB4",'xabang (2016)'!$A$3,"MA_HT","SKC","MA_QH","DGT")</f>
        <v>0</v>
      </c>
      <c r="AC26" s="22">
        <f ca="1">+GETPIVOTDATA("XXB4",'xabang (2016)'!$A$3,"MA_HT","SKC","MA_QH","DTL")</f>
        <v>0</v>
      </c>
      <c r="AD26" s="22">
        <f ca="1">+GETPIVOTDATA("XXB4",'xabang (2016)'!$A$3,"MA_HT","SKC","MA_QH","DNL")</f>
        <v>0</v>
      </c>
      <c r="AE26" s="22">
        <f ca="1">+GETPIVOTDATA("XXB4",'xabang (2016)'!$A$3,"MA_HT","SKC","MA_QH","DBV")</f>
        <v>0</v>
      </c>
      <c r="AF26" s="22">
        <f ca="1">+GETPIVOTDATA("XXB4",'xabang (2016)'!$A$3,"MA_HT","SKC","MA_QH","DVH")</f>
        <v>0</v>
      </c>
      <c r="AG26" s="22">
        <f ca="1">+GETPIVOTDATA("XXB4",'xabang (2016)'!$A$3,"MA_HT","SKC","MA_QH","DYT")</f>
        <v>0</v>
      </c>
      <c r="AH26" s="22">
        <f ca="1">+GETPIVOTDATA("XXB4",'xabang (2016)'!$A$3,"MA_HT","SKC","MA_QH","DGD")</f>
        <v>0</v>
      </c>
      <c r="AI26" s="22">
        <f ca="1">+GETPIVOTDATA("XXB4",'xabang (2016)'!$A$3,"MA_HT","SKC","MA_QH","DTT")</f>
        <v>0</v>
      </c>
      <c r="AJ26" s="22">
        <f ca="1">+GETPIVOTDATA("XXB4",'xabang (2016)'!$A$3,"MA_HT","SKC","MA_QH","NCK")</f>
        <v>0</v>
      </c>
      <c r="AK26" s="22">
        <f ca="1">+GETPIVOTDATA("XXB4",'xabang (2016)'!$A$3,"MA_HT","SKC","MA_QH","DXH")</f>
        <v>0</v>
      </c>
      <c r="AL26" s="22">
        <f ca="1">+GETPIVOTDATA("XXB4",'xabang (2016)'!$A$3,"MA_HT","SKC","MA_QH","DCH")</f>
        <v>0</v>
      </c>
      <c r="AM26" s="22">
        <f ca="1">+GETPIVOTDATA("XXB4",'xabang (2016)'!$A$3,"MA_HT","SKC","MA_QH","DKG")</f>
        <v>0</v>
      </c>
      <c r="AN26" s="22">
        <f ca="1">+GETPIVOTDATA("XXB4",'xabang (2016)'!$A$3,"MA_HT","SKC","MA_QH","DDT")</f>
        <v>0</v>
      </c>
      <c r="AO26" s="22">
        <f ca="1">+GETPIVOTDATA("XXB4",'xabang (2016)'!$A$3,"MA_HT","SKC","MA_QH","DDL")</f>
        <v>0</v>
      </c>
      <c r="AP26" s="22">
        <f ca="1">+GETPIVOTDATA("XXB4",'xabang (2016)'!$A$3,"MA_HT","SKC","MA_QH","DRA")</f>
        <v>0</v>
      </c>
      <c r="AQ26" s="22">
        <f ca="1">+GETPIVOTDATA("XXB4",'xabang (2016)'!$A$3,"MA_HT","SKC","MA_QH","ONT")</f>
        <v>0</v>
      </c>
      <c r="AR26" s="22">
        <f ca="1">+GETPIVOTDATA("XXB4",'xabang (2016)'!$A$3,"MA_HT","SKC","MA_QH","ODT")</f>
        <v>0</v>
      </c>
      <c r="AS26" s="22">
        <f ca="1">+GETPIVOTDATA("XXB4",'xabang (2016)'!$A$3,"MA_HT","SKC","MA_QH","TSC")</f>
        <v>0</v>
      </c>
      <c r="AT26" s="22">
        <f ca="1">+GETPIVOTDATA("XXB4",'xabang (2016)'!$A$3,"MA_HT","SKC","MA_QH","DTS")</f>
        <v>0</v>
      </c>
      <c r="AU26" s="22">
        <f ca="1">+GETPIVOTDATA("XXB4",'xabang (2016)'!$A$3,"MA_HT","SKC","MA_QH","DNG")</f>
        <v>0</v>
      </c>
      <c r="AV26" s="22">
        <f ca="1">+GETPIVOTDATA("XXB4",'xabang (2016)'!$A$3,"MA_HT","SKC","MA_QH","TON")</f>
        <v>0</v>
      </c>
      <c r="AW26" s="22">
        <f ca="1">+GETPIVOTDATA("XXB4",'xabang (2016)'!$A$3,"MA_HT","SKC","MA_QH","NTD")</f>
        <v>0</v>
      </c>
      <c r="AX26" s="22">
        <f ca="1">+GETPIVOTDATA("XXB4",'xabang (2016)'!$A$3,"MA_HT","SKC","MA_QH","SKX")</f>
        <v>0</v>
      </c>
      <c r="AY26" s="22">
        <f ca="1">+GETPIVOTDATA("XXB4",'xabang (2016)'!$A$3,"MA_HT","SKC","MA_QH","DSH")</f>
        <v>0</v>
      </c>
      <c r="AZ26" s="22">
        <f ca="1">+GETPIVOTDATA("XXB4",'xabang (2016)'!$A$3,"MA_HT","SKC","MA_QH","DKV")</f>
        <v>0</v>
      </c>
      <c r="BA26" s="89">
        <f ca="1">+GETPIVOTDATA("XXB4",'xabang (2016)'!$A$3,"MA_HT","SKC","MA_QH","TIN")</f>
        <v>0</v>
      </c>
      <c r="BB26" s="50">
        <f ca="1">+GETPIVOTDATA("XXB4",'xabang (2016)'!$A$3,"MA_HT","SKC","MA_QH","SON")</f>
        <v>0</v>
      </c>
      <c r="BC26" s="50">
        <f ca="1">+GETPIVOTDATA("XXB4",'xabang (2016)'!$A$3,"MA_HT","SKC","MA_QH","MNC")</f>
        <v>0</v>
      </c>
      <c r="BD26" s="22">
        <f ca="1">+GETPIVOTDATA("XXB4",'xabang (2016)'!$A$3,"MA_HT","SKC","MA_QH","PNK")</f>
        <v>0</v>
      </c>
      <c r="BE26" s="71">
        <f ca="1">+GETPIVOTDATA("XXB4",'xabang (2016)'!$A$3,"MA_HT","SKC","MA_QH","CSD")</f>
        <v>0</v>
      </c>
      <c r="BF26" s="74">
        <f ca="1" t="shared" si="13"/>
        <v>0</v>
      </c>
      <c r="BG26" s="101">
        <f ca="1">Y$59-$BF26</f>
        <v>0</v>
      </c>
      <c r="BH26" s="41" t="e">
        <f ca="1" t="shared" si="14"/>
        <v>#REF!</v>
      </c>
      <c r="BI26" s="98"/>
      <c r="BJ26" s="107" t="e">
        <f>#REF!</f>
        <v>#REF!</v>
      </c>
      <c r="BK26" s="107" t="e">
        <f ca="1">BH26-BJ26</f>
        <v>#REF!</v>
      </c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</row>
    <row r="27" s="2" customFormat="1" ht="15.75" customHeight="1" spans="1:79">
      <c r="A27" s="39" t="s">
        <v>8372</v>
      </c>
      <c r="B27" s="53" t="s">
        <v>8373</v>
      </c>
      <c r="C27" s="40" t="s">
        <v>174</v>
      </c>
      <c r="D27" s="41" t="e">
        <f>+#REF!</f>
        <v>#REF!</v>
      </c>
      <c r="E27" s="42">
        <f ca="1" t="shared" si="15"/>
        <v>0</v>
      </c>
      <c r="F27" s="52">
        <f ca="1" t="shared" si="9"/>
        <v>0</v>
      </c>
      <c r="G27" s="22">
        <f ca="1">+GETPIVOTDATA("XXB4",'xabang (2016)'!$A$3,"MA_HT","SKS","MA_QH","LUC")</f>
        <v>0</v>
      </c>
      <c r="H27" s="22">
        <f ca="1">+GETPIVOTDATA("XXB4",'xabang (2016)'!$A$3,"MA_HT","SKS","MA_QH","LUK")</f>
        <v>0</v>
      </c>
      <c r="I27" s="22">
        <f ca="1">+GETPIVOTDATA("XXB4",'xabang (2016)'!$A$3,"MA_HT","SKS","MA_QH","LUN")</f>
        <v>0</v>
      </c>
      <c r="J27" s="22">
        <f ca="1">+GETPIVOTDATA("XXB4",'xabang (2016)'!$A$3,"MA_HT","SKS","MA_QH","HNK")</f>
        <v>0</v>
      </c>
      <c r="K27" s="22">
        <f ca="1">+GETPIVOTDATA("XXB4",'xabang (2016)'!$A$3,"MA_HT","SKS","MA_QH","CLN")</f>
        <v>0</v>
      </c>
      <c r="L27" s="22">
        <f ca="1">+GETPIVOTDATA("XXB4",'xabang (2016)'!$A$3,"MA_HT","SKS","MA_QH","RSX")</f>
        <v>0</v>
      </c>
      <c r="M27" s="22">
        <f ca="1">+GETPIVOTDATA("XXB4",'xabang (2016)'!$A$3,"MA_HT","SKS","MA_QH","RPH")</f>
        <v>0</v>
      </c>
      <c r="N27" s="22">
        <f ca="1">+GETPIVOTDATA("XXB4",'xabang (2016)'!$A$3,"MA_HT","SKS","MA_QH","RDD")</f>
        <v>0</v>
      </c>
      <c r="O27" s="22">
        <f ca="1">+GETPIVOTDATA("XXB4",'xabang (2016)'!$A$3,"MA_HT","SKS","MA_QH","NTS")</f>
        <v>0</v>
      </c>
      <c r="P27" s="22">
        <f ca="1">+GETPIVOTDATA("XXB4",'xabang (2016)'!$A$3,"MA_HT","SKS","MA_QH","LMU")</f>
        <v>0</v>
      </c>
      <c r="Q27" s="22">
        <f ca="1">+GETPIVOTDATA("XXB4",'xabang (2016)'!$A$3,"MA_HT","SKS","MA_QH","NKH")</f>
        <v>0</v>
      </c>
      <c r="R27" s="42">
        <f ca="1">SUM(S27:Y27,AA27,AN27:BD27)</f>
        <v>0</v>
      </c>
      <c r="S27" s="22">
        <f ca="1">+GETPIVOTDATA("XXB4",'xabang (2016)'!$A$3,"MA_HT","SKS","MA_QH","CQP")</f>
        <v>0</v>
      </c>
      <c r="T27" s="22">
        <f ca="1">+GETPIVOTDATA("XXB4",'xabang (2016)'!$A$3,"MA_HT","SKS","MA_QH","CAN")</f>
        <v>0</v>
      </c>
      <c r="U27" s="22">
        <f ca="1">+GETPIVOTDATA("XXB4",'xabang (2016)'!$A$3,"MA_HT","SKS","MA_QH","SKK")</f>
        <v>0</v>
      </c>
      <c r="V27" s="22">
        <f ca="1">+GETPIVOTDATA("XXB4",'xabang (2016)'!$A$3,"MA_HT","SKS","MA_QH","SKT")</f>
        <v>0</v>
      </c>
      <c r="W27" s="22">
        <f ca="1">+GETPIVOTDATA("XXB4",'xabang (2016)'!$A$3,"MA_HT","SKS","MA_QH","SKN")</f>
        <v>0</v>
      </c>
      <c r="X27" s="22">
        <f ca="1">+GETPIVOTDATA("XXB4",'xabang (2016)'!$A$3,"MA_HT","SKS","MA_QH","TMD")</f>
        <v>0</v>
      </c>
      <c r="Y27" s="22">
        <f ca="1">+GETPIVOTDATA("XXB4",'xabang (2016)'!$A$3,"MA_HT","SKS","MA_QH","SKC")</f>
        <v>0</v>
      </c>
      <c r="Z27" s="43" t="e">
        <f ca="1">$D27-$BF27</f>
        <v>#REF!</v>
      </c>
      <c r="AA27" s="52">
        <f ca="1" t="shared" si="12"/>
        <v>0</v>
      </c>
      <c r="AB27" s="22">
        <f ca="1">+GETPIVOTDATA("XXB4",'xabang (2016)'!$A$3,"MA_HT","SKS","MA_QH","DGT")</f>
        <v>0</v>
      </c>
      <c r="AC27" s="22">
        <f ca="1">+GETPIVOTDATA("XXB4",'xabang (2016)'!$A$3,"MA_HT","SKS","MA_QH","DTL")</f>
        <v>0</v>
      </c>
      <c r="AD27" s="22">
        <f ca="1">+GETPIVOTDATA("XXB4",'xabang (2016)'!$A$3,"MA_HT","SKS","MA_QH","DNL")</f>
        <v>0</v>
      </c>
      <c r="AE27" s="22">
        <f ca="1">+GETPIVOTDATA("XXB4",'xabang (2016)'!$A$3,"MA_HT","SKS","MA_QH","DBV")</f>
        <v>0</v>
      </c>
      <c r="AF27" s="22">
        <f ca="1">+GETPIVOTDATA("XXB4",'xabang (2016)'!$A$3,"MA_HT","SKS","MA_QH","DVH")</f>
        <v>0</v>
      </c>
      <c r="AG27" s="22">
        <f ca="1">+GETPIVOTDATA("XXB4",'xabang (2016)'!$A$3,"MA_HT","SKS","MA_QH","DYT")</f>
        <v>0</v>
      </c>
      <c r="AH27" s="22">
        <f ca="1">+GETPIVOTDATA("XXB4",'xabang (2016)'!$A$3,"MA_HT","SKS","MA_QH","DGD")</f>
        <v>0</v>
      </c>
      <c r="AI27" s="22">
        <f ca="1">+GETPIVOTDATA("XXB4",'xabang (2016)'!$A$3,"MA_HT","SKS","MA_QH","DTT")</f>
        <v>0</v>
      </c>
      <c r="AJ27" s="22">
        <f ca="1">+GETPIVOTDATA("XXB4",'xabang (2016)'!$A$3,"MA_HT","SKS","MA_QH","NCK")</f>
        <v>0</v>
      </c>
      <c r="AK27" s="22">
        <f ca="1">+GETPIVOTDATA("XXB4",'xabang (2016)'!$A$3,"MA_HT","SKS","MA_QH","DXH")</f>
        <v>0</v>
      </c>
      <c r="AL27" s="22">
        <f ca="1">+GETPIVOTDATA("XXB4",'xabang (2016)'!$A$3,"MA_HT","SKS","MA_QH","DCH")</f>
        <v>0</v>
      </c>
      <c r="AM27" s="22">
        <f ca="1">+GETPIVOTDATA("XXB4",'xabang (2016)'!$A$3,"MA_HT","SKS","MA_QH","DKG")</f>
        <v>0</v>
      </c>
      <c r="AN27" s="22">
        <f ca="1">+GETPIVOTDATA("XXB4",'xabang (2016)'!$A$3,"MA_HT","SKS","MA_QH","DDT")</f>
        <v>0</v>
      </c>
      <c r="AO27" s="22">
        <f ca="1">+GETPIVOTDATA("XXB4",'xabang (2016)'!$A$3,"MA_HT","SKS","MA_QH","DDL")</f>
        <v>0</v>
      </c>
      <c r="AP27" s="22">
        <f ca="1">+GETPIVOTDATA("XXB4",'xabang (2016)'!$A$3,"MA_HT","SKS","MA_QH","DRA")</f>
        <v>0</v>
      </c>
      <c r="AQ27" s="22">
        <f ca="1">+GETPIVOTDATA("XXB4",'xabang (2016)'!$A$3,"MA_HT","SKS","MA_QH","ONT")</f>
        <v>0</v>
      </c>
      <c r="AR27" s="22">
        <f ca="1">+GETPIVOTDATA("XXB4",'xabang (2016)'!$A$3,"MA_HT","SKS","MA_QH","ODT")</f>
        <v>0</v>
      </c>
      <c r="AS27" s="22">
        <f ca="1">+GETPIVOTDATA("XXB4",'xabang (2016)'!$A$3,"MA_HT","SKS","MA_QH","TSC")</f>
        <v>0</v>
      </c>
      <c r="AT27" s="22">
        <f ca="1">+GETPIVOTDATA("XXB4",'xabang (2016)'!$A$3,"MA_HT","SKS","MA_QH","DTS")</f>
        <v>0</v>
      </c>
      <c r="AU27" s="22">
        <f ca="1">+GETPIVOTDATA("XXB4",'xabang (2016)'!$A$3,"MA_HT","SKS","MA_QH","DNG")</f>
        <v>0</v>
      </c>
      <c r="AV27" s="22">
        <f ca="1">+GETPIVOTDATA("XXB4",'xabang (2016)'!$A$3,"MA_HT","SKS","MA_QH","TON")</f>
        <v>0</v>
      </c>
      <c r="AW27" s="22">
        <f ca="1">+GETPIVOTDATA("XXB4",'xabang (2016)'!$A$3,"MA_HT","SKS","MA_QH","NTD")</f>
        <v>0</v>
      </c>
      <c r="AX27" s="22">
        <f ca="1">+GETPIVOTDATA("XXB4",'xabang (2016)'!$A$3,"MA_HT","SKS","MA_QH","SKX")</f>
        <v>0</v>
      </c>
      <c r="AY27" s="22">
        <f ca="1">+GETPIVOTDATA("XXB4",'xabang (2016)'!$A$3,"MA_HT","SKS","MA_QH","DSH")</f>
        <v>0</v>
      </c>
      <c r="AZ27" s="22">
        <f ca="1">+GETPIVOTDATA("XXB4",'xabang (2016)'!$A$3,"MA_HT","SKS","MA_QH","DKV")</f>
        <v>0</v>
      </c>
      <c r="BA27" s="89">
        <f ca="1">+GETPIVOTDATA("XXB4",'xabang (2016)'!$A$3,"MA_HT","SKS","MA_QH","TIN")</f>
        <v>0</v>
      </c>
      <c r="BB27" s="50">
        <f ca="1">+GETPIVOTDATA("XXB4",'xabang (2016)'!$A$3,"MA_HT","SKS","MA_QH","SON")</f>
        <v>0</v>
      </c>
      <c r="BC27" s="50">
        <f ca="1">+GETPIVOTDATA("XXB4",'xabang (2016)'!$A$3,"MA_HT","SKS","MA_QH","MNC")</f>
        <v>0</v>
      </c>
      <c r="BD27" s="22">
        <f ca="1">+GETPIVOTDATA("XXB4",'xabang (2016)'!$A$3,"MA_HT","SKS","MA_QH","PNK")</f>
        <v>0</v>
      </c>
      <c r="BE27" s="71">
        <f ca="1">+GETPIVOTDATA("XXB4",'xabang (2016)'!$A$3,"MA_HT","SKS","MA_QH","CSD")</f>
        <v>0</v>
      </c>
      <c r="BF27" s="74">
        <f ca="1" t="shared" si="13"/>
        <v>0</v>
      </c>
      <c r="BG27" s="101">
        <f ca="1">Z$59-$BF27</f>
        <v>0</v>
      </c>
      <c r="BH27" s="41" t="e">
        <f ca="1" t="shared" si="14"/>
        <v>#REF!</v>
      </c>
      <c r="BI27" s="98"/>
      <c r="BJ27" s="107" t="e">
        <f>#REF!</f>
        <v>#REF!</v>
      </c>
      <c r="BK27" s="107" t="e">
        <f ca="1">BH27-BJ27</f>
        <v>#REF!</v>
      </c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</row>
    <row r="28" s="2" customFormat="1" ht="15.75" customHeight="1" spans="1:79">
      <c r="A28" s="39" t="s">
        <v>8374</v>
      </c>
      <c r="B28" s="53" t="s">
        <v>8375</v>
      </c>
      <c r="C28" s="40" t="s">
        <v>8288</v>
      </c>
      <c r="D28" s="41" t="e">
        <f>+#REF!</f>
        <v>#REF!</v>
      </c>
      <c r="E28" s="42">
        <f ca="1" t="shared" si="15"/>
        <v>0</v>
      </c>
      <c r="F28" s="52">
        <f ca="1" t="shared" si="9"/>
        <v>0</v>
      </c>
      <c r="G28" s="44">
        <f ca="1">SUM(G29:G39)</f>
        <v>0</v>
      </c>
      <c r="H28" s="44">
        <f ca="1" t="shared" ref="H28:Q28" si="16">SUM(H29:H39)</f>
        <v>0</v>
      </c>
      <c r="I28" s="44">
        <f ca="1" t="shared" si="16"/>
        <v>0</v>
      </c>
      <c r="J28" s="44">
        <f ca="1" t="shared" si="16"/>
        <v>0</v>
      </c>
      <c r="K28" s="44">
        <f ca="1" t="shared" si="16"/>
        <v>0</v>
      </c>
      <c r="L28" s="44">
        <f ca="1" t="shared" si="16"/>
        <v>0</v>
      </c>
      <c r="M28" s="44">
        <f ca="1" t="shared" si="16"/>
        <v>0</v>
      </c>
      <c r="N28" s="44">
        <f ca="1" t="shared" si="16"/>
        <v>0</v>
      </c>
      <c r="O28" s="44">
        <f ca="1" t="shared" si="16"/>
        <v>0</v>
      </c>
      <c r="P28" s="44">
        <f ca="1" t="shared" si="16"/>
        <v>0</v>
      </c>
      <c r="Q28" s="44">
        <f ca="1" t="shared" si="16"/>
        <v>0</v>
      </c>
      <c r="R28" s="44">
        <f ca="1">SUM(S28:Z28,AN28:BD28)</f>
        <v>0</v>
      </c>
      <c r="S28" s="44">
        <f ca="1">SUM(S29:S39)</f>
        <v>0</v>
      </c>
      <c r="T28" s="44">
        <f ca="1" t="shared" ref="T28:Z28" si="17">SUM(T29:T39)</f>
        <v>0</v>
      </c>
      <c r="U28" s="44">
        <f ca="1" t="shared" si="17"/>
        <v>0</v>
      </c>
      <c r="V28" s="44">
        <f ca="1" t="shared" si="17"/>
        <v>0</v>
      </c>
      <c r="W28" s="44">
        <f ca="1" t="shared" si="17"/>
        <v>0</v>
      </c>
      <c r="X28" s="44">
        <f ca="1" t="shared" si="17"/>
        <v>0</v>
      </c>
      <c r="Y28" s="44">
        <f ca="1" t="shared" si="17"/>
        <v>0</v>
      </c>
      <c r="Z28" s="44">
        <f ca="1" t="shared" si="17"/>
        <v>0</v>
      </c>
      <c r="AA28" s="43" t="e">
        <f ca="1">$D28-$BF28</f>
        <v>#REF!</v>
      </c>
      <c r="AB28" s="44">
        <f ca="1">SUM(AB30:AB39)</f>
        <v>0</v>
      </c>
      <c r="AC28" s="44">
        <f ca="1">SUM(AC29,AC31:AC39)</f>
        <v>0</v>
      </c>
      <c r="AD28" s="44">
        <f ca="1">SUM(AD29:AD30,AD32:AD39)</f>
        <v>0</v>
      </c>
      <c r="AE28" s="44">
        <f ca="1">SUM(AE29:AE31,AE33:AE39)</f>
        <v>0</v>
      </c>
      <c r="AF28" s="44">
        <f ca="1">SUM(AF29:AF32,AF34:AF39)</f>
        <v>0</v>
      </c>
      <c r="AG28" s="44">
        <f ca="1">SUM(AG29:AG33,AG35:AG39)</f>
        <v>0</v>
      </c>
      <c r="AH28" s="44">
        <f ca="1">SUM(AH29:AH34,AH36:AH39)</f>
        <v>0</v>
      </c>
      <c r="AI28" s="44">
        <f ca="1">SUM(AI29:AI35,AI37:AI39)</f>
        <v>0</v>
      </c>
      <c r="AJ28" s="44">
        <f ca="1">SUM(AJ29:AJ36,AJ38:AJ39)</f>
        <v>0</v>
      </c>
      <c r="AK28" s="44">
        <f ca="1">SUM(AK29:AK37,AK39)</f>
        <v>0</v>
      </c>
      <c r="AL28" s="44">
        <f ca="1">SUM(AL29:AL38)</f>
        <v>0</v>
      </c>
      <c r="AM28" s="44">
        <f ca="1">SUM(AM29:AM38)</f>
        <v>0</v>
      </c>
      <c r="AN28" s="44">
        <f ca="1" t="shared" ref="AN28:BE28" si="18">SUM(AN29:AN39)</f>
        <v>0</v>
      </c>
      <c r="AO28" s="44">
        <f ca="1" t="shared" si="18"/>
        <v>0</v>
      </c>
      <c r="AP28" s="44">
        <f ca="1" t="shared" si="18"/>
        <v>0</v>
      </c>
      <c r="AQ28" s="44">
        <f ca="1" t="shared" si="18"/>
        <v>0</v>
      </c>
      <c r="AR28" s="44">
        <f ca="1" t="shared" si="18"/>
        <v>0</v>
      </c>
      <c r="AS28" s="44">
        <f ca="1" t="shared" si="18"/>
        <v>0</v>
      </c>
      <c r="AT28" s="44">
        <f ca="1" t="shared" si="18"/>
        <v>0</v>
      </c>
      <c r="AU28" s="44">
        <f ca="1" t="shared" si="18"/>
        <v>0</v>
      </c>
      <c r="AV28" s="44">
        <f ca="1" t="shared" si="18"/>
        <v>0</v>
      </c>
      <c r="AW28" s="44">
        <f ca="1" t="shared" si="18"/>
        <v>0</v>
      </c>
      <c r="AX28" s="44">
        <f ca="1" t="shared" si="18"/>
        <v>0</v>
      </c>
      <c r="AY28" s="44">
        <f ca="1" t="shared" si="18"/>
        <v>0</v>
      </c>
      <c r="AZ28" s="44">
        <f ca="1" t="shared" si="18"/>
        <v>0</v>
      </c>
      <c r="BA28" s="44">
        <f ca="1" t="shared" si="18"/>
        <v>0</v>
      </c>
      <c r="BB28" s="44">
        <f ca="1" t="shared" si="18"/>
        <v>0</v>
      </c>
      <c r="BC28" s="44">
        <f ca="1" t="shared" si="18"/>
        <v>0</v>
      </c>
      <c r="BD28" s="44">
        <f ca="1" t="shared" si="18"/>
        <v>0</v>
      </c>
      <c r="BE28" s="44">
        <f ca="1" t="shared" si="18"/>
        <v>0</v>
      </c>
      <c r="BF28" s="74">
        <f ca="1" t="shared" si="13"/>
        <v>0</v>
      </c>
      <c r="BG28" s="101">
        <f ca="1">AA$59-$BF28</f>
        <v>0</v>
      </c>
      <c r="BH28" s="41" t="e">
        <f ca="1" t="shared" si="14"/>
        <v>#REF!</v>
      </c>
      <c r="BI28" s="98"/>
      <c r="BJ28" s="107"/>
      <c r="BK28" s="107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</row>
    <row r="29" s="4" customFormat="1" ht="16.5" customHeight="1" spans="1:79">
      <c r="A29" s="45" t="s">
        <v>8376</v>
      </c>
      <c r="B29" s="45" t="s">
        <v>8377</v>
      </c>
      <c r="C29" s="46" t="s">
        <v>94</v>
      </c>
      <c r="D29" s="47" t="e">
        <f>+#REF!</f>
        <v>#REF!</v>
      </c>
      <c r="E29" s="42">
        <f ca="1" t="shared" si="15"/>
        <v>0</v>
      </c>
      <c r="F29" s="52">
        <f ca="1" t="shared" si="9"/>
        <v>0</v>
      </c>
      <c r="G29" s="50">
        <f ca="1">+GETPIVOTDATA("XXB4",'xabang (2016)'!$A$3,"MA_HT","DGT","MA_QH","LUC")</f>
        <v>0</v>
      </c>
      <c r="H29" s="50">
        <f ca="1">+GETPIVOTDATA("XXB4",'xabang (2016)'!$A$3,"MA_HT","DGT","MA_QH","LUK")</f>
        <v>0</v>
      </c>
      <c r="I29" s="50">
        <f ca="1">+GETPIVOTDATA("XXB4",'xabang (2016)'!$A$3,"MA_HT","DGT","MA_QH","LUN")</f>
        <v>0</v>
      </c>
      <c r="J29" s="50">
        <f ca="1">+GETPIVOTDATA("XXB4",'xabang (2016)'!$A$3,"MA_HT","DGT","MA_QH","HNK")</f>
        <v>0</v>
      </c>
      <c r="K29" s="50">
        <f ca="1">+GETPIVOTDATA("XXB4",'xabang (2016)'!$A$3,"MA_HT","DGT","MA_QH","CLN")</f>
        <v>0</v>
      </c>
      <c r="L29" s="50">
        <f ca="1">+GETPIVOTDATA("XXB4",'xabang (2016)'!$A$3,"MA_HT","DGT","MA_QH","RSX")</f>
        <v>0</v>
      </c>
      <c r="M29" s="50">
        <f ca="1">+GETPIVOTDATA("XXB4",'xabang (2016)'!$A$3,"MA_HT","DGT","MA_QH","RPH")</f>
        <v>0</v>
      </c>
      <c r="N29" s="50">
        <f ca="1">+GETPIVOTDATA("XXB4",'xabang (2016)'!$A$3,"MA_HT","DGT","MA_QH","RDD")</f>
        <v>0</v>
      </c>
      <c r="O29" s="50">
        <f ca="1">+GETPIVOTDATA("XXB4",'xabang (2016)'!$A$3,"MA_HT","DGT","MA_QH","NTS")</f>
        <v>0</v>
      </c>
      <c r="P29" s="50">
        <f ca="1">+GETPIVOTDATA("XXB4",'xabang (2016)'!$A$3,"MA_HT","DGT","MA_QH","LMU")</f>
        <v>0</v>
      </c>
      <c r="Q29" s="50">
        <f ca="1">+GETPIVOTDATA("XXB4",'xabang (2016)'!$A$3,"MA_HT","DGT","MA_QH","NKH")</f>
        <v>0</v>
      </c>
      <c r="R29" s="48">
        <f ca="1">SUM(S29:AA29,AN29:BD29)</f>
        <v>0</v>
      </c>
      <c r="S29" s="50">
        <f ca="1">+GETPIVOTDATA("XXB4",'xabang (2016)'!$A$3,"MA_HT","DGT","MA_QH","CQP")</f>
        <v>0</v>
      </c>
      <c r="T29" s="50">
        <f ca="1">+GETPIVOTDATA("XXB4",'xabang (2016)'!$A$3,"MA_HT","DGT","MA_QH","CAN")</f>
        <v>0</v>
      </c>
      <c r="U29" s="50">
        <f ca="1">+GETPIVOTDATA("XXB4",'xabang (2016)'!$A$3,"MA_HT","DGT","MA_QH","SKK")</f>
        <v>0</v>
      </c>
      <c r="V29" s="50">
        <f ca="1">+GETPIVOTDATA("XXB4",'xabang (2016)'!$A$3,"MA_HT","DGT","MA_QH","SKT")</f>
        <v>0</v>
      </c>
      <c r="W29" s="50">
        <f ca="1">+GETPIVOTDATA("XXB4",'xabang (2016)'!$A$3,"MA_HT","DGT","MA_QH","SKN")</f>
        <v>0</v>
      </c>
      <c r="X29" s="50">
        <f ca="1">+GETPIVOTDATA("XXB4",'xabang (2016)'!$A$3,"MA_HT","DGT","MA_QH","TMD")</f>
        <v>0</v>
      </c>
      <c r="Y29" s="50">
        <f ca="1">+GETPIVOTDATA("XXB4",'xabang (2016)'!$A$3,"MA_HT","DGT","MA_QH","SKC")</f>
        <v>0</v>
      </c>
      <c r="Z29" s="50">
        <f ca="1">+GETPIVOTDATA("XXB4",'xabang (2016)'!$A$3,"MA_HT","DGT","MA_QH","SKS")</f>
        <v>0</v>
      </c>
      <c r="AA29" s="52">
        <f ca="1">+SUM(AC29:AM29)</f>
        <v>0</v>
      </c>
      <c r="AB29" s="49" t="e">
        <f ca="1">$D29-$BF29</f>
        <v>#REF!</v>
      </c>
      <c r="AC29" s="50">
        <f ca="1">+GETPIVOTDATA("XXB4",'xabang (2016)'!$A$3,"MA_HT","DGT","MA_QH","DTL")</f>
        <v>0</v>
      </c>
      <c r="AD29" s="50">
        <f ca="1">+GETPIVOTDATA("XXB4",'xabang (2016)'!$A$3,"MA_HT","DGT","MA_QH","DNL")</f>
        <v>0</v>
      </c>
      <c r="AE29" s="50">
        <f ca="1">+GETPIVOTDATA("XXB4",'xabang (2016)'!$A$3,"MA_HT","DGT","MA_QH","DBV")</f>
        <v>0</v>
      </c>
      <c r="AF29" s="50">
        <f ca="1">+GETPIVOTDATA("XXB4",'xabang (2016)'!$A$3,"MA_HT","DGT","MA_QH","DVH")</f>
        <v>0</v>
      </c>
      <c r="AG29" s="50">
        <f ca="1">+GETPIVOTDATA("XXB4",'xabang (2016)'!$A$3,"MA_HT","DGT","MA_QH","DYT")</f>
        <v>0</v>
      </c>
      <c r="AH29" s="50">
        <f ca="1">+GETPIVOTDATA("XXB4",'xabang (2016)'!$A$3,"MA_HT","DGT","MA_QH","DGD")</f>
        <v>0</v>
      </c>
      <c r="AI29" s="50">
        <f ca="1">+GETPIVOTDATA("XXB4",'xabang (2016)'!$A$3,"MA_HT","DGT","MA_QH","DTT")</f>
        <v>0</v>
      </c>
      <c r="AJ29" s="50">
        <f ca="1">+GETPIVOTDATA("XXB4",'xabang (2016)'!$A$3,"MA_HT","DGT","MA_QH","NCK")</f>
        <v>0</v>
      </c>
      <c r="AK29" s="50">
        <f ca="1">+GETPIVOTDATA("XXB4",'xabang (2016)'!$A$3,"MA_HT","DGT","MA_QH","DXH")</f>
        <v>0</v>
      </c>
      <c r="AL29" s="50">
        <f ca="1">+GETPIVOTDATA("XXB4",'xabang (2016)'!$A$3,"MA_HT","DGT","MA_QH","DCH")</f>
        <v>0</v>
      </c>
      <c r="AM29" s="50">
        <f ca="1">+GETPIVOTDATA("XXB4",'xabang (2016)'!$A$3,"MA_HT","DGT","MA_QH","DKG")</f>
        <v>0</v>
      </c>
      <c r="AN29" s="50">
        <f ca="1">+GETPIVOTDATA("XXB4",'xabang (2016)'!$A$3,"MA_HT","DGT","MA_QH","DDT")</f>
        <v>0</v>
      </c>
      <c r="AO29" s="50">
        <f ca="1">+GETPIVOTDATA("XXB4",'xabang (2016)'!$A$3,"MA_HT","DGT","MA_QH","DDL")</f>
        <v>0</v>
      </c>
      <c r="AP29" s="50">
        <f ca="1">+GETPIVOTDATA("XXB4",'xabang (2016)'!$A$3,"MA_HT","DGT","MA_QH","DRA")</f>
        <v>0</v>
      </c>
      <c r="AQ29" s="50">
        <f ca="1">+GETPIVOTDATA("XXB4",'xabang (2016)'!$A$3,"MA_HT","DGT","MA_QH","ONT")</f>
        <v>0</v>
      </c>
      <c r="AR29" s="50">
        <f ca="1">+GETPIVOTDATA("XXB4",'xabang (2016)'!$A$3,"MA_HT","DGT","MA_QH","ODT")</f>
        <v>0</v>
      </c>
      <c r="AS29" s="50">
        <f ca="1">+GETPIVOTDATA("XXB4",'xabang (2016)'!$A$3,"MA_HT","DGT","MA_QH","TSC")</f>
        <v>0</v>
      </c>
      <c r="AT29" s="50">
        <f ca="1">+GETPIVOTDATA("XXB4",'xabang (2016)'!$A$3,"MA_HT","DGT","MA_QH","DTS")</f>
        <v>0</v>
      </c>
      <c r="AU29" s="50">
        <f ca="1">+GETPIVOTDATA("XXB4",'xabang (2016)'!$A$3,"MA_HT","DGT","MA_QH","DNG")</f>
        <v>0</v>
      </c>
      <c r="AV29" s="50">
        <f ca="1">+GETPIVOTDATA("XXB4",'xabang (2016)'!$A$3,"MA_HT","DGT","MA_QH","TON")</f>
        <v>0</v>
      </c>
      <c r="AW29" s="50">
        <f ca="1">+GETPIVOTDATA("XXB4",'xabang (2016)'!$A$3,"MA_HT","DGT","MA_QH","NTD")</f>
        <v>0</v>
      </c>
      <c r="AX29" s="50">
        <f ca="1">+GETPIVOTDATA("XXB4",'xabang (2016)'!$A$3,"MA_HT","DGT","MA_QH","SKX")</f>
        <v>0</v>
      </c>
      <c r="AY29" s="50">
        <f ca="1">+GETPIVOTDATA("XXB4",'xabang (2016)'!$A$3,"MA_HT","DGT","MA_QH","DSH")</f>
        <v>0</v>
      </c>
      <c r="AZ29" s="50">
        <f ca="1">+GETPIVOTDATA("XXB4",'xabang (2016)'!$A$3,"MA_HT","DGT","MA_QH","DKV")</f>
        <v>0</v>
      </c>
      <c r="BA29" s="88">
        <f ca="1">+GETPIVOTDATA("XXB4",'xabang (2016)'!$A$3,"MA_HT","DGT","MA_QH","TIN")</f>
        <v>0</v>
      </c>
      <c r="BB29" s="50">
        <f ca="1">+GETPIVOTDATA("XXB4",'xabang (2016)'!$A$3,"MA_HT","DGT","MA_QH","SON")</f>
        <v>0</v>
      </c>
      <c r="BC29" s="50">
        <f ca="1">+GETPIVOTDATA("XXB4",'xabang (2016)'!$A$3,"MA_HT","DGT","MA_QH","MNC")</f>
        <v>0</v>
      </c>
      <c r="BD29" s="50">
        <f ca="1">+GETPIVOTDATA("XXB4",'xabang (2016)'!$A$3,"MA_HT","DGT","MA_QH","PNK")</f>
        <v>0</v>
      </c>
      <c r="BE29" s="80">
        <f ca="1">+GETPIVOTDATA("XXB4",'xabang (2016)'!$A$3,"MA_HT","DGT","MA_QH","CSD")</f>
        <v>0</v>
      </c>
      <c r="BF29" s="103">
        <f ca="1" t="shared" si="13"/>
        <v>0</v>
      </c>
      <c r="BG29" s="104">
        <f ca="1">AB$59-$BF29</f>
        <v>0</v>
      </c>
      <c r="BH29" s="47" t="e">
        <f ca="1" t="shared" si="14"/>
        <v>#REF!</v>
      </c>
      <c r="BI29" s="105"/>
      <c r="BJ29" s="105" t="e">
        <f>#REF!</f>
        <v>#REF!</v>
      </c>
      <c r="BK29" s="108" t="e">
        <f ca="1" t="shared" ref="BK29:BK40" si="19">BH29-BJ29</f>
        <v>#REF!</v>
      </c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</row>
    <row r="30" s="4" customFormat="1" ht="16.5" customHeight="1" spans="1:79">
      <c r="A30" s="45" t="s">
        <v>8378</v>
      </c>
      <c r="B30" s="45" t="s">
        <v>8379</v>
      </c>
      <c r="C30" s="46" t="s">
        <v>216</v>
      </c>
      <c r="D30" s="47" t="e">
        <f>+#REF!</f>
        <v>#REF!</v>
      </c>
      <c r="E30" s="42">
        <f ca="1" t="shared" si="15"/>
        <v>0</v>
      </c>
      <c r="F30" s="52">
        <f ca="1" t="shared" si="9"/>
        <v>0</v>
      </c>
      <c r="G30" s="50">
        <f ca="1">+GETPIVOTDATA("XXB4",'xabang (2016)'!$A$3,"MA_HT","DTL","MA_QH","LUC")</f>
        <v>0</v>
      </c>
      <c r="H30" s="50">
        <f ca="1">+GETPIVOTDATA("XXB4",'xabang (2016)'!$A$3,"MA_HT","DTL","MA_QH","LUK")</f>
        <v>0</v>
      </c>
      <c r="I30" s="50">
        <f ca="1">+GETPIVOTDATA("XXB4",'xabang (2016)'!$A$3,"MA_HT","DTL","MA_QH","LUN")</f>
        <v>0</v>
      </c>
      <c r="J30" s="50">
        <f ca="1">+GETPIVOTDATA("XXB4",'xabang (2016)'!$A$3,"MA_HT","DTL","MA_QH","HNK")</f>
        <v>0</v>
      </c>
      <c r="K30" s="50">
        <f ca="1">+GETPIVOTDATA("XXB4",'xabang (2016)'!$A$3,"MA_HT","DTL","MA_QH","CLN")</f>
        <v>0</v>
      </c>
      <c r="L30" s="50">
        <f ca="1">+GETPIVOTDATA("XXB4",'xabang (2016)'!$A$3,"MA_HT","DTL","MA_QH","RSX")</f>
        <v>0</v>
      </c>
      <c r="M30" s="50">
        <f ca="1">+GETPIVOTDATA("XXB4",'xabang (2016)'!$A$3,"MA_HT","DTL","MA_QH","RPH")</f>
        <v>0</v>
      </c>
      <c r="N30" s="50">
        <f ca="1">+GETPIVOTDATA("XXB4",'xabang (2016)'!$A$3,"MA_HT","DTL","MA_QH","RDD")</f>
        <v>0</v>
      </c>
      <c r="O30" s="50">
        <f ca="1">+GETPIVOTDATA("XXB4",'xabang (2016)'!$A$3,"MA_HT","DTL","MA_QH","NTS")</f>
        <v>0</v>
      </c>
      <c r="P30" s="50">
        <f ca="1">+GETPIVOTDATA("XXB4",'xabang (2016)'!$A$3,"MA_HT","DTL","MA_QH","LMU")</f>
        <v>0</v>
      </c>
      <c r="Q30" s="50">
        <f ca="1">+GETPIVOTDATA("XXB4",'xabang (2016)'!$A$3,"MA_HT","DTL","MA_QH","NKH")</f>
        <v>0</v>
      </c>
      <c r="R30" s="48">
        <f ca="1" t="shared" ref="R30:R40" si="20">SUM(S30:AA30,AN30:BD30)</f>
        <v>0</v>
      </c>
      <c r="S30" s="50">
        <f ca="1">+GETPIVOTDATA("XXB4",'xabang (2016)'!$A$3,"MA_HT","DTL","MA_QH","CQP")</f>
        <v>0</v>
      </c>
      <c r="T30" s="50">
        <f ca="1">+GETPIVOTDATA("XXB4",'xabang (2016)'!$A$3,"MA_HT","DTL","MA_QH","CAN")</f>
        <v>0</v>
      </c>
      <c r="U30" s="50">
        <f ca="1">+GETPIVOTDATA("XXB4",'xabang (2016)'!$A$3,"MA_HT","DTL","MA_QH","SKK")</f>
        <v>0</v>
      </c>
      <c r="V30" s="50">
        <f ca="1">+GETPIVOTDATA("XXB4",'xabang (2016)'!$A$3,"MA_HT","DTL","MA_QH","SKT")</f>
        <v>0</v>
      </c>
      <c r="W30" s="50">
        <f ca="1">+GETPIVOTDATA("XXB4",'xabang (2016)'!$A$3,"MA_HT","DTL","MA_QH","SKN")</f>
        <v>0</v>
      </c>
      <c r="X30" s="50">
        <f ca="1">+GETPIVOTDATA("XXB4",'xabang (2016)'!$A$3,"MA_HT","DTL","MA_QH","TMD")</f>
        <v>0</v>
      </c>
      <c r="Y30" s="50">
        <f ca="1">+GETPIVOTDATA("XXB4",'xabang (2016)'!$A$3,"MA_HT","DTL","MA_QH","SKC")</f>
        <v>0</v>
      </c>
      <c r="Z30" s="50">
        <f ca="1">+GETPIVOTDATA("XXB4",'xabang (2016)'!$A$3,"MA_HT","DTL","MA_QH","SKS")</f>
        <v>0</v>
      </c>
      <c r="AA30" s="52">
        <f ca="1">+SUM(AB30,AD30:AM30)</f>
        <v>0</v>
      </c>
      <c r="AB30" s="50">
        <f ca="1">+GETPIVOTDATA("XXB4",'xabang (2016)'!$A$3,"MA_HT","DTL","MA_QH","DGT")</f>
        <v>0</v>
      </c>
      <c r="AC30" s="49" t="e">
        <f ca="1">$D30-$BF30</f>
        <v>#REF!</v>
      </c>
      <c r="AD30" s="50">
        <f ca="1">+GETPIVOTDATA("XXB4",'xabang (2016)'!$A$3,"MA_HT","DTL","MA_QH","DNL")</f>
        <v>0</v>
      </c>
      <c r="AE30" s="50">
        <f ca="1">+GETPIVOTDATA("XXB4",'xabang (2016)'!$A$3,"MA_HT","DTL","MA_QH","DBV")</f>
        <v>0</v>
      </c>
      <c r="AF30" s="50">
        <f ca="1">+GETPIVOTDATA("XXB4",'xabang (2016)'!$A$3,"MA_HT","DTL","MA_QH","DVH")</f>
        <v>0</v>
      </c>
      <c r="AG30" s="50">
        <f ca="1">+GETPIVOTDATA("XXB4",'xabang (2016)'!$A$3,"MA_HT","DTL","MA_QH","DYT")</f>
        <v>0</v>
      </c>
      <c r="AH30" s="50">
        <f ca="1">+GETPIVOTDATA("XXB4",'xabang (2016)'!$A$3,"MA_HT","DTL","MA_QH","DGD")</f>
        <v>0</v>
      </c>
      <c r="AI30" s="50">
        <f ca="1">+GETPIVOTDATA("XXB4",'xabang (2016)'!$A$3,"MA_HT","DTL","MA_QH","DTT")</f>
        <v>0</v>
      </c>
      <c r="AJ30" s="50">
        <f ca="1">+GETPIVOTDATA("XXB4",'xabang (2016)'!$A$3,"MA_HT","DTL","MA_QH","NCK")</f>
        <v>0</v>
      </c>
      <c r="AK30" s="50">
        <f ca="1">+GETPIVOTDATA("XXB4",'xabang (2016)'!$A$3,"MA_HT","DTL","MA_QH","DXH")</f>
        <v>0</v>
      </c>
      <c r="AL30" s="50">
        <f ca="1">+GETPIVOTDATA("XXB4",'xabang (2016)'!$A$3,"MA_HT","DTL","MA_QH","DCH")</f>
        <v>0</v>
      </c>
      <c r="AM30" s="50">
        <f ca="1">+GETPIVOTDATA("XXB4",'xabang (2016)'!$A$3,"MA_HT","DTL","MA_QH","DKG")</f>
        <v>0</v>
      </c>
      <c r="AN30" s="50">
        <f ca="1">+GETPIVOTDATA("XXB4",'xabang (2016)'!$A$3,"MA_HT","DTL","MA_QH","DDT")</f>
        <v>0</v>
      </c>
      <c r="AO30" s="50">
        <f ca="1">+GETPIVOTDATA("XXB4",'xabang (2016)'!$A$3,"MA_HT","DTL","MA_QH","DDL")</f>
        <v>0</v>
      </c>
      <c r="AP30" s="50">
        <f ca="1">+GETPIVOTDATA("XXB4",'xabang (2016)'!$A$3,"MA_HT","DTL","MA_QH","DRA")</f>
        <v>0</v>
      </c>
      <c r="AQ30" s="50">
        <f ca="1">+GETPIVOTDATA("XXB4",'xabang (2016)'!$A$3,"MA_HT","DTL","MA_QH","ONT")</f>
        <v>0</v>
      </c>
      <c r="AR30" s="50">
        <f ca="1">+GETPIVOTDATA("XXB4",'xabang (2016)'!$A$3,"MA_HT","DTL","MA_QH","ODT")</f>
        <v>0</v>
      </c>
      <c r="AS30" s="50">
        <f ca="1">+GETPIVOTDATA("XXB4",'xabang (2016)'!$A$3,"MA_HT","DTL","MA_QH","TSC")</f>
        <v>0</v>
      </c>
      <c r="AT30" s="50">
        <f ca="1">+GETPIVOTDATA("XXB4",'xabang (2016)'!$A$3,"MA_HT","DTL","MA_QH","DTS")</f>
        <v>0</v>
      </c>
      <c r="AU30" s="50">
        <f ca="1">+GETPIVOTDATA("XXB4",'xabang (2016)'!$A$3,"MA_HT","DTL","MA_QH","DNG")</f>
        <v>0</v>
      </c>
      <c r="AV30" s="50">
        <f ca="1">+GETPIVOTDATA("XXB4",'xabang (2016)'!$A$3,"MA_HT","DTL","MA_QH","TON")</f>
        <v>0</v>
      </c>
      <c r="AW30" s="50">
        <f ca="1">+GETPIVOTDATA("XXB4",'xabang (2016)'!$A$3,"MA_HT","DTL","MA_QH","NTD")</f>
        <v>0</v>
      </c>
      <c r="AX30" s="50">
        <f ca="1">+GETPIVOTDATA("XXB4",'xabang (2016)'!$A$3,"MA_HT","DTL","MA_QH","SKX")</f>
        <v>0</v>
      </c>
      <c r="AY30" s="50">
        <f ca="1">+GETPIVOTDATA("XXB4",'xabang (2016)'!$A$3,"MA_HT","DTL","MA_QH","DSH")</f>
        <v>0</v>
      </c>
      <c r="AZ30" s="50">
        <f ca="1">+GETPIVOTDATA("XXB4",'xabang (2016)'!$A$3,"MA_HT","DTL","MA_QH","DKV")</f>
        <v>0</v>
      </c>
      <c r="BA30" s="88">
        <f ca="1">+GETPIVOTDATA("XXB4",'xabang (2016)'!$A$3,"MA_HT","DTL","MA_QH","TIN")</f>
        <v>0</v>
      </c>
      <c r="BB30" s="50">
        <f ca="1">+GETPIVOTDATA("XXB4",'xabang (2016)'!$A$3,"MA_HT","DTL","MA_QH","SON")</f>
        <v>0</v>
      </c>
      <c r="BC30" s="50">
        <f ca="1">+GETPIVOTDATA("XXB4",'xabang (2016)'!$A$3,"MA_HT","DTL","MA_QH","MNC")</f>
        <v>0</v>
      </c>
      <c r="BD30" s="50">
        <f ca="1">+GETPIVOTDATA("XXB4",'xabang (2016)'!$A$3,"MA_HT","DTL","MA_QH","PNK")</f>
        <v>0</v>
      </c>
      <c r="BE30" s="80">
        <f ca="1">+GETPIVOTDATA("XXB4",'xabang (2016)'!$A$3,"MA_HT","DTL","MA_QH","CSD")</f>
        <v>0</v>
      </c>
      <c r="BF30" s="103">
        <f ca="1" t="shared" si="13"/>
        <v>0</v>
      </c>
      <c r="BG30" s="104">
        <f ca="1">AC$59-$BF30</f>
        <v>0</v>
      </c>
      <c r="BH30" s="47" t="e">
        <f ca="1" t="shared" si="14"/>
        <v>#REF!</v>
      </c>
      <c r="BI30" s="105"/>
      <c r="BJ30" s="105" t="e">
        <f>#REF!</f>
        <v>#REF!</v>
      </c>
      <c r="BK30" s="108" t="e">
        <f ca="1" t="shared" si="19"/>
        <v>#REF!</v>
      </c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</row>
    <row r="31" s="4" customFormat="1" ht="16.5" customHeight="1" spans="1:79">
      <c r="A31" s="45" t="s">
        <v>8380</v>
      </c>
      <c r="B31" s="45" t="s">
        <v>8381</v>
      </c>
      <c r="C31" s="46" t="s">
        <v>71</v>
      </c>
      <c r="D31" s="47" t="e">
        <f>+#REF!</f>
        <v>#REF!</v>
      </c>
      <c r="E31" s="42">
        <f ca="1" t="shared" si="15"/>
        <v>0</v>
      </c>
      <c r="F31" s="52">
        <f ca="1" t="shared" si="9"/>
        <v>0</v>
      </c>
      <c r="G31" s="50">
        <f ca="1">+GETPIVOTDATA("XXB4",'xabang (2016)'!$A$3,"MA_HT","DNL","MA_QH","LUC")</f>
        <v>0</v>
      </c>
      <c r="H31" s="50">
        <f ca="1">+GETPIVOTDATA("XXB4",'xabang (2016)'!$A$3,"MA_HT","DNL","MA_QH","LUK")</f>
        <v>0</v>
      </c>
      <c r="I31" s="50">
        <f ca="1">+GETPIVOTDATA("XXB4",'xabang (2016)'!$A$3,"MA_HT","DNL","MA_QH","LUN")</f>
        <v>0</v>
      </c>
      <c r="J31" s="50">
        <f ca="1">+GETPIVOTDATA("XXB4",'xabang (2016)'!$A$3,"MA_HT","DNL","MA_QH","HNK")</f>
        <v>0</v>
      </c>
      <c r="K31" s="50">
        <f ca="1">+GETPIVOTDATA("XXB4",'xabang (2016)'!$A$3,"MA_HT","DNL","MA_QH","CLN")</f>
        <v>0</v>
      </c>
      <c r="L31" s="50">
        <f ca="1">+GETPIVOTDATA("XXB4",'xabang (2016)'!$A$3,"MA_HT","DNL","MA_QH","RSX")</f>
        <v>0</v>
      </c>
      <c r="M31" s="50">
        <f ca="1">+GETPIVOTDATA("XXB4",'xabang (2016)'!$A$3,"MA_HT","DNL","MA_QH","RPH")</f>
        <v>0</v>
      </c>
      <c r="N31" s="50">
        <f ca="1">+GETPIVOTDATA("XXB4",'xabang (2016)'!$A$3,"MA_HT","DNL","MA_QH","RDD")</f>
        <v>0</v>
      </c>
      <c r="O31" s="50">
        <f ca="1">+GETPIVOTDATA("XXB4",'xabang (2016)'!$A$3,"MA_HT","DNL","MA_QH","NTS")</f>
        <v>0</v>
      </c>
      <c r="P31" s="50">
        <f ca="1">+GETPIVOTDATA("XXB4",'xabang (2016)'!$A$3,"MA_HT","DNL","MA_QH","LMU")</f>
        <v>0</v>
      </c>
      <c r="Q31" s="50">
        <f ca="1">+GETPIVOTDATA("XXB4",'xabang (2016)'!$A$3,"MA_HT","DNL","MA_QH","NKH")</f>
        <v>0</v>
      </c>
      <c r="R31" s="48">
        <f ca="1" t="shared" si="20"/>
        <v>0</v>
      </c>
      <c r="S31" s="50">
        <f ca="1">+GETPIVOTDATA("XXB4",'xabang (2016)'!$A$3,"MA_HT","DNL","MA_QH","CQP")</f>
        <v>0</v>
      </c>
      <c r="T31" s="50">
        <f ca="1">+GETPIVOTDATA("XXB4",'xabang (2016)'!$A$3,"MA_HT","DNL","MA_QH","CAN")</f>
        <v>0</v>
      </c>
      <c r="U31" s="50">
        <f ca="1">+GETPIVOTDATA("XXB4",'xabang (2016)'!$A$3,"MA_HT","DNL","MA_QH","SKK")</f>
        <v>0</v>
      </c>
      <c r="V31" s="50">
        <f ca="1">+GETPIVOTDATA("XXB4",'xabang (2016)'!$A$3,"MA_HT","DNL","MA_QH","SKT")</f>
        <v>0</v>
      </c>
      <c r="W31" s="50">
        <f ca="1">+GETPIVOTDATA("XXB4",'xabang (2016)'!$A$3,"MA_HT","DNL","MA_QH","SKN")</f>
        <v>0</v>
      </c>
      <c r="X31" s="50">
        <f ca="1">+GETPIVOTDATA("XXB4",'xabang (2016)'!$A$3,"MA_HT","DNL","MA_QH","TMD")</f>
        <v>0</v>
      </c>
      <c r="Y31" s="50">
        <f ca="1">+GETPIVOTDATA("XXB4",'xabang (2016)'!$A$3,"MA_HT","DNL","MA_QH","SKC")</f>
        <v>0</v>
      </c>
      <c r="Z31" s="50">
        <f ca="1">+GETPIVOTDATA("XXB4",'xabang (2016)'!$A$3,"MA_HT","DNL","MA_QH","SKS")</f>
        <v>0</v>
      </c>
      <c r="AA31" s="52">
        <f ca="1">+SUM(AB31:AC31,AE31:AM31)</f>
        <v>0</v>
      </c>
      <c r="AB31" s="50">
        <f ca="1">+GETPIVOTDATA("XXB4",'xabang (2016)'!$A$3,"MA_HT","DNL","MA_QH","DGT")</f>
        <v>0</v>
      </c>
      <c r="AC31" s="50">
        <f ca="1">+GETPIVOTDATA("XXB4",'xabang (2016)'!$A$3,"MA_HT","DNL","MA_QH","DTL")</f>
        <v>0</v>
      </c>
      <c r="AD31" s="49" t="e">
        <f ca="1">$D31-$BF31</f>
        <v>#REF!</v>
      </c>
      <c r="AE31" s="50">
        <f ca="1">+GETPIVOTDATA("XXB4",'xabang (2016)'!$A$3,"MA_HT","DNL","MA_QH","DBV")</f>
        <v>0</v>
      </c>
      <c r="AF31" s="50">
        <f ca="1">+GETPIVOTDATA("XXB4",'xabang (2016)'!$A$3,"MA_HT","DNL","MA_QH","DVH")</f>
        <v>0</v>
      </c>
      <c r="AG31" s="50">
        <f ca="1">+GETPIVOTDATA("XXB4",'xabang (2016)'!$A$3,"MA_HT","DNL","MA_QH","DYT")</f>
        <v>0</v>
      </c>
      <c r="AH31" s="50">
        <f ca="1">+GETPIVOTDATA("XXB4",'xabang (2016)'!$A$3,"MA_HT","DNL","MA_QH","DGD")</f>
        <v>0</v>
      </c>
      <c r="AI31" s="50">
        <f ca="1">+GETPIVOTDATA("XXB4",'xabang (2016)'!$A$3,"MA_HT","DNL","MA_QH","DTT")</f>
        <v>0</v>
      </c>
      <c r="AJ31" s="50">
        <f ca="1">+GETPIVOTDATA("XXB4",'xabang (2016)'!$A$3,"MA_HT","DNL","MA_QH","NCK")</f>
        <v>0</v>
      </c>
      <c r="AK31" s="50">
        <f ca="1">+GETPIVOTDATA("XXB4",'xabang (2016)'!$A$3,"MA_HT","DNL","MA_QH","DXH")</f>
        <v>0</v>
      </c>
      <c r="AL31" s="50">
        <f ca="1">+GETPIVOTDATA("XXB4",'xabang (2016)'!$A$3,"MA_HT","DNL","MA_QH","DCH")</f>
        <v>0</v>
      </c>
      <c r="AM31" s="50">
        <f ca="1">+GETPIVOTDATA("XXB4",'xabang (2016)'!$A$3,"MA_HT","DNL","MA_QH","DKG")</f>
        <v>0</v>
      </c>
      <c r="AN31" s="50">
        <f ca="1">+GETPIVOTDATA("XXB4",'xabang (2016)'!$A$3,"MA_HT","DNL","MA_QH","DDT")</f>
        <v>0</v>
      </c>
      <c r="AO31" s="50">
        <f ca="1">+GETPIVOTDATA("XXB4",'xabang (2016)'!$A$3,"MA_HT","DNL","MA_QH","DDL")</f>
        <v>0</v>
      </c>
      <c r="AP31" s="50">
        <f ca="1">+GETPIVOTDATA("XXB4",'xabang (2016)'!$A$3,"MA_HT","DNL","MA_QH","DRA")</f>
        <v>0</v>
      </c>
      <c r="AQ31" s="50">
        <f ca="1">+GETPIVOTDATA("XXB4",'xabang (2016)'!$A$3,"MA_HT","DNL","MA_QH","ONT")</f>
        <v>0</v>
      </c>
      <c r="AR31" s="50">
        <f ca="1">+GETPIVOTDATA("XXB4",'xabang (2016)'!$A$3,"MA_HT","DNL","MA_QH","ODT")</f>
        <v>0</v>
      </c>
      <c r="AS31" s="50">
        <f ca="1">+GETPIVOTDATA("XXB4",'xabang (2016)'!$A$3,"MA_HT","DNL","MA_QH","TSC")</f>
        <v>0</v>
      </c>
      <c r="AT31" s="50">
        <f ca="1">+GETPIVOTDATA("XXB4",'xabang (2016)'!$A$3,"MA_HT","DNL","MA_QH","DTS")</f>
        <v>0</v>
      </c>
      <c r="AU31" s="50">
        <f ca="1">+GETPIVOTDATA("XXB4",'xabang (2016)'!$A$3,"MA_HT","DNL","MA_QH","DNG")</f>
        <v>0</v>
      </c>
      <c r="AV31" s="50">
        <f ca="1">+GETPIVOTDATA("XXB4",'xabang (2016)'!$A$3,"MA_HT","DNL","MA_QH","TON")</f>
        <v>0</v>
      </c>
      <c r="AW31" s="50">
        <f ca="1">+GETPIVOTDATA("XXB4",'xabang (2016)'!$A$3,"MA_HT","DNL","MA_QH","NTD")</f>
        <v>0</v>
      </c>
      <c r="AX31" s="50">
        <f ca="1">+GETPIVOTDATA("XXB4",'xabang (2016)'!$A$3,"MA_HT","DNL","MA_QH","SKX")</f>
        <v>0</v>
      </c>
      <c r="AY31" s="50">
        <f ca="1">+GETPIVOTDATA("XXB4",'xabang (2016)'!$A$3,"MA_HT","DNL","MA_QH","DSH")</f>
        <v>0</v>
      </c>
      <c r="AZ31" s="50">
        <f ca="1">+GETPIVOTDATA("XXB4",'xabang (2016)'!$A$3,"MA_HT","DNL","MA_QH","DKV")</f>
        <v>0</v>
      </c>
      <c r="BA31" s="88">
        <f ca="1">+GETPIVOTDATA("XXB4",'xabang (2016)'!$A$3,"MA_HT","DNL","MA_QH","TIN")</f>
        <v>0</v>
      </c>
      <c r="BB31" s="50">
        <f ca="1">+GETPIVOTDATA("XXB4",'xabang (2016)'!$A$3,"MA_HT","DNL","MA_QH","SON")</f>
        <v>0</v>
      </c>
      <c r="BC31" s="50">
        <f ca="1">+GETPIVOTDATA("XXB4",'xabang (2016)'!$A$3,"MA_HT","DNL","MA_QH","MNC")</f>
        <v>0</v>
      </c>
      <c r="BD31" s="50">
        <f ca="1">+GETPIVOTDATA("XXB4",'xabang (2016)'!$A$3,"MA_HT","DNL","MA_QH","PNK")</f>
        <v>0</v>
      </c>
      <c r="BE31" s="80">
        <f ca="1">+GETPIVOTDATA("XXB4",'xabang (2016)'!$A$3,"MA_HT","DNL","MA_QH","CSD")</f>
        <v>0</v>
      </c>
      <c r="BF31" s="103">
        <f ca="1" t="shared" si="13"/>
        <v>0</v>
      </c>
      <c r="BG31" s="104">
        <f ca="1">AD$59-$BF31</f>
        <v>0</v>
      </c>
      <c r="BH31" s="47" t="e">
        <f ca="1" t="shared" si="14"/>
        <v>#REF!</v>
      </c>
      <c r="BI31" s="105"/>
      <c r="BJ31" s="105" t="e">
        <f>#REF!</f>
        <v>#REF!</v>
      </c>
      <c r="BK31" s="108" t="e">
        <f ca="1" t="shared" si="19"/>
        <v>#REF!</v>
      </c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</row>
    <row r="32" s="4" customFormat="1" ht="16.5" customHeight="1" spans="1:79">
      <c r="A32" s="45" t="s">
        <v>8382</v>
      </c>
      <c r="B32" s="45" t="s">
        <v>8383</v>
      </c>
      <c r="C32" s="46" t="s">
        <v>8285</v>
      </c>
      <c r="D32" s="47" t="e">
        <f>+#REF!</f>
        <v>#REF!</v>
      </c>
      <c r="E32" s="42">
        <f ca="1" t="shared" si="15"/>
        <v>0</v>
      </c>
      <c r="F32" s="52">
        <f ca="1" t="shared" si="9"/>
        <v>0</v>
      </c>
      <c r="G32" s="50">
        <f ca="1">+GETPIVOTDATA("XXB4",'xabang (2016)'!$A$3,"MA_HT","DBV","MA_QH","LUC")</f>
        <v>0</v>
      </c>
      <c r="H32" s="50">
        <f ca="1">+GETPIVOTDATA("XXB4",'xabang (2016)'!$A$3,"MA_HT","DBV","MA_QH","LUK")</f>
        <v>0</v>
      </c>
      <c r="I32" s="50">
        <f ca="1">+GETPIVOTDATA("XXB4",'xabang (2016)'!$A$3,"MA_HT","DBV","MA_QH","LUN")</f>
        <v>0</v>
      </c>
      <c r="J32" s="50">
        <f ca="1">+GETPIVOTDATA("XXB4",'xabang (2016)'!$A$3,"MA_HT","DBV","MA_QH","HNK")</f>
        <v>0</v>
      </c>
      <c r="K32" s="50">
        <f ca="1">+GETPIVOTDATA("XXB4",'xabang (2016)'!$A$3,"MA_HT","DBV","MA_QH","CLN")</f>
        <v>0</v>
      </c>
      <c r="L32" s="50">
        <f ca="1">+GETPIVOTDATA("XXB4",'xabang (2016)'!$A$3,"MA_HT","DBV","MA_QH","RSX")</f>
        <v>0</v>
      </c>
      <c r="M32" s="50">
        <f ca="1">+GETPIVOTDATA("XXB4",'xabang (2016)'!$A$3,"MA_HT","DBV","MA_QH","RPH")</f>
        <v>0</v>
      </c>
      <c r="N32" s="50">
        <f ca="1">+GETPIVOTDATA("XXB4",'xabang (2016)'!$A$3,"MA_HT","DBV","MA_QH","RDD")</f>
        <v>0</v>
      </c>
      <c r="O32" s="50">
        <f ca="1">+GETPIVOTDATA("XXB4",'xabang (2016)'!$A$3,"MA_HT","DBV","MA_QH","NTS")</f>
        <v>0</v>
      </c>
      <c r="P32" s="50">
        <f ca="1">+GETPIVOTDATA("XXB4",'xabang (2016)'!$A$3,"MA_HT","DBV","MA_QH","LMU")</f>
        <v>0</v>
      </c>
      <c r="Q32" s="50">
        <f ca="1">+GETPIVOTDATA("XXB4",'xabang (2016)'!$A$3,"MA_HT","DBV","MA_QH","NKH")</f>
        <v>0</v>
      </c>
      <c r="R32" s="48">
        <f ca="1" t="shared" si="20"/>
        <v>0</v>
      </c>
      <c r="S32" s="50">
        <f ca="1">+GETPIVOTDATA("XXB4",'xabang (2016)'!$A$3,"MA_HT","DBV","MA_QH","CQP")</f>
        <v>0</v>
      </c>
      <c r="T32" s="50">
        <f ca="1">+GETPIVOTDATA("XXB4",'xabang (2016)'!$A$3,"MA_HT","DBV","MA_QH","CAN")</f>
        <v>0</v>
      </c>
      <c r="U32" s="50">
        <f ca="1">+GETPIVOTDATA("XXB4",'xabang (2016)'!$A$3,"MA_HT","DBV","MA_QH","SKK")</f>
        <v>0</v>
      </c>
      <c r="V32" s="50">
        <f ca="1">+GETPIVOTDATA("XXB4",'xabang (2016)'!$A$3,"MA_HT","DBV","MA_QH","SKT")</f>
        <v>0</v>
      </c>
      <c r="W32" s="50">
        <f ca="1">+GETPIVOTDATA("XXB4",'xabang (2016)'!$A$3,"MA_HT","DBV","MA_QH","SKN")</f>
        <v>0</v>
      </c>
      <c r="X32" s="50">
        <f ca="1">+GETPIVOTDATA("XXB4",'xabang (2016)'!$A$3,"MA_HT","DBV","MA_QH","TMD")</f>
        <v>0</v>
      </c>
      <c r="Y32" s="50">
        <f ca="1">+GETPIVOTDATA("XXB4",'xabang (2016)'!$A$3,"MA_HT","DBV","MA_QH","SKC")</f>
        <v>0</v>
      </c>
      <c r="Z32" s="50">
        <f ca="1">+GETPIVOTDATA("XXB4",'xabang (2016)'!$A$3,"MA_HT","DBV","MA_QH","SKS")</f>
        <v>0</v>
      </c>
      <c r="AA32" s="52">
        <f ca="1">+SUM(AB32:AD32,AF32:AM32)</f>
        <v>0</v>
      </c>
      <c r="AB32" s="50">
        <f ca="1">+GETPIVOTDATA("XXB4",'xabang (2016)'!$A$3,"MA_HT","DBV","MA_QH","DGT")</f>
        <v>0</v>
      </c>
      <c r="AC32" s="50">
        <f ca="1">+GETPIVOTDATA("XXB4",'xabang (2016)'!$A$3,"MA_HT","DBV","MA_QH","DTL")</f>
        <v>0</v>
      </c>
      <c r="AD32" s="50">
        <f ca="1">+GETPIVOTDATA("XXB4",'xabang (2016)'!$A$3,"MA_HT","DBV","MA_QH","DNL")</f>
        <v>0</v>
      </c>
      <c r="AE32" s="49" t="e">
        <f ca="1">$D32-$BF32</f>
        <v>#REF!</v>
      </c>
      <c r="AF32" s="50">
        <f ca="1">+GETPIVOTDATA("XXB4",'xabang (2016)'!$A$3,"MA_HT","DBV","MA_QH","DVH")</f>
        <v>0</v>
      </c>
      <c r="AG32" s="50">
        <f ca="1">+GETPIVOTDATA("XXB4",'xabang (2016)'!$A$3,"MA_HT","DBV","MA_QH","DYT")</f>
        <v>0</v>
      </c>
      <c r="AH32" s="50">
        <f ca="1">+GETPIVOTDATA("XXB4",'xabang (2016)'!$A$3,"MA_HT","DBV","MA_QH","DGD")</f>
        <v>0</v>
      </c>
      <c r="AI32" s="50">
        <f ca="1">+GETPIVOTDATA("XXB4",'xabang (2016)'!$A$3,"MA_HT","DBV","MA_QH","DTT")</f>
        <v>0</v>
      </c>
      <c r="AJ32" s="50">
        <f ca="1">+GETPIVOTDATA("XXB4",'xabang (2016)'!$A$3,"MA_HT","DBV","MA_QH","NCK")</f>
        <v>0</v>
      </c>
      <c r="AK32" s="50">
        <f ca="1">+GETPIVOTDATA("XXB4",'xabang (2016)'!$A$3,"MA_HT","DBV","MA_QH","DXH")</f>
        <v>0</v>
      </c>
      <c r="AL32" s="50">
        <f ca="1">+GETPIVOTDATA("XXB4",'xabang (2016)'!$A$3,"MA_HT","DBV","MA_QH","DCH")</f>
        <v>0</v>
      </c>
      <c r="AM32" s="50">
        <f ca="1">+GETPIVOTDATA("XXB4",'xabang (2016)'!$A$3,"MA_HT","DBV","MA_QH","DKG")</f>
        <v>0</v>
      </c>
      <c r="AN32" s="50">
        <f ca="1">+GETPIVOTDATA("XXB4",'xabang (2016)'!$A$3,"MA_HT","DBV","MA_QH","DDT")</f>
        <v>0</v>
      </c>
      <c r="AO32" s="50">
        <f ca="1">+GETPIVOTDATA("XXB4",'xabang (2016)'!$A$3,"MA_HT","DBV","MA_QH","DDL")</f>
        <v>0</v>
      </c>
      <c r="AP32" s="50">
        <f ca="1">+GETPIVOTDATA("XXB4",'xabang (2016)'!$A$3,"MA_HT","DBV","MA_QH","DRA")</f>
        <v>0</v>
      </c>
      <c r="AQ32" s="50">
        <f ca="1">+GETPIVOTDATA("XXB4",'xabang (2016)'!$A$3,"MA_HT","DBV","MA_QH","ONT")</f>
        <v>0</v>
      </c>
      <c r="AR32" s="50">
        <f ca="1">+GETPIVOTDATA("XXB4",'xabang (2016)'!$A$3,"MA_HT","DBV","MA_QH","ODT")</f>
        <v>0</v>
      </c>
      <c r="AS32" s="50">
        <f ca="1">+GETPIVOTDATA("XXB4",'xabang (2016)'!$A$3,"MA_HT","DBV","MA_QH","TSC")</f>
        <v>0</v>
      </c>
      <c r="AT32" s="50">
        <f ca="1">+GETPIVOTDATA("XXB4",'xabang (2016)'!$A$3,"MA_HT","DBV","MA_QH","DTS")</f>
        <v>0</v>
      </c>
      <c r="AU32" s="50">
        <f ca="1">+GETPIVOTDATA("XXB4",'xabang (2016)'!$A$3,"MA_HT","DBV","MA_QH","DNG")</f>
        <v>0</v>
      </c>
      <c r="AV32" s="50">
        <f ca="1">+GETPIVOTDATA("XXB4",'xabang (2016)'!$A$3,"MA_HT","DBV","MA_QH","TON")</f>
        <v>0</v>
      </c>
      <c r="AW32" s="50">
        <f ca="1">+GETPIVOTDATA("XXB4",'xabang (2016)'!$A$3,"MA_HT","DBV","MA_QH","NTD")</f>
        <v>0</v>
      </c>
      <c r="AX32" s="50">
        <f ca="1">+GETPIVOTDATA("XXB4",'xabang (2016)'!$A$3,"MA_HT","DBV","MA_QH","SKX")</f>
        <v>0</v>
      </c>
      <c r="AY32" s="50">
        <f ca="1">+GETPIVOTDATA("XXB4",'xabang (2016)'!$A$3,"MA_HT","DBV","MA_QH","DSH")</f>
        <v>0</v>
      </c>
      <c r="AZ32" s="50">
        <f ca="1">+GETPIVOTDATA("XXB4",'xabang (2016)'!$A$3,"MA_HT","DBV","MA_QH","DKV")</f>
        <v>0</v>
      </c>
      <c r="BA32" s="88">
        <f ca="1">+GETPIVOTDATA("XXB4",'xabang (2016)'!$A$3,"MA_HT","DBV","MA_QH","TIN")</f>
        <v>0</v>
      </c>
      <c r="BB32" s="50">
        <f ca="1">+GETPIVOTDATA("XXB4",'xabang (2016)'!$A$3,"MA_HT","DBV","MA_QH","SON")</f>
        <v>0</v>
      </c>
      <c r="BC32" s="50">
        <f ca="1">+GETPIVOTDATA("XXB4",'xabang (2016)'!$A$3,"MA_HT","DBV","MA_QH","MNC")</f>
        <v>0</v>
      </c>
      <c r="BD32" s="50">
        <f ca="1">+GETPIVOTDATA("XXB4",'xabang (2016)'!$A$3,"MA_HT","DBV","MA_QH","PNK")</f>
        <v>0</v>
      </c>
      <c r="BE32" s="80">
        <f ca="1">+GETPIVOTDATA("XXB4",'xabang (2016)'!$A$3,"MA_HT","DBV","MA_QH","CSD")</f>
        <v>0</v>
      </c>
      <c r="BF32" s="103">
        <f ca="1" t="shared" si="13"/>
        <v>0</v>
      </c>
      <c r="BG32" s="104">
        <f ca="1">AE$59-$BF32</f>
        <v>0</v>
      </c>
      <c r="BH32" s="47" t="e">
        <f ca="1" t="shared" si="14"/>
        <v>#REF!</v>
      </c>
      <c r="BI32" s="105"/>
      <c r="BJ32" s="105" t="e">
        <f>#REF!</f>
        <v>#REF!</v>
      </c>
      <c r="BK32" s="108" t="e">
        <f ca="1" t="shared" si="19"/>
        <v>#REF!</v>
      </c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</row>
    <row r="33" s="4" customFormat="1" ht="16.5" customHeight="1" spans="1:79">
      <c r="A33" s="45" t="s">
        <v>8384</v>
      </c>
      <c r="B33" s="45" t="s">
        <v>8385</v>
      </c>
      <c r="C33" s="46" t="s">
        <v>212</v>
      </c>
      <c r="D33" s="47" t="e">
        <f>+#REF!</f>
        <v>#REF!</v>
      </c>
      <c r="E33" s="42">
        <f ca="1" t="shared" si="15"/>
        <v>0</v>
      </c>
      <c r="F33" s="52">
        <f ca="1" t="shared" si="9"/>
        <v>0</v>
      </c>
      <c r="G33" s="50">
        <f ca="1">+GETPIVOTDATA("XXB4",'xabang (2016)'!$A$3,"MA_HT","DVH","MA_QH","LUC")</f>
        <v>0</v>
      </c>
      <c r="H33" s="50">
        <f ca="1">+GETPIVOTDATA("XXB4",'xabang (2016)'!$A$3,"MA_HT","DVH","MA_QH","LUK")</f>
        <v>0</v>
      </c>
      <c r="I33" s="50">
        <f ca="1">+GETPIVOTDATA("XXB4",'xabang (2016)'!$A$3,"MA_HT","DVH","MA_QH","LUN")</f>
        <v>0</v>
      </c>
      <c r="J33" s="50">
        <f ca="1">+GETPIVOTDATA("XXB4",'xabang (2016)'!$A$3,"MA_HT","DVH","MA_QH","HNK")</f>
        <v>0</v>
      </c>
      <c r="K33" s="50">
        <f ca="1">+GETPIVOTDATA("XXB4",'xabang (2016)'!$A$3,"MA_HT","DVH","MA_QH","CLN")</f>
        <v>0</v>
      </c>
      <c r="L33" s="50">
        <f ca="1">+GETPIVOTDATA("XXB4",'xabang (2016)'!$A$3,"MA_HT","DVH","MA_QH","RSX")</f>
        <v>0</v>
      </c>
      <c r="M33" s="50">
        <f ca="1">+GETPIVOTDATA("XXB4",'xabang (2016)'!$A$3,"MA_HT","DVH","MA_QH","RPH")</f>
        <v>0</v>
      </c>
      <c r="N33" s="50">
        <f ca="1">+GETPIVOTDATA("XXB4",'xabang (2016)'!$A$3,"MA_HT","DVH","MA_QH","RDD")</f>
        <v>0</v>
      </c>
      <c r="O33" s="50">
        <f ca="1">+GETPIVOTDATA("XXB4",'xabang (2016)'!$A$3,"MA_HT","DVH","MA_QH","NTS")</f>
        <v>0</v>
      </c>
      <c r="P33" s="50">
        <f ca="1">+GETPIVOTDATA("XXB4",'xabang (2016)'!$A$3,"MA_HT","DVH","MA_QH","LMU")</f>
        <v>0</v>
      </c>
      <c r="Q33" s="50">
        <f ca="1">+GETPIVOTDATA("XXB4",'xabang (2016)'!$A$3,"MA_HT","DVH","MA_QH","NKH")</f>
        <v>0</v>
      </c>
      <c r="R33" s="48">
        <f ca="1" t="shared" si="20"/>
        <v>0</v>
      </c>
      <c r="S33" s="50">
        <f ca="1">+GETPIVOTDATA("XXB4",'xabang (2016)'!$A$3,"MA_HT","DVH","MA_QH","CQP")</f>
        <v>0</v>
      </c>
      <c r="T33" s="50">
        <f ca="1">+GETPIVOTDATA("XXB4",'xabang (2016)'!$A$3,"MA_HT","DVH","MA_QH","CAN")</f>
        <v>0</v>
      </c>
      <c r="U33" s="50">
        <f ca="1">+GETPIVOTDATA("XXB4",'xabang (2016)'!$A$3,"MA_HT","DVH","MA_QH","SKK")</f>
        <v>0</v>
      </c>
      <c r="V33" s="50">
        <f ca="1">+GETPIVOTDATA("XXB4",'xabang (2016)'!$A$3,"MA_HT","DVH","MA_QH","SKT")</f>
        <v>0</v>
      </c>
      <c r="W33" s="50">
        <f ca="1">+GETPIVOTDATA("XXB4",'xabang (2016)'!$A$3,"MA_HT","DVH","MA_QH","SKN")</f>
        <v>0</v>
      </c>
      <c r="X33" s="50">
        <f ca="1">+GETPIVOTDATA("XXB4",'xabang (2016)'!$A$3,"MA_HT","DVH","MA_QH","TMD")</f>
        <v>0</v>
      </c>
      <c r="Y33" s="50">
        <f ca="1">+GETPIVOTDATA("XXB4",'xabang (2016)'!$A$3,"MA_HT","DVH","MA_QH","SKC")</f>
        <v>0</v>
      </c>
      <c r="Z33" s="50">
        <f ca="1">+GETPIVOTDATA("XXB4",'xabang (2016)'!$A$3,"MA_HT","DVH","MA_QH","SKS")</f>
        <v>0</v>
      </c>
      <c r="AA33" s="52">
        <f ca="1">+SUM(AB33:AE33,AG33:AM33)</f>
        <v>0</v>
      </c>
      <c r="AB33" s="50">
        <f ca="1">+GETPIVOTDATA("XXB4",'xabang (2016)'!$A$3,"MA_HT","DVH","MA_QH","DGT")</f>
        <v>0</v>
      </c>
      <c r="AC33" s="50">
        <f ca="1">+GETPIVOTDATA("XXB4",'xabang (2016)'!$A$3,"MA_HT","DVH","MA_QH","DTL")</f>
        <v>0</v>
      </c>
      <c r="AD33" s="50">
        <f ca="1">+GETPIVOTDATA("XXB4",'xabang (2016)'!$A$3,"MA_HT","DVH","MA_QH","DNL")</f>
        <v>0</v>
      </c>
      <c r="AE33" s="50">
        <f ca="1">+GETPIVOTDATA("XXB4",'xabang (2016)'!$A$3,"MA_HT","DVH","MA_QH","DBV")</f>
        <v>0</v>
      </c>
      <c r="AF33" s="49" t="e">
        <f ca="1">$D33-$BF33</f>
        <v>#REF!</v>
      </c>
      <c r="AG33" s="50">
        <f ca="1">+GETPIVOTDATA("XXB4",'xabang (2016)'!$A$3,"MA_HT","DVH","MA_QH","DYT")</f>
        <v>0</v>
      </c>
      <c r="AH33" s="50">
        <f ca="1">+GETPIVOTDATA("XXB4",'xabang (2016)'!$A$3,"MA_HT","DVH","MA_QH","DGD")</f>
        <v>0</v>
      </c>
      <c r="AI33" s="50">
        <f ca="1">+GETPIVOTDATA("XXB4",'xabang (2016)'!$A$3,"MA_HT","DVH","MA_QH","DTT")</f>
        <v>0</v>
      </c>
      <c r="AJ33" s="50">
        <f ca="1">+GETPIVOTDATA("XXB4",'xabang (2016)'!$A$3,"MA_HT","DVH","MA_QH","NCK")</f>
        <v>0</v>
      </c>
      <c r="AK33" s="50">
        <f ca="1">+GETPIVOTDATA("XXB4",'xabang (2016)'!$A$3,"MA_HT","DVH","MA_QH","DXH")</f>
        <v>0</v>
      </c>
      <c r="AL33" s="50">
        <f ca="1">+GETPIVOTDATA("XXB4",'xabang (2016)'!$A$3,"MA_HT","DVH","MA_QH","DCH")</f>
        <v>0</v>
      </c>
      <c r="AM33" s="50">
        <f ca="1">+GETPIVOTDATA("XXB4",'xabang (2016)'!$A$3,"MA_HT","DVH","MA_QH","DKG")</f>
        <v>0</v>
      </c>
      <c r="AN33" s="50">
        <f ca="1">+GETPIVOTDATA("XXB4",'xabang (2016)'!$A$3,"MA_HT","DVH","MA_QH","DDT")</f>
        <v>0</v>
      </c>
      <c r="AO33" s="50">
        <f ca="1">+GETPIVOTDATA("XXB4",'xabang (2016)'!$A$3,"MA_HT","DVH","MA_QH","DDL")</f>
        <v>0</v>
      </c>
      <c r="AP33" s="50">
        <f ca="1">+GETPIVOTDATA("XXB4",'xabang (2016)'!$A$3,"MA_HT","DVH","MA_QH","DRA")</f>
        <v>0</v>
      </c>
      <c r="AQ33" s="50">
        <f ca="1">+GETPIVOTDATA("XXB4",'xabang (2016)'!$A$3,"MA_HT","DVH","MA_QH","ONT")</f>
        <v>0</v>
      </c>
      <c r="AR33" s="50">
        <f ca="1">+GETPIVOTDATA("XXB4",'xabang (2016)'!$A$3,"MA_HT","DVH","MA_QH","ODT")</f>
        <v>0</v>
      </c>
      <c r="AS33" s="50">
        <f ca="1">+GETPIVOTDATA("XXB4",'xabang (2016)'!$A$3,"MA_HT","DVH","MA_QH","TSC")</f>
        <v>0</v>
      </c>
      <c r="AT33" s="50">
        <f ca="1">+GETPIVOTDATA("XXB4",'xabang (2016)'!$A$3,"MA_HT","DVH","MA_QH","DTS")</f>
        <v>0</v>
      </c>
      <c r="AU33" s="50">
        <f ca="1">+GETPIVOTDATA("XXB4",'xabang (2016)'!$A$3,"MA_HT","DVH","MA_QH","DNG")</f>
        <v>0</v>
      </c>
      <c r="AV33" s="50">
        <f ca="1">+GETPIVOTDATA("XXB4",'xabang (2016)'!$A$3,"MA_HT","DVH","MA_QH","TON")</f>
        <v>0</v>
      </c>
      <c r="AW33" s="50">
        <f ca="1">+GETPIVOTDATA("XXB4",'xabang (2016)'!$A$3,"MA_HT","DVH","MA_QH","NTD")</f>
        <v>0</v>
      </c>
      <c r="AX33" s="50">
        <f ca="1">+GETPIVOTDATA("XXB4",'xabang (2016)'!$A$3,"MA_HT","DVH","MA_QH","SKX")</f>
        <v>0</v>
      </c>
      <c r="AY33" s="50">
        <f ca="1">+GETPIVOTDATA("XXB4",'xabang (2016)'!$A$3,"MA_HT","DVH","MA_QH","DSH")</f>
        <v>0</v>
      </c>
      <c r="AZ33" s="50">
        <f ca="1">+GETPIVOTDATA("XXB4",'xabang (2016)'!$A$3,"MA_HT","DVH","MA_QH","DKV")</f>
        <v>0</v>
      </c>
      <c r="BA33" s="88">
        <f ca="1">+GETPIVOTDATA("XXB4",'xabang (2016)'!$A$3,"MA_HT","DVH","MA_QH","TIN")</f>
        <v>0</v>
      </c>
      <c r="BB33" s="50">
        <f ca="1">+GETPIVOTDATA("XXB4",'xabang (2016)'!$A$3,"MA_HT","DVH","MA_QH","SON")</f>
        <v>0</v>
      </c>
      <c r="BC33" s="50">
        <f ca="1">+GETPIVOTDATA("XXB4",'xabang (2016)'!$A$3,"MA_HT","DVH","MA_QH","MNC")</f>
        <v>0</v>
      </c>
      <c r="BD33" s="50">
        <f ca="1">+GETPIVOTDATA("XXB4",'xabang (2016)'!$A$3,"MA_HT","DVH","MA_QH","PNK")</f>
        <v>0</v>
      </c>
      <c r="BE33" s="80">
        <f ca="1">+GETPIVOTDATA("XXB4",'xabang (2016)'!$A$3,"MA_HT","DVH","MA_QH","CSD")</f>
        <v>0</v>
      </c>
      <c r="BF33" s="103">
        <f ca="1" t="shared" si="13"/>
        <v>0</v>
      </c>
      <c r="BG33" s="104">
        <f ca="1">AF$59-$BF33</f>
        <v>0</v>
      </c>
      <c r="BH33" s="47" t="e">
        <f ca="1" t="shared" si="14"/>
        <v>#REF!</v>
      </c>
      <c r="BI33" s="105"/>
      <c r="BJ33" s="105" t="e">
        <f>#REF!</f>
        <v>#REF!</v>
      </c>
      <c r="BK33" s="108" t="e">
        <f ca="1" t="shared" si="19"/>
        <v>#REF!</v>
      </c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</row>
    <row r="34" s="4" customFormat="1" ht="16.5" customHeight="1" spans="1:79">
      <c r="A34" s="45" t="s">
        <v>8386</v>
      </c>
      <c r="B34" s="45" t="s">
        <v>8387</v>
      </c>
      <c r="C34" s="46" t="s">
        <v>8296</v>
      </c>
      <c r="D34" s="47" t="e">
        <f>+#REF!</f>
        <v>#REF!</v>
      </c>
      <c r="E34" s="42">
        <f ca="1" t="shared" si="15"/>
        <v>0</v>
      </c>
      <c r="F34" s="52">
        <f ca="1" t="shared" si="9"/>
        <v>0</v>
      </c>
      <c r="G34" s="50">
        <f ca="1">+GETPIVOTDATA("XXB4",'xabang (2016)'!$A$3,"MA_HT","DYT","MA_QH","LUC")</f>
        <v>0</v>
      </c>
      <c r="H34" s="50">
        <f ca="1">+GETPIVOTDATA("XXB4",'xabang (2016)'!$A$3,"MA_HT","DYT","MA_QH","LUK")</f>
        <v>0</v>
      </c>
      <c r="I34" s="50">
        <f ca="1">+GETPIVOTDATA("XXB4",'xabang (2016)'!$A$3,"MA_HT","DYT","MA_QH","LUN")</f>
        <v>0</v>
      </c>
      <c r="J34" s="50">
        <f ca="1">+GETPIVOTDATA("XXB4",'xabang (2016)'!$A$3,"MA_HT","DYT","MA_QH","HNK")</f>
        <v>0</v>
      </c>
      <c r="K34" s="50">
        <f ca="1">+GETPIVOTDATA("XXB4",'xabang (2016)'!$A$3,"MA_HT","DYT","MA_QH","CLN")</f>
        <v>0</v>
      </c>
      <c r="L34" s="50">
        <f ca="1">+GETPIVOTDATA("XXB4",'xabang (2016)'!$A$3,"MA_HT","DYT","MA_QH","RSX")</f>
        <v>0</v>
      </c>
      <c r="M34" s="50">
        <f ca="1">+GETPIVOTDATA("XXB4",'xabang (2016)'!$A$3,"MA_HT","DYT","MA_QH","RPH")</f>
        <v>0</v>
      </c>
      <c r="N34" s="50">
        <f ca="1">+GETPIVOTDATA("XXB4",'xabang (2016)'!$A$3,"MA_HT","DYT","MA_QH","RDD")</f>
        <v>0</v>
      </c>
      <c r="O34" s="50">
        <f ca="1">+GETPIVOTDATA("XXB4",'xabang (2016)'!$A$3,"MA_HT","DYT","MA_QH","NTS")</f>
        <v>0</v>
      </c>
      <c r="P34" s="50">
        <f ca="1">+GETPIVOTDATA("XXB4",'xabang (2016)'!$A$3,"MA_HT","DYT","MA_QH","LMU")</f>
        <v>0</v>
      </c>
      <c r="Q34" s="50">
        <f ca="1">+GETPIVOTDATA("XXB4",'xabang (2016)'!$A$3,"MA_HT","DYT","MA_QH","NKH")</f>
        <v>0</v>
      </c>
      <c r="R34" s="48">
        <f ca="1" t="shared" si="20"/>
        <v>0</v>
      </c>
      <c r="S34" s="50">
        <f ca="1">+GETPIVOTDATA("XXB4",'xabang (2016)'!$A$3,"MA_HT","DYT","MA_QH","CQP")</f>
        <v>0</v>
      </c>
      <c r="T34" s="50">
        <f ca="1">+GETPIVOTDATA("XXB4",'xabang (2016)'!$A$3,"MA_HT","DYT","MA_QH","CAN")</f>
        <v>0</v>
      </c>
      <c r="U34" s="50">
        <f ca="1">+GETPIVOTDATA("XXB4",'xabang (2016)'!$A$3,"MA_HT","DYT","MA_QH","SKK")</f>
        <v>0</v>
      </c>
      <c r="V34" s="50">
        <f ca="1">+GETPIVOTDATA("XXB4",'xabang (2016)'!$A$3,"MA_HT","DYT","MA_QH","SKT")</f>
        <v>0</v>
      </c>
      <c r="W34" s="50">
        <f ca="1">+GETPIVOTDATA("XXB4",'xabang (2016)'!$A$3,"MA_HT","DYT","MA_QH","SKN")</f>
        <v>0</v>
      </c>
      <c r="X34" s="50">
        <f ca="1">+GETPIVOTDATA("XXB4",'xabang (2016)'!$A$3,"MA_HT","DYT","MA_QH","TMD")</f>
        <v>0</v>
      </c>
      <c r="Y34" s="50">
        <f ca="1">+GETPIVOTDATA("XXB4",'xabang (2016)'!$A$3,"MA_HT","DYT","MA_QH","SKC")</f>
        <v>0</v>
      </c>
      <c r="Z34" s="50">
        <f ca="1">+GETPIVOTDATA("XXB4",'xabang (2016)'!$A$3,"MA_HT","DYT","MA_QH","SKS")</f>
        <v>0</v>
      </c>
      <c r="AA34" s="52">
        <f ca="1">+SUM(AB34:AF34,AH34:AM34)</f>
        <v>0</v>
      </c>
      <c r="AB34" s="50">
        <f ca="1">+GETPIVOTDATA("XXB4",'xabang (2016)'!$A$3,"MA_HT","DYT","MA_QH","DGT")</f>
        <v>0</v>
      </c>
      <c r="AC34" s="50">
        <f ca="1">+GETPIVOTDATA("XXB4",'xabang (2016)'!$A$3,"MA_HT","DYT","MA_QH","DTL")</f>
        <v>0</v>
      </c>
      <c r="AD34" s="50">
        <f ca="1">+GETPIVOTDATA("XXB4",'xabang (2016)'!$A$3,"MA_HT","DYT","MA_QH","DNL")</f>
        <v>0</v>
      </c>
      <c r="AE34" s="50">
        <f ca="1">+GETPIVOTDATA("XXB4",'xabang (2016)'!$A$3,"MA_HT","DYT","MA_QH","DBV")</f>
        <v>0</v>
      </c>
      <c r="AF34" s="50">
        <f ca="1">+GETPIVOTDATA("XXB4",'xabang (2016)'!$A$3,"MA_HT","DYT","MA_QH","DVH")</f>
        <v>0</v>
      </c>
      <c r="AG34" s="49" t="e">
        <f ca="1">$D34-$BF34</f>
        <v>#REF!</v>
      </c>
      <c r="AH34" s="50">
        <f ca="1">+GETPIVOTDATA("XXB4",'xabang (2016)'!$A$3,"MA_HT","DYT","MA_QH","DGD")</f>
        <v>0</v>
      </c>
      <c r="AI34" s="50">
        <f ca="1">+GETPIVOTDATA("XXB4",'xabang (2016)'!$A$3,"MA_HT","DYT","MA_QH","DTT")</f>
        <v>0</v>
      </c>
      <c r="AJ34" s="50">
        <f ca="1">+GETPIVOTDATA("XXB4",'xabang (2016)'!$A$3,"MA_HT","DYT","MA_QH","NCK")</f>
        <v>0</v>
      </c>
      <c r="AK34" s="50">
        <f ca="1">+GETPIVOTDATA("XXB4",'xabang (2016)'!$A$3,"MA_HT","DYT","MA_QH","DXH")</f>
        <v>0</v>
      </c>
      <c r="AL34" s="50">
        <f ca="1">+GETPIVOTDATA("XXB4",'xabang (2016)'!$A$3,"MA_HT","DYT","MA_QH","DCH")</f>
        <v>0</v>
      </c>
      <c r="AM34" s="50">
        <f ca="1">+GETPIVOTDATA("XXB4",'xabang (2016)'!$A$3,"MA_HT","DYT","MA_QH","DKG")</f>
        <v>0</v>
      </c>
      <c r="AN34" s="50">
        <f ca="1">+GETPIVOTDATA("XXB4",'xabang (2016)'!$A$3,"MA_HT","DYT","MA_QH","DDT")</f>
        <v>0</v>
      </c>
      <c r="AO34" s="50">
        <f ca="1">+GETPIVOTDATA("XXB4",'xabang (2016)'!$A$3,"MA_HT","DYT","MA_QH","DDL")</f>
        <v>0</v>
      </c>
      <c r="AP34" s="50">
        <f ca="1">+GETPIVOTDATA("XXB4",'xabang (2016)'!$A$3,"MA_HT","DYT","MA_QH","DRA")</f>
        <v>0</v>
      </c>
      <c r="AQ34" s="50">
        <f ca="1">+GETPIVOTDATA("XXB4",'xabang (2016)'!$A$3,"MA_HT","DYT","MA_QH","ONT")</f>
        <v>0</v>
      </c>
      <c r="AR34" s="50">
        <f ca="1">+GETPIVOTDATA("XXB4",'xabang (2016)'!$A$3,"MA_HT","DYT","MA_QH","ODT")</f>
        <v>0</v>
      </c>
      <c r="AS34" s="50">
        <f ca="1">+GETPIVOTDATA("XXB4",'xabang (2016)'!$A$3,"MA_HT","DYT","MA_QH","TSC")</f>
        <v>0</v>
      </c>
      <c r="AT34" s="50">
        <f ca="1">+GETPIVOTDATA("XXB4",'xabang (2016)'!$A$3,"MA_HT","DYT","MA_QH","DTS")</f>
        <v>0</v>
      </c>
      <c r="AU34" s="50">
        <f ca="1">+GETPIVOTDATA("XXB4",'xabang (2016)'!$A$3,"MA_HT","DYT","MA_QH","DNG")</f>
        <v>0</v>
      </c>
      <c r="AV34" s="50">
        <f ca="1">+GETPIVOTDATA("XXB4",'xabang (2016)'!$A$3,"MA_HT","DYT","MA_QH","TON")</f>
        <v>0</v>
      </c>
      <c r="AW34" s="50">
        <f ca="1">+GETPIVOTDATA("XXB4",'xabang (2016)'!$A$3,"MA_HT","DYT","MA_QH","NTD")</f>
        <v>0</v>
      </c>
      <c r="AX34" s="50">
        <f ca="1">+GETPIVOTDATA("XXB4",'xabang (2016)'!$A$3,"MA_HT","DYT","MA_QH","SKX")</f>
        <v>0</v>
      </c>
      <c r="AY34" s="50">
        <f ca="1">+GETPIVOTDATA("XXB4",'xabang (2016)'!$A$3,"MA_HT","DYT","MA_QH","DSH")</f>
        <v>0</v>
      </c>
      <c r="AZ34" s="50">
        <f ca="1">+GETPIVOTDATA("XXB4",'xabang (2016)'!$A$3,"MA_HT","DYT","MA_QH","DKV")</f>
        <v>0</v>
      </c>
      <c r="BA34" s="88">
        <f ca="1">+GETPIVOTDATA("XXB4",'xabang (2016)'!$A$3,"MA_HT","DYT","MA_QH","TIN")</f>
        <v>0</v>
      </c>
      <c r="BB34" s="50">
        <f ca="1">+GETPIVOTDATA("XXB4",'xabang (2016)'!$A$3,"MA_HT","DYT","MA_QH","SON")</f>
        <v>0</v>
      </c>
      <c r="BC34" s="50">
        <f ca="1">+GETPIVOTDATA("XXB4",'xabang (2016)'!$A$3,"MA_HT","DYT","MA_QH","MNC")</f>
        <v>0</v>
      </c>
      <c r="BD34" s="50">
        <f ca="1">+GETPIVOTDATA("XXB4",'xabang (2016)'!$A$3,"MA_HT","DYT","MA_QH","PNK")</f>
        <v>0</v>
      </c>
      <c r="BE34" s="80">
        <f ca="1">+GETPIVOTDATA("XXB4",'xabang (2016)'!$A$3,"MA_HT","DYT","MA_QH","CSD")</f>
        <v>0</v>
      </c>
      <c r="BF34" s="103">
        <f ca="1" t="shared" si="13"/>
        <v>0</v>
      </c>
      <c r="BG34" s="104">
        <f ca="1">AG$59-$BF34</f>
        <v>0</v>
      </c>
      <c r="BH34" s="47" t="e">
        <f ca="1" t="shared" si="14"/>
        <v>#REF!</v>
      </c>
      <c r="BI34" s="105"/>
      <c r="BJ34" s="105" t="e">
        <f>#REF!</f>
        <v>#REF!</v>
      </c>
      <c r="BK34" s="108" t="e">
        <f ca="1" t="shared" si="19"/>
        <v>#REF!</v>
      </c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</row>
    <row r="35" s="4" customFormat="1" ht="16.5" customHeight="1" spans="1:79">
      <c r="A35" s="45" t="s">
        <v>8388</v>
      </c>
      <c r="B35" s="45" t="s">
        <v>8389</v>
      </c>
      <c r="C35" s="46" t="s">
        <v>165</v>
      </c>
      <c r="D35" s="47" t="e">
        <f>+#REF!</f>
        <v>#REF!</v>
      </c>
      <c r="E35" s="42">
        <f ca="1" t="shared" si="15"/>
        <v>0</v>
      </c>
      <c r="F35" s="52">
        <f ca="1" t="shared" si="9"/>
        <v>0</v>
      </c>
      <c r="G35" s="50">
        <f ca="1">+GETPIVOTDATA("XXB4",'xabang (2016)'!$A$3,"MA_HT","DGD","MA_QH","LUC")</f>
        <v>0</v>
      </c>
      <c r="H35" s="50">
        <f ca="1">+GETPIVOTDATA("XXB4",'xabang (2016)'!$A$3,"MA_HT","DGD","MA_QH","LUK")</f>
        <v>0</v>
      </c>
      <c r="I35" s="50">
        <f ca="1">+GETPIVOTDATA("XXB4",'xabang (2016)'!$A$3,"MA_HT","DGD","MA_QH","LUN")</f>
        <v>0</v>
      </c>
      <c r="J35" s="50">
        <f ca="1">+GETPIVOTDATA("XXB4",'xabang (2016)'!$A$3,"MA_HT","DGD","MA_QH","HNK")</f>
        <v>0</v>
      </c>
      <c r="K35" s="50">
        <f ca="1">+GETPIVOTDATA("XXB4",'xabang (2016)'!$A$3,"MA_HT","DGD","MA_QH","CLN")</f>
        <v>0</v>
      </c>
      <c r="L35" s="50">
        <f ca="1">+GETPIVOTDATA("XXB4",'xabang (2016)'!$A$3,"MA_HT","DGD","MA_QH","RSX")</f>
        <v>0</v>
      </c>
      <c r="M35" s="50">
        <f ca="1">+GETPIVOTDATA("XXB4",'xabang (2016)'!$A$3,"MA_HT","DGD","MA_QH","RPH")</f>
        <v>0</v>
      </c>
      <c r="N35" s="50">
        <f ca="1">+GETPIVOTDATA("XXB4",'xabang (2016)'!$A$3,"MA_HT","DGD","MA_QH","RDD")</f>
        <v>0</v>
      </c>
      <c r="O35" s="50">
        <f ca="1">+GETPIVOTDATA("XXB4",'xabang (2016)'!$A$3,"MA_HT","DGD","MA_QH","NTS")</f>
        <v>0</v>
      </c>
      <c r="P35" s="50">
        <f ca="1">+GETPIVOTDATA("XXB4",'xabang (2016)'!$A$3,"MA_HT","DGD","MA_QH","LMU")</f>
        <v>0</v>
      </c>
      <c r="Q35" s="50">
        <f ca="1">+GETPIVOTDATA("XXB4",'xabang (2016)'!$A$3,"MA_HT","DGD","MA_QH","NKH")</f>
        <v>0</v>
      </c>
      <c r="R35" s="48">
        <f ca="1" t="shared" si="20"/>
        <v>0</v>
      </c>
      <c r="S35" s="50">
        <f ca="1">+GETPIVOTDATA("XXB4",'xabang (2016)'!$A$3,"MA_HT","DGD","MA_QH","CQP")</f>
        <v>0</v>
      </c>
      <c r="T35" s="50">
        <f ca="1">+GETPIVOTDATA("XXB4",'xabang (2016)'!$A$3,"MA_HT","DGD","MA_QH","CAN")</f>
        <v>0</v>
      </c>
      <c r="U35" s="50">
        <f ca="1">+GETPIVOTDATA("XXB4",'xabang (2016)'!$A$3,"MA_HT","DGD","MA_QH","SKK")</f>
        <v>0</v>
      </c>
      <c r="V35" s="50">
        <f ca="1">+GETPIVOTDATA("XXB4",'xabang (2016)'!$A$3,"MA_HT","DGD","MA_QH","SKT")</f>
        <v>0</v>
      </c>
      <c r="W35" s="50">
        <f ca="1">+GETPIVOTDATA("XXB4",'xabang (2016)'!$A$3,"MA_HT","DGD","MA_QH","SKN")</f>
        <v>0</v>
      </c>
      <c r="X35" s="50">
        <f ca="1">+GETPIVOTDATA("XXB4",'xabang (2016)'!$A$3,"MA_HT","DGD","MA_QH","TMD")</f>
        <v>0</v>
      </c>
      <c r="Y35" s="50">
        <f ca="1">+GETPIVOTDATA("XXB4",'xabang (2016)'!$A$3,"MA_HT","DGD","MA_QH","SKC")</f>
        <v>0</v>
      </c>
      <c r="Z35" s="50">
        <f ca="1">+GETPIVOTDATA("XXB4",'xabang (2016)'!$A$3,"MA_HT","DGD","MA_QH","SKS")</f>
        <v>0</v>
      </c>
      <c r="AA35" s="52">
        <f ca="1">+SUM(AB35:AG35,AI35:AM35)</f>
        <v>0</v>
      </c>
      <c r="AB35" s="50">
        <f ca="1">+GETPIVOTDATA("XXB4",'xabang (2016)'!$A$3,"MA_HT","DGD","MA_QH","DGT")</f>
        <v>0</v>
      </c>
      <c r="AC35" s="50">
        <f ca="1">+GETPIVOTDATA("XXB4",'xabang (2016)'!$A$3,"MA_HT","DGD","MA_QH","DTL")</f>
        <v>0</v>
      </c>
      <c r="AD35" s="50">
        <f ca="1">+GETPIVOTDATA("XXB4",'xabang (2016)'!$A$3,"MA_HT","DGD","MA_QH","DNL")</f>
        <v>0</v>
      </c>
      <c r="AE35" s="50">
        <f ca="1">+GETPIVOTDATA("XXB4",'xabang (2016)'!$A$3,"MA_HT","DGD","MA_QH","DBV")</f>
        <v>0</v>
      </c>
      <c r="AF35" s="50">
        <f ca="1">+GETPIVOTDATA("XXB4",'xabang (2016)'!$A$3,"MA_HT","DGD","MA_QH","DVH")</f>
        <v>0</v>
      </c>
      <c r="AG35" s="50">
        <f ca="1">+GETPIVOTDATA("XXB4",'xabang (2016)'!$A$3,"MA_HT","DGD","MA_QH","DYT")</f>
        <v>0</v>
      </c>
      <c r="AH35" s="49" t="e">
        <f ca="1">$D35-$BF35</f>
        <v>#REF!</v>
      </c>
      <c r="AI35" s="50">
        <f ca="1">+GETPIVOTDATA("XXB4",'xabang (2016)'!$A$3,"MA_HT","DGD","MA_QH","DTT")</f>
        <v>0</v>
      </c>
      <c r="AJ35" s="50">
        <f ca="1">+GETPIVOTDATA("XXB4",'xabang (2016)'!$A$3,"MA_HT","DGD","MA_QH","NCK")</f>
        <v>0</v>
      </c>
      <c r="AK35" s="50">
        <f ca="1">+GETPIVOTDATA("XXB4",'xabang (2016)'!$A$3,"MA_HT","DGD","MA_QH","DXH")</f>
        <v>0</v>
      </c>
      <c r="AL35" s="50">
        <f ca="1">+GETPIVOTDATA("XXB4",'xabang (2016)'!$A$3,"MA_HT","DGD","MA_QH","DCH")</f>
        <v>0</v>
      </c>
      <c r="AM35" s="50">
        <f ca="1">+GETPIVOTDATA("XXB4",'xabang (2016)'!$A$3,"MA_HT","DGD","MA_QH","DKG")</f>
        <v>0</v>
      </c>
      <c r="AN35" s="50">
        <f ca="1">+GETPIVOTDATA("XXB4",'xabang (2016)'!$A$3,"MA_HT","DGD","MA_QH","DDT")</f>
        <v>0</v>
      </c>
      <c r="AO35" s="50">
        <f ca="1">+GETPIVOTDATA("XXB4",'xabang (2016)'!$A$3,"MA_HT","DGD","MA_QH","DDL")</f>
        <v>0</v>
      </c>
      <c r="AP35" s="50">
        <f ca="1">+GETPIVOTDATA("XXB4",'xabang (2016)'!$A$3,"MA_HT","DGD","MA_QH","DRA")</f>
        <v>0</v>
      </c>
      <c r="AQ35" s="50">
        <f ca="1">+GETPIVOTDATA("XXB4",'xabang (2016)'!$A$3,"MA_HT","DGD","MA_QH","ONT")</f>
        <v>0</v>
      </c>
      <c r="AR35" s="50">
        <f ca="1">+GETPIVOTDATA("XXB4",'xabang (2016)'!$A$3,"MA_HT","DGD","MA_QH","ODT")</f>
        <v>0</v>
      </c>
      <c r="AS35" s="50">
        <f ca="1">+GETPIVOTDATA("XXB4",'xabang (2016)'!$A$3,"MA_HT","DGD","MA_QH","TSC")</f>
        <v>0</v>
      </c>
      <c r="AT35" s="50">
        <f ca="1">+GETPIVOTDATA("XXB4",'xabang (2016)'!$A$3,"MA_HT","DGD","MA_QH","DTS")</f>
        <v>0</v>
      </c>
      <c r="AU35" s="50">
        <f ca="1">+GETPIVOTDATA("XXB4",'xabang (2016)'!$A$3,"MA_HT","DGD","MA_QH","DNG")</f>
        <v>0</v>
      </c>
      <c r="AV35" s="50">
        <f ca="1">+GETPIVOTDATA("XXB4",'xabang (2016)'!$A$3,"MA_HT","DGD","MA_QH","TON")</f>
        <v>0</v>
      </c>
      <c r="AW35" s="50">
        <f ca="1">+GETPIVOTDATA("XXB4",'xabang (2016)'!$A$3,"MA_HT","DGD","MA_QH","NTD")</f>
        <v>0</v>
      </c>
      <c r="AX35" s="50">
        <f ca="1">+GETPIVOTDATA("XXB4",'xabang (2016)'!$A$3,"MA_HT","DGD","MA_QH","SKX")</f>
        <v>0</v>
      </c>
      <c r="AY35" s="50">
        <f ca="1">+GETPIVOTDATA("XXB4",'xabang (2016)'!$A$3,"MA_HT","DGD","MA_QH","DSH")</f>
        <v>0</v>
      </c>
      <c r="AZ35" s="50">
        <f ca="1">+GETPIVOTDATA("XXB4",'xabang (2016)'!$A$3,"MA_HT","DGD","MA_QH","DKV")</f>
        <v>0</v>
      </c>
      <c r="BA35" s="88">
        <f ca="1">+GETPIVOTDATA("XXB4",'xabang (2016)'!$A$3,"MA_HT","DGD","MA_QH","TIN")</f>
        <v>0</v>
      </c>
      <c r="BB35" s="50">
        <f ca="1">+GETPIVOTDATA("XXB4",'xabang (2016)'!$A$3,"MA_HT","DGD","MA_QH","SON")</f>
        <v>0</v>
      </c>
      <c r="BC35" s="50">
        <f ca="1">+GETPIVOTDATA("XXB4",'xabang (2016)'!$A$3,"MA_HT","DGD","MA_QH","MNC")</f>
        <v>0</v>
      </c>
      <c r="BD35" s="50">
        <f ca="1">+GETPIVOTDATA("XXB4",'xabang (2016)'!$A$3,"MA_HT","DGD","MA_QH","PNK")</f>
        <v>0</v>
      </c>
      <c r="BE35" s="80">
        <f ca="1">+GETPIVOTDATA("XXB4",'xabang (2016)'!$A$3,"MA_HT","DGD","MA_QH","CSD")</f>
        <v>0</v>
      </c>
      <c r="BF35" s="103">
        <f ca="1" t="shared" si="13"/>
        <v>0</v>
      </c>
      <c r="BG35" s="104">
        <f ca="1">AH$59-$BF35</f>
        <v>0</v>
      </c>
      <c r="BH35" s="47" t="e">
        <f ca="1" t="shared" si="14"/>
        <v>#REF!</v>
      </c>
      <c r="BI35" s="105"/>
      <c r="BJ35" s="105" t="e">
        <f>#REF!</f>
        <v>#REF!</v>
      </c>
      <c r="BK35" s="108" t="e">
        <f ca="1" t="shared" si="19"/>
        <v>#REF!</v>
      </c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</row>
    <row r="36" s="4" customFormat="1" ht="16.5" customHeight="1" spans="1:79">
      <c r="A36" s="45" t="s">
        <v>8390</v>
      </c>
      <c r="B36" s="45" t="s">
        <v>8391</v>
      </c>
      <c r="C36" s="46" t="s">
        <v>8294</v>
      </c>
      <c r="D36" s="47" t="e">
        <f>+#REF!</f>
        <v>#REF!</v>
      </c>
      <c r="E36" s="42">
        <f ca="1" t="shared" si="15"/>
        <v>0</v>
      </c>
      <c r="F36" s="52">
        <f ca="1" t="shared" si="9"/>
        <v>0</v>
      </c>
      <c r="G36" s="50">
        <f ca="1">+GETPIVOTDATA("XXB4",'xabang (2016)'!$A$3,"MA_HT","DTT","MA_QH","LUC")</f>
        <v>0</v>
      </c>
      <c r="H36" s="50">
        <f ca="1">+GETPIVOTDATA("XXB4",'xabang (2016)'!$A$3,"MA_HT","DTT","MA_QH","LUK")</f>
        <v>0</v>
      </c>
      <c r="I36" s="50">
        <f ca="1">+GETPIVOTDATA("XXB4",'xabang (2016)'!$A$3,"MA_HT","DTT","MA_QH","LUN")</f>
        <v>0</v>
      </c>
      <c r="J36" s="50">
        <f ca="1">+GETPIVOTDATA("XXB4",'xabang (2016)'!$A$3,"MA_HT","DTT","MA_QH","HNK")</f>
        <v>0</v>
      </c>
      <c r="K36" s="50">
        <f ca="1">+GETPIVOTDATA("XXB4",'xabang (2016)'!$A$3,"MA_HT","DTT","MA_QH","CLN")</f>
        <v>0</v>
      </c>
      <c r="L36" s="50">
        <f ca="1">+GETPIVOTDATA("XXB4",'xabang (2016)'!$A$3,"MA_HT","DTT","MA_QH","RSX")</f>
        <v>0</v>
      </c>
      <c r="M36" s="50">
        <f ca="1">+GETPIVOTDATA("XXB4",'xabang (2016)'!$A$3,"MA_HT","DTT","MA_QH","RPH")</f>
        <v>0</v>
      </c>
      <c r="N36" s="50">
        <f ca="1">+GETPIVOTDATA("XXB4",'xabang (2016)'!$A$3,"MA_HT","DTT","MA_QH","RDD")</f>
        <v>0</v>
      </c>
      <c r="O36" s="50">
        <f ca="1">+GETPIVOTDATA("XXB4",'xabang (2016)'!$A$3,"MA_HT","DTT","MA_QH","NTS")</f>
        <v>0</v>
      </c>
      <c r="P36" s="50">
        <f ca="1">+GETPIVOTDATA("XXB4",'xabang (2016)'!$A$3,"MA_HT","DTT","MA_QH","LMU")</f>
        <v>0</v>
      </c>
      <c r="Q36" s="50">
        <f ca="1">+GETPIVOTDATA("XXB4",'xabang (2016)'!$A$3,"MA_HT","DTT","MA_QH","NKH")</f>
        <v>0</v>
      </c>
      <c r="R36" s="48">
        <f ca="1" t="shared" si="20"/>
        <v>0</v>
      </c>
      <c r="S36" s="50">
        <f ca="1">+GETPIVOTDATA("XXB4",'xabang (2016)'!$A$3,"MA_HT","DTT","MA_QH","CQP")</f>
        <v>0</v>
      </c>
      <c r="T36" s="50">
        <f ca="1">+GETPIVOTDATA("XXB4",'xabang (2016)'!$A$3,"MA_HT","DTT","MA_QH","CAN")</f>
        <v>0</v>
      </c>
      <c r="U36" s="50">
        <f ca="1">+GETPIVOTDATA("XXB4",'xabang (2016)'!$A$3,"MA_HT","DTT","MA_QH","SKK")</f>
        <v>0</v>
      </c>
      <c r="V36" s="50">
        <f ca="1">+GETPIVOTDATA("XXB4",'xabang (2016)'!$A$3,"MA_HT","DTT","MA_QH","SKT")</f>
        <v>0</v>
      </c>
      <c r="W36" s="50">
        <f ca="1">+GETPIVOTDATA("XXB4",'xabang (2016)'!$A$3,"MA_HT","DTT","MA_QH","SKN")</f>
        <v>0</v>
      </c>
      <c r="X36" s="50">
        <f ca="1">+GETPIVOTDATA("XXB4",'xabang (2016)'!$A$3,"MA_HT","DTT","MA_QH","TMD")</f>
        <v>0</v>
      </c>
      <c r="Y36" s="50">
        <f ca="1">+GETPIVOTDATA("XXB4",'xabang (2016)'!$A$3,"MA_HT","DTT","MA_QH","SKC")</f>
        <v>0</v>
      </c>
      <c r="Z36" s="50">
        <f ca="1">+GETPIVOTDATA("XXB4",'xabang (2016)'!$A$3,"MA_HT","DTT","MA_QH","SKS")</f>
        <v>0</v>
      </c>
      <c r="AA36" s="52">
        <f ca="1">+SUM(AB36:AH36,AJ36:AM36)</f>
        <v>0</v>
      </c>
      <c r="AB36" s="50">
        <f ca="1">+GETPIVOTDATA("XXB4",'xabang (2016)'!$A$3,"MA_HT","DTT","MA_QH","DGT")</f>
        <v>0</v>
      </c>
      <c r="AC36" s="50">
        <f ca="1">+GETPIVOTDATA("XXB4",'xabang (2016)'!$A$3,"MA_HT","DTT","MA_QH","DTL")</f>
        <v>0</v>
      </c>
      <c r="AD36" s="50">
        <f ca="1">+GETPIVOTDATA("XXB4",'xabang (2016)'!$A$3,"MA_HT","DTT","MA_QH","DNL")</f>
        <v>0</v>
      </c>
      <c r="AE36" s="50">
        <f ca="1">+GETPIVOTDATA("XXB4",'xabang (2016)'!$A$3,"MA_HT","DTT","MA_QH","DBV")</f>
        <v>0</v>
      </c>
      <c r="AF36" s="50">
        <f ca="1">+GETPIVOTDATA("XXB4",'xabang (2016)'!$A$3,"MA_HT","DTT","MA_QH","DVH")</f>
        <v>0</v>
      </c>
      <c r="AG36" s="50">
        <f ca="1">+GETPIVOTDATA("XXB4",'xabang (2016)'!$A$3,"MA_HT","DTT","MA_QH","DYT")</f>
        <v>0</v>
      </c>
      <c r="AH36" s="50">
        <f ca="1">+GETPIVOTDATA("XXB4",'xabang (2016)'!$A$3,"MA_HT","DTT","MA_QH","DGD")</f>
        <v>0</v>
      </c>
      <c r="AI36" s="49" t="e">
        <f ca="1">$D36-$BF36</f>
        <v>#REF!</v>
      </c>
      <c r="AJ36" s="50">
        <f ca="1">+GETPIVOTDATA("XXB4",'xabang (2016)'!$A$3,"MA_HT","DTT","MA_QH","NCK")</f>
        <v>0</v>
      </c>
      <c r="AK36" s="50">
        <f ca="1">+GETPIVOTDATA("XXB4",'xabang (2016)'!$A$3,"MA_HT","DTT","MA_QH","DXH")</f>
        <v>0</v>
      </c>
      <c r="AL36" s="50">
        <f ca="1">+GETPIVOTDATA("XXB4",'xabang (2016)'!$A$3,"MA_HT","DTT","MA_QH","DCH")</f>
        <v>0</v>
      </c>
      <c r="AM36" s="50">
        <f ca="1">+GETPIVOTDATA("XXB4",'xabang (2016)'!$A$3,"MA_HT","DTT","MA_QH","DKG")</f>
        <v>0</v>
      </c>
      <c r="AN36" s="50">
        <f ca="1">+GETPIVOTDATA("XXB4",'xabang (2016)'!$A$3,"MA_HT","DTT","MA_QH","DDT")</f>
        <v>0</v>
      </c>
      <c r="AO36" s="50">
        <f ca="1">+GETPIVOTDATA("XXB4",'xabang (2016)'!$A$3,"MA_HT","DTT","MA_QH","DDL")</f>
        <v>0</v>
      </c>
      <c r="AP36" s="50">
        <f ca="1">+GETPIVOTDATA("XXB4",'xabang (2016)'!$A$3,"MA_HT","DTT","MA_QH","DRA")</f>
        <v>0</v>
      </c>
      <c r="AQ36" s="50">
        <f ca="1">+GETPIVOTDATA("XXB4",'xabang (2016)'!$A$3,"MA_HT","DTT","MA_QH","ONT")</f>
        <v>0</v>
      </c>
      <c r="AR36" s="50">
        <f ca="1">+GETPIVOTDATA("XXB4",'xabang (2016)'!$A$3,"MA_HT","DTT","MA_QH","ODT")</f>
        <v>0</v>
      </c>
      <c r="AS36" s="50">
        <f ca="1">+GETPIVOTDATA("XXB4",'xabang (2016)'!$A$3,"MA_HT","DTT","MA_QH","TSC")</f>
        <v>0</v>
      </c>
      <c r="AT36" s="50">
        <f ca="1">+GETPIVOTDATA("XXB4",'xabang (2016)'!$A$3,"MA_HT","DTT","MA_QH","DTS")</f>
        <v>0</v>
      </c>
      <c r="AU36" s="50">
        <f ca="1">+GETPIVOTDATA("XXB4",'xabang (2016)'!$A$3,"MA_HT","DTT","MA_QH","DNG")</f>
        <v>0</v>
      </c>
      <c r="AV36" s="50">
        <f ca="1">+GETPIVOTDATA("XXB4",'xabang (2016)'!$A$3,"MA_HT","DTT","MA_QH","TON")</f>
        <v>0</v>
      </c>
      <c r="AW36" s="50">
        <f ca="1">+GETPIVOTDATA("XXB4",'xabang (2016)'!$A$3,"MA_HT","DTT","MA_QH","NTD")</f>
        <v>0</v>
      </c>
      <c r="AX36" s="50">
        <f ca="1">+GETPIVOTDATA("XXB4",'xabang (2016)'!$A$3,"MA_HT","DTT","MA_QH","SKX")</f>
        <v>0</v>
      </c>
      <c r="AY36" s="50">
        <f ca="1">+GETPIVOTDATA("XXB4",'xabang (2016)'!$A$3,"MA_HT","DTT","MA_QH","DSH")</f>
        <v>0</v>
      </c>
      <c r="AZ36" s="50">
        <f ca="1">+GETPIVOTDATA("XXB4",'xabang (2016)'!$A$3,"MA_HT","DTT","MA_QH","DKV")</f>
        <v>0</v>
      </c>
      <c r="BA36" s="88">
        <f ca="1">+GETPIVOTDATA("XXB4",'xabang (2016)'!$A$3,"MA_HT","DTT","MA_QH","TIN")</f>
        <v>0</v>
      </c>
      <c r="BB36" s="50">
        <f ca="1">+GETPIVOTDATA("XXB4",'xabang (2016)'!$A$3,"MA_HT","DTT","MA_QH","SON")</f>
        <v>0</v>
      </c>
      <c r="BC36" s="50">
        <f ca="1">+GETPIVOTDATA("XXB4",'xabang (2016)'!$A$3,"MA_HT","DTT","MA_QH","MNC")</f>
        <v>0</v>
      </c>
      <c r="BD36" s="50">
        <f ca="1">+GETPIVOTDATA("XXB4",'xabang (2016)'!$A$3,"MA_HT","DTT","MA_QH","PNK")</f>
        <v>0</v>
      </c>
      <c r="BE36" s="80">
        <f ca="1">+GETPIVOTDATA("XXB4",'xabang (2016)'!$A$3,"MA_HT","DTT","MA_QH","CSD")</f>
        <v>0</v>
      </c>
      <c r="BF36" s="103">
        <f ca="1" t="shared" si="13"/>
        <v>0</v>
      </c>
      <c r="BG36" s="104">
        <f ca="1">AI$59-$BF36</f>
        <v>0</v>
      </c>
      <c r="BH36" s="47" t="e">
        <f ca="1" t="shared" si="14"/>
        <v>#REF!</v>
      </c>
      <c r="BI36" s="105"/>
      <c r="BJ36" s="105" t="e">
        <f>#REF!</f>
        <v>#REF!</v>
      </c>
      <c r="BK36" s="108" t="e">
        <f ca="1" t="shared" si="19"/>
        <v>#REF!</v>
      </c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</row>
    <row r="37" s="4" customFormat="1" ht="16.5" customHeight="1" spans="1:79">
      <c r="A37" s="45" t="s">
        <v>8392</v>
      </c>
      <c r="B37" s="45" t="s">
        <v>8393</v>
      </c>
      <c r="C37" s="46" t="s">
        <v>8302</v>
      </c>
      <c r="D37" s="47" t="e">
        <f>+#REF!</f>
        <v>#REF!</v>
      </c>
      <c r="E37" s="42">
        <f ca="1" t="shared" si="15"/>
        <v>0</v>
      </c>
      <c r="F37" s="52">
        <f ca="1" t="shared" si="9"/>
        <v>0</v>
      </c>
      <c r="G37" s="50">
        <f ca="1">+GETPIVOTDATA("XXB4",'xabang (2016)'!$A$3,"MA_HT","NCK","MA_QH","LUC")</f>
        <v>0</v>
      </c>
      <c r="H37" s="50">
        <f ca="1">+GETPIVOTDATA("XXB4",'xabang (2016)'!$A$3,"MA_HT","NCK","MA_QH","LUK")</f>
        <v>0</v>
      </c>
      <c r="I37" s="50">
        <f ca="1">+GETPIVOTDATA("XXB4",'xabang (2016)'!$A$3,"MA_HT","NCK","MA_QH","LUN")</f>
        <v>0</v>
      </c>
      <c r="J37" s="50">
        <f ca="1">+GETPIVOTDATA("XXB4",'xabang (2016)'!$A$3,"MA_HT","NCK","MA_QH","HNK")</f>
        <v>0</v>
      </c>
      <c r="K37" s="50">
        <f ca="1">+GETPIVOTDATA("XXB4",'xabang (2016)'!$A$3,"MA_HT","NCK","MA_QH","CLN")</f>
        <v>0</v>
      </c>
      <c r="L37" s="50">
        <f ca="1">+GETPIVOTDATA("XXB4",'xabang (2016)'!$A$3,"MA_HT","NCK","MA_QH","RSX")</f>
        <v>0</v>
      </c>
      <c r="M37" s="50">
        <f ca="1">+GETPIVOTDATA("XXB4",'xabang (2016)'!$A$3,"MA_HT","NCK","MA_QH","RPH")</f>
        <v>0</v>
      </c>
      <c r="N37" s="50">
        <f ca="1">+GETPIVOTDATA("XXB4",'xabang (2016)'!$A$3,"MA_HT","NCK","MA_QH","RDD")</f>
        <v>0</v>
      </c>
      <c r="O37" s="50">
        <f ca="1">+GETPIVOTDATA("XXB4",'xabang (2016)'!$A$3,"MA_HT","NCK","MA_QH","NTS")</f>
        <v>0</v>
      </c>
      <c r="P37" s="50">
        <f ca="1">+GETPIVOTDATA("XXB4",'xabang (2016)'!$A$3,"MA_HT","NCK","MA_QH","LMU")</f>
        <v>0</v>
      </c>
      <c r="Q37" s="50">
        <f ca="1">+GETPIVOTDATA("XXB4",'xabang (2016)'!$A$3,"MA_HT","NCK","MA_QH","NKH")</f>
        <v>0</v>
      </c>
      <c r="R37" s="48">
        <f ca="1" t="shared" si="20"/>
        <v>0</v>
      </c>
      <c r="S37" s="50">
        <f ca="1">+GETPIVOTDATA("XXB4",'xabang (2016)'!$A$3,"MA_HT","NCK","MA_QH","CQP")</f>
        <v>0</v>
      </c>
      <c r="T37" s="50">
        <f ca="1">+GETPIVOTDATA("XXB4",'xabang (2016)'!$A$3,"MA_HT","NCK","MA_QH","CAN")</f>
        <v>0</v>
      </c>
      <c r="U37" s="50">
        <f ca="1">+GETPIVOTDATA("XXB4",'xabang (2016)'!$A$3,"MA_HT","NCK","MA_QH","SKK")</f>
        <v>0</v>
      </c>
      <c r="V37" s="50">
        <f ca="1">+GETPIVOTDATA("XXB4",'xabang (2016)'!$A$3,"MA_HT","NCK","MA_QH","SKT")</f>
        <v>0</v>
      </c>
      <c r="W37" s="50">
        <f ca="1">+GETPIVOTDATA("XXB4",'xabang (2016)'!$A$3,"MA_HT","NCK","MA_QH","SKN")</f>
        <v>0</v>
      </c>
      <c r="X37" s="50">
        <f ca="1">+GETPIVOTDATA("XXB4",'xabang (2016)'!$A$3,"MA_HT","NCK","MA_QH","TMD")</f>
        <v>0</v>
      </c>
      <c r="Y37" s="50">
        <f ca="1">+GETPIVOTDATA("XXB4",'xabang (2016)'!$A$3,"MA_HT","NCK","MA_QH","SKC")</f>
        <v>0</v>
      </c>
      <c r="Z37" s="50">
        <f ca="1">+GETPIVOTDATA("XXB4",'xabang (2016)'!$A$3,"MA_HT","NCK","MA_QH","SKS")</f>
        <v>0</v>
      </c>
      <c r="AA37" s="52">
        <f ca="1">+SUM(AB37:AI37,AK37:AM37)</f>
        <v>0</v>
      </c>
      <c r="AB37" s="50">
        <f ca="1">+GETPIVOTDATA("XXB4",'xabang (2016)'!$A$3,"MA_HT","NCK","MA_QH","DGT")</f>
        <v>0</v>
      </c>
      <c r="AC37" s="50">
        <f ca="1">+GETPIVOTDATA("XXB4",'xabang (2016)'!$A$3,"MA_HT","NCK","MA_QH","DTL")</f>
        <v>0</v>
      </c>
      <c r="AD37" s="50">
        <f ca="1">+GETPIVOTDATA("XXB4",'xabang (2016)'!$A$3,"MA_HT","NCK","MA_QH","DNL")</f>
        <v>0</v>
      </c>
      <c r="AE37" s="50">
        <f ca="1">+GETPIVOTDATA("XXB4",'xabang (2016)'!$A$3,"MA_HT","NCK","MA_QH","DBV")</f>
        <v>0</v>
      </c>
      <c r="AF37" s="50">
        <f ca="1">+GETPIVOTDATA("XXB4",'xabang (2016)'!$A$3,"MA_HT","NCK","MA_QH","DVH")</f>
        <v>0</v>
      </c>
      <c r="AG37" s="50">
        <f ca="1">+GETPIVOTDATA("XXB4",'xabang (2016)'!$A$3,"MA_HT","NCK","MA_QH","DYT")</f>
        <v>0</v>
      </c>
      <c r="AH37" s="50">
        <f ca="1">+GETPIVOTDATA("XXB4",'xabang (2016)'!$A$3,"MA_HT","NCK","MA_QH","DGD")</f>
        <v>0</v>
      </c>
      <c r="AI37" s="50">
        <f ca="1">+GETPIVOTDATA("XXB4",'xabang (2016)'!$A$3,"MA_HT","NCK","MA_QH","DTT")</f>
        <v>0</v>
      </c>
      <c r="AJ37" s="49" t="e">
        <f ca="1">$D37-$BF37</f>
        <v>#REF!</v>
      </c>
      <c r="AK37" s="50">
        <f ca="1">+GETPIVOTDATA("XXB4",'xabang (2016)'!$A$3,"MA_HT","NCK","MA_QH","DXH")</f>
        <v>0</v>
      </c>
      <c r="AL37" s="50">
        <f ca="1">+GETPIVOTDATA("XXB4",'xabang (2016)'!$A$3,"MA_HT","NCK","MA_QH","DCH")</f>
        <v>0</v>
      </c>
      <c r="AM37" s="50">
        <f ca="1">+GETPIVOTDATA("XXB4",'xabang (2016)'!$A$3,"MA_HT","NCK","MA_QH","DKG")</f>
        <v>0</v>
      </c>
      <c r="AN37" s="50">
        <f ca="1">+GETPIVOTDATA("XXB4",'xabang (2016)'!$A$3,"MA_HT","NCK","MA_QH","DDT")</f>
        <v>0</v>
      </c>
      <c r="AO37" s="50">
        <f ca="1">+GETPIVOTDATA("XXB4",'xabang (2016)'!$A$3,"MA_HT","NCK","MA_QH","DDL")</f>
        <v>0</v>
      </c>
      <c r="AP37" s="50">
        <f ca="1">+GETPIVOTDATA("XXB4",'xabang (2016)'!$A$3,"MA_HT","NCK","MA_QH","DRA")</f>
        <v>0</v>
      </c>
      <c r="AQ37" s="50">
        <f ca="1">+GETPIVOTDATA("XXB4",'xabang (2016)'!$A$3,"MA_HT","NCK","MA_QH","ONT")</f>
        <v>0</v>
      </c>
      <c r="AR37" s="50">
        <f ca="1">+GETPIVOTDATA("XXB4",'xabang (2016)'!$A$3,"MA_HT","NCK","MA_QH","ODT")</f>
        <v>0</v>
      </c>
      <c r="AS37" s="50">
        <f ca="1">+GETPIVOTDATA("XXB4",'xabang (2016)'!$A$3,"MA_HT","NCK","MA_QH","TSC")</f>
        <v>0</v>
      </c>
      <c r="AT37" s="50">
        <f ca="1">+GETPIVOTDATA("XXB4",'xabang (2016)'!$A$3,"MA_HT","NCK","MA_QH","DTS")</f>
        <v>0</v>
      </c>
      <c r="AU37" s="50">
        <f ca="1">+GETPIVOTDATA("XXB4",'xabang (2016)'!$A$3,"MA_HT","NCK","MA_QH","DNG")</f>
        <v>0</v>
      </c>
      <c r="AV37" s="50">
        <f ca="1">+GETPIVOTDATA("XXB4",'xabang (2016)'!$A$3,"MA_HT","NCK","MA_QH","TON")</f>
        <v>0</v>
      </c>
      <c r="AW37" s="50">
        <f ca="1">+GETPIVOTDATA("XXB4",'xabang (2016)'!$A$3,"MA_HT","NCK","MA_QH","NTD")</f>
        <v>0</v>
      </c>
      <c r="AX37" s="50">
        <f ca="1">+GETPIVOTDATA("XXB4",'xabang (2016)'!$A$3,"MA_HT","NCK","MA_QH","SKX")</f>
        <v>0</v>
      </c>
      <c r="AY37" s="50">
        <f ca="1">+GETPIVOTDATA("XXB4",'xabang (2016)'!$A$3,"MA_HT","NCK","MA_QH","DSH")</f>
        <v>0</v>
      </c>
      <c r="AZ37" s="50">
        <f ca="1">+GETPIVOTDATA("XXB4",'xabang (2016)'!$A$3,"MA_HT","NCK","MA_QH","DKV")</f>
        <v>0</v>
      </c>
      <c r="BA37" s="88">
        <f ca="1">+GETPIVOTDATA("XXB4",'xabang (2016)'!$A$3,"MA_HT","NCK","MA_QH","TIN")</f>
        <v>0</v>
      </c>
      <c r="BB37" s="50">
        <f ca="1">+GETPIVOTDATA("XXB4",'xabang (2016)'!$A$3,"MA_HT","NCK","MA_QH","SON")</f>
        <v>0</v>
      </c>
      <c r="BC37" s="50">
        <f ca="1">+GETPIVOTDATA("XXB4",'xabang (2016)'!$A$3,"MA_HT","NCK","MA_QH","MNC")</f>
        <v>0</v>
      </c>
      <c r="BD37" s="50">
        <f ca="1">+GETPIVOTDATA("XXB4",'xabang (2016)'!$A$3,"MA_HT","NCK","MA_QH","PNK")</f>
        <v>0</v>
      </c>
      <c r="BE37" s="80">
        <f ca="1">+GETPIVOTDATA("XXB4",'xabang (2016)'!$A$3,"MA_HT","NCK","MA_QH","CSD")</f>
        <v>0</v>
      </c>
      <c r="BF37" s="103">
        <f ca="1" t="shared" si="13"/>
        <v>0</v>
      </c>
      <c r="BG37" s="104">
        <f ca="1">AJ$59-$BF37</f>
        <v>0</v>
      </c>
      <c r="BH37" s="47" t="e">
        <f ca="1" t="shared" si="14"/>
        <v>#REF!</v>
      </c>
      <c r="BI37" s="105"/>
      <c r="BJ37" s="105" t="e">
        <f>#REF!</f>
        <v>#REF!</v>
      </c>
      <c r="BK37" s="108" t="e">
        <f ca="1" t="shared" si="19"/>
        <v>#REF!</v>
      </c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</row>
    <row r="38" s="4" customFormat="1" ht="16.5" customHeight="1" spans="1:79">
      <c r="A38" s="45" t="s">
        <v>8394</v>
      </c>
      <c r="B38" s="45" t="s">
        <v>8395</v>
      </c>
      <c r="C38" s="46" t="s">
        <v>8295</v>
      </c>
      <c r="D38" s="47" t="e">
        <f>+#REF!</f>
        <v>#REF!</v>
      </c>
      <c r="E38" s="42">
        <f ca="1" t="shared" si="15"/>
        <v>0</v>
      </c>
      <c r="F38" s="52">
        <f ca="1" t="shared" si="9"/>
        <v>0</v>
      </c>
      <c r="G38" s="50">
        <f ca="1">+GETPIVOTDATA("XXB4",'xabang (2016)'!$A$3,"MA_HT","DXH","MA_QH","LUC")</f>
        <v>0</v>
      </c>
      <c r="H38" s="50">
        <f ca="1">+GETPIVOTDATA("XXB4",'xabang (2016)'!$A$3,"MA_HT","DXH","MA_QH","LUK")</f>
        <v>0</v>
      </c>
      <c r="I38" s="50">
        <f ca="1">+GETPIVOTDATA("XXB4",'xabang (2016)'!$A$3,"MA_HT","DXH","MA_QH","LUN")</f>
        <v>0</v>
      </c>
      <c r="J38" s="50">
        <f ca="1">+GETPIVOTDATA("XXB4",'xabang (2016)'!$A$3,"MA_HT","DXH","MA_QH","HNK")</f>
        <v>0</v>
      </c>
      <c r="K38" s="50">
        <f ca="1">+GETPIVOTDATA("XXB4",'xabang (2016)'!$A$3,"MA_HT","DXH","MA_QH","CLN")</f>
        <v>0</v>
      </c>
      <c r="L38" s="50">
        <f ca="1">+GETPIVOTDATA("XXB4",'xabang (2016)'!$A$3,"MA_HT","DXH","MA_QH","RSX")</f>
        <v>0</v>
      </c>
      <c r="M38" s="50">
        <f ca="1">+GETPIVOTDATA("XXB4",'xabang (2016)'!$A$3,"MA_HT","DXH","MA_QH","RPH")</f>
        <v>0</v>
      </c>
      <c r="N38" s="50">
        <f ca="1">+GETPIVOTDATA("XXB4",'xabang (2016)'!$A$3,"MA_HT","DXH","MA_QH","RDD")</f>
        <v>0</v>
      </c>
      <c r="O38" s="50">
        <f ca="1">+GETPIVOTDATA("XXB4",'xabang (2016)'!$A$3,"MA_HT","DXH","MA_QH","NTS")</f>
        <v>0</v>
      </c>
      <c r="P38" s="50">
        <f ca="1">+GETPIVOTDATA("XXB4",'xabang (2016)'!$A$3,"MA_HT","DXH","MA_QH","LMU")</f>
        <v>0</v>
      </c>
      <c r="Q38" s="50">
        <f ca="1">+GETPIVOTDATA("XXB4",'xabang (2016)'!$A$3,"MA_HT","DXH","MA_QH","NKH")</f>
        <v>0</v>
      </c>
      <c r="R38" s="48">
        <f ca="1" t="shared" si="20"/>
        <v>0</v>
      </c>
      <c r="S38" s="50">
        <f ca="1">+GETPIVOTDATA("XXB4",'xabang (2016)'!$A$3,"MA_HT","DXH","MA_QH","CQP")</f>
        <v>0</v>
      </c>
      <c r="T38" s="50">
        <f ca="1">+GETPIVOTDATA("XXB4",'xabang (2016)'!$A$3,"MA_HT","DXH","MA_QH","CAN")</f>
        <v>0</v>
      </c>
      <c r="U38" s="50">
        <f ca="1">+GETPIVOTDATA("XXB4",'xabang (2016)'!$A$3,"MA_HT","DXH","MA_QH","SKK")</f>
        <v>0</v>
      </c>
      <c r="V38" s="50">
        <f ca="1">+GETPIVOTDATA("XXB4",'xabang (2016)'!$A$3,"MA_HT","DXH","MA_QH","SKT")</f>
        <v>0</v>
      </c>
      <c r="W38" s="50">
        <f ca="1">+GETPIVOTDATA("XXB4",'xabang (2016)'!$A$3,"MA_HT","DXH","MA_QH","SKN")</f>
        <v>0</v>
      </c>
      <c r="X38" s="50">
        <f ca="1">+GETPIVOTDATA("XXB4",'xabang (2016)'!$A$3,"MA_HT","DXH","MA_QH","TMD")</f>
        <v>0</v>
      </c>
      <c r="Y38" s="50">
        <f ca="1">+GETPIVOTDATA("XXB4",'xabang (2016)'!$A$3,"MA_HT","DXH","MA_QH","SKC")</f>
        <v>0</v>
      </c>
      <c r="Z38" s="50">
        <f ca="1">+GETPIVOTDATA("XXB4",'xabang (2016)'!$A$3,"MA_HT","DXH","MA_QH","SKS")</f>
        <v>0</v>
      </c>
      <c r="AA38" s="52">
        <f ca="1">+SUM(AB38:AJ38,AL38:AM38)</f>
        <v>0</v>
      </c>
      <c r="AB38" s="50">
        <f ca="1">+GETPIVOTDATA("XXB4",'xabang (2016)'!$A$3,"MA_HT","DXH","MA_QH","DGT")</f>
        <v>0</v>
      </c>
      <c r="AC38" s="50">
        <f ca="1">+GETPIVOTDATA("XXB4",'xabang (2016)'!$A$3,"MA_HT","DXH","MA_QH","DTL")</f>
        <v>0</v>
      </c>
      <c r="AD38" s="50">
        <f ca="1">+GETPIVOTDATA("XXB4",'xabang (2016)'!$A$3,"MA_HT","DXH","MA_QH","DNL")</f>
        <v>0</v>
      </c>
      <c r="AE38" s="50">
        <f ca="1">+GETPIVOTDATA("XXB4",'xabang (2016)'!$A$3,"MA_HT","DXH","MA_QH","DBV")</f>
        <v>0</v>
      </c>
      <c r="AF38" s="50">
        <f ca="1">+GETPIVOTDATA("XXB4",'xabang (2016)'!$A$3,"MA_HT","DXH","MA_QH","DVH")</f>
        <v>0</v>
      </c>
      <c r="AG38" s="50">
        <f ca="1">+GETPIVOTDATA("XXB4",'xabang (2016)'!$A$3,"MA_HT","DXH","MA_QH","DYT")</f>
        <v>0</v>
      </c>
      <c r="AH38" s="50">
        <f ca="1">+GETPIVOTDATA("XXB4",'xabang (2016)'!$A$3,"MA_HT","DXH","MA_QH","DGD")</f>
        <v>0</v>
      </c>
      <c r="AI38" s="50">
        <f ca="1">+GETPIVOTDATA("XXB4",'xabang (2016)'!$A$3,"MA_HT","DXH","MA_QH","DTT")</f>
        <v>0</v>
      </c>
      <c r="AJ38" s="50">
        <f ca="1">+GETPIVOTDATA("XXB4",'xabang (2016)'!$A$3,"MA_HT","DXH","MA_QH","NCK")</f>
        <v>0</v>
      </c>
      <c r="AK38" s="49" t="e">
        <f ca="1">$D38-$BF38</f>
        <v>#REF!</v>
      </c>
      <c r="AL38" s="50">
        <f ca="1">+GETPIVOTDATA("XXB4",'xabang (2016)'!$A$3,"MA_HT","DXH","MA_QH","DCH")</f>
        <v>0</v>
      </c>
      <c r="AM38" s="50">
        <f ca="1">+GETPIVOTDATA("XXB4",'xabang (2016)'!$A$3,"MA_HT","DXH","MA_QH","DKG")</f>
        <v>0</v>
      </c>
      <c r="AN38" s="50">
        <f ca="1">+GETPIVOTDATA("XXB4",'xabang (2016)'!$A$3,"MA_HT","DXH","MA_QH","DDT")</f>
        <v>0</v>
      </c>
      <c r="AO38" s="50">
        <f ca="1">+GETPIVOTDATA("XXB4",'xabang (2016)'!$A$3,"MA_HT","DXH","MA_QH","DDL")</f>
        <v>0</v>
      </c>
      <c r="AP38" s="50">
        <f ca="1">+GETPIVOTDATA("XXB4",'xabang (2016)'!$A$3,"MA_HT","DXH","MA_QH","DRA")</f>
        <v>0</v>
      </c>
      <c r="AQ38" s="50">
        <f ca="1">+GETPIVOTDATA("XXB4",'xabang (2016)'!$A$3,"MA_HT","DXH","MA_QH","ONT")</f>
        <v>0</v>
      </c>
      <c r="AR38" s="50">
        <f ca="1">+GETPIVOTDATA("XXB4",'xabang (2016)'!$A$3,"MA_HT","DXH","MA_QH","ODT")</f>
        <v>0</v>
      </c>
      <c r="AS38" s="50">
        <f ca="1">+GETPIVOTDATA("XXB4",'xabang (2016)'!$A$3,"MA_HT","DXH","MA_QH","TSC")</f>
        <v>0</v>
      </c>
      <c r="AT38" s="50">
        <f ca="1">+GETPIVOTDATA("XXB4",'xabang (2016)'!$A$3,"MA_HT","DXH","MA_QH","DTS")</f>
        <v>0</v>
      </c>
      <c r="AU38" s="50">
        <f ca="1">+GETPIVOTDATA("XXB4",'xabang (2016)'!$A$3,"MA_HT","DXH","MA_QH","DNG")</f>
        <v>0</v>
      </c>
      <c r="AV38" s="50">
        <f ca="1">+GETPIVOTDATA("XXB4",'xabang (2016)'!$A$3,"MA_HT","DXH","MA_QH","TON")</f>
        <v>0</v>
      </c>
      <c r="AW38" s="50">
        <f ca="1">+GETPIVOTDATA("XXB4",'xabang (2016)'!$A$3,"MA_HT","DXH","MA_QH","NTD")</f>
        <v>0</v>
      </c>
      <c r="AX38" s="50">
        <f ca="1">+GETPIVOTDATA("XXB4",'xabang (2016)'!$A$3,"MA_HT","DXH","MA_QH","SKX")</f>
        <v>0</v>
      </c>
      <c r="AY38" s="50">
        <f ca="1">+GETPIVOTDATA("XXB4",'xabang (2016)'!$A$3,"MA_HT","DXH","MA_QH","DSH")</f>
        <v>0</v>
      </c>
      <c r="AZ38" s="50">
        <f ca="1">+GETPIVOTDATA("XXB4",'xabang (2016)'!$A$3,"MA_HT","DXH","MA_QH","DKV")</f>
        <v>0</v>
      </c>
      <c r="BA38" s="88">
        <f ca="1">+GETPIVOTDATA("XXB4",'xabang (2016)'!$A$3,"MA_HT","DXH","MA_QH","TIN")</f>
        <v>0</v>
      </c>
      <c r="BB38" s="50">
        <f ca="1">+GETPIVOTDATA("XXB4",'xabang (2016)'!$A$3,"MA_HT","DXH","MA_QH","SON")</f>
        <v>0</v>
      </c>
      <c r="BC38" s="50">
        <f ca="1">+GETPIVOTDATA("XXB4",'xabang (2016)'!$A$3,"MA_HT","DXH","MA_QH","MNC")</f>
        <v>0</v>
      </c>
      <c r="BD38" s="50">
        <f ca="1">+GETPIVOTDATA("XXB4",'xabang (2016)'!$A$3,"MA_HT","DXH","MA_QH","PNK")</f>
        <v>0</v>
      </c>
      <c r="BE38" s="80">
        <f ca="1">+GETPIVOTDATA("XXB4",'xabang (2016)'!$A$3,"MA_HT","DXH","MA_QH","CSD")</f>
        <v>0</v>
      </c>
      <c r="BF38" s="103">
        <f ca="1" t="shared" si="13"/>
        <v>0</v>
      </c>
      <c r="BG38" s="104">
        <f ca="1">AK$59-$BF38</f>
        <v>0</v>
      </c>
      <c r="BH38" s="47" t="e">
        <f ca="1" t="shared" si="14"/>
        <v>#REF!</v>
      </c>
      <c r="BI38" s="105"/>
      <c r="BJ38" s="105" t="e">
        <f>#REF!</f>
        <v>#REF!</v>
      </c>
      <c r="BK38" s="108" t="e">
        <f ca="1" t="shared" si="19"/>
        <v>#REF!</v>
      </c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</row>
    <row r="39" s="5" customFormat="1" ht="16.5" customHeight="1" spans="1:79">
      <c r="A39" s="45" t="s">
        <v>8396</v>
      </c>
      <c r="B39" s="45" t="s">
        <v>8397</v>
      </c>
      <c r="C39" s="46" t="s">
        <v>178</v>
      </c>
      <c r="D39" s="47" t="e">
        <f>+#REF!</f>
        <v>#REF!</v>
      </c>
      <c r="E39" s="42">
        <f ca="1" t="shared" si="15"/>
        <v>0</v>
      </c>
      <c r="F39" s="52">
        <f ca="1" t="shared" si="9"/>
        <v>0</v>
      </c>
      <c r="G39" s="50">
        <f ca="1">+GETPIVOTDATA("XXB4",'xabang (2016)'!$A$3,"MA_HT","DCH","MA_QH","LUC")</f>
        <v>0</v>
      </c>
      <c r="H39" s="50">
        <f ca="1">+GETPIVOTDATA("XXB4",'xabang (2016)'!$A$3,"MA_HT","DCH","MA_QH","LUK")</f>
        <v>0</v>
      </c>
      <c r="I39" s="50">
        <f ca="1">+GETPIVOTDATA("XXB4",'xabang (2016)'!$A$3,"MA_HT","DCH","MA_QH","LUN")</f>
        <v>0</v>
      </c>
      <c r="J39" s="50">
        <f ca="1">+GETPIVOTDATA("XXB4",'xabang (2016)'!$A$3,"MA_HT","DCH","MA_QH","HNK")</f>
        <v>0</v>
      </c>
      <c r="K39" s="50">
        <f ca="1">+GETPIVOTDATA("XXB4",'xabang (2016)'!$A$3,"MA_HT","DCH","MA_QH","CLN")</f>
        <v>0</v>
      </c>
      <c r="L39" s="50">
        <f ca="1">+GETPIVOTDATA("XXB4",'xabang (2016)'!$A$3,"MA_HT","DCH","MA_QH","RSX")</f>
        <v>0</v>
      </c>
      <c r="M39" s="50">
        <f ca="1">+GETPIVOTDATA("XXB4",'xabang (2016)'!$A$3,"MA_HT","DCH","MA_QH","RPH")</f>
        <v>0</v>
      </c>
      <c r="N39" s="50">
        <f ca="1">+GETPIVOTDATA("XXB4",'xabang (2016)'!$A$3,"MA_HT","DCH","MA_QH","RDD")</f>
        <v>0</v>
      </c>
      <c r="O39" s="50">
        <f ca="1">+GETPIVOTDATA("XXB4",'xabang (2016)'!$A$3,"MA_HT","DCH","MA_QH","NTS")</f>
        <v>0</v>
      </c>
      <c r="P39" s="50">
        <f ca="1">+GETPIVOTDATA("XXB4",'xabang (2016)'!$A$3,"MA_HT","DCH","MA_QH","LMU")</f>
        <v>0</v>
      </c>
      <c r="Q39" s="50">
        <f ca="1">+GETPIVOTDATA("XXB4",'xabang (2016)'!$A$3,"MA_HT","DCH","MA_QH","NKH")</f>
        <v>0</v>
      </c>
      <c r="R39" s="48">
        <f ca="1" t="shared" si="20"/>
        <v>0</v>
      </c>
      <c r="S39" s="50">
        <f ca="1">+GETPIVOTDATA("XXB4",'xabang (2016)'!$A$3,"MA_HT","DCH","MA_QH","CQP")</f>
        <v>0</v>
      </c>
      <c r="T39" s="50">
        <f ca="1">+GETPIVOTDATA("XXB4",'xabang (2016)'!$A$3,"MA_HT","DCH","MA_QH","CAN")</f>
        <v>0</v>
      </c>
      <c r="U39" s="50">
        <f ca="1">+GETPIVOTDATA("XXB4",'xabang (2016)'!$A$3,"MA_HT","DCH","MA_QH","SKK")</f>
        <v>0</v>
      </c>
      <c r="V39" s="50">
        <f ca="1">+GETPIVOTDATA("XXB4",'xabang (2016)'!$A$3,"MA_HT","DCH","MA_QH","SKT")</f>
        <v>0</v>
      </c>
      <c r="W39" s="50">
        <f ca="1">+GETPIVOTDATA("XXB4",'xabang (2016)'!$A$3,"MA_HT","DCH","MA_QH","SKN")</f>
        <v>0</v>
      </c>
      <c r="X39" s="50">
        <f ca="1">+GETPIVOTDATA("XXB4",'xabang (2016)'!$A$3,"MA_HT","DCH","MA_QH","TMD")</f>
        <v>0</v>
      </c>
      <c r="Y39" s="50">
        <f ca="1">+GETPIVOTDATA("XXB4",'xabang (2016)'!$A$3,"MA_HT","DCH","MA_QH","SKC")</f>
        <v>0</v>
      </c>
      <c r="Z39" s="50">
        <f ca="1">+GETPIVOTDATA("XXB4",'xabang (2016)'!$A$3,"MA_HT","DCH","MA_QH","SKS")</f>
        <v>0</v>
      </c>
      <c r="AA39" s="52">
        <f ca="1">+SUM(AB39:AK39,AM39)</f>
        <v>0</v>
      </c>
      <c r="AB39" s="50">
        <f ca="1">+GETPIVOTDATA("XXB4",'xabang (2016)'!$A$3,"MA_HT","DCH","MA_QH","DGT")</f>
        <v>0</v>
      </c>
      <c r="AC39" s="50">
        <f ca="1">+GETPIVOTDATA("XXB4",'xabang (2016)'!$A$3,"MA_HT","DCH","MA_QH","DTL")</f>
        <v>0</v>
      </c>
      <c r="AD39" s="50">
        <f ca="1">+GETPIVOTDATA("XXB4",'xabang (2016)'!$A$3,"MA_HT","DCH","MA_QH","DNL")</f>
        <v>0</v>
      </c>
      <c r="AE39" s="50">
        <f ca="1">+GETPIVOTDATA("XXB4",'xabang (2016)'!$A$3,"MA_HT","DCH","MA_QH","DBV")</f>
        <v>0</v>
      </c>
      <c r="AF39" s="50">
        <f ca="1">+GETPIVOTDATA("XXB4",'xabang (2016)'!$A$3,"MA_HT","DCH","MA_QH","DVH")</f>
        <v>0</v>
      </c>
      <c r="AG39" s="50">
        <f ca="1">+GETPIVOTDATA("XXB4",'xabang (2016)'!$A$3,"MA_HT","DCH","MA_QH","DYT")</f>
        <v>0</v>
      </c>
      <c r="AH39" s="50">
        <f ca="1">+GETPIVOTDATA("XXB4",'xabang (2016)'!$A$3,"MA_HT","DCH","MA_QH","DGD")</f>
        <v>0</v>
      </c>
      <c r="AI39" s="50">
        <f ca="1">+GETPIVOTDATA("XXB4",'xabang (2016)'!$A$3,"MA_HT","DCH","MA_QH","DTT")</f>
        <v>0</v>
      </c>
      <c r="AJ39" s="50">
        <f ca="1">+GETPIVOTDATA("XXB4",'xabang (2016)'!$A$3,"MA_HT","DCH","MA_QH","NCK")</f>
        <v>0</v>
      </c>
      <c r="AK39" s="50">
        <f ca="1">+GETPIVOTDATA("XXB4",'xabang (2016)'!$A$3,"MA_HT","DCH","MA_QH","DXH")</f>
        <v>0</v>
      </c>
      <c r="AL39" s="49" t="e">
        <f ca="1">$D39-$BF39</f>
        <v>#REF!</v>
      </c>
      <c r="AM39" s="50">
        <f ca="1">+GETPIVOTDATA("XXB4",'xabang (2016)'!$A$3,"MA_HT","DXH","MA_QH","DKG")</f>
        <v>0</v>
      </c>
      <c r="AN39" s="50">
        <f ca="1">+GETPIVOTDATA("XXB4",'xabang (2016)'!$A$3,"MA_HT","DCH","MA_QH","DDT")</f>
        <v>0</v>
      </c>
      <c r="AO39" s="50">
        <f ca="1">+GETPIVOTDATA("XXB4",'xabang (2016)'!$A$3,"MA_HT","DCH","MA_QH","DDL")</f>
        <v>0</v>
      </c>
      <c r="AP39" s="50">
        <f ca="1">+GETPIVOTDATA("XXB4",'xabang (2016)'!$A$3,"MA_HT","DCH","MA_QH","DRA")</f>
        <v>0</v>
      </c>
      <c r="AQ39" s="50">
        <f ca="1">+GETPIVOTDATA("XXB4",'xabang (2016)'!$A$3,"MA_HT","DCH","MA_QH","ONT")</f>
        <v>0</v>
      </c>
      <c r="AR39" s="50">
        <f ca="1">+GETPIVOTDATA("XXB4",'xabang (2016)'!$A$3,"MA_HT","DCH","MA_QH","ODT")</f>
        <v>0</v>
      </c>
      <c r="AS39" s="50">
        <f ca="1">+GETPIVOTDATA("XXB4",'xabang (2016)'!$A$3,"MA_HT","DCH","MA_QH","TSC")</f>
        <v>0</v>
      </c>
      <c r="AT39" s="50">
        <f ca="1">+GETPIVOTDATA("XXB4",'xabang (2016)'!$A$3,"MA_HT","DCH","MA_QH","DTS")</f>
        <v>0</v>
      </c>
      <c r="AU39" s="50">
        <f ca="1">+GETPIVOTDATA("XXB4",'xabang (2016)'!$A$3,"MA_HT","DCH","MA_QH","DNG")</f>
        <v>0</v>
      </c>
      <c r="AV39" s="50">
        <f ca="1">+GETPIVOTDATA("XXB4",'xabang (2016)'!$A$3,"MA_HT","DCH","MA_QH","TON")</f>
        <v>0</v>
      </c>
      <c r="AW39" s="50">
        <f ca="1">+GETPIVOTDATA("XXB4",'xabang (2016)'!$A$3,"MA_HT","DCH","MA_QH","NTD")</f>
        <v>0</v>
      </c>
      <c r="AX39" s="50">
        <f ca="1">+GETPIVOTDATA("XXB4",'xabang (2016)'!$A$3,"MA_HT","DCH","MA_QH","SKX")</f>
        <v>0</v>
      </c>
      <c r="AY39" s="50">
        <f ca="1">+GETPIVOTDATA("XXB4",'xabang (2016)'!$A$3,"MA_HT","DCH","MA_QH","DSH")</f>
        <v>0</v>
      </c>
      <c r="AZ39" s="50">
        <f ca="1">+GETPIVOTDATA("XXB4",'xabang (2016)'!$A$3,"MA_HT","DCH","MA_QH","DKV")</f>
        <v>0</v>
      </c>
      <c r="BA39" s="88">
        <f ca="1">+GETPIVOTDATA("XXB4",'xabang (2016)'!$A$3,"MA_HT","DCH","MA_QH","TIN")</f>
        <v>0</v>
      </c>
      <c r="BB39" s="50">
        <f ca="1">+GETPIVOTDATA("XXB4",'xabang (2016)'!$A$3,"MA_HT","DCH","MA_QH","SON")</f>
        <v>0</v>
      </c>
      <c r="BC39" s="50">
        <f ca="1">+GETPIVOTDATA("XXB4",'xabang (2016)'!$A$3,"MA_HT","DCH","MA_QH","MNC")</f>
        <v>0</v>
      </c>
      <c r="BD39" s="50">
        <f ca="1">+GETPIVOTDATA("XXB4",'xabang (2016)'!$A$3,"MA_HT","DCH","MA_QH","PNK")</f>
        <v>0</v>
      </c>
      <c r="BE39" s="80">
        <f ca="1">+GETPIVOTDATA("XXB4",'xabang (2016)'!$A$3,"MA_HT","DCH","MA_QH","CSD")</f>
        <v>0</v>
      </c>
      <c r="BF39" s="103">
        <f ca="1" t="shared" si="13"/>
        <v>0</v>
      </c>
      <c r="BG39" s="104">
        <f ca="1">AL$59-$BF39</f>
        <v>0</v>
      </c>
      <c r="BH39" s="47" t="e">
        <f ca="1" t="shared" si="14"/>
        <v>#REF!</v>
      </c>
      <c r="BI39" s="109"/>
      <c r="BJ39" s="109" t="e">
        <f>#REF!</f>
        <v>#REF!</v>
      </c>
      <c r="BK39" s="110" t="e">
        <f ca="1" t="shared" si="19"/>
        <v>#REF!</v>
      </c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</row>
    <row r="40" s="5" customFormat="1" ht="16.5" customHeight="1" spans="1:79">
      <c r="A40" s="45" t="s">
        <v>8398</v>
      </c>
      <c r="B40" s="45" t="s">
        <v>8399</v>
      </c>
      <c r="C40" s="46" t="s">
        <v>8312</v>
      </c>
      <c r="D40" s="47" t="e">
        <f>+#REF!</f>
        <v>#REF!</v>
      </c>
      <c r="E40" s="42">
        <f ca="1" t="shared" si="15"/>
        <v>0</v>
      </c>
      <c r="F40" s="52">
        <f ca="1" t="shared" si="9"/>
        <v>0</v>
      </c>
      <c r="G40" s="50">
        <f ca="1">+GETPIVOTDATA("XXB4",'xabang (2016)'!$A$3,"MA_HT","DKG","MA_QH","LUC")</f>
        <v>0</v>
      </c>
      <c r="H40" s="50">
        <f ca="1">+GETPIVOTDATA("XXB4",'xabang (2016)'!$A$3,"MA_HT","DKG","MA_QH","LUK")</f>
        <v>0</v>
      </c>
      <c r="I40" s="50">
        <f ca="1">+GETPIVOTDATA("XXB4",'xabang (2016)'!$A$3,"MA_HT","DKG","MA_QH","LUN")</f>
        <v>0</v>
      </c>
      <c r="J40" s="50">
        <f ca="1">+GETPIVOTDATA("XXB4",'xabang (2016)'!$A$3,"MA_HT","DKG","MA_QH","HNK")</f>
        <v>0</v>
      </c>
      <c r="K40" s="50">
        <f ca="1">+GETPIVOTDATA("XXB4",'xabang (2016)'!$A$3,"MA_HT","DKG","MA_QH","CLN")</f>
        <v>0</v>
      </c>
      <c r="L40" s="50">
        <f ca="1">+GETPIVOTDATA("XXB4",'xabang (2016)'!$A$3,"MA_HT","DKG","MA_QH","RSX")</f>
        <v>0</v>
      </c>
      <c r="M40" s="50">
        <f ca="1">+GETPIVOTDATA("XXB4",'xabang (2016)'!$A$3,"MA_HT","DKG","MA_QH","RPH")</f>
        <v>0</v>
      </c>
      <c r="N40" s="50">
        <f ca="1">+GETPIVOTDATA("XXB4",'xabang (2016)'!$A$3,"MA_HT","DKG","MA_QH","RDD")</f>
        <v>0</v>
      </c>
      <c r="O40" s="50">
        <f ca="1">+GETPIVOTDATA("XXB4",'xabang (2016)'!$A$3,"MA_HT","DKG","MA_QH","NTS")</f>
        <v>0</v>
      </c>
      <c r="P40" s="50">
        <f ca="1">+GETPIVOTDATA("XXB4",'xabang (2016)'!$A$3,"MA_HT","DKG","MA_QH","LMU")</f>
        <v>0</v>
      </c>
      <c r="Q40" s="50">
        <f ca="1">+GETPIVOTDATA("XXB4",'xabang (2016)'!$A$3,"MA_HT","DKG","MA_QH","NKH")</f>
        <v>0</v>
      </c>
      <c r="R40" s="48">
        <f ca="1" t="shared" si="20"/>
        <v>0</v>
      </c>
      <c r="S40" s="50">
        <f ca="1">+GETPIVOTDATA("XXB4",'xabang (2016)'!$A$3,"MA_HT","DKG","MA_QH","CQP")</f>
        <v>0</v>
      </c>
      <c r="T40" s="50">
        <f ca="1">+GETPIVOTDATA("XXB4",'xabang (2016)'!$A$3,"MA_HT","DKG","MA_QH","CAN")</f>
        <v>0</v>
      </c>
      <c r="U40" s="50">
        <f ca="1">+GETPIVOTDATA("XXB4",'xabang (2016)'!$A$3,"MA_HT","DKG","MA_QH","SKK")</f>
        <v>0</v>
      </c>
      <c r="V40" s="50">
        <f ca="1">+GETPIVOTDATA("XXB4",'xabang (2016)'!$A$3,"MA_HT","DKG","MA_QH","SKT")</f>
        <v>0</v>
      </c>
      <c r="W40" s="50">
        <f ca="1">+GETPIVOTDATA("XXB4",'xabang (2016)'!$A$3,"MA_HT","DKG","MA_QH","SKN")</f>
        <v>0</v>
      </c>
      <c r="X40" s="50">
        <f ca="1">+GETPIVOTDATA("XXB4",'xabang (2016)'!$A$3,"MA_HT","DKG","MA_QH","TMD")</f>
        <v>0</v>
      </c>
      <c r="Y40" s="50">
        <f ca="1">+GETPIVOTDATA("XXB4",'xabang (2016)'!$A$3,"MA_HT","DKG","MA_QH","SKC")</f>
        <v>0</v>
      </c>
      <c r="Z40" s="50">
        <f ca="1">+GETPIVOTDATA("XXB4",'xabang (2016)'!$A$3,"MA_HT","DKG","MA_QH","SKS")</f>
        <v>0</v>
      </c>
      <c r="AA40" s="52">
        <f ca="1">+SUM(AB40:AL40)</f>
        <v>0</v>
      </c>
      <c r="AB40" s="50">
        <f ca="1">+GETPIVOTDATA("XXB4",'xabang (2016)'!$A$3,"MA_HT","DKG","MA_QH","DGT")</f>
        <v>0</v>
      </c>
      <c r="AC40" s="50">
        <f ca="1">+GETPIVOTDATA("XXB4",'xabang (2016)'!$A$3,"MA_HT","DKG","MA_QH","DTL")</f>
        <v>0</v>
      </c>
      <c r="AD40" s="50">
        <f ca="1">+GETPIVOTDATA("XXB4",'xabang (2016)'!$A$3,"MA_HT","DKG","MA_QH","DNL")</f>
        <v>0</v>
      </c>
      <c r="AE40" s="50">
        <f ca="1">+GETPIVOTDATA("XXB4",'xabang (2016)'!$A$3,"MA_HT","DKG","MA_QH","DBV")</f>
        <v>0</v>
      </c>
      <c r="AF40" s="50">
        <f ca="1">+GETPIVOTDATA("XXB4",'xabang (2016)'!$A$3,"MA_HT","DKG","MA_QH","DVH")</f>
        <v>0</v>
      </c>
      <c r="AG40" s="50">
        <f ca="1">+GETPIVOTDATA("XXB4",'xabang (2016)'!$A$3,"MA_HT","DKG","MA_QH","DYT")</f>
        <v>0</v>
      </c>
      <c r="AH40" s="50">
        <f ca="1">+GETPIVOTDATA("XXB4",'xabang (2016)'!$A$3,"MA_HT","DKG","MA_QH","DGD")</f>
        <v>0</v>
      </c>
      <c r="AI40" s="50">
        <f ca="1">+GETPIVOTDATA("XXB4",'xabang (2016)'!$A$3,"MA_HT","DKG","MA_QH","DTT")</f>
        <v>0</v>
      </c>
      <c r="AJ40" s="50">
        <f ca="1">+GETPIVOTDATA("XXB4",'xabang (2016)'!$A$3,"MA_HT","DKG","MA_QH","NCK")</f>
        <v>0</v>
      </c>
      <c r="AK40" s="50">
        <f ca="1">+GETPIVOTDATA("XXB4",'xabang (2016)'!$A$3,"MA_HT","DKG","MA_QH","DXH")</f>
        <v>0</v>
      </c>
      <c r="AL40" s="60">
        <f ca="1">+GETPIVOTDATA("XXB4",'xabang (2016)'!$A$3,"MA_HT","DDT","MA_QH","DKG")</f>
        <v>0</v>
      </c>
      <c r="AM40" s="49" t="e">
        <f ca="1">$D40-$BF40</f>
        <v>#REF!</v>
      </c>
      <c r="AN40" s="50">
        <f ca="1">+GETPIVOTDATA("XXB4",'xabang (2016)'!$A$3,"MA_HT","DKG","MA_QH","DDT")</f>
        <v>0</v>
      </c>
      <c r="AO40" s="50">
        <f ca="1">+GETPIVOTDATA("XXB4",'xabang (2016)'!$A$3,"MA_HT","DKG","MA_QH","DDL")</f>
        <v>0</v>
      </c>
      <c r="AP40" s="50">
        <f ca="1">+GETPIVOTDATA("XXB4",'xabang (2016)'!$A$3,"MA_HT","DKG","MA_QH","DRA")</f>
        <v>0</v>
      </c>
      <c r="AQ40" s="50">
        <f ca="1">+GETPIVOTDATA("XXB4",'xabang (2016)'!$A$3,"MA_HT","DKG","MA_QH","ONT")</f>
        <v>0</v>
      </c>
      <c r="AR40" s="50">
        <f ca="1">+GETPIVOTDATA("XXB4",'xabang (2016)'!$A$3,"MA_HT","DKG","MA_QH","ODT")</f>
        <v>0</v>
      </c>
      <c r="AS40" s="50">
        <f ca="1">+GETPIVOTDATA("XXB4",'xabang (2016)'!$A$3,"MA_HT","DKG","MA_QH","TSC")</f>
        <v>0</v>
      </c>
      <c r="AT40" s="50">
        <f ca="1">+GETPIVOTDATA("XXB4",'xabang (2016)'!$A$3,"MA_HT","DKG","MA_QH","DTS")</f>
        <v>0</v>
      </c>
      <c r="AU40" s="50">
        <f ca="1">+GETPIVOTDATA("XXB4",'xabang (2016)'!$A$3,"MA_HT","DKG","MA_QH","DNG")</f>
        <v>0</v>
      </c>
      <c r="AV40" s="50">
        <f ca="1">+GETPIVOTDATA("XXB4",'xabang (2016)'!$A$3,"MA_HT","DKG","MA_QH","TON")</f>
        <v>0</v>
      </c>
      <c r="AW40" s="50">
        <f ca="1">+GETPIVOTDATA("XXB4",'xabang (2016)'!$A$3,"MA_HT","DKG","MA_QH","NTD")</f>
        <v>0</v>
      </c>
      <c r="AX40" s="50">
        <f ca="1">+GETPIVOTDATA("XXB4",'xabang (2016)'!$A$3,"MA_HT","DKG","MA_QH","SKX")</f>
        <v>0</v>
      </c>
      <c r="AY40" s="50">
        <f ca="1">+GETPIVOTDATA("XXB4",'xabang (2016)'!$A$3,"MA_HT","DKG","MA_QH","DSH")</f>
        <v>0</v>
      </c>
      <c r="AZ40" s="50">
        <f ca="1">+GETPIVOTDATA("XXB4",'xabang (2016)'!$A$3,"MA_HT","DKG","MA_QH","DKV")</f>
        <v>0</v>
      </c>
      <c r="BA40" s="88">
        <f ca="1">+GETPIVOTDATA("XXB4",'xabang (2016)'!$A$3,"MA_HT","DKG","MA_QH","TIN")</f>
        <v>0</v>
      </c>
      <c r="BB40" s="50">
        <f ca="1">+GETPIVOTDATA("XXB4",'xabang (2016)'!$A$3,"MA_HT","DKG","MA_QH","SON")</f>
        <v>0</v>
      </c>
      <c r="BC40" s="50">
        <f ca="1">+GETPIVOTDATA("XXB4",'xabang (2016)'!$A$3,"MA_HT","DKG","MA_QH","MNC")</f>
        <v>0</v>
      </c>
      <c r="BD40" s="50">
        <f ca="1">+GETPIVOTDATA("XXB4",'xabang (2016)'!$A$3,"MA_HT","DKG","MA_QH","PNK")</f>
        <v>0</v>
      </c>
      <c r="BE40" s="80">
        <f ca="1">+GETPIVOTDATA("XXB4",'xabang (2016)'!$A$3,"MA_HT","DKG","MA_QH","CSD")</f>
        <v>0</v>
      </c>
      <c r="BF40" s="103">
        <f ca="1" t="shared" si="13"/>
        <v>0</v>
      </c>
      <c r="BG40" s="104">
        <f ca="1">AM$59-$BF40</f>
        <v>0</v>
      </c>
      <c r="BH40" s="47" t="e">
        <f ca="1" t="shared" si="14"/>
        <v>#REF!</v>
      </c>
      <c r="BI40" s="109"/>
      <c r="BJ40" s="109" t="e">
        <f>#REF!</f>
        <v>#REF!</v>
      </c>
      <c r="BK40" s="110" t="e">
        <f ca="1" t="shared" si="19"/>
        <v>#REF!</v>
      </c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</row>
    <row r="41" s="6" customFormat="1" ht="15.75" customHeight="1" spans="1:79">
      <c r="A41" s="54" t="s">
        <v>8400</v>
      </c>
      <c r="B41" s="55" t="s">
        <v>8401</v>
      </c>
      <c r="C41" s="56" t="s">
        <v>8287</v>
      </c>
      <c r="D41" s="57" t="e">
        <f>+#REF!</f>
        <v>#REF!</v>
      </c>
      <c r="E41" s="58">
        <f ca="1" t="shared" si="15"/>
        <v>0</v>
      </c>
      <c r="F41" s="59">
        <f ca="1" t="shared" si="9"/>
        <v>0</v>
      </c>
      <c r="G41" s="60">
        <f ca="1">+GETPIVOTDATA("XXB4",'xabang (2016)'!$A$3,"MA_HT","DDT","MA_QH","LUC")</f>
        <v>0</v>
      </c>
      <c r="H41" s="60">
        <f ca="1">+GETPIVOTDATA("XXB4",'xabang (2016)'!$A$3,"MA_HT","DDT","MA_QH","LUK")</f>
        <v>0</v>
      </c>
      <c r="I41" s="60">
        <f ca="1">+GETPIVOTDATA("XXB4",'xabang (2016)'!$A$3,"MA_HT","DDT","MA_QH","LUN")</f>
        <v>0</v>
      </c>
      <c r="J41" s="60">
        <f ca="1">+GETPIVOTDATA("XXB4",'xabang (2016)'!$A$3,"MA_HT","DDT","MA_QH","HNK")</f>
        <v>0</v>
      </c>
      <c r="K41" s="60">
        <f ca="1">+GETPIVOTDATA("XXB4",'xabang (2016)'!$A$3,"MA_HT","DDT","MA_QH","CLN")</f>
        <v>0</v>
      </c>
      <c r="L41" s="60">
        <f ca="1">+GETPIVOTDATA("XXB4",'xabang (2016)'!$A$3,"MA_HT","DDT","MA_QH","RSX")</f>
        <v>0</v>
      </c>
      <c r="M41" s="60">
        <f ca="1">+GETPIVOTDATA("XXB4",'xabang (2016)'!$A$3,"MA_HT","DDT","MA_QH","RPH")</f>
        <v>0</v>
      </c>
      <c r="N41" s="60">
        <f ca="1">+GETPIVOTDATA("XXB4",'xabang (2016)'!$A$3,"MA_HT","DDT","MA_QH","RDD")</f>
        <v>0</v>
      </c>
      <c r="O41" s="60">
        <f ca="1">+GETPIVOTDATA("XXB4",'xabang (2016)'!$A$3,"MA_HT","DDT","MA_QH","NTS")</f>
        <v>0</v>
      </c>
      <c r="P41" s="60">
        <f ca="1">+GETPIVOTDATA("XXB4",'xabang (2016)'!$A$3,"MA_HT","DDT","MA_QH","LMU")</f>
        <v>0</v>
      </c>
      <c r="Q41" s="60">
        <f ca="1">+GETPIVOTDATA("XXB4",'xabang (2016)'!$A$3,"MA_HT","DDT","MA_QH","NKH")</f>
        <v>0</v>
      </c>
      <c r="R41" s="78">
        <f ca="1">SUM(S41:AA41,AO41:BD41)</f>
        <v>0</v>
      </c>
      <c r="S41" s="60">
        <f ca="1">+GETPIVOTDATA("XXB4",'xabang (2016)'!$A$3,"MA_HT","DDT","MA_QH","CQP")</f>
        <v>0</v>
      </c>
      <c r="T41" s="60">
        <f ca="1">+GETPIVOTDATA("XXB4",'xabang (2016)'!$A$3,"MA_HT","DDT","MA_QH","CAN")</f>
        <v>0</v>
      </c>
      <c r="U41" s="60">
        <f ca="1">+GETPIVOTDATA("XXB4",'xabang (2016)'!$A$3,"MA_HT","DDT","MA_QH","SKK")</f>
        <v>0</v>
      </c>
      <c r="V41" s="60">
        <f ca="1">+GETPIVOTDATA("XXB4",'xabang (2016)'!$A$3,"MA_HT","DDT","MA_QH","SKT")</f>
        <v>0</v>
      </c>
      <c r="W41" s="60">
        <f ca="1">+GETPIVOTDATA("XXB4",'xabang (2016)'!$A$3,"MA_HT","DDT","MA_QH","SKN")</f>
        <v>0</v>
      </c>
      <c r="X41" s="60">
        <f ca="1">+GETPIVOTDATA("XXB4",'xabang (2016)'!$A$3,"MA_HT","DDT","MA_QH","TMD")</f>
        <v>0</v>
      </c>
      <c r="Y41" s="60">
        <f ca="1">+GETPIVOTDATA("XXB4",'xabang (2016)'!$A$3,"MA_HT","DDT","MA_QH","SKC")</f>
        <v>0</v>
      </c>
      <c r="Z41" s="60">
        <f ca="1">+GETPIVOTDATA("XXB4",'xabang (2016)'!$A$3,"MA_HT","DDT","MA_QH","SKS")</f>
        <v>0</v>
      </c>
      <c r="AA41" s="59">
        <f ca="1" t="shared" ref="AA41:AA58" si="21">+SUM(AB41:AM41)</f>
        <v>0</v>
      </c>
      <c r="AB41" s="60">
        <f ca="1">+GETPIVOTDATA("XXB4",'xabang (2016)'!$A$3,"MA_HT","DDT","MA_QH","DGT")</f>
        <v>0</v>
      </c>
      <c r="AC41" s="60">
        <f ca="1">+GETPIVOTDATA("XXB4",'xabang (2016)'!$A$3,"MA_HT","DDT","MA_QH","DTL")</f>
        <v>0</v>
      </c>
      <c r="AD41" s="60">
        <f ca="1">+GETPIVOTDATA("XXB4",'xabang (2016)'!$A$3,"MA_HT","DDT","MA_QH","DNL")</f>
        <v>0</v>
      </c>
      <c r="AE41" s="60">
        <f ca="1">+GETPIVOTDATA("XXB4",'xabang (2016)'!$A$3,"MA_HT","DDT","MA_QH","DBV")</f>
        <v>0</v>
      </c>
      <c r="AF41" s="60">
        <f ca="1">+GETPIVOTDATA("XXB4",'xabang (2016)'!$A$3,"MA_HT","DDT","MA_QH","DVH")</f>
        <v>0</v>
      </c>
      <c r="AG41" s="60">
        <f ca="1">+GETPIVOTDATA("XXB4",'xabang (2016)'!$A$3,"MA_HT","DDT","MA_QH","DYT")</f>
        <v>0</v>
      </c>
      <c r="AH41" s="60">
        <f ca="1">+GETPIVOTDATA("XXB4",'xabang (2016)'!$A$3,"MA_HT","DDT","MA_QH","DGD")</f>
        <v>0</v>
      </c>
      <c r="AI41" s="60">
        <f ca="1">+GETPIVOTDATA("XXB4",'xabang (2016)'!$A$3,"MA_HT","DDT","MA_QH","DTT")</f>
        <v>0</v>
      </c>
      <c r="AJ41" s="60">
        <f ca="1">+GETPIVOTDATA("XXB4",'xabang (2016)'!$A$3,"MA_HT","DDT","MA_QH","NCK")</f>
        <v>0</v>
      </c>
      <c r="AK41" s="60">
        <f ca="1">+GETPIVOTDATA("XXB4",'xabang (2016)'!$A$3,"MA_HT","DDT","MA_QH","DXH")</f>
        <v>0</v>
      </c>
      <c r="AL41" s="60">
        <f ca="1">+GETPIVOTDATA("XXB4",'xabang (2016)'!$A$3,"MA_HT","DDT","MA_QH","DCH")</f>
        <v>0</v>
      </c>
      <c r="AM41" s="60">
        <f ca="1">+GETPIVOTDATA("XXB4",'xabang (2016)'!$A$3,"MA_HT","DDT","MA_QH","DKG")</f>
        <v>0</v>
      </c>
      <c r="AN41" s="81" t="e">
        <f ca="1">$D41-$BF41</f>
        <v>#REF!</v>
      </c>
      <c r="AO41" s="60">
        <f ca="1">+GETPIVOTDATA("XXB4",'xabang (2016)'!$A$3,"MA_HT","DDT","MA_QH","DDL")</f>
        <v>0</v>
      </c>
      <c r="AP41" s="60">
        <f ca="1">+GETPIVOTDATA("XXB4",'xabang (2016)'!$A$3,"MA_HT","DDT","MA_QH","DRA")</f>
        <v>0</v>
      </c>
      <c r="AQ41" s="60">
        <f ca="1">+GETPIVOTDATA("XXB4",'xabang (2016)'!$A$3,"MA_HT","DDT","MA_QH","ONT")</f>
        <v>0</v>
      </c>
      <c r="AR41" s="60">
        <f ca="1">+GETPIVOTDATA("XXB4",'xabang (2016)'!$A$3,"MA_HT","DDT","MA_QH","ODT")</f>
        <v>0</v>
      </c>
      <c r="AS41" s="60">
        <f ca="1">+GETPIVOTDATA("XXB4",'xabang (2016)'!$A$3,"MA_HT","DDT","MA_QH","TSC")</f>
        <v>0</v>
      </c>
      <c r="AT41" s="60">
        <f ca="1">+GETPIVOTDATA("XXB4",'xabang (2016)'!$A$3,"MA_HT","DDT","MA_QH","DTS")</f>
        <v>0</v>
      </c>
      <c r="AU41" s="60">
        <f ca="1">+GETPIVOTDATA("XXB4",'xabang (2016)'!$A$3,"MA_HT","DDT","MA_QH","DNG")</f>
        <v>0</v>
      </c>
      <c r="AV41" s="60">
        <f ca="1">+GETPIVOTDATA("XXB4",'xabang (2016)'!$A$3,"MA_HT","DDT","MA_QH","TON")</f>
        <v>0</v>
      </c>
      <c r="AW41" s="60">
        <f ca="1">+GETPIVOTDATA("XXB4",'xabang (2016)'!$A$3,"MA_HT","DDT","MA_QH","NTD")</f>
        <v>0</v>
      </c>
      <c r="AX41" s="60">
        <f ca="1">+GETPIVOTDATA("XXB4",'xabang (2016)'!$A$3,"MA_HT","DDT","MA_QH","SKX")</f>
        <v>0</v>
      </c>
      <c r="AY41" s="60">
        <f ca="1">+GETPIVOTDATA("XXB4",'xabang (2016)'!$A$3,"MA_HT","DDT","MA_QH","DSH")</f>
        <v>0</v>
      </c>
      <c r="AZ41" s="60">
        <f ca="1">+GETPIVOTDATA("XXB4",'xabang (2016)'!$A$3,"MA_HT","DDT","MA_QH","DKV")</f>
        <v>0</v>
      </c>
      <c r="BA41" s="90">
        <f ca="1">+GETPIVOTDATA("XXB4",'xabang (2016)'!$A$3,"MA_HT","DDT","MA_QH","TIN")</f>
        <v>0</v>
      </c>
      <c r="BB41" s="91">
        <f ca="1">+GETPIVOTDATA("XXB4",'xabang (2016)'!$A$3,"MA_HT","DDT","MA_QH","SON")</f>
        <v>0</v>
      </c>
      <c r="BC41" s="91">
        <f ca="1">+GETPIVOTDATA("XXB4",'xabang (2016)'!$A$3,"MA_HT","DDT","MA_QH","MNC")</f>
        <v>0</v>
      </c>
      <c r="BD41" s="60">
        <f ca="1">+GETPIVOTDATA("XXB4",'xabang (2016)'!$A$3,"MA_HT","DDT","MA_QH","PNK")</f>
        <v>0</v>
      </c>
      <c r="BE41" s="111">
        <f ca="1">+GETPIVOTDATA("XXB4",'xabang (2016)'!$A$3,"MA_HT","DDT","MA_QH","CSD")</f>
        <v>0</v>
      </c>
      <c r="BF41" s="112">
        <f ca="1" t="shared" si="13"/>
        <v>0</v>
      </c>
      <c r="BG41" s="113">
        <f ca="1">AN$59-$BF41</f>
        <v>0</v>
      </c>
      <c r="BH41" s="57" t="e">
        <f ca="1" t="shared" si="14"/>
        <v>#REF!</v>
      </c>
      <c r="BI41" s="114"/>
      <c r="BJ41" s="115"/>
      <c r="BK41" s="115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</row>
    <row r="42" s="2" customFormat="1" ht="15.75" customHeight="1" spans="1:79">
      <c r="A42" s="39" t="s">
        <v>8402</v>
      </c>
      <c r="B42" s="53" t="s">
        <v>8403</v>
      </c>
      <c r="C42" s="40" t="s">
        <v>8286</v>
      </c>
      <c r="D42" s="41" t="e">
        <f>+#REF!</f>
        <v>#REF!</v>
      </c>
      <c r="E42" s="42">
        <f ca="1" t="shared" si="15"/>
        <v>0</v>
      </c>
      <c r="F42" s="52">
        <f ca="1" t="shared" si="9"/>
        <v>0</v>
      </c>
      <c r="G42" s="22">
        <f ca="1">+GETPIVOTDATA("XXB4",'xabang (2016)'!$A$3,"MA_HT","DDL","MA_QH","LUC")</f>
        <v>0</v>
      </c>
      <c r="H42" s="22">
        <f ca="1">+GETPIVOTDATA("XXB4",'xabang (2016)'!$A$3,"MA_HT","DDL","MA_QH","LUK")</f>
        <v>0</v>
      </c>
      <c r="I42" s="22">
        <f ca="1">+GETPIVOTDATA("XXB4",'xabang (2016)'!$A$3,"MA_HT","DDL","MA_QH","LUN")</f>
        <v>0</v>
      </c>
      <c r="J42" s="22">
        <f ca="1">+GETPIVOTDATA("XXB4",'xabang (2016)'!$A$3,"MA_HT","DDL","MA_QH","HNK")</f>
        <v>0</v>
      </c>
      <c r="K42" s="22">
        <f ca="1">+GETPIVOTDATA("XXB4",'xabang (2016)'!$A$3,"MA_HT","DDL","MA_QH","CLN")</f>
        <v>0</v>
      </c>
      <c r="L42" s="22">
        <f ca="1">+GETPIVOTDATA("XXB4",'xabang (2016)'!$A$3,"MA_HT","DDL","MA_QH","RSX")</f>
        <v>0</v>
      </c>
      <c r="M42" s="22">
        <f ca="1">+GETPIVOTDATA("XXB4",'xabang (2016)'!$A$3,"MA_HT","DDL","MA_QH","RPH")</f>
        <v>0</v>
      </c>
      <c r="N42" s="22">
        <f ca="1">+GETPIVOTDATA("XXB4",'xabang (2016)'!$A$3,"MA_HT","DDL","MA_QH","RDD")</f>
        <v>0</v>
      </c>
      <c r="O42" s="22">
        <f ca="1">+GETPIVOTDATA("XXB4",'xabang (2016)'!$A$3,"MA_HT","DDL","MA_QH","NTS")</f>
        <v>0</v>
      </c>
      <c r="P42" s="22">
        <f ca="1">+GETPIVOTDATA("XXB4",'xabang (2016)'!$A$3,"MA_HT","DDL","MA_QH","LMU")</f>
        <v>0</v>
      </c>
      <c r="Q42" s="22">
        <f ca="1">+GETPIVOTDATA("XXB4",'xabang (2016)'!$A$3,"MA_HT","DDL","MA_QH","NKH")</f>
        <v>0</v>
      </c>
      <c r="R42" s="79">
        <f ca="1">SUM(S42:AA42,AN42,AP42:BD42)</f>
        <v>0</v>
      </c>
      <c r="S42" s="22">
        <f ca="1">+GETPIVOTDATA("XXB4",'xabang (2016)'!$A$3,"MA_HT","DDL","MA_QH","CQP")</f>
        <v>0</v>
      </c>
      <c r="T42" s="22">
        <f ca="1">+GETPIVOTDATA("XXB4",'xabang (2016)'!$A$3,"MA_HT","DDL","MA_QH","CAN")</f>
        <v>0</v>
      </c>
      <c r="U42" s="22">
        <f ca="1">+GETPIVOTDATA("XXB4",'xabang (2016)'!$A$3,"MA_HT","DDL","MA_QH","SKK")</f>
        <v>0</v>
      </c>
      <c r="V42" s="22">
        <f ca="1">+GETPIVOTDATA("XXB4",'xabang (2016)'!$A$3,"MA_HT","DDL","MA_QH","SKT")</f>
        <v>0</v>
      </c>
      <c r="W42" s="22">
        <f ca="1">+GETPIVOTDATA("XXB4",'xabang (2016)'!$A$3,"MA_HT","DDL","MA_QH","SKN")</f>
        <v>0</v>
      </c>
      <c r="X42" s="22">
        <f ca="1">+GETPIVOTDATA("XXB4",'xabang (2016)'!$A$3,"MA_HT","DDL","MA_QH","TMD")</f>
        <v>0</v>
      </c>
      <c r="Y42" s="22">
        <f ca="1">+GETPIVOTDATA("XXB4",'xabang (2016)'!$A$3,"MA_HT","DDL","MA_QH","SKC")</f>
        <v>0</v>
      </c>
      <c r="Z42" s="22">
        <f ca="1">+GETPIVOTDATA("XXB4",'xabang (2016)'!$A$3,"MA_HT","DDL","MA_QH","SKS")</f>
        <v>0</v>
      </c>
      <c r="AA42" s="52">
        <f ca="1" t="shared" si="21"/>
        <v>0</v>
      </c>
      <c r="AB42" s="22">
        <f ca="1">+GETPIVOTDATA("XXB4",'xabang (2016)'!$A$3,"MA_HT","DDL","MA_QH","DGT")</f>
        <v>0</v>
      </c>
      <c r="AC42" s="22">
        <f ca="1">+GETPIVOTDATA("XXB4",'xabang (2016)'!$A$3,"MA_HT","DDL","MA_QH","DTL")</f>
        <v>0</v>
      </c>
      <c r="AD42" s="22">
        <f ca="1">+GETPIVOTDATA("XXB4",'xabang (2016)'!$A$3,"MA_HT","DDL","MA_QH","DNL")</f>
        <v>0</v>
      </c>
      <c r="AE42" s="22">
        <f ca="1">+GETPIVOTDATA("XXB4",'xabang (2016)'!$A$3,"MA_HT","DDL","MA_QH","DBV")</f>
        <v>0</v>
      </c>
      <c r="AF42" s="22">
        <f ca="1">+GETPIVOTDATA("XXB4",'xabang (2016)'!$A$3,"MA_HT","DDL","MA_QH","DVH")</f>
        <v>0</v>
      </c>
      <c r="AG42" s="22">
        <f ca="1">+GETPIVOTDATA("XXB4",'xabang (2016)'!$A$3,"MA_HT","DDL","MA_QH","DYT")</f>
        <v>0</v>
      </c>
      <c r="AH42" s="22">
        <f ca="1">+GETPIVOTDATA("XXB4",'xabang (2016)'!$A$3,"MA_HT","DDL","MA_QH","DGD")</f>
        <v>0</v>
      </c>
      <c r="AI42" s="22">
        <f ca="1">+GETPIVOTDATA("XXB4",'xabang (2016)'!$A$3,"MA_HT","DDL","MA_QH","DTT")</f>
        <v>0</v>
      </c>
      <c r="AJ42" s="22">
        <f ca="1">+GETPIVOTDATA("XXB4",'xabang (2016)'!$A$3,"MA_HT","DDL","MA_QH","NCK")</f>
        <v>0</v>
      </c>
      <c r="AK42" s="22">
        <f ca="1">+GETPIVOTDATA("XXB4",'xabang (2016)'!$A$3,"MA_HT","DDL","MA_QH","DXH")</f>
        <v>0</v>
      </c>
      <c r="AL42" s="22">
        <f ca="1">+GETPIVOTDATA("XXB4",'xabang (2016)'!$A$3,"MA_HT","DDL","MA_QH","DCH")</f>
        <v>0</v>
      </c>
      <c r="AM42" s="22">
        <f ca="1">+GETPIVOTDATA("XXB4",'xabang (2016)'!$A$3,"MA_HT","DDL","MA_QH","DKG")</f>
        <v>0</v>
      </c>
      <c r="AN42" s="22">
        <f ca="1">+GETPIVOTDATA("XXB4",'xabang (2016)'!$A$3,"MA_HT","DDL","MA_QH","DDT")</f>
        <v>0</v>
      </c>
      <c r="AO42" s="43" t="e">
        <f ca="1">$D42-$BF42</f>
        <v>#REF!</v>
      </c>
      <c r="AP42" s="22">
        <f ca="1">+GETPIVOTDATA("XXB4",'xabang (2016)'!$A$3,"MA_HT","DDL","MA_QH","DRA")</f>
        <v>0</v>
      </c>
      <c r="AQ42" s="22">
        <f ca="1">+GETPIVOTDATA("XXB4",'xabang (2016)'!$A$3,"MA_HT","DDL","MA_QH","ONT")</f>
        <v>0</v>
      </c>
      <c r="AR42" s="22">
        <f ca="1">+GETPIVOTDATA("XXB4",'xabang (2016)'!$A$3,"MA_HT","DDL","MA_QH","ODT")</f>
        <v>0</v>
      </c>
      <c r="AS42" s="22">
        <f ca="1">+GETPIVOTDATA("XXB4",'xabang (2016)'!$A$3,"MA_HT","DDL","MA_QH","TSC")</f>
        <v>0</v>
      </c>
      <c r="AT42" s="22">
        <f ca="1">+GETPIVOTDATA("XXB4",'xabang (2016)'!$A$3,"MA_HT","DDL","MA_QH","DTS")</f>
        <v>0</v>
      </c>
      <c r="AU42" s="22">
        <f ca="1">+GETPIVOTDATA("XXB4",'xabang (2016)'!$A$3,"MA_HT","DDL","MA_QH","DNG")</f>
        <v>0</v>
      </c>
      <c r="AV42" s="22">
        <f ca="1">+GETPIVOTDATA("XXB4",'xabang (2016)'!$A$3,"MA_HT","DDL","MA_QH","TON")</f>
        <v>0</v>
      </c>
      <c r="AW42" s="22">
        <f ca="1">+GETPIVOTDATA("XXB4",'xabang (2016)'!$A$3,"MA_HT","DDL","MA_QH","NTD")</f>
        <v>0</v>
      </c>
      <c r="AX42" s="22">
        <f ca="1">+GETPIVOTDATA("XXB4",'xabang (2016)'!$A$3,"MA_HT","DDL","MA_QH","SKX")</f>
        <v>0</v>
      </c>
      <c r="AY42" s="22">
        <f ca="1">+GETPIVOTDATA("XXB4",'xabang (2016)'!$A$3,"MA_HT","DDL","MA_QH","DSH")</f>
        <v>0</v>
      </c>
      <c r="AZ42" s="22">
        <f ca="1">+GETPIVOTDATA("XXB4",'xabang (2016)'!$A$3,"MA_HT","DDL","MA_QH","DKV")</f>
        <v>0</v>
      </c>
      <c r="BA42" s="89">
        <f ca="1">+GETPIVOTDATA("XXB4",'xabang (2016)'!$A$3,"MA_HT","DDL","MA_QH","TIN")</f>
        <v>0</v>
      </c>
      <c r="BB42" s="50">
        <f ca="1">+GETPIVOTDATA("XXB4",'xabang (2016)'!$A$3,"MA_HT","DDL","MA_QH","SON")</f>
        <v>0</v>
      </c>
      <c r="BC42" s="50">
        <f ca="1">+GETPIVOTDATA("XXB4",'xabang (2016)'!$A$3,"MA_HT","DDL","MA_QH","MNC")</f>
        <v>0</v>
      </c>
      <c r="BD42" s="22">
        <f ca="1">+GETPIVOTDATA("XXB4",'xabang (2016)'!$A$3,"MA_HT","DDL","MA_QH","PNK")</f>
        <v>0</v>
      </c>
      <c r="BE42" s="71">
        <f ca="1">+GETPIVOTDATA("XXB4",'xabang (2016)'!$A$3,"MA_HT","DDL","MA_QH","CSD")</f>
        <v>0</v>
      </c>
      <c r="BF42" s="74">
        <f ca="1" t="shared" si="13"/>
        <v>0</v>
      </c>
      <c r="BG42" s="101">
        <f ca="1">AO$59-$BF42</f>
        <v>0</v>
      </c>
      <c r="BH42" s="41" t="e">
        <f ca="1" t="shared" si="14"/>
        <v>#REF!</v>
      </c>
      <c r="BI42" s="98"/>
      <c r="BJ42" s="107"/>
      <c r="BK42" s="10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</row>
    <row r="43" s="2" customFormat="1" ht="15.75" customHeight="1" spans="1:79">
      <c r="A43" s="39" t="s">
        <v>8404</v>
      </c>
      <c r="B43" s="53" t="s">
        <v>8405</v>
      </c>
      <c r="C43" s="40" t="s">
        <v>8291</v>
      </c>
      <c r="D43" s="41" t="e">
        <f>+#REF!</f>
        <v>#REF!</v>
      </c>
      <c r="E43" s="42">
        <f ca="1" t="shared" si="15"/>
        <v>0</v>
      </c>
      <c r="F43" s="52">
        <f ca="1" t="shared" si="9"/>
        <v>0</v>
      </c>
      <c r="G43" s="22">
        <f ca="1">+GETPIVOTDATA("XXB4",'xabang (2016)'!$A$3,"MA_HT","DRA","MA_QH","LUC")</f>
        <v>0</v>
      </c>
      <c r="H43" s="22">
        <f ca="1">+GETPIVOTDATA("XXB4",'xabang (2016)'!$A$3,"MA_HT","DRA","MA_QH","LUK")</f>
        <v>0</v>
      </c>
      <c r="I43" s="22">
        <f ca="1">+GETPIVOTDATA("XXB4",'xabang (2016)'!$A$3,"MA_HT","DRA","MA_QH","LUN")</f>
        <v>0</v>
      </c>
      <c r="J43" s="22">
        <f ca="1">+GETPIVOTDATA("XXB4",'xabang (2016)'!$A$3,"MA_HT","DRA","MA_QH","HNK")</f>
        <v>0</v>
      </c>
      <c r="K43" s="22">
        <f ca="1">+GETPIVOTDATA("XXB4",'xabang (2016)'!$A$3,"MA_HT","DRA","MA_QH","CLN")</f>
        <v>0</v>
      </c>
      <c r="L43" s="22">
        <f ca="1">+GETPIVOTDATA("XXB4",'xabang (2016)'!$A$3,"MA_HT","DRA","MA_QH","RSX")</f>
        <v>0</v>
      </c>
      <c r="M43" s="22">
        <f ca="1">+GETPIVOTDATA("XXB4",'xabang (2016)'!$A$3,"MA_HT","DRA","MA_QH","RPH")</f>
        <v>0</v>
      </c>
      <c r="N43" s="22">
        <f ca="1">+GETPIVOTDATA("XXB4",'xabang (2016)'!$A$3,"MA_HT","DRA","MA_QH","RDD")</f>
        <v>0</v>
      </c>
      <c r="O43" s="22">
        <f ca="1">+GETPIVOTDATA("XXB4",'xabang (2016)'!$A$3,"MA_HT","DRA","MA_QH","NTS")</f>
        <v>0</v>
      </c>
      <c r="P43" s="22">
        <f ca="1">+GETPIVOTDATA("XXB4",'xabang (2016)'!$A$3,"MA_HT","DRA","MA_QH","LMU")</f>
        <v>0</v>
      </c>
      <c r="Q43" s="22">
        <f ca="1">+GETPIVOTDATA("XXB4",'xabang (2016)'!$A$3,"MA_HT","DRA","MA_QH","NKH")</f>
        <v>0</v>
      </c>
      <c r="R43" s="79">
        <f ca="1">SUM(S43:AA43,AN43:AO43,AQ43:BD43)</f>
        <v>0</v>
      </c>
      <c r="S43" s="22">
        <f ca="1">+GETPIVOTDATA("XXB4",'xabang (2016)'!$A$3,"MA_HT","DRA","MA_QH","CQP")</f>
        <v>0</v>
      </c>
      <c r="T43" s="22">
        <f ca="1">+GETPIVOTDATA("XXB4",'xabang (2016)'!$A$3,"MA_HT","DRA","MA_QH","CAN")</f>
        <v>0</v>
      </c>
      <c r="U43" s="22">
        <f ca="1">+GETPIVOTDATA("XXB4",'xabang (2016)'!$A$3,"MA_HT","DRA","MA_QH","SKK")</f>
        <v>0</v>
      </c>
      <c r="V43" s="22">
        <f ca="1">+GETPIVOTDATA("XXB4",'xabang (2016)'!$A$3,"MA_HT","DRA","MA_QH","SKT")</f>
        <v>0</v>
      </c>
      <c r="W43" s="22">
        <f ca="1">+GETPIVOTDATA("XXB4",'xabang (2016)'!$A$3,"MA_HT","DRA","MA_QH","SKN")</f>
        <v>0</v>
      </c>
      <c r="X43" s="22">
        <f ca="1">+GETPIVOTDATA("XXB4",'xabang (2016)'!$A$3,"MA_HT","DRA","MA_QH","TMD")</f>
        <v>0</v>
      </c>
      <c r="Y43" s="22">
        <f ca="1">+GETPIVOTDATA("XXB4",'xabang (2016)'!$A$3,"MA_HT","DRA","MA_QH","SKC")</f>
        <v>0</v>
      </c>
      <c r="Z43" s="22">
        <f ca="1">+GETPIVOTDATA("XXB4",'xabang (2016)'!$A$3,"MA_HT","DRA","MA_QH","SKS")</f>
        <v>0</v>
      </c>
      <c r="AA43" s="52">
        <f ca="1" t="shared" si="21"/>
        <v>0</v>
      </c>
      <c r="AB43" s="22">
        <f ca="1">+GETPIVOTDATA("XXB4",'xabang (2016)'!$A$3,"MA_HT","DRA","MA_QH","DGT")</f>
        <v>0</v>
      </c>
      <c r="AC43" s="22">
        <f ca="1">+GETPIVOTDATA("XXB4",'xabang (2016)'!$A$3,"MA_HT","DRA","MA_QH","DTL")</f>
        <v>0</v>
      </c>
      <c r="AD43" s="22">
        <f ca="1">+GETPIVOTDATA("XXB4",'xabang (2016)'!$A$3,"MA_HT","DRA","MA_QH","DNL")</f>
        <v>0</v>
      </c>
      <c r="AE43" s="22">
        <f ca="1">+GETPIVOTDATA("XXB4",'xabang (2016)'!$A$3,"MA_HT","DRA","MA_QH","DBV")</f>
        <v>0</v>
      </c>
      <c r="AF43" s="22">
        <f ca="1">+GETPIVOTDATA("XXB4",'xabang (2016)'!$A$3,"MA_HT","DRA","MA_QH","DVH")</f>
        <v>0</v>
      </c>
      <c r="AG43" s="22">
        <f ca="1">+GETPIVOTDATA("XXB4",'xabang (2016)'!$A$3,"MA_HT","DRA","MA_QH","DYT")</f>
        <v>0</v>
      </c>
      <c r="AH43" s="22">
        <f ca="1">+GETPIVOTDATA("XXB4",'xabang (2016)'!$A$3,"MA_HT","DRA","MA_QH","DGD")</f>
        <v>0</v>
      </c>
      <c r="AI43" s="22">
        <f ca="1">+GETPIVOTDATA("XXB4",'xabang (2016)'!$A$3,"MA_HT","DRA","MA_QH","DTT")</f>
        <v>0</v>
      </c>
      <c r="AJ43" s="22">
        <f ca="1">+GETPIVOTDATA("XXB4",'xabang (2016)'!$A$3,"MA_HT","DRA","MA_QH","NCK")</f>
        <v>0</v>
      </c>
      <c r="AK43" s="22">
        <f ca="1">+GETPIVOTDATA("XXB4",'xabang (2016)'!$A$3,"MA_HT","DRA","MA_QH","DXH")</f>
        <v>0</v>
      </c>
      <c r="AL43" s="22">
        <f ca="1">+GETPIVOTDATA("XXB4",'xabang (2016)'!$A$3,"MA_HT","DRA","MA_QH","DCH")</f>
        <v>0</v>
      </c>
      <c r="AM43" s="22">
        <f ca="1">+GETPIVOTDATA("XXB4",'xabang (2016)'!$A$3,"MA_HT","DRA","MA_QH","DKG")</f>
        <v>0</v>
      </c>
      <c r="AN43" s="22">
        <f ca="1">+GETPIVOTDATA("XXB4",'xabang (2016)'!$A$3,"MA_HT","DRA","MA_QH","DDT")</f>
        <v>0</v>
      </c>
      <c r="AO43" s="22">
        <f ca="1">+GETPIVOTDATA("XXB4",'xabang (2016)'!$A$3,"MA_HT","DRA","MA_QH","DDL")</f>
        <v>0</v>
      </c>
      <c r="AP43" s="43" t="e">
        <f ca="1">$D43-$BF43</f>
        <v>#REF!</v>
      </c>
      <c r="AQ43" s="22">
        <f ca="1">+GETPIVOTDATA("XXB4",'xabang (2016)'!$A$3,"MA_HT","DRA","MA_QH","ONT")</f>
        <v>0</v>
      </c>
      <c r="AR43" s="22">
        <f ca="1">+GETPIVOTDATA("XXB4",'xabang (2016)'!$A$3,"MA_HT","DRA","MA_QH","ODT")</f>
        <v>0</v>
      </c>
      <c r="AS43" s="22">
        <f ca="1">+GETPIVOTDATA("XXB4",'xabang (2016)'!$A$3,"MA_HT","DRA","MA_QH","TSC")</f>
        <v>0</v>
      </c>
      <c r="AT43" s="22">
        <f ca="1">+GETPIVOTDATA("XXB4",'xabang (2016)'!$A$3,"MA_HT","DRA","MA_QH","DTS")</f>
        <v>0</v>
      </c>
      <c r="AU43" s="22">
        <f ca="1">+GETPIVOTDATA("XXB4",'xabang (2016)'!$A$3,"MA_HT","DRA","MA_QH","DNG")</f>
        <v>0</v>
      </c>
      <c r="AV43" s="22">
        <f ca="1">+GETPIVOTDATA("XXB4",'xabang (2016)'!$A$3,"MA_HT","DRA","MA_QH","TON")</f>
        <v>0</v>
      </c>
      <c r="AW43" s="22">
        <f ca="1">+GETPIVOTDATA("XXB4",'xabang (2016)'!$A$3,"MA_HT","DRA","MA_QH","NTD")</f>
        <v>0</v>
      </c>
      <c r="AX43" s="22">
        <f ca="1">+GETPIVOTDATA("XXB4",'xabang (2016)'!$A$3,"MA_HT","DRA","MA_QH","SKX")</f>
        <v>0</v>
      </c>
      <c r="AY43" s="22">
        <f ca="1">+GETPIVOTDATA("XXB4",'xabang (2016)'!$A$3,"MA_HT","DRA","MA_QH","DSH")</f>
        <v>0</v>
      </c>
      <c r="AZ43" s="22">
        <f ca="1">+GETPIVOTDATA("XXB4",'xabang (2016)'!$A$3,"MA_HT","DRA","MA_QH","DKV")</f>
        <v>0</v>
      </c>
      <c r="BA43" s="89">
        <f ca="1">+GETPIVOTDATA("XXB4",'xabang (2016)'!$A$3,"MA_HT","DRA","MA_QH","TIN")</f>
        <v>0</v>
      </c>
      <c r="BB43" s="50">
        <f ca="1">+GETPIVOTDATA("XXB4",'xabang (2016)'!$A$3,"MA_HT","DRA","MA_QH","SON")</f>
        <v>0</v>
      </c>
      <c r="BC43" s="50">
        <f ca="1">+GETPIVOTDATA("XXB4",'xabang (2016)'!$A$3,"MA_HT","DRA","MA_QH","MNC")</f>
        <v>0</v>
      </c>
      <c r="BD43" s="22">
        <f ca="1">+GETPIVOTDATA("XXB4",'xabang (2016)'!$A$3,"MA_HT","DRA","MA_QH","PNK")</f>
        <v>0</v>
      </c>
      <c r="BE43" s="71">
        <f ca="1">+GETPIVOTDATA("XXB4",'xabang (2016)'!$A$3,"MA_HT","DRA","MA_QH","CSD")</f>
        <v>0</v>
      </c>
      <c r="BF43" s="74">
        <f ca="1" t="shared" si="13"/>
        <v>0</v>
      </c>
      <c r="BG43" s="101">
        <f ca="1">AP$59-$BF43</f>
        <v>0</v>
      </c>
      <c r="BH43" s="41" t="e">
        <f ca="1" t="shared" si="14"/>
        <v>#REF!</v>
      </c>
      <c r="BI43" s="98"/>
      <c r="BJ43" s="107" t="e">
        <f>#REF!</f>
        <v>#REF!</v>
      </c>
      <c r="BK43" s="107" t="e">
        <f ca="1">BH43-BJ43</f>
        <v>#REF!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</row>
    <row r="44" s="2" customFormat="1" ht="15.75" customHeight="1" spans="1:79">
      <c r="A44" s="39" t="s">
        <v>8406</v>
      </c>
      <c r="B44" s="53" t="s">
        <v>8407</v>
      </c>
      <c r="C44" s="40" t="s">
        <v>188</v>
      </c>
      <c r="D44" s="41" t="e">
        <f>+#REF!</f>
        <v>#REF!</v>
      </c>
      <c r="E44" s="42">
        <f ca="1" t="shared" si="15"/>
        <v>0</v>
      </c>
      <c r="F44" s="52">
        <f ca="1" t="shared" si="9"/>
        <v>0</v>
      </c>
      <c r="G44" s="22">
        <f ca="1">+GETPIVOTDATA("XXB4",'xabang (2016)'!$A$3,"MA_HT","ONT","MA_QH","LUC")</f>
        <v>0</v>
      </c>
      <c r="H44" s="22">
        <f ca="1">+GETPIVOTDATA("XXB4",'xabang (2016)'!$A$3,"MA_HT","ONT","MA_QH","LUK")</f>
        <v>0</v>
      </c>
      <c r="I44" s="22">
        <f ca="1">+GETPIVOTDATA("XXB4",'xabang (2016)'!$A$3,"MA_HT","ONT","MA_QH","LUN")</f>
        <v>0</v>
      </c>
      <c r="J44" s="22">
        <f ca="1">+GETPIVOTDATA("XXB4",'xabang (2016)'!$A$3,"MA_HT","ONT","MA_QH","HNK")</f>
        <v>0</v>
      </c>
      <c r="K44" s="22">
        <f ca="1">+GETPIVOTDATA("XXB4",'xabang (2016)'!$A$3,"MA_HT","ONT","MA_QH","CLN")</f>
        <v>0</v>
      </c>
      <c r="L44" s="22">
        <f ca="1">+GETPIVOTDATA("XXB4",'xabang (2016)'!$A$3,"MA_HT","ONT","MA_QH","RSX")</f>
        <v>0</v>
      </c>
      <c r="M44" s="22">
        <f ca="1">+GETPIVOTDATA("XXB4",'xabang (2016)'!$A$3,"MA_HT","ONT","MA_QH","RPH")</f>
        <v>0</v>
      </c>
      <c r="N44" s="22">
        <f ca="1">+GETPIVOTDATA("XXB4",'xabang (2016)'!$A$3,"MA_HT","ONT","MA_QH","RDD")</f>
        <v>0</v>
      </c>
      <c r="O44" s="22">
        <f ca="1">+GETPIVOTDATA("XXB4",'xabang (2016)'!$A$3,"MA_HT","ONT","MA_QH","NTS")</f>
        <v>0</v>
      </c>
      <c r="P44" s="22">
        <f ca="1">+GETPIVOTDATA("XXB4",'xabang (2016)'!$A$3,"MA_HT","ONT","MA_QH","LMU")</f>
        <v>0</v>
      </c>
      <c r="Q44" s="22">
        <f ca="1">+GETPIVOTDATA("XXB4",'xabang (2016)'!$A$3,"MA_HT","ONT","MA_QH","NKH")</f>
        <v>0</v>
      </c>
      <c r="R44" s="79">
        <f ca="1">SUM(S44:AA44,AN44:AP44,AR44:BD44)</f>
        <v>0</v>
      </c>
      <c r="S44" s="22">
        <f ca="1">+GETPIVOTDATA("XXB4",'xabang (2016)'!$A$3,"MA_HT","ONT","MA_QH","CQP")</f>
        <v>0</v>
      </c>
      <c r="T44" s="22">
        <f ca="1">+GETPIVOTDATA("XXB4",'xabang (2016)'!$A$3,"MA_HT","ONT","MA_QH","CAN")</f>
        <v>0</v>
      </c>
      <c r="U44" s="22">
        <f ca="1">+GETPIVOTDATA("XXB4",'xabang (2016)'!$A$3,"MA_HT","ONT","MA_QH","SKK")</f>
        <v>0</v>
      </c>
      <c r="V44" s="22">
        <f ca="1">+GETPIVOTDATA("XXB4",'xabang (2016)'!$A$3,"MA_HT","ONT","MA_QH","SKT")</f>
        <v>0</v>
      </c>
      <c r="W44" s="22">
        <f ca="1">+GETPIVOTDATA("XXB4",'xabang (2016)'!$A$3,"MA_HT","ONT","MA_QH","SKN")</f>
        <v>0</v>
      </c>
      <c r="X44" s="22">
        <f ca="1">+GETPIVOTDATA("XXB4",'xabang (2016)'!$A$3,"MA_HT","ONT","MA_QH","TMD")</f>
        <v>0</v>
      </c>
      <c r="Y44" s="22">
        <f ca="1">+GETPIVOTDATA("XXB4",'xabang (2016)'!$A$3,"MA_HT","ONT","MA_QH","SKC")</f>
        <v>0</v>
      </c>
      <c r="Z44" s="22">
        <f ca="1">+GETPIVOTDATA("XXB4",'xabang (2016)'!$A$3,"MA_HT","ONT","MA_QH","SKS")</f>
        <v>0</v>
      </c>
      <c r="AA44" s="52">
        <f ca="1" t="shared" si="21"/>
        <v>0</v>
      </c>
      <c r="AB44" s="22">
        <f ca="1">+GETPIVOTDATA("XXB4",'xabang (2016)'!$A$3,"MA_HT","ONT","MA_QH","DGT")</f>
        <v>0</v>
      </c>
      <c r="AC44" s="22">
        <f ca="1">+GETPIVOTDATA("XXB4",'xabang (2016)'!$A$3,"MA_HT","ONT","MA_QH","DTL")</f>
        <v>0</v>
      </c>
      <c r="AD44" s="22">
        <f ca="1">+GETPIVOTDATA("XXB4",'xabang (2016)'!$A$3,"MA_HT","ONT","MA_QH","DNL")</f>
        <v>0</v>
      </c>
      <c r="AE44" s="22">
        <f ca="1">+GETPIVOTDATA("XXB4",'xabang (2016)'!$A$3,"MA_HT","ONT","MA_QH","DBV")</f>
        <v>0</v>
      </c>
      <c r="AF44" s="22">
        <f ca="1">+GETPIVOTDATA("XXB4",'xabang (2016)'!$A$3,"MA_HT","ONT","MA_QH","DVH")</f>
        <v>0</v>
      </c>
      <c r="AG44" s="22">
        <f ca="1">+GETPIVOTDATA("XXB4",'xabang (2016)'!$A$3,"MA_HT","ONT","MA_QH","DYT")</f>
        <v>0</v>
      </c>
      <c r="AH44" s="22">
        <f ca="1">+GETPIVOTDATA("XXB4",'xabang (2016)'!$A$3,"MA_HT","ONT","MA_QH","DGD")</f>
        <v>0</v>
      </c>
      <c r="AI44" s="22">
        <f ca="1">+GETPIVOTDATA("XXB4",'xabang (2016)'!$A$3,"MA_HT","ONT","MA_QH","DTT")</f>
        <v>0</v>
      </c>
      <c r="AJ44" s="22">
        <f ca="1">+GETPIVOTDATA("XXB4",'xabang (2016)'!$A$3,"MA_HT","ONT","MA_QH","NCK")</f>
        <v>0</v>
      </c>
      <c r="AK44" s="22">
        <f ca="1">+GETPIVOTDATA("XXB4",'xabang (2016)'!$A$3,"MA_HT","ONT","MA_QH","DXH")</f>
        <v>0</v>
      </c>
      <c r="AL44" s="22">
        <f ca="1">+GETPIVOTDATA("XXB4",'xabang (2016)'!$A$3,"MA_HT","ONT","MA_QH","DCH")</f>
        <v>0</v>
      </c>
      <c r="AM44" s="22">
        <f ca="1">+GETPIVOTDATA("XXB4",'xabang (2016)'!$A$3,"MA_HT","ONT","MA_QH","DKG")</f>
        <v>0</v>
      </c>
      <c r="AN44" s="22">
        <f ca="1">+GETPIVOTDATA("XXB4",'xabang (2016)'!$A$3,"MA_HT","ONT","MA_QH","DDT")</f>
        <v>0</v>
      </c>
      <c r="AO44" s="22">
        <f ca="1">+GETPIVOTDATA("XXB4",'xabang (2016)'!$A$3,"MA_HT","ONT","MA_QH","DDL")</f>
        <v>0</v>
      </c>
      <c r="AP44" s="22">
        <f ca="1">+GETPIVOTDATA("XXB4",'xabang (2016)'!$A$3,"MA_HT","ONT","MA_QH","DRA")</f>
        <v>0</v>
      </c>
      <c r="AQ44" s="43" t="e">
        <f ca="1">$D44-$BF44</f>
        <v>#REF!</v>
      </c>
      <c r="AR44" s="22">
        <f ca="1">+GETPIVOTDATA("XXB4",'xabang (2016)'!$A$3,"MA_HT","ONT","MA_QH","ODT")</f>
        <v>0</v>
      </c>
      <c r="AS44" s="22">
        <f ca="1">+GETPIVOTDATA("XXB4",'xabang (2016)'!$A$3,"MA_HT","ONT","MA_QH","TSC")</f>
        <v>0</v>
      </c>
      <c r="AT44" s="22">
        <f ca="1">+GETPIVOTDATA("XXB4",'xabang (2016)'!$A$3,"MA_HT","ONT","MA_QH","DTS")</f>
        <v>0</v>
      </c>
      <c r="AU44" s="22">
        <f ca="1">+GETPIVOTDATA("XXB4",'xabang (2016)'!$A$3,"MA_HT","ONT","MA_QH","DNG")</f>
        <v>0</v>
      </c>
      <c r="AV44" s="22">
        <f ca="1">+GETPIVOTDATA("XXB4",'xabang (2016)'!$A$3,"MA_HT","ONT","MA_QH","TON")</f>
        <v>0</v>
      </c>
      <c r="AW44" s="22">
        <f ca="1">+GETPIVOTDATA("XXB4",'xabang (2016)'!$A$3,"MA_HT","ONT","MA_QH","NTD")</f>
        <v>0</v>
      </c>
      <c r="AX44" s="22">
        <f ca="1">+GETPIVOTDATA("XXB4",'xabang (2016)'!$A$3,"MA_HT","ONT","MA_QH","SKX")</f>
        <v>0</v>
      </c>
      <c r="AY44" s="22">
        <f ca="1">+GETPIVOTDATA("XXB4",'xabang (2016)'!$A$3,"MA_HT","ONT","MA_QH","DSH")</f>
        <v>0</v>
      </c>
      <c r="AZ44" s="22">
        <f ca="1">+GETPIVOTDATA("XXB4",'xabang (2016)'!$A$3,"MA_HT","ONT","MA_QH","DKV")</f>
        <v>0</v>
      </c>
      <c r="BA44" s="89">
        <f ca="1">+GETPIVOTDATA("XXB4",'xabang (2016)'!$A$3,"MA_HT","ONT","MA_QH","TIN")</f>
        <v>0</v>
      </c>
      <c r="BB44" s="50">
        <f ca="1">+GETPIVOTDATA("XXB4",'xabang (2016)'!$A$3,"MA_HT","ONT","MA_QH","SON")</f>
        <v>0</v>
      </c>
      <c r="BC44" s="50">
        <f ca="1">+GETPIVOTDATA("XXB4",'xabang (2016)'!$A$3,"MA_HT","ONT","MA_QH","MNC")</f>
        <v>0</v>
      </c>
      <c r="BD44" s="22">
        <f ca="1">+GETPIVOTDATA("XXB4",'xabang (2016)'!$A$3,"MA_HT","ONT","MA_QH","PNK")</f>
        <v>0</v>
      </c>
      <c r="BE44" s="71">
        <f ca="1">+GETPIVOTDATA("XXB4",'xabang (2016)'!$A$3,"MA_HT","ONT","MA_QH","CSD")</f>
        <v>0</v>
      </c>
      <c r="BF44" s="74">
        <f ca="1" t="shared" si="13"/>
        <v>0</v>
      </c>
      <c r="BG44" s="101">
        <f ca="1">AQ$59-$BF44</f>
        <v>0</v>
      </c>
      <c r="BH44" s="41" t="e">
        <f ca="1" t="shared" si="14"/>
        <v>#REF!</v>
      </c>
      <c r="BI44" s="98"/>
      <c r="BJ44" s="107" t="e">
        <f>#REF!</f>
        <v>#REF!</v>
      </c>
      <c r="BK44" s="107" t="e">
        <f ca="1">BH44-BJ44</f>
        <v>#REF!</v>
      </c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</row>
    <row r="45" s="2" customFormat="1" ht="15.75" customHeight="1" spans="1:79">
      <c r="A45" s="61" t="s">
        <v>8408</v>
      </c>
      <c r="B45" s="62" t="s">
        <v>8409</v>
      </c>
      <c r="C45" s="63" t="s">
        <v>201</v>
      </c>
      <c r="D45" s="64" t="e">
        <f>+#REF!</f>
        <v>#REF!</v>
      </c>
      <c r="E45" s="65">
        <f ca="1" t="shared" si="15"/>
        <v>0</v>
      </c>
      <c r="F45" s="66">
        <f ca="1" t="shared" si="9"/>
        <v>0</v>
      </c>
      <c r="G45" s="67">
        <f ca="1">+GETPIVOTDATA("XXB4",'xabang (2016)'!$A$3,"MA_HT","ODT","MA_QH","LUC")</f>
        <v>0</v>
      </c>
      <c r="H45" s="67">
        <f ca="1">+GETPIVOTDATA("XXB4",'xabang (2016)'!$A$3,"MA_HT","ODT","MA_QH","LUK")</f>
        <v>0</v>
      </c>
      <c r="I45" s="67">
        <f ca="1">+GETPIVOTDATA("XXB4",'xabang (2016)'!$A$3,"MA_HT","ODT","MA_QH","LUN")</f>
        <v>0</v>
      </c>
      <c r="J45" s="67">
        <f ca="1">+GETPIVOTDATA("XXB4",'xabang (2016)'!$A$3,"MA_HT","ODT","MA_QH","HNK")</f>
        <v>0</v>
      </c>
      <c r="K45" s="67">
        <f ca="1">+GETPIVOTDATA("XXB4",'xabang (2016)'!$A$3,"MA_HT","ODT","MA_QH","CLN")</f>
        <v>0</v>
      </c>
      <c r="L45" s="67">
        <f ca="1">+GETPIVOTDATA("XXB4",'xabang (2016)'!$A$3,"MA_HT","ODT","MA_QH","RSX")</f>
        <v>0</v>
      </c>
      <c r="M45" s="67">
        <f ca="1">+GETPIVOTDATA("XXB4",'xabang (2016)'!$A$3,"MA_HT","ODT","MA_QH","RPH")</f>
        <v>0</v>
      </c>
      <c r="N45" s="67">
        <f ca="1">+GETPIVOTDATA("XXB4",'xabang (2016)'!$A$3,"MA_HT","ODT","MA_QH","RDD")</f>
        <v>0</v>
      </c>
      <c r="O45" s="67">
        <f ca="1">+GETPIVOTDATA("XXB4",'xabang (2016)'!$A$3,"MA_HT","ODT","MA_QH","NTS")</f>
        <v>0</v>
      </c>
      <c r="P45" s="67">
        <f ca="1">+GETPIVOTDATA("XXB4",'xabang (2016)'!$A$3,"MA_HT","ODT","MA_QH","LMU")</f>
        <v>0</v>
      </c>
      <c r="Q45" s="67">
        <f ca="1">+GETPIVOTDATA("XXB4",'xabang (2016)'!$A$3,"MA_HT","ODT","MA_QH","NKH")</f>
        <v>0</v>
      </c>
      <c r="R45" s="79">
        <f ca="1">SUM(S45:AA45,AN45:AQ45,AS45:BD45)</f>
        <v>0</v>
      </c>
      <c r="S45" s="67">
        <f ca="1">+GETPIVOTDATA("XXB4",'xabang (2016)'!$A$3,"MA_HT","ODT","MA_QH","CQP")</f>
        <v>0</v>
      </c>
      <c r="T45" s="67">
        <f ca="1">+GETPIVOTDATA("XXB4",'xabang (2016)'!$A$3,"MA_HT","ODT","MA_QH","CAN")</f>
        <v>0</v>
      </c>
      <c r="U45" s="67">
        <f ca="1">+GETPIVOTDATA("XXB4",'xabang (2016)'!$A$3,"MA_HT","ODT","MA_QH","SKK")</f>
        <v>0</v>
      </c>
      <c r="V45" s="67">
        <f ca="1">+GETPIVOTDATA("XXB4",'xabang (2016)'!$A$3,"MA_HT","ODT","MA_QH","SKT")</f>
        <v>0</v>
      </c>
      <c r="W45" s="67">
        <f ca="1">+GETPIVOTDATA("XXB4",'xabang (2016)'!$A$3,"MA_HT","ODT","MA_QH","SKN")</f>
        <v>0</v>
      </c>
      <c r="X45" s="67">
        <f ca="1">+GETPIVOTDATA("XXB4",'xabang (2016)'!$A$3,"MA_HT","ODT","MA_QH","TMD")</f>
        <v>0</v>
      </c>
      <c r="Y45" s="67">
        <f ca="1">+GETPIVOTDATA("XXB4",'xabang (2016)'!$A$3,"MA_HT","ODT","MA_QH","SKC")</f>
        <v>0</v>
      </c>
      <c r="Z45" s="67">
        <f ca="1">+GETPIVOTDATA("XXB4",'xabang (2016)'!$A$3,"MA_HT","ODT","MA_QH","SKS")</f>
        <v>0</v>
      </c>
      <c r="AA45" s="66">
        <f ca="1" t="shared" si="21"/>
        <v>0</v>
      </c>
      <c r="AB45" s="67">
        <f ca="1">+GETPIVOTDATA("XXB4",'xabang (2016)'!$A$3,"MA_HT","ODT","MA_QH","DGT")</f>
        <v>0</v>
      </c>
      <c r="AC45" s="67">
        <f ca="1">+GETPIVOTDATA("XXB4",'xabang (2016)'!$A$3,"MA_HT","ODT","MA_QH","DTL")</f>
        <v>0</v>
      </c>
      <c r="AD45" s="67">
        <f ca="1">+GETPIVOTDATA("XXB4",'xabang (2016)'!$A$3,"MA_HT","ODT","MA_QH","DNL")</f>
        <v>0</v>
      </c>
      <c r="AE45" s="67">
        <f ca="1">+GETPIVOTDATA("XXB4",'xabang (2016)'!$A$3,"MA_HT","ODT","MA_QH","DBV")</f>
        <v>0</v>
      </c>
      <c r="AF45" s="67">
        <f ca="1">+GETPIVOTDATA("XXB4",'xabang (2016)'!$A$3,"MA_HT","ODT","MA_QH","DVH")</f>
        <v>0</v>
      </c>
      <c r="AG45" s="67">
        <f ca="1">+GETPIVOTDATA("XXB4",'xabang (2016)'!$A$3,"MA_HT","ODT","MA_QH","DYT")</f>
        <v>0</v>
      </c>
      <c r="AH45" s="67">
        <f ca="1">+GETPIVOTDATA("XXB4",'xabang (2016)'!$A$3,"MA_HT","ODT","MA_QH","DGD")</f>
        <v>0</v>
      </c>
      <c r="AI45" s="67">
        <f ca="1">+GETPIVOTDATA("XXB4",'xabang (2016)'!$A$3,"MA_HT","ODT","MA_QH","DTT")</f>
        <v>0</v>
      </c>
      <c r="AJ45" s="67">
        <f ca="1">+GETPIVOTDATA("XXB4",'xabang (2016)'!$A$3,"MA_HT","ODT","MA_QH","NCK")</f>
        <v>0</v>
      </c>
      <c r="AK45" s="67">
        <f ca="1">+GETPIVOTDATA("XXB4",'xabang (2016)'!$A$3,"MA_HT","ODT","MA_QH","DXH")</f>
        <v>0</v>
      </c>
      <c r="AL45" s="67">
        <f ca="1">+GETPIVOTDATA("XXB4",'xabang (2016)'!$A$3,"MA_HT","ODT","MA_QH","DCH")</f>
        <v>0</v>
      </c>
      <c r="AM45" s="67">
        <f ca="1">+GETPIVOTDATA("XXB4",'xabang (2016)'!$A$3,"MA_HT","ODT","MA_QH","DKG")</f>
        <v>0</v>
      </c>
      <c r="AN45" s="67">
        <f ca="1">+GETPIVOTDATA("XXB4",'xabang (2016)'!$A$3,"MA_HT","ODT","MA_QH","DDT")</f>
        <v>0</v>
      </c>
      <c r="AO45" s="67">
        <f ca="1">+GETPIVOTDATA("XXB4",'xabang (2016)'!$A$3,"MA_HT","ODT","MA_QH","DDL")</f>
        <v>0</v>
      </c>
      <c r="AP45" s="67">
        <f ca="1">+GETPIVOTDATA("XXB4",'xabang (2016)'!$A$3,"MA_HT","ODT","MA_QH","DRA")</f>
        <v>0</v>
      </c>
      <c r="AQ45" s="67">
        <f ca="1">+GETPIVOTDATA("XXB4",'xabang (2016)'!$A$3,"MA_HT","ODT","MA_QH","ONT")</f>
        <v>0</v>
      </c>
      <c r="AR45" s="82" t="e">
        <f ca="1">$D45-$BF45</f>
        <v>#REF!</v>
      </c>
      <c r="AS45" s="67">
        <f ca="1">+GETPIVOTDATA("XXB4",'xabang (2016)'!$A$3,"MA_HT","ODT","MA_QH","TSC")</f>
        <v>0</v>
      </c>
      <c r="AT45" s="67">
        <f ca="1">+GETPIVOTDATA("XXB4",'xabang (2016)'!$A$3,"MA_HT","ODT","MA_QH","DTS")</f>
        <v>0</v>
      </c>
      <c r="AU45" s="67">
        <f ca="1">+GETPIVOTDATA("XXB4",'xabang (2016)'!$A$3,"MA_HT","ODT","MA_QH","DNG")</f>
        <v>0</v>
      </c>
      <c r="AV45" s="67">
        <f ca="1">+GETPIVOTDATA("XXB4",'xabang (2016)'!$A$3,"MA_HT","ODT","MA_QH","TON")</f>
        <v>0</v>
      </c>
      <c r="AW45" s="67">
        <f ca="1">+GETPIVOTDATA("XXB4",'xabang (2016)'!$A$3,"MA_HT","ODT","MA_QH","NTD")</f>
        <v>0</v>
      </c>
      <c r="AX45" s="67">
        <f ca="1">+GETPIVOTDATA("XXB4",'xabang (2016)'!$A$3,"MA_HT","ODT","MA_QH","SKX")</f>
        <v>0</v>
      </c>
      <c r="AY45" s="67">
        <f ca="1">+GETPIVOTDATA("XXB4",'xabang (2016)'!$A$3,"MA_HT","ODT","MA_QH","DSH")</f>
        <v>0</v>
      </c>
      <c r="AZ45" s="67">
        <f ca="1">+GETPIVOTDATA("XXB4",'xabang (2016)'!$A$3,"MA_HT","ODT","MA_QH","DKV")</f>
        <v>0</v>
      </c>
      <c r="BA45" s="92">
        <f ca="1">+GETPIVOTDATA("XXB4",'xabang (2016)'!$A$3,"MA_HT","ODT","MA_QH","TIN")</f>
        <v>0</v>
      </c>
      <c r="BB45" s="93">
        <f ca="1">+GETPIVOTDATA("XXB4",'xabang (2016)'!$A$3,"MA_HT","ODT","MA_QH","SON")</f>
        <v>0</v>
      </c>
      <c r="BC45" s="93">
        <f ca="1">+GETPIVOTDATA("XXB4",'xabang (2016)'!$A$3,"MA_HT","ODT","MA_QH","MNC")</f>
        <v>0</v>
      </c>
      <c r="BD45" s="67">
        <f ca="1">+GETPIVOTDATA("XXB4",'xabang (2016)'!$A$3,"MA_HT","ODT","MA_QH","PNK")</f>
        <v>0</v>
      </c>
      <c r="BE45" s="116">
        <f ca="1">+GETPIVOTDATA("XXB4",'xabang (2016)'!$A$3,"MA_HT","ODT","MA_QH","CSD")</f>
        <v>0</v>
      </c>
      <c r="BF45" s="117">
        <f ca="1" t="shared" si="13"/>
        <v>0</v>
      </c>
      <c r="BG45" s="118">
        <f ca="1">AR$59-$BF45</f>
        <v>0</v>
      </c>
      <c r="BH45" s="64" t="e">
        <f ca="1" t="shared" si="14"/>
        <v>#REF!</v>
      </c>
      <c r="BI45" s="98"/>
      <c r="BJ45" s="107" t="e">
        <f>#REF!</f>
        <v>#REF!</v>
      </c>
      <c r="BK45" s="107" t="e">
        <f ca="1">BH45-BJ45</f>
        <v>#REF!</v>
      </c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</row>
    <row r="46" s="6" customFormat="1" ht="15.75" customHeight="1" spans="1:79">
      <c r="A46" s="39" t="s">
        <v>8410</v>
      </c>
      <c r="B46" s="53" t="s">
        <v>8411</v>
      </c>
      <c r="C46" s="40" t="s">
        <v>336</v>
      </c>
      <c r="D46" s="41" t="e">
        <f>+#REF!</f>
        <v>#REF!</v>
      </c>
      <c r="E46" s="42">
        <f ca="1" t="shared" si="15"/>
        <v>0</v>
      </c>
      <c r="F46" s="52">
        <f ca="1" t="shared" si="9"/>
        <v>0</v>
      </c>
      <c r="G46" s="22">
        <f ca="1">+GETPIVOTDATA("XXB4",'xabang (2016)'!$A$3,"MA_HT","TSC","MA_QH","LUC")</f>
        <v>0</v>
      </c>
      <c r="H46" s="22">
        <f ca="1">+GETPIVOTDATA("XXB4",'xabang (2016)'!$A$3,"MA_HT","TSC","MA_QH","LUK")</f>
        <v>0</v>
      </c>
      <c r="I46" s="22">
        <f ca="1">+GETPIVOTDATA("XXB4",'xabang (2016)'!$A$3,"MA_HT","TSC","MA_QH","LUN")</f>
        <v>0</v>
      </c>
      <c r="J46" s="22">
        <f ca="1">+GETPIVOTDATA("XXB4",'xabang (2016)'!$A$3,"MA_HT","TSC","MA_QH","HNK")</f>
        <v>0</v>
      </c>
      <c r="K46" s="22">
        <f ca="1">+GETPIVOTDATA("XXB4",'xabang (2016)'!$A$3,"MA_HT","TSC","MA_QH","CLN")</f>
        <v>0</v>
      </c>
      <c r="L46" s="22">
        <f ca="1">+GETPIVOTDATA("XXB4",'xabang (2016)'!$A$3,"MA_HT","TSC","MA_QH","RSX")</f>
        <v>0</v>
      </c>
      <c r="M46" s="22">
        <f ca="1">+GETPIVOTDATA("XXB4",'xabang (2016)'!$A$3,"MA_HT","TSC","MA_QH","RPH")</f>
        <v>0</v>
      </c>
      <c r="N46" s="22">
        <f ca="1">+GETPIVOTDATA("XXB4",'xabang (2016)'!$A$3,"MA_HT","TSC","MA_QH","RDD")</f>
        <v>0</v>
      </c>
      <c r="O46" s="22">
        <f ca="1">+GETPIVOTDATA("XXB4",'xabang (2016)'!$A$3,"MA_HT","TSC","MA_QH","NTS")</f>
        <v>0</v>
      </c>
      <c r="P46" s="22">
        <f ca="1">+GETPIVOTDATA("XXB4",'xabang (2016)'!$A$3,"MA_HT","TSC","MA_QH","LMU")</f>
        <v>0</v>
      </c>
      <c r="Q46" s="22">
        <f ca="1">+GETPIVOTDATA("XXB4",'xabang (2016)'!$A$3,"MA_HT","TSC","MA_QH","NKH")</f>
        <v>0</v>
      </c>
      <c r="R46" s="48">
        <f ca="1">SUM(S46:AA46,AN46:AR46,AT46:BD46)</f>
        <v>0</v>
      </c>
      <c r="S46" s="22">
        <f ca="1">+GETPIVOTDATA("XXB4",'xabang (2016)'!$A$3,"MA_HT","TSC","MA_QH","CQP")</f>
        <v>0</v>
      </c>
      <c r="T46" s="22">
        <f ca="1">+GETPIVOTDATA("XXB4",'xabang (2016)'!$A$3,"MA_HT","TSC","MA_QH","CAN")</f>
        <v>0</v>
      </c>
      <c r="U46" s="22">
        <f ca="1">+GETPIVOTDATA("XXB4",'xabang (2016)'!$A$3,"MA_HT","TSC","MA_QH","SKK")</f>
        <v>0</v>
      </c>
      <c r="V46" s="22">
        <f ca="1">+GETPIVOTDATA("XXB4",'xabang (2016)'!$A$3,"MA_HT","TSC","MA_QH","SKT")</f>
        <v>0</v>
      </c>
      <c r="W46" s="22">
        <f ca="1">+GETPIVOTDATA("XXB4",'xabang (2016)'!$A$3,"MA_HT","TSC","MA_QH","SKN")</f>
        <v>0</v>
      </c>
      <c r="X46" s="22">
        <f ca="1">+GETPIVOTDATA("XXB4",'xabang (2016)'!$A$3,"MA_HT","TSC","MA_QH","TMD")</f>
        <v>0</v>
      </c>
      <c r="Y46" s="22">
        <f ca="1">+GETPIVOTDATA("XXB4",'xabang (2016)'!$A$3,"MA_HT","TSC","MA_QH","SKC")</f>
        <v>0</v>
      </c>
      <c r="Z46" s="22">
        <f ca="1">+GETPIVOTDATA("XXB4",'xabang (2016)'!$A$3,"MA_HT","TSC","MA_QH","SKS")</f>
        <v>0</v>
      </c>
      <c r="AA46" s="52">
        <f ca="1" t="shared" si="21"/>
        <v>0</v>
      </c>
      <c r="AB46" s="22">
        <f ca="1">+GETPIVOTDATA("XXB4",'xabang (2016)'!$A$3,"MA_HT","TSC","MA_QH","DGT")</f>
        <v>0</v>
      </c>
      <c r="AC46" s="22">
        <f ca="1">+GETPIVOTDATA("XXB4",'xabang (2016)'!$A$3,"MA_HT","TSC","MA_QH","DTL")</f>
        <v>0</v>
      </c>
      <c r="AD46" s="22">
        <f ca="1">+GETPIVOTDATA("XXB4",'xabang (2016)'!$A$3,"MA_HT","TSC","MA_QH","DNL")</f>
        <v>0</v>
      </c>
      <c r="AE46" s="22">
        <f ca="1">+GETPIVOTDATA("XXB4",'xabang (2016)'!$A$3,"MA_HT","TSC","MA_QH","DBV")</f>
        <v>0</v>
      </c>
      <c r="AF46" s="22">
        <f ca="1">+GETPIVOTDATA("XXB4",'xabang (2016)'!$A$3,"MA_HT","TSC","MA_QH","DVH")</f>
        <v>0</v>
      </c>
      <c r="AG46" s="22">
        <f ca="1">+GETPIVOTDATA("XXB4",'xabang (2016)'!$A$3,"MA_HT","TSC","MA_QH","DYT")</f>
        <v>0</v>
      </c>
      <c r="AH46" s="22">
        <f ca="1">+GETPIVOTDATA("XXB4",'xabang (2016)'!$A$3,"MA_HT","TSC","MA_QH","DGD")</f>
        <v>0</v>
      </c>
      <c r="AI46" s="22">
        <f ca="1">+GETPIVOTDATA("XXB4",'xabang (2016)'!$A$3,"MA_HT","TSC","MA_QH","DTT")</f>
        <v>0</v>
      </c>
      <c r="AJ46" s="22">
        <f ca="1">+GETPIVOTDATA("XXB4",'xabang (2016)'!$A$3,"MA_HT","TSC","MA_QH","NCK")</f>
        <v>0</v>
      </c>
      <c r="AK46" s="22">
        <f ca="1">+GETPIVOTDATA("XXB4",'xabang (2016)'!$A$3,"MA_HT","TSC","MA_QH","DXH")</f>
        <v>0</v>
      </c>
      <c r="AL46" s="22">
        <f ca="1">+GETPIVOTDATA("XXB4",'xabang (2016)'!$A$3,"MA_HT","TSC","MA_QH","DCH")</f>
        <v>0</v>
      </c>
      <c r="AM46" s="22">
        <f ca="1">+GETPIVOTDATA("XXB4",'xabang (2016)'!$A$3,"MA_HT","TSC","MA_QH","DKG")</f>
        <v>0</v>
      </c>
      <c r="AN46" s="22">
        <f ca="1">+GETPIVOTDATA("XXB4",'xabang (2016)'!$A$3,"MA_HT","TSC","MA_QH","DDT")</f>
        <v>0</v>
      </c>
      <c r="AO46" s="22">
        <f ca="1">+GETPIVOTDATA("XXB4",'xabang (2016)'!$A$3,"MA_HT","TSC","MA_QH","DDL")</f>
        <v>0</v>
      </c>
      <c r="AP46" s="22">
        <f ca="1">+GETPIVOTDATA("XXB4",'xabang (2016)'!$A$3,"MA_HT","TSC","MA_QH","DRA")</f>
        <v>0</v>
      </c>
      <c r="AQ46" s="22">
        <f ca="1">+GETPIVOTDATA("XXB4",'xabang (2016)'!$A$3,"MA_HT","TSC","MA_QH","ONT")</f>
        <v>0</v>
      </c>
      <c r="AR46" s="22">
        <f ca="1">+GETPIVOTDATA("XXB4",'xabang (2016)'!$A$3,"MA_HT","TSC","MA_QH","ODT")</f>
        <v>0</v>
      </c>
      <c r="AS46" s="43" t="e">
        <f ca="1">$D46-$BF46</f>
        <v>#REF!</v>
      </c>
      <c r="AT46" s="22">
        <f ca="1">+GETPIVOTDATA("XXB4",'xabang (2016)'!$A$3,"MA_HT","TSC","MA_QH","DTS")</f>
        <v>0</v>
      </c>
      <c r="AU46" s="22">
        <f ca="1">+GETPIVOTDATA("XXB4",'xabang (2016)'!$A$3,"MA_HT","TSC","MA_QH","DNG")</f>
        <v>0</v>
      </c>
      <c r="AV46" s="22">
        <f ca="1">+GETPIVOTDATA("XXB4",'xabang (2016)'!$A$3,"MA_HT","TSC","MA_QH","TON")</f>
        <v>0</v>
      </c>
      <c r="AW46" s="22">
        <f ca="1">+GETPIVOTDATA("XXB4",'xabang (2016)'!$A$3,"MA_HT","TSC","MA_QH","NTD")</f>
        <v>0</v>
      </c>
      <c r="AX46" s="22">
        <f ca="1">+GETPIVOTDATA("XXB4",'xabang (2016)'!$A$3,"MA_HT","TSC","MA_QH","SKX")</f>
        <v>0</v>
      </c>
      <c r="AY46" s="22">
        <f ca="1">+GETPIVOTDATA("XXB4",'xabang (2016)'!$A$3,"MA_HT","TSC","MA_QH","DSH")</f>
        <v>0</v>
      </c>
      <c r="AZ46" s="22">
        <f ca="1">+GETPIVOTDATA("XXB4",'xabang (2016)'!$A$3,"MA_HT","TSC","MA_QH","DKV")</f>
        <v>0</v>
      </c>
      <c r="BA46" s="89">
        <f ca="1">+GETPIVOTDATA("XXB4",'xabang (2016)'!$A$3,"MA_HT","TSC","MA_QH","TIN")</f>
        <v>0</v>
      </c>
      <c r="BB46" s="50">
        <f ca="1">+GETPIVOTDATA("XXB4",'xabang (2016)'!$A$3,"MA_HT","TSC","MA_QH","SON")</f>
        <v>0</v>
      </c>
      <c r="BC46" s="50">
        <f ca="1">+GETPIVOTDATA("XXB4",'xabang (2016)'!$A$3,"MA_HT","TSC","MA_QH","MNC")</f>
        <v>0</v>
      </c>
      <c r="BD46" s="22">
        <f ca="1">+GETPIVOTDATA("XXB4",'xabang (2016)'!$A$3,"MA_HT","TSC","MA_QH","PNK")</f>
        <v>0</v>
      </c>
      <c r="BE46" s="71">
        <f ca="1">+GETPIVOTDATA("XXB4",'xabang (2016)'!$A$3,"MA_HT","TSC","MA_QH","CSD")</f>
        <v>0</v>
      </c>
      <c r="BF46" s="74">
        <f ca="1" t="shared" si="13"/>
        <v>0</v>
      </c>
      <c r="BG46" s="101">
        <f ca="1">AS$59-$BF46</f>
        <v>0</v>
      </c>
      <c r="BH46" s="41" t="e">
        <f ca="1" t="shared" si="14"/>
        <v>#REF!</v>
      </c>
      <c r="BI46" s="114"/>
      <c r="BJ46" s="114" t="e">
        <f>#REF!</f>
        <v>#REF!</v>
      </c>
      <c r="BK46" s="115" t="e">
        <f ca="1">BH46-BJ46</f>
        <v>#REF!</v>
      </c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</row>
    <row r="47" s="2" customFormat="1" ht="15.75" customHeight="1" spans="1:79">
      <c r="A47" s="54" t="s">
        <v>8412</v>
      </c>
      <c r="B47" s="55" t="s">
        <v>8413</v>
      </c>
      <c r="C47" s="56" t="s">
        <v>8293</v>
      </c>
      <c r="D47" s="57" t="e">
        <f>+#REF!</f>
        <v>#REF!</v>
      </c>
      <c r="E47" s="58">
        <f ca="1" t="shared" si="15"/>
        <v>0</v>
      </c>
      <c r="F47" s="59">
        <f ca="1" t="shared" si="9"/>
        <v>0</v>
      </c>
      <c r="G47" s="60">
        <f ca="1">+GETPIVOTDATA("XXB4",'xabang (2016)'!$A$3,"MA_HT","DTS","MA_QH","LUC")</f>
        <v>0</v>
      </c>
      <c r="H47" s="60">
        <f ca="1">+GETPIVOTDATA("XXB4",'xabang (2016)'!$A$3,"MA_HT","DTS","MA_QH","LUK")</f>
        <v>0</v>
      </c>
      <c r="I47" s="60">
        <f ca="1">+GETPIVOTDATA("XXB4",'xabang (2016)'!$A$3,"MA_HT","DTS","MA_QH","LUN")</f>
        <v>0</v>
      </c>
      <c r="J47" s="60">
        <f ca="1">+GETPIVOTDATA("XXB4",'xabang (2016)'!$A$3,"MA_HT","DTS","MA_QH","HNK")</f>
        <v>0</v>
      </c>
      <c r="K47" s="60">
        <f ca="1">+GETPIVOTDATA("XXB4",'xabang (2016)'!$A$3,"MA_HT","DTS","MA_QH","CLN")</f>
        <v>0</v>
      </c>
      <c r="L47" s="60">
        <f ca="1">+GETPIVOTDATA("XXB4",'xabang (2016)'!$A$3,"MA_HT","DTS","MA_QH","RSX")</f>
        <v>0</v>
      </c>
      <c r="M47" s="60">
        <f ca="1">+GETPIVOTDATA("XXB4",'xabang (2016)'!$A$3,"MA_HT","DTS","MA_QH","RPH")</f>
        <v>0</v>
      </c>
      <c r="N47" s="60">
        <f ca="1">+GETPIVOTDATA("XXB4",'xabang (2016)'!$A$3,"MA_HT","DTS","MA_QH","RDD")</f>
        <v>0</v>
      </c>
      <c r="O47" s="60">
        <f ca="1">+GETPIVOTDATA("XXB4",'xabang (2016)'!$A$3,"MA_HT","DTS","MA_QH","NTS")</f>
        <v>0</v>
      </c>
      <c r="P47" s="60">
        <f ca="1">+GETPIVOTDATA("XXB4",'xabang (2016)'!$A$3,"MA_HT","DTS","MA_QH","LMU")</f>
        <v>0</v>
      </c>
      <c r="Q47" s="60">
        <f ca="1">+GETPIVOTDATA("XXB4",'xabang (2016)'!$A$3,"MA_HT","DTS","MA_QH","NKH")</f>
        <v>0</v>
      </c>
      <c r="R47" s="78">
        <f ca="1">SUM(S47:AA47,AN47:AS47,AU47:BD47)</f>
        <v>0</v>
      </c>
      <c r="S47" s="60">
        <f ca="1">+GETPIVOTDATA("XXB4",'xabang (2016)'!$A$3,"MA_HT","DTS","MA_QH","CQP")</f>
        <v>0</v>
      </c>
      <c r="T47" s="60">
        <f ca="1">+GETPIVOTDATA("XXB4",'xabang (2016)'!$A$3,"MA_HT","DTS","MA_QH","CAN")</f>
        <v>0</v>
      </c>
      <c r="U47" s="60">
        <f ca="1">+GETPIVOTDATA("XXB4",'xabang (2016)'!$A$3,"MA_HT","DTS","MA_QH","SKK")</f>
        <v>0</v>
      </c>
      <c r="V47" s="60">
        <f ca="1">+GETPIVOTDATA("XXB4",'xabang (2016)'!$A$3,"MA_HT","DTS","MA_QH","SKT")</f>
        <v>0</v>
      </c>
      <c r="W47" s="60">
        <f ca="1">+GETPIVOTDATA("XXB4",'xabang (2016)'!$A$3,"MA_HT","DTS","MA_QH","SKN")</f>
        <v>0</v>
      </c>
      <c r="X47" s="60">
        <f ca="1">+GETPIVOTDATA("XXB4",'xabang (2016)'!$A$3,"MA_HT","DTS","MA_QH","TMD")</f>
        <v>0</v>
      </c>
      <c r="Y47" s="60">
        <f ca="1">+GETPIVOTDATA("XXB4",'xabang (2016)'!$A$3,"MA_HT","DTS","MA_QH","SKC")</f>
        <v>0</v>
      </c>
      <c r="Z47" s="60">
        <f ca="1">+GETPIVOTDATA("XXB4",'xabang (2016)'!$A$3,"MA_HT","DTS","MA_QH","SKS")</f>
        <v>0</v>
      </c>
      <c r="AA47" s="59">
        <f ca="1" t="shared" si="21"/>
        <v>0</v>
      </c>
      <c r="AB47" s="60">
        <f ca="1">+GETPIVOTDATA("XXB4",'xabang (2016)'!$A$3,"MA_HT","DTS","MA_QH","DGT")</f>
        <v>0</v>
      </c>
      <c r="AC47" s="60">
        <f ca="1">+GETPIVOTDATA("XXB4",'xabang (2016)'!$A$3,"MA_HT","DTS","MA_QH","DTL")</f>
        <v>0</v>
      </c>
      <c r="AD47" s="60">
        <f ca="1">+GETPIVOTDATA("XXB4",'xabang (2016)'!$A$3,"MA_HT","DTS","MA_QH","DNL")</f>
        <v>0</v>
      </c>
      <c r="AE47" s="60">
        <f ca="1">+GETPIVOTDATA("XXB4",'xabang (2016)'!$A$3,"MA_HT","DTS","MA_QH","DBV")</f>
        <v>0</v>
      </c>
      <c r="AF47" s="60">
        <f ca="1">+GETPIVOTDATA("XXB4",'xabang (2016)'!$A$3,"MA_HT","DTS","MA_QH","DVH")</f>
        <v>0</v>
      </c>
      <c r="AG47" s="60">
        <f ca="1">+GETPIVOTDATA("XXB4",'xabang (2016)'!$A$3,"MA_HT","DTS","MA_QH","DYT")</f>
        <v>0</v>
      </c>
      <c r="AH47" s="60">
        <f ca="1">+GETPIVOTDATA("XXB4",'xabang (2016)'!$A$3,"MA_HT","DTS","MA_QH","DGD")</f>
        <v>0</v>
      </c>
      <c r="AI47" s="60">
        <f ca="1">+GETPIVOTDATA("XXB4",'xabang (2016)'!$A$3,"MA_HT","DTS","MA_QH","DTT")</f>
        <v>0</v>
      </c>
      <c r="AJ47" s="60">
        <f ca="1">+GETPIVOTDATA("XXB4",'xabang (2016)'!$A$3,"MA_HT","DTS","MA_QH","NCK")</f>
        <v>0</v>
      </c>
      <c r="AK47" s="60">
        <f ca="1">+GETPIVOTDATA("XXB4",'xabang (2016)'!$A$3,"MA_HT","DTS","MA_QH","DXH")</f>
        <v>0</v>
      </c>
      <c r="AL47" s="60">
        <f ca="1">+GETPIVOTDATA("XXB4",'xabang (2016)'!$A$3,"MA_HT","DTS","MA_QH","DCH")</f>
        <v>0</v>
      </c>
      <c r="AM47" s="60">
        <f ca="1">+GETPIVOTDATA("XXB4",'xabang (2016)'!$A$3,"MA_HT","DTS","MA_QH","DKG")</f>
        <v>0</v>
      </c>
      <c r="AN47" s="60">
        <f ca="1">+GETPIVOTDATA("XXB4",'xabang (2016)'!$A$3,"MA_HT","DTS","MA_QH","DDT")</f>
        <v>0</v>
      </c>
      <c r="AO47" s="60">
        <f ca="1">+GETPIVOTDATA("XXB4",'xabang (2016)'!$A$3,"MA_HT","DTS","MA_QH","DDL")</f>
        <v>0</v>
      </c>
      <c r="AP47" s="60">
        <f ca="1">+GETPIVOTDATA("XXB4",'xabang (2016)'!$A$3,"MA_HT","DTS","MA_QH","DRA")</f>
        <v>0</v>
      </c>
      <c r="AQ47" s="60">
        <f ca="1">+GETPIVOTDATA("XXB4",'xabang (2016)'!$A$3,"MA_HT","DTS","MA_QH","ONT")</f>
        <v>0</v>
      </c>
      <c r="AR47" s="60">
        <f ca="1">+GETPIVOTDATA("XXB4",'xabang (2016)'!$A$3,"MA_HT","DTS","MA_QH","ODT")</f>
        <v>0</v>
      </c>
      <c r="AS47" s="60">
        <f ca="1">+GETPIVOTDATA("XXB4",'xabang (2016)'!$A$3,"MA_HT","DTS","MA_QH","TSC")</f>
        <v>0</v>
      </c>
      <c r="AT47" s="81" t="e">
        <f ca="1">$D47-$BF47</f>
        <v>#REF!</v>
      </c>
      <c r="AU47" s="60">
        <f ca="1">+GETPIVOTDATA("XXB4",'xabang (2016)'!$A$3,"MA_HT","DTS","MA_QH","DNG")</f>
        <v>0</v>
      </c>
      <c r="AV47" s="60">
        <f ca="1">+GETPIVOTDATA("XXB4",'xabang (2016)'!$A$3,"MA_HT","DTS","MA_QH","TON")</f>
        <v>0</v>
      </c>
      <c r="AW47" s="60">
        <f ca="1">+GETPIVOTDATA("XXB4",'xabang (2016)'!$A$3,"MA_HT","DTS","MA_QH","NTD")</f>
        <v>0</v>
      </c>
      <c r="AX47" s="60">
        <f ca="1">+GETPIVOTDATA("XXB4",'xabang (2016)'!$A$3,"MA_HT","DTS","MA_QH","SKX")</f>
        <v>0</v>
      </c>
      <c r="AY47" s="60">
        <f ca="1">+GETPIVOTDATA("XXB4",'xabang (2016)'!$A$3,"MA_HT","DTS","MA_QH","DSH")</f>
        <v>0</v>
      </c>
      <c r="AZ47" s="60">
        <f ca="1">+GETPIVOTDATA("XXB4",'xabang (2016)'!$A$3,"MA_HT","DTS","MA_QH","DKV")</f>
        <v>0</v>
      </c>
      <c r="BA47" s="90">
        <f ca="1">+GETPIVOTDATA("XXB4",'xabang (2016)'!$A$3,"MA_HT","DTS","MA_QH","TIN")</f>
        <v>0</v>
      </c>
      <c r="BB47" s="91">
        <f ca="1">+GETPIVOTDATA("XXB4",'xabang (2016)'!$A$3,"MA_HT","DTS","MA_QH","SON")</f>
        <v>0</v>
      </c>
      <c r="BC47" s="91">
        <f ca="1">+GETPIVOTDATA("XXB4",'xabang (2016)'!$A$3,"MA_HT","DTS","MA_QH","MNC")</f>
        <v>0</v>
      </c>
      <c r="BD47" s="60">
        <f ca="1">+GETPIVOTDATA("XXB4",'xabang (2016)'!$A$3,"MA_HT","DTS","MA_QH","PNK")</f>
        <v>0</v>
      </c>
      <c r="BE47" s="111">
        <f ca="1">+GETPIVOTDATA("XXB4",'xabang (2016)'!$A$3,"MA_HT","DTS","MA_QH","CSD")</f>
        <v>0</v>
      </c>
      <c r="BF47" s="112">
        <f ca="1" t="shared" si="13"/>
        <v>0</v>
      </c>
      <c r="BG47" s="113">
        <f ca="1">AT$59-$BF47</f>
        <v>0</v>
      </c>
      <c r="BH47" s="57" t="e">
        <f ca="1" t="shared" si="14"/>
        <v>#REF!</v>
      </c>
      <c r="BI47" s="98"/>
      <c r="BJ47" s="98"/>
      <c r="BK47" s="107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</row>
    <row r="48" s="2" customFormat="1" ht="15.75" customHeight="1" spans="1:79">
      <c r="A48" s="39" t="s">
        <v>8414</v>
      </c>
      <c r="B48" s="53" t="s">
        <v>8415</v>
      </c>
      <c r="C48" s="40" t="s">
        <v>8290</v>
      </c>
      <c r="D48" s="41" t="e">
        <f>+#REF!</f>
        <v>#REF!</v>
      </c>
      <c r="E48" s="42">
        <f ca="1" t="shared" si="15"/>
        <v>0</v>
      </c>
      <c r="F48" s="52">
        <f ca="1" t="shared" si="9"/>
        <v>0</v>
      </c>
      <c r="G48" s="22">
        <f ca="1">+GETPIVOTDATA("XXB4",'xabang (2016)'!$A$3,"MA_HT","DNG","MA_QH","LUC")</f>
        <v>0</v>
      </c>
      <c r="H48" s="22">
        <f ca="1">+GETPIVOTDATA("XXB4",'xabang (2016)'!$A$3,"MA_HT","DNG","MA_QH","LUK")</f>
        <v>0</v>
      </c>
      <c r="I48" s="22">
        <f ca="1">+GETPIVOTDATA("XXB4",'xabang (2016)'!$A$3,"MA_HT","DNG","MA_QH","LUN")</f>
        <v>0</v>
      </c>
      <c r="J48" s="22">
        <f ca="1">+GETPIVOTDATA("XXB4",'xabang (2016)'!$A$3,"MA_HT","DNG","MA_QH","HNK")</f>
        <v>0</v>
      </c>
      <c r="K48" s="22">
        <f ca="1">+GETPIVOTDATA("XXB4",'xabang (2016)'!$A$3,"MA_HT","DNG","MA_QH","CLN")</f>
        <v>0</v>
      </c>
      <c r="L48" s="22">
        <f ca="1">+GETPIVOTDATA("XXB4",'xabang (2016)'!$A$3,"MA_HT","DNG","MA_QH","RSX")</f>
        <v>0</v>
      </c>
      <c r="M48" s="22">
        <f ca="1">+GETPIVOTDATA("XXB4",'xabang (2016)'!$A$3,"MA_HT","DNG","MA_QH","RPH")</f>
        <v>0</v>
      </c>
      <c r="N48" s="22">
        <f ca="1">+GETPIVOTDATA("XXB4",'xabang (2016)'!$A$3,"MA_HT","DNG","MA_QH","RDD")</f>
        <v>0</v>
      </c>
      <c r="O48" s="22">
        <f ca="1">+GETPIVOTDATA("XXB4",'xabang (2016)'!$A$3,"MA_HT","DNG","MA_QH","NTS")</f>
        <v>0</v>
      </c>
      <c r="P48" s="22">
        <f ca="1">+GETPIVOTDATA("XXB4",'xabang (2016)'!$A$3,"MA_HT","DNG","MA_QH","LMU")</f>
        <v>0</v>
      </c>
      <c r="Q48" s="22">
        <f ca="1">+GETPIVOTDATA("XXB4",'xabang (2016)'!$A$3,"MA_HT","DNG","MA_QH","NKH")</f>
        <v>0</v>
      </c>
      <c r="R48" s="79">
        <f ca="1">SUM(S48:AA48,AN48:AT48,AV48:BD48)</f>
        <v>0</v>
      </c>
      <c r="S48" s="22">
        <f ca="1">+GETPIVOTDATA("XXB4",'xabang (2016)'!$A$3,"MA_HT","DNG","MA_QH","CQP")</f>
        <v>0</v>
      </c>
      <c r="T48" s="22">
        <f ca="1">+GETPIVOTDATA("XXB4",'xabang (2016)'!$A$3,"MA_HT","DNG","MA_QH","CAN")</f>
        <v>0</v>
      </c>
      <c r="U48" s="22">
        <f ca="1">+GETPIVOTDATA("XXB4",'xabang (2016)'!$A$3,"MA_HT","DNG","MA_QH","SKK")</f>
        <v>0</v>
      </c>
      <c r="V48" s="22">
        <f ca="1">+GETPIVOTDATA("XXB4",'xabang (2016)'!$A$3,"MA_HT","DNG","MA_QH","SKT")</f>
        <v>0</v>
      </c>
      <c r="W48" s="22">
        <f ca="1">+GETPIVOTDATA("XXB4",'xabang (2016)'!$A$3,"MA_HT","DNG","MA_QH","SKN")</f>
        <v>0</v>
      </c>
      <c r="X48" s="22">
        <f ca="1">+GETPIVOTDATA("XXB4",'xabang (2016)'!$A$3,"MA_HT","DNG","MA_QH","TMD")</f>
        <v>0</v>
      </c>
      <c r="Y48" s="22">
        <f ca="1">+GETPIVOTDATA("XXB4",'xabang (2016)'!$A$3,"MA_HT","DNG","MA_QH","SKC")</f>
        <v>0</v>
      </c>
      <c r="Z48" s="22">
        <f ca="1">+GETPIVOTDATA("XXB4",'xabang (2016)'!$A$3,"MA_HT","DNG","MA_QH","SKS")</f>
        <v>0</v>
      </c>
      <c r="AA48" s="52">
        <f ca="1" t="shared" si="21"/>
        <v>0</v>
      </c>
      <c r="AB48" s="22">
        <f ca="1">+GETPIVOTDATA("XXB4",'xabang (2016)'!$A$3,"MA_HT","DNG","MA_QH","DGT")</f>
        <v>0</v>
      </c>
      <c r="AC48" s="22">
        <f ca="1">+GETPIVOTDATA("XXB4",'xabang (2016)'!$A$3,"MA_HT","DNG","MA_QH","DTL")</f>
        <v>0</v>
      </c>
      <c r="AD48" s="22">
        <f ca="1">+GETPIVOTDATA("XXB4",'xabang (2016)'!$A$3,"MA_HT","DNG","MA_QH","DNL")</f>
        <v>0</v>
      </c>
      <c r="AE48" s="22">
        <f ca="1">+GETPIVOTDATA("XXB4",'xabang (2016)'!$A$3,"MA_HT","DNG","MA_QH","DBV")</f>
        <v>0</v>
      </c>
      <c r="AF48" s="22">
        <f ca="1">+GETPIVOTDATA("XXB4",'xabang (2016)'!$A$3,"MA_HT","DNG","MA_QH","DVH")</f>
        <v>0</v>
      </c>
      <c r="AG48" s="22">
        <f ca="1">+GETPIVOTDATA("XXB4",'xabang (2016)'!$A$3,"MA_HT","DNG","MA_QH","DYT")</f>
        <v>0</v>
      </c>
      <c r="AH48" s="22">
        <f ca="1">+GETPIVOTDATA("XXB4",'xabang (2016)'!$A$3,"MA_HT","DNG","MA_QH","DGD")</f>
        <v>0</v>
      </c>
      <c r="AI48" s="22">
        <f ca="1">+GETPIVOTDATA("XXB4",'xabang (2016)'!$A$3,"MA_HT","DNG","MA_QH","DTT")</f>
        <v>0</v>
      </c>
      <c r="AJ48" s="22">
        <f ca="1">+GETPIVOTDATA("XXB4",'xabang (2016)'!$A$3,"MA_HT","DNG","MA_QH","NCK")</f>
        <v>0</v>
      </c>
      <c r="AK48" s="22">
        <f ca="1">+GETPIVOTDATA("XXB4",'xabang (2016)'!$A$3,"MA_HT","DNG","MA_QH","DXH")</f>
        <v>0</v>
      </c>
      <c r="AL48" s="22">
        <f ca="1">+GETPIVOTDATA("XXB4",'xabang (2016)'!$A$3,"MA_HT","DNG","MA_QH","DCH")</f>
        <v>0</v>
      </c>
      <c r="AM48" s="22">
        <f ca="1">+GETPIVOTDATA("XXB4",'xabang (2016)'!$A$3,"MA_HT","DNG","MA_QH","DKG")</f>
        <v>0</v>
      </c>
      <c r="AN48" s="22">
        <f ca="1">+GETPIVOTDATA("XXB4",'xabang (2016)'!$A$3,"MA_HT","DNG","MA_QH","DDT")</f>
        <v>0</v>
      </c>
      <c r="AO48" s="22">
        <f ca="1">+GETPIVOTDATA("XXB4",'xabang (2016)'!$A$3,"MA_HT","DNG","MA_QH","DDL")</f>
        <v>0</v>
      </c>
      <c r="AP48" s="22">
        <f ca="1">+GETPIVOTDATA("XXB4",'xabang (2016)'!$A$3,"MA_HT","DNG","MA_QH","DRA")</f>
        <v>0</v>
      </c>
      <c r="AQ48" s="22">
        <f ca="1">+GETPIVOTDATA("XXB4",'xabang (2016)'!$A$3,"MA_HT","DNG","MA_QH","ONT")</f>
        <v>0</v>
      </c>
      <c r="AR48" s="22">
        <f ca="1">+GETPIVOTDATA("XXB4",'xabang (2016)'!$A$3,"MA_HT","DNG","MA_QH","ODT")</f>
        <v>0</v>
      </c>
      <c r="AS48" s="22">
        <f ca="1">+GETPIVOTDATA("XXB4",'xabang (2016)'!$A$3,"MA_HT","DNG","MA_QH","TSC")</f>
        <v>0</v>
      </c>
      <c r="AT48" s="22">
        <f ca="1">+GETPIVOTDATA("XXB4",'xabang (2016)'!$A$3,"MA_HT","DNG","MA_QH","DTS")</f>
        <v>0</v>
      </c>
      <c r="AU48" s="43" t="e">
        <f ca="1">$D48-$BF48</f>
        <v>#REF!</v>
      </c>
      <c r="AV48" s="22">
        <f ca="1">+GETPIVOTDATA("XXB4",'xabang (2016)'!$A$3,"MA_HT","DNG","MA_QH","TON")</f>
        <v>0</v>
      </c>
      <c r="AW48" s="22">
        <f ca="1">+GETPIVOTDATA("XXB4",'xabang (2016)'!$A$3,"MA_HT","DNG","MA_QH","NTD")</f>
        <v>0</v>
      </c>
      <c r="AX48" s="22">
        <f ca="1">+GETPIVOTDATA("XXB4",'xabang (2016)'!$A$3,"MA_HT","DNG","MA_QH","SKX")</f>
        <v>0</v>
      </c>
      <c r="AY48" s="22">
        <f ca="1">+GETPIVOTDATA("XXB4",'xabang (2016)'!$A$3,"MA_HT","DNG","MA_QH","DSH")</f>
        <v>0</v>
      </c>
      <c r="AZ48" s="22">
        <f ca="1">+GETPIVOTDATA("XXB4",'xabang (2016)'!$A$3,"MA_HT","DNG","MA_QH","DKV")</f>
        <v>0</v>
      </c>
      <c r="BA48" s="89">
        <f ca="1">+GETPIVOTDATA("XXB4",'xabang (2016)'!$A$3,"MA_HT","DNG","MA_QH","TIN")</f>
        <v>0</v>
      </c>
      <c r="BB48" s="50">
        <f ca="1">+GETPIVOTDATA("XXB4",'xabang (2016)'!$A$3,"MA_HT","DNG","MA_QH","SON")</f>
        <v>0</v>
      </c>
      <c r="BC48" s="50">
        <f ca="1">+GETPIVOTDATA("XXB4",'xabang (2016)'!$A$3,"MA_HT","DNG","MA_QH","MNC")</f>
        <v>0</v>
      </c>
      <c r="BD48" s="22">
        <f ca="1">+GETPIVOTDATA("XXB4",'xabang (2016)'!$A$3,"MA_HT","DNG","MA_QH","PNK")</f>
        <v>0</v>
      </c>
      <c r="BE48" s="71">
        <f ca="1">+GETPIVOTDATA("XXB4",'xabang (2016)'!$A$3,"MA_HT","DNG","MA_QH","CSD")</f>
        <v>0</v>
      </c>
      <c r="BF48" s="74">
        <f ca="1" t="shared" si="13"/>
        <v>0</v>
      </c>
      <c r="BG48" s="101">
        <f ca="1">AU$59-$BF48</f>
        <v>0</v>
      </c>
      <c r="BH48" s="41" t="e">
        <f ca="1" t="shared" si="14"/>
        <v>#REF!</v>
      </c>
      <c r="BI48" s="98"/>
      <c r="BJ48" s="98" t="e">
        <f>#REF!</f>
        <v>#REF!</v>
      </c>
      <c r="BK48" s="107" t="e">
        <f ca="1">BH48-BJ48</f>
        <v>#REF!</v>
      </c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</row>
    <row r="49" s="2" customFormat="1" ht="15.75" customHeight="1" spans="1:79">
      <c r="A49" s="39" t="s">
        <v>8416</v>
      </c>
      <c r="B49" s="53" t="s">
        <v>8417</v>
      </c>
      <c r="C49" s="40" t="s">
        <v>324</v>
      </c>
      <c r="D49" s="41" t="e">
        <f>+#REF!</f>
        <v>#REF!</v>
      </c>
      <c r="E49" s="42">
        <f ca="1" t="shared" si="15"/>
        <v>0</v>
      </c>
      <c r="F49" s="52">
        <f ca="1" t="shared" si="9"/>
        <v>0</v>
      </c>
      <c r="G49" s="22">
        <f ca="1">+GETPIVOTDATA("XXB4",'xabang (2016)'!$A$3,"MA_HT","TON","MA_QH","LUC")</f>
        <v>0</v>
      </c>
      <c r="H49" s="22">
        <f ca="1">+GETPIVOTDATA("XXB4",'xabang (2016)'!$A$3,"MA_HT","TON","MA_QH","LUK")</f>
        <v>0</v>
      </c>
      <c r="I49" s="22">
        <f ca="1">+GETPIVOTDATA("XXB4",'xabang (2016)'!$A$3,"MA_HT","TON","MA_QH","LUN")</f>
        <v>0</v>
      </c>
      <c r="J49" s="22">
        <f ca="1">+GETPIVOTDATA("XXB4",'xabang (2016)'!$A$3,"MA_HT","TON","MA_QH","HNK")</f>
        <v>0</v>
      </c>
      <c r="K49" s="22">
        <f ca="1">+GETPIVOTDATA("XXB4",'xabang (2016)'!$A$3,"MA_HT","TON","MA_QH","CLN")</f>
        <v>0</v>
      </c>
      <c r="L49" s="22">
        <f ca="1">+GETPIVOTDATA("XXB4",'xabang (2016)'!$A$3,"MA_HT","TON","MA_QH","RSX")</f>
        <v>0</v>
      </c>
      <c r="M49" s="22">
        <f ca="1">+GETPIVOTDATA("XXB4",'xabang (2016)'!$A$3,"MA_HT","TON","MA_QH","RPH")</f>
        <v>0</v>
      </c>
      <c r="N49" s="22">
        <f ca="1">+GETPIVOTDATA("XXB4",'xabang (2016)'!$A$3,"MA_HT","TON","MA_QH","RDD")</f>
        <v>0</v>
      </c>
      <c r="O49" s="22">
        <f ca="1">+GETPIVOTDATA("XXB4",'xabang (2016)'!$A$3,"MA_HT","TON","MA_QH","NTS")</f>
        <v>0</v>
      </c>
      <c r="P49" s="22">
        <f ca="1">+GETPIVOTDATA("XXB4",'xabang (2016)'!$A$3,"MA_HT","TON","MA_QH","LMU")</f>
        <v>0</v>
      </c>
      <c r="Q49" s="22">
        <f ca="1">+GETPIVOTDATA("XXB4",'xabang (2016)'!$A$3,"MA_HT","TON","MA_QH","NKH")</f>
        <v>0</v>
      </c>
      <c r="R49" s="79">
        <f ca="1">SUM(S49:AA49,AN49:AU49,AW49:BD49)</f>
        <v>0</v>
      </c>
      <c r="S49" s="22">
        <f ca="1">+GETPIVOTDATA("XXB4",'xabang (2016)'!$A$3,"MA_HT","TON","MA_QH","CQP")</f>
        <v>0</v>
      </c>
      <c r="T49" s="22">
        <f ca="1">+GETPIVOTDATA("XXB4",'xabang (2016)'!$A$3,"MA_HT","TON","MA_QH","CAN")</f>
        <v>0</v>
      </c>
      <c r="U49" s="22">
        <f ca="1">+GETPIVOTDATA("XXB4",'xabang (2016)'!$A$3,"MA_HT","TON","MA_QH","SKK")</f>
        <v>0</v>
      </c>
      <c r="V49" s="22">
        <f ca="1">+GETPIVOTDATA("XXB4",'xabang (2016)'!$A$3,"MA_HT","TON","MA_QH","SKT")</f>
        <v>0</v>
      </c>
      <c r="W49" s="22">
        <f ca="1">+GETPIVOTDATA("XXB4",'xabang (2016)'!$A$3,"MA_HT","TON","MA_QH","SKN")</f>
        <v>0</v>
      </c>
      <c r="X49" s="22">
        <f ca="1">+GETPIVOTDATA("XXB4",'xabang (2016)'!$A$3,"MA_HT","TON","MA_QH","TMD")</f>
        <v>0</v>
      </c>
      <c r="Y49" s="22">
        <f ca="1">+GETPIVOTDATA("XXB4",'xabang (2016)'!$A$3,"MA_HT","TON","MA_QH","SKC")</f>
        <v>0</v>
      </c>
      <c r="Z49" s="22">
        <f ca="1">+GETPIVOTDATA("XXB4",'xabang (2016)'!$A$3,"MA_HT","TON","MA_QH","SKS")</f>
        <v>0</v>
      </c>
      <c r="AA49" s="52">
        <f ca="1" t="shared" si="21"/>
        <v>0</v>
      </c>
      <c r="AB49" s="22">
        <f ca="1">+GETPIVOTDATA("XXB4",'xabang (2016)'!$A$3,"MA_HT","TON","MA_QH","DGT")</f>
        <v>0</v>
      </c>
      <c r="AC49" s="22">
        <f ca="1">+GETPIVOTDATA("XXB4",'xabang (2016)'!$A$3,"MA_HT","TON","MA_QH","DTL")</f>
        <v>0</v>
      </c>
      <c r="AD49" s="22">
        <f ca="1">+GETPIVOTDATA("XXB4",'xabang (2016)'!$A$3,"MA_HT","TON","MA_QH","DNL")</f>
        <v>0</v>
      </c>
      <c r="AE49" s="22">
        <f ca="1">+GETPIVOTDATA("XXB4",'xabang (2016)'!$A$3,"MA_HT","TON","MA_QH","DBV")</f>
        <v>0</v>
      </c>
      <c r="AF49" s="22">
        <f ca="1">+GETPIVOTDATA("XXB4",'xabang (2016)'!$A$3,"MA_HT","TON","MA_QH","DVH")</f>
        <v>0</v>
      </c>
      <c r="AG49" s="22">
        <f ca="1">+GETPIVOTDATA("XXB4",'xabang (2016)'!$A$3,"MA_HT","TON","MA_QH","DYT")</f>
        <v>0</v>
      </c>
      <c r="AH49" s="22">
        <f ca="1">+GETPIVOTDATA("XXB4",'xabang (2016)'!$A$3,"MA_HT","TON","MA_QH","DGD")</f>
        <v>0</v>
      </c>
      <c r="AI49" s="22">
        <f ca="1">+GETPIVOTDATA("XXB4",'xabang (2016)'!$A$3,"MA_HT","TON","MA_QH","DTT")</f>
        <v>0</v>
      </c>
      <c r="AJ49" s="22">
        <f ca="1">+GETPIVOTDATA("XXB4",'xabang (2016)'!$A$3,"MA_HT","TON","MA_QH","NCK")</f>
        <v>0</v>
      </c>
      <c r="AK49" s="22">
        <f ca="1">+GETPIVOTDATA("XXB4",'xabang (2016)'!$A$3,"MA_HT","TON","MA_QH","DXH")</f>
        <v>0</v>
      </c>
      <c r="AL49" s="22">
        <f ca="1">+GETPIVOTDATA("XXB4",'xabang (2016)'!$A$3,"MA_HT","TON","MA_QH","DCH")</f>
        <v>0</v>
      </c>
      <c r="AM49" s="22">
        <f ca="1">+GETPIVOTDATA("XXB4",'xabang (2016)'!$A$3,"MA_HT","TON","MA_QH","DKG")</f>
        <v>0</v>
      </c>
      <c r="AN49" s="22">
        <f ca="1">+GETPIVOTDATA("XXB4",'xabang (2016)'!$A$3,"MA_HT","TON","MA_QH","DDT")</f>
        <v>0</v>
      </c>
      <c r="AO49" s="22">
        <f ca="1">+GETPIVOTDATA("XXB4",'xabang (2016)'!$A$3,"MA_HT","TON","MA_QH","DDL")</f>
        <v>0</v>
      </c>
      <c r="AP49" s="22">
        <f ca="1">+GETPIVOTDATA("XXB4",'xabang (2016)'!$A$3,"MA_HT","TON","MA_QH","DRA")</f>
        <v>0</v>
      </c>
      <c r="AQ49" s="22">
        <f ca="1">+GETPIVOTDATA("XXB4",'xabang (2016)'!$A$3,"MA_HT","TON","MA_QH","ONT")</f>
        <v>0</v>
      </c>
      <c r="AR49" s="22">
        <f ca="1">+GETPIVOTDATA("XXB4",'xabang (2016)'!$A$3,"MA_HT","TON","MA_QH","ODT")</f>
        <v>0</v>
      </c>
      <c r="AS49" s="22">
        <f ca="1">+GETPIVOTDATA("XXB4",'xabang (2016)'!$A$3,"MA_HT","TON","MA_QH","TSC")</f>
        <v>0</v>
      </c>
      <c r="AT49" s="22">
        <f ca="1">+GETPIVOTDATA("XXB4",'xabang (2016)'!$A$3,"MA_HT","TON","MA_QH","DTS")</f>
        <v>0</v>
      </c>
      <c r="AU49" s="22">
        <f ca="1">+GETPIVOTDATA("XXB4",'xabang (2016)'!$A$3,"MA_HT","TON","MA_QH","DNG")</f>
        <v>0</v>
      </c>
      <c r="AV49" s="43" t="e">
        <f ca="1">$D49-$BF49</f>
        <v>#REF!</v>
      </c>
      <c r="AW49" s="22">
        <f ca="1">+GETPIVOTDATA("XXB4",'xabang (2016)'!$A$3,"MA_HT","TON","MA_QH","NTD")</f>
        <v>0</v>
      </c>
      <c r="AX49" s="22">
        <f ca="1">+GETPIVOTDATA("XXB4",'xabang (2016)'!$A$3,"MA_HT","TON","MA_QH","SKX")</f>
        <v>0</v>
      </c>
      <c r="AY49" s="22">
        <f ca="1">+GETPIVOTDATA("XXB4",'xabang (2016)'!$A$3,"MA_HT","TON","MA_QH","DSH")</f>
        <v>0</v>
      </c>
      <c r="AZ49" s="22">
        <f ca="1">+GETPIVOTDATA("XXB4",'xabang (2016)'!$A$3,"MA_HT","TON","MA_QH","DKV")</f>
        <v>0</v>
      </c>
      <c r="BA49" s="89">
        <f ca="1">+GETPIVOTDATA("XXB4",'xabang (2016)'!$A$3,"MA_HT","TON","MA_QH","TIN")</f>
        <v>0</v>
      </c>
      <c r="BB49" s="50">
        <f ca="1">+GETPIVOTDATA("XXB4",'xabang (2016)'!$A$3,"MA_HT","TON","MA_QH","SON")</f>
        <v>0</v>
      </c>
      <c r="BC49" s="50">
        <f ca="1">+GETPIVOTDATA("XXB4",'xabang (2016)'!$A$3,"MA_HT","TON","MA_QH","MNC")</f>
        <v>0</v>
      </c>
      <c r="BD49" s="22">
        <f ca="1">+GETPIVOTDATA("XXB4",'xabang (2016)'!$A$3,"MA_HT","TON","MA_QH","PNK")</f>
        <v>0</v>
      </c>
      <c r="BE49" s="71">
        <f ca="1">+GETPIVOTDATA("XXB4",'xabang (2016)'!$A$3,"MA_HT","TON","MA_QH","CSD")</f>
        <v>0</v>
      </c>
      <c r="BF49" s="74">
        <f ca="1" t="shared" si="13"/>
        <v>0</v>
      </c>
      <c r="BG49" s="101">
        <f ca="1">AV$59-$BF49</f>
        <v>0</v>
      </c>
      <c r="BH49" s="41" t="e">
        <f ca="1" t="shared" si="14"/>
        <v>#REF!</v>
      </c>
      <c r="BI49" s="98"/>
      <c r="BJ49" s="98" t="e">
        <f>#REF!</f>
        <v>#REF!</v>
      </c>
      <c r="BK49" s="107" t="e">
        <f ca="1">BH49-BJ49</f>
        <v>#REF!</v>
      </c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</row>
    <row r="50" s="2" customFormat="1" ht="15.75" customHeight="1" spans="1:79">
      <c r="A50" s="39" t="s">
        <v>8418</v>
      </c>
      <c r="B50" s="53" t="s">
        <v>8419</v>
      </c>
      <c r="C50" s="40" t="s">
        <v>182</v>
      </c>
      <c r="D50" s="41" t="e">
        <f>+#REF!</f>
        <v>#REF!</v>
      </c>
      <c r="E50" s="42">
        <f ca="1" t="shared" si="15"/>
        <v>0</v>
      </c>
      <c r="F50" s="52">
        <f ca="1" t="shared" si="9"/>
        <v>0</v>
      </c>
      <c r="G50" s="22">
        <f ca="1">+GETPIVOTDATA("XXB4",'xabang (2016)'!$A$3,"MA_HT","NTD","MA_QH","LUC")</f>
        <v>0</v>
      </c>
      <c r="H50" s="22">
        <f ca="1">+GETPIVOTDATA("XXB4",'xabang (2016)'!$A$3,"MA_HT","NTD","MA_QH","LUK")</f>
        <v>0</v>
      </c>
      <c r="I50" s="22">
        <f ca="1">+GETPIVOTDATA("XXB4",'xabang (2016)'!$A$3,"MA_HT","NTD","MA_QH","LUN")</f>
        <v>0</v>
      </c>
      <c r="J50" s="22">
        <f ca="1">+GETPIVOTDATA("XXB4",'xabang (2016)'!$A$3,"MA_HT","NTD","MA_QH","HNK")</f>
        <v>0</v>
      </c>
      <c r="K50" s="22">
        <f ca="1">+GETPIVOTDATA("XXB4",'xabang (2016)'!$A$3,"MA_HT","NTD","MA_QH","CLN")</f>
        <v>0</v>
      </c>
      <c r="L50" s="22">
        <f ca="1">+GETPIVOTDATA("XXB4",'xabang (2016)'!$A$3,"MA_HT","NTD","MA_QH","RSX")</f>
        <v>0</v>
      </c>
      <c r="M50" s="22">
        <f ca="1">+GETPIVOTDATA("XXB4",'xabang (2016)'!$A$3,"MA_HT","NTD","MA_QH","RPH")</f>
        <v>0</v>
      </c>
      <c r="N50" s="22">
        <f ca="1">+GETPIVOTDATA("XXB4",'xabang (2016)'!$A$3,"MA_HT","NTD","MA_QH","RDD")</f>
        <v>0</v>
      </c>
      <c r="O50" s="22">
        <f ca="1">+GETPIVOTDATA("XXB4",'xabang (2016)'!$A$3,"MA_HT","NTD","MA_QH","NTS")</f>
        <v>0</v>
      </c>
      <c r="P50" s="22">
        <f ca="1">+GETPIVOTDATA("XXB4",'xabang (2016)'!$A$3,"MA_HT","NTD","MA_QH","LMU")</f>
        <v>0</v>
      </c>
      <c r="Q50" s="22">
        <f ca="1">+GETPIVOTDATA("XXB4",'xabang (2016)'!$A$3,"MA_HT","NTD","MA_QH","NKH")</f>
        <v>0</v>
      </c>
      <c r="R50" s="79">
        <f ca="1">SUM(S50:AA50,AN50:AV50,AX50:BD50)</f>
        <v>0</v>
      </c>
      <c r="S50" s="22">
        <f ca="1">+GETPIVOTDATA("XXB4",'xabang (2016)'!$A$3,"MA_HT","NTD","MA_QH","CQP")</f>
        <v>0</v>
      </c>
      <c r="T50" s="22">
        <f ca="1">+GETPIVOTDATA("XXB4",'xabang (2016)'!$A$3,"MA_HT","NTD","MA_QH","CAN")</f>
        <v>0</v>
      </c>
      <c r="U50" s="22">
        <f ca="1">+GETPIVOTDATA("XXB4",'xabang (2016)'!$A$3,"MA_HT","NTD","MA_QH","SKK")</f>
        <v>0</v>
      </c>
      <c r="V50" s="22">
        <f ca="1">+GETPIVOTDATA("XXB4",'xabang (2016)'!$A$3,"MA_HT","NTD","MA_QH","SKT")</f>
        <v>0</v>
      </c>
      <c r="W50" s="22">
        <f ca="1">+GETPIVOTDATA("XXB4",'xabang (2016)'!$A$3,"MA_HT","NTD","MA_QH","SKN")</f>
        <v>0</v>
      </c>
      <c r="X50" s="22">
        <f ca="1">+GETPIVOTDATA("XXB4",'xabang (2016)'!$A$3,"MA_HT","NTD","MA_QH","TMD")</f>
        <v>0</v>
      </c>
      <c r="Y50" s="22">
        <f ca="1">+GETPIVOTDATA("XXB4",'xabang (2016)'!$A$3,"MA_HT","NTD","MA_QH","SKC")</f>
        <v>0</v>
      </c>
      <c r="Z50" s="22">
        <f ca="1">+GETPIVOTDATA("XXB4",'xabang (2016)'!$A$3,"MA_HT","NTD","MA_QH","SKS")</f>
        <v>0</v>
      </c>
      <c r="AA50" s="52">
        <f ca="1" t="shared" si="21"/>
        <v>0</v>
      </c>
      <c r="AB50" s="22">
        <f ca="1">+GETPIVOTDATA("XXB4",'xabang (2016)'!$A$3,"MA_HT","NTD","MA_QH","DGT")</f>
        <v>0</v>
      </c>
      <c r="AC50" s="22">
        <f ca="1">+GETPIVOTDATA("XXB4",'xabang (2016)'!$A$3,"MA_HT","NTD","MA_QH","DTL")</f>
        <v>0</v>
      </c>
      <c r="AD50" s="22">
        <f ca="1">+GETPIVOTDATA("XXB4",'xabang (2016)'!$A$3,"MA_HT","NTD","MA_QH","DNL")</f>
        <v>0</v>
      </c>
      <c r="AE50" s="22">
        <f ca="1">+GETPIVOTDATA("XXB4",'xabang (2016)'!$A$3,"MA_HT","NTD","MA_QH","DBV")</f>
        <v>0</v>
      </c>
      <c r="AF50" s="22">
        <f ca="1">+GETPIVOTDATA("XXB4",'xabang (2016)'!$A$3,"MA_HT","NTD","MA_QH","DVH")</f>
        <v>0</v>
      </c>
      <c r="AG50" s="22">
        <f ca="1">+GETPIVOTDATA("XXB4",'xabang (2016)'!$A$3,"MA_HT","NTD","MA_QH","DYT")</f>
        <v>0</v>
      </c>
      <c r="AH50" s="22">
        <f ca="1">+GETPIVOTDATA("XXB4",'xabang (2016)'!$A$3,"MA_HT","NTD","MA_QH","DGD")</f>
        <v>0</v>
      </c>
      <c r="AI50" s="22">
        <f ca="1">+GETPIVOTDATA("XXB4",'xabang (2016)'!$A$3,"MA_HT","NTD","MA_QH","DTT")</f>
        <v>0</v>
      </c>
      <c r="AJ50" s="22">
        <f ca="1">+GETPIVOTDATA("XXB4",'xabang (2016)'!$A$3,"MA_HT","NTD","MA_QH","NCK")</f>
        <v>0</v>
      </c>
      <c r="AK50" s="22">
        <f ca="1">+GETPIVOTDATA("XXB4",'xabang (2016)'!$A$3,"MA_HT","NTD","MA_QH","DXH")</f>
        <v>0</v>
      </c>
      <c r="AL50" s="22">
        <f ca="1">+GETPIVOTDATA("XXB4",'xabang (2016)'!$A$3,"MA_HT","NTD","MA_QH","DCH")</f>
        <v>0</v>
      </c>
      <c r="AM50" s="22">
        <f ca="1">+GETPIVOTDATA("XXB4",'xabang (2016)'!$A$3,"MA_HT","NTD","MA_QH","DKG")</f>
        <v>0</v>
      </c>
      <c r="AN50" s="22">
        <f ca="1">+GETPIVOTDATA("XXB4",'xabang (2016)'!$A$3,"MA_HT","NTD","MA_QH","DDT")</f>
        <v>0</v>
      </c>
      <c r="AO50" s="22">
        <f ca="1">+GETPIVOTDATA("XXB4",'xabang (2016)'!$A$3,"MA_HT","NTD","MA_QH","DDL")</f>
        <v>0</v>
      </c>
      <c r="AP50" s="22">
        <f ca="1">+GETPIVOTDATA("XXB4",'xabang (2016)'!$A$3,"MA_HT","NTD","MA_QH","DRA")</f>
        <v>0</v>
      </c>
      <c r="AQ50" s="22">
        <f ca="1">+GETPIVOTDATA("XXB4",'xabang (2016)'!$A$3,"MA_HT","NTD","MA_QH","ONT")</f>
        <v>0</v>
      </c>
      <c r="AR50" s="22">
        <f ca="1">+GETPIVOTDATA("XXB4",'xabang (2016)'!$A$3,"MA_HT","NTD","MA_QH","ODT")</f>
        <v>0</v>
      </c>
      <c r="AS50" s="22">
        <f ca="1">+GETPIVOTDATA("XXB4",'xabang (2016)'!$A$3,"MA_HT","NTD","MA_QH","TSC")</f>
        <v>0</v>
      </c>
      <c r="AT50" s="22">
        <f ca="1">+GETPIVOTDATA("XXB4",'xabang (2016)'!$A$3,"MA_HT","NTD","MA_QH","DTS")</f>
        <v>0</v>
      </c>
      <c r="AU50" s="22">
        <f ca="1">+GETPIVOTDATA("XXB4",'xabang (2016)'!$A$3,"MA_HT","NTD","MA_QH","DNG")</f>
        <v>0</v>
      </c>
      <c r="AV50" s="22">
        <f ca="1">+GETPIVOTDATA("XXB4",'xabang (2016)'!$A$3,"MA_HT","NTD","MA_QH","TON")</f>
        <v>0</v>
      </c>
      <c r="AW50" s="43" t="e">
        <f ca="1">$D50-$BF50</f>
        <v>#REF!</v>
      </c>
      <c r="AX50" s="22">
        <f ca="1">+GETPIVOTDATA("XXB4",'xabang (2016)'!$A$3,"MA_HT","NTD","MA_QH","SKX")</f>
        <v>0</v>
      </c>
      <c r="AY50" s="22">
        <f ca="1">+GETPIVOTDATA("XXB4",'xabang (2016)'!$A$3,"MA_HT","NTD","MA_QH","DSH")</f>
        <v>0</v>
      </c>
      <c r="AZ50" s="22">
        <f ca="1">+GETPIVOTDATA("XXB4",'xabang (2016)'!$A$3,"MA_HT","NTD","MA_QH","DKV")</f>
        <v>0</v>
      </c>
      <c r="BA50" s="89">
        <f ca="1">+GETPIVOTDATA("XXB4",'xabang (2016)'!$A$3,"MA_HT","NTD","MA_QH","TIN")</f>
        <v>0</v>
      </c>
      <c r="BB50" s="50">
        <f ca="1">+GETPIVOTDATA("XXB4",'xabang (2016)'!$A$3,"MA_HT","NTD","MA_QH","SON")</f>
        <v>0</v>
      </c>
      <c r="BC50" s="50">
        <f ca="1">+GETPIVOTDATA("XXB4",'xabang (2016)'!$A$3,"MA_HT","NTD","MA_QH","MNC")</f>
        <v>0</v>
      </c>
      <c r="BD50" s="22">
        <f ca="1">+GETPIVOTDATA("XXB4",'xabang (2016)'!$A$3,"MA_HT","NTD","MA_QH","PNK")</f>
        <v>0</v>
      </c>
      <c r="BE50" s="71">
        <f ca="1">+GETPIVOTDATA("XXB4",'xabang (2016)'!$A$3,"MA_HT","NTD","MA_QH","CSD")</f>
        <v>0</v>
      </c>
      <c r="BF50" s="74">
        <f ca="1" t="shared" si="13"/>
        <v>0</v>
      </c>
      <c r="BG50" s="101">
        <f ca="1">AW$59-$BF50</f>
        <v>0</v>
      </c>
      <c r="BH50" s="41" t="e">
        <f ca="1" t="shared" si="14"/>
        <v>#REF!</v>
      </c>
      <c r="BI50" s="98"/>
      <c r="BJ50" s="98"/>
      <c r="BK50" s="107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</row>
    <row r="51" s="2" customFormat="1" ht="15.75" customHeight="1" spans="1:79">
      <c r="A51" s="39" t="s">
        <v>8420</v>
      </c>
      <c r="B51" s="39" t="s">
        <v>8421</v>
      </c>
      <c r="C51" s="40" t="s">
        <v>236</v>
      </c>
      <c r="D51" s="41" t="e">
        <f>+#REF!</f>
        <v>#REF!</v>
      </c>
      <c r="E51" s="42">
        <f ca="1" t="shared" si="15"/>
        <v>0</v>
      </c>
      <c r="F51" s="52">
        <f ca="1" t="shared" si="9"/>
        <v>0</v>
      </c>
      <c r="G51" s="22">
        <f ca="1">+GETPIVOTDATA("XXB4",'xabang (2016)'!$A$3,"MA_HT","SKX","MA_QH","LUC")</f>
        <v>0</v>
      </c>
      <c r="H51" s="22">
        <f ca="1">+GETPIVOTDATA("XXB4",'xabang (2016)'!$A$3,"MA_HT","SKX","MA_QH","LUK")</f>
        <v>0</v>
      </c>
      <c r="I51" s="22">
        <f ca="1">+GETPIVOTDATA("XXB4",'xabang (2016)'!$A$3,"MA_HT","SKX","MA_QH","LUN")</f>
        <v>0</v>
      </c>
      <c r="J51" s="22">
        <f ca="1">+GETPIVOTDATA("XXB4",'xabang (2016)'!$A$3,"MA_HT","SKX","MA_QH","HNK")</f>
        <v>0</v>
      </c>
      <c r="K51" s="22">
        <f ca="1">+GETPIVOTDATA("XXB4",'xabang (2016)'!$A$3,"MA_HT","SKX","MA_QH","CLN")</f>
        <v>0</v>
      </c>
      <c r="L51" s="22">
        <f ca="1">+GETPIVOTDATA("XXB4",'xabang (2016)'!$A$3,"MA_HT","SKX","MA_QH","RSX")</f>
        <v>0</v>
      </c>
      <c r="M51" s="22">
        <f ca="1">+GETPIVOTDATA("XXB4",'xabang (2016)'!$A$3,"MA_HT","SKX","MA_QH","RPH")</f>
        <v>0</v>
      </c>
      <c r="N51" s="22">
        <f ca="1">+GETPIVOTDATA("XXB4",'xabang (2016)'!$A$3,"MA_HT","SKX","MA_QH","RDD")</f>
        <v>0</v>
      </c>
      <c r="O51" s="22">
        <f ca="1">+GETPIVOTDATA("XXB4",'xabang (2016)'!$A$3,"MA_HT","SKX","MA_QH","NTS")</f>
        <v>0</v>
      </c>
      <c r="P51" s="22">
        <f ca="1">+GETPIVOTDATA("XXB4",'xabang (2016)'!$A$3,"MA_HT","SKX","MA_QH","LMU")</f>
        <v>0</v>
      </c>
      <c r="Q51" s="22">
        <f ca="1">+GETPIVOTDATA("XXB4",'xabang (2016)'!$A$3,"MA_HT","SKX","MA_QH","NKH")</f>
        <v>0</v>
      </c>
      <c r="R51" s="79">
        <f ca="1">SUM(S51:AA51,AN51:AW51,AY51:BD51)</f>
        <v>0</v>
      </c>
      <c r="S51" s="22">
        <f ca="1">+GETPIVOTDATA("XXB4",'xabang (2016)'!$A$3,"MA_HT","SKX","MA_QH","CQP")</f>
        <v>0</v>
      </c>
      <c r="T51" s="22">
        <f ca="1">+GETPIVOTDATA("XXB4",'xabang (2016)'!$A$3,"MA_HT","SKX","MA_QH","CAN")</f>
        <v>0</v>
      </c>
      <c r="U51" s="22">
        <f ca="1">+GETPIVOTDATA("XXB4",'xabang (2016)'!$A$3,"MA_HT","SKX","MA_QH","SKK")</f>
        <v>0</v>
      </c>
      <c r="V51" s="22">
        <f ca="1">+GETPIVOTDATA("XXB4",'xabang (2016)'!$A$3,"MA_HT","SKX","MA_QH","SKT")</f>
        <v>0</v>
      </c>
      <c r="W51" s="22">
        <f ca="1">+GETPIVOTDATA("XXB4",'xabang (2016)'!$A$3,"MA_HT","SKX","MA_QH","SKN")</f>
        <v>0</v>
      </c>
      <c r="X51" s="22">
        <f ca="1">+GETPIVOTDATA("XXB4",'xabang (2016)'!$A$3,"MA_HT","SKX","MA_QH","TMD")</f>
        <v>0</v>
      </c>
      <c r="Y51" s="22">
        <f ca="1">+GETPIVOTDATA("XXB4",'xabang (2016)'!$A$3,"MA_HT","SKX","MA_QH","SKC")</f>
        <v>0</v>
      </c>
      <c r="Z51" s="22">
        <f ca="1">+GETPIVOTDATA("XXB4",'xabang (2016)'!$A$3,"MA_HT","SKX","MA_QH","SKS")</f>
        <v>0</v>
      </c>
      <c r="AA51" s="52">
        <f ca="1" t="shared" si="21"/>
        <v>0</v>
      </c>
      <c r="AB51" s="22">
        <f ca="1">+GETPIVOTDATA("XXB4",'xabang (2016)'!$A$3,"MA_HT","SKX","MA_QH","DGT")</f>
        <v>0</v>
      </c>
      <c r="AC51" s="22">
        <f ca="1">+GETPIVOTDATA("XXB4",'xabang (2016)'!$A$3,"MA_HT","SKX","MA_QH","DTL")</f>
        <v>0</v>
      </c>
      <c r="AD51" s="22">
        <f ca="1">+GETPIVOTDATA("XXB4",'xabang (2016)'!$A$3,"MA_HT","SKX","MA_QH","DNL")</f>
        <v>0</v>
      </c>
      <c r="AE51" s="22">
        <f ca="1">+GETPIVOTDATA("XXB4",'xabang (2016)'!$A$3,"MA_HT","SKX","MA_QH","DBV")</f>
        <v>0</v>
      </c>
      <c r="AF51" s="22">
        <f ca="1">+GETPIVOTDATA("XXB4",'xabang (2016)'!$A$3,"MA_HT","SKX","MA_QH","DVH")</f>
        <v>0</v>
      </c>
      <c r="AG51" s="22">
        <f ca="1">+GETPIVOTDATA("XXB4",'xabang (2016)'!$A$3,"MA_HT","SKX","MA_QH","DYT")</f>
        <v>0</v>
      </c>
      <c r="AH51" s="22">
        <f ca="1">+GETPIVOTDATA("XXB4",'xabang (2016)'!$A$3,"MA_HT","SKX","MA_QH","DGD")</f>
        <v>0</v>
      </c>
      <c r="AI51" s="22">
        <f ca="1">+GETPIVOTDATA("XXB4",'xabang (2016)'!$A$3,"MA_HT","SKX","MA_QH","DTT")</f>
        <v>0</v>
      </c>
      <c r="AJ51" s="22">
        <f ca="1">+GETPIVOTDATA("XXB4",'xabang (2016)'!$A$3,"MA_HT","SKX","MA_QH","NCK")</f>
        <v>0</v>
      </c>
      <c r="AK51" s="22">
        <f ca="1">+GETPIVOTDATA("XXB4",'xabang (2016)'!$A$3,"MA_HT","SKX","MA_QH","DXH")</f>
        <v>0</v>
      </c>
      <c r="AL51" s="22">
        <f ca="1">+GETPIVOTDATA("XXB4",'xabang (2016)'!$A$3,"MA_HT","SKX","MA_QH","DCH")</f>
        <v>0</v>
      </c>
      <c r="AM51" s="22">
        <f ca="1">+GETPIVOTDATA("XXB4",'xabang (2016)'!$A$3,"MA_HT","SKX","MA_QH","DKG")</f>
        <v>0</v>
      </c>
      <c r="AN51" s="22">
        <f ca="1">+GETPIVOTDATA("XXB4",'xabang (2016)'!$A$3,"MA_HT","SKX","MA_QH","DDT")</f>
        <v>0</v>
      </c>
      <c r="AO51" s="22">
        <f ca="1">+GETPIVOTDATA("XXB4",'xabang (2016)'!$A$3,"MA_HT","SKX","MA_QH","DDL")</f>
        <v>0</v>
      </c>
      <c r="AP51" s="22">
        <f ca="1">+GETPIVOTDATA("XXB4",'xabang (2016)'!$A$3,"MA_HT","SKX","MA_QH","DRA")</f>
        <v>0</v>
      </c>
      <c r="AQ51" s="22">
        <f ca="1">+GETPIVOTDATA("XXB4",'xabang (2016)'!$A$3,"MA_HT","SKX","MA_QH","ONT")</f>
        <v>0</v>
      </c>
      <c r="AR51" s="22">
        <f ca="1">+GETPIVOTDATA("XXB4",'xabang (2016)'!$A$3,"MA_HT","SKX","MA_QH","ODT")</f>
        <v>0</v>
      </c>
      <c r="AS51" s="22">
        <f ca="1">+GETPIVOTDATA("XXB4",'xabang (2016)'!$A$3,"MA_HT","SKX","MA_QH","TSC")</f>
        <v>0</v>
      </c>
      <c r="AT51" s="22">
        <f ca="1">+GETPIVOTDATA("XXB4",'xabang (2016)'!$A$3,"MA_HT","SKX","MA_QH","DTS")</f>
        <v>0</v>
      </c>
      <c r="AU51" s="22">
        <f ca="1">+GETPIVOTDATA("XXB4",'xabang (2016)'!$A$3,"MA_HT","SKX","MA_QH","DNG")</f>
        <v>0</v>
      </c>
      <c r="AV51" s="22">
        <f ca="1">+GETPIVOTDATA("XXB4",'xabang (2016)'!$A$3,"MA_HT","SKX","MA_QH","TON")</f>
        <v>0</v>
      </c>
      <c r="AW51" s="22">
        <f ca="1">+GETPIVOTDATA("XXB4",'xabang (2016)'!$A$3,"MA_HT","SKX","MA_QH","NTD")</f>
        <v>0</v>
      </c>
      <c r="AX51" s="43" t="e">
        <f ca="1">$D51-$BF51</f>
        <v>#REF!</v>
      </c>
      <c r="AY51" s="22">
        <f ca="1">+GETPIVOTDATA("XXB4",'xabang (2016)'!$A$3,"MA_HT","SKX","MA_QH","DSH")</f>
        <v>0</v>
      </c>
      <c r="AZ51" s="22">
        <f ca="1">+GETPIVOTDATA("XXB4",'xabang (2016)'!$A$3,"MA_HT","SKX","MA_QH","DKV")</f>
        <v>0</v>
      </c>
      <c r="BA51" s="89">
        <f ca="1">+GETPIVOTDATA("XXB4",'xabang (2016)'!$A$3,"MA_HT","SKX","MA_QH","TIN")</f>
        <v>0</v>
      </c>
      <c r="BB51" s="50">
        <f ca="1">+GETPIVOTDATA("XXB4",'xabang (2016)'!$A$3,"MA_HT","SKX","MA_QH","SON")</f>
        <v>0</v>
      </c>
      <c r="BC51" s="50">
        <f ca="1">+GETPIVOTDATA("XXB4",'xabang (2016)'!$A$3,"MA_HT","SKX","MA_QH","MNC")</f>
        <v>0</v>
      </c>
      <c r="BD51" s="22">
        <f ca="1">+GETPIVOTDATA("XXB4",'xabang (2016)'!$A$3,"MA_HT","SKX","MA_QH","PNK")</f>
        <v>0</v>
      </c>
      <c r="BE51" s="71">
        <f ca="1">+GETPIVOTDATA("XXB4",'xabang (2016)'!$A$3,"MA_HT","SKX","MA_QH","CSD")</f>
        <v>0</v>
      </c>
      <c r="BF51" s="74">
        <f ca="1" t="shared" si="13"/>
        <v>0</v>
      </c>
      <c r="BG51" s="101">
        <f ca="1">AX$59-$BF51</f>
        <v>0</v>
      </c>
      <c r="BH51" s="41" t="e">
        <f ca="1" t="shared" si="14"/>
        <v>#REF!</v>
      </c>
      <c r="BI51" s="98"/>
      <c r="BJ51" s="98" t="e">
        <f>#REF!</f>
        <v>#REF!</v>
      </c>
      <c r="BK51" s="107" t="e">
        <f ca="1">BH51-BJ51</f>
        <v>#REF!</v>
      </c>
      <c r="BL51" s="98"/>
      <c r="BM51" s="122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</row>
    <row r="52" s="2" customFormat="1" ht="15.75" customHeight="1" spans="1:79">
      <c r="A52" s="39" t="s">
        <v>8422</v>
      </c>
      <c r="B52" s="39" t="s">
        <v>8423</v>
      </c>
      <c r="C52" s="40" t="s">
        <v>8292</v>
      </c>
      <c r="D52" s="41" t="e">
        <f>+#REF!</f>
        <v>#REF!</v>
      </c>
      <c r="E52" s="42">
        <f ca="1" t="shared" si="15"/>
        <v>0</v>
      </c>
      <c r="F52" s="52">
        <f ca="1" t="shared" si="9"/>
        <v>0</v>
      </c>
      <c r="G52" s="22">
        <f ca="1">+GETPIVOTDATA("XXB4",'xabang (2016)'!$A$3,"MA_HT","DSH","MA_QH","LUC")</f>
        <v>0</v>
      </c>
      <c r="H52" s="22">
        <f ca="1">+GETPIVOTDATA("XXB4",'xabang (2016)'!$A$3,"MA_HT","DSH","MA_QH","LUK")</f>
        <v>0</v>
      </c>
      <c r="I52" s="22">
        <f ca="1">+GETPIVOTDATA("XXB4",'xabang (2016)'!$A$3,"MA_HT","DSH","MA_QH","LUN")</f>
        <v>0</v>
      </c>
      <c r="J52" s="22">
        <f ca="1">+GETPIVOTDATA("XXB4",'xabang (2016)'!$A$3,"MA_HT","DSH","MA_QH","HNK")</f>
        <v>0</v>
      </c>
      <c r="K52" s="22">
        <f ca="1">+GETPIVOTDATA("XXB4",'xabang (2016)'!$A$3,"MA_HT","DSH","MA_QH","CLN")</f>
        <v>0</v>
      </c>
      <c r="L52" s="22">
        <f ca="1">+GETPIVOTDATA("XXB4",'xabang (2016)'!$A$3,"MA_HT","DSH","MA_QH","RSX")</f>
        <v>0</v>
      </c>
      <c r="M52" s="22">
        <f ca="1">+GETPIVOTDATA("XXB4",'xabang (2016)'!$A$3,"MA_HT","DSH","MA_QH","RPH")</f>
        <v>0</v>
      </c>
      <c r="N52" s="22">
        <f ca="1">+GETPIVOTDATA("XXB4",'xabang (2016)'!$A$3,"MA_HT","DSH","MA_QH","RDD")</f>
        <v>0</v>
      </c>
      <c r="O52" s="22">
        <f ca="1">+GETPIVOTDATA("XXB4",'xabang (2016)'!$A$3,"MA_HT","DSH","MA_QH","NTS")</f>
        <v>0</v>
      </c>
      <c r="P52" s="22">
        <f ca="1">+GETPIVOTDATA("XXB4",'xabang (2016)'!$A$3,"MA_HT","DSH","MA_QH","LMU")</f>
        <v>0</v>
      </c>
      <c r="Q52" s="22">
        <f ca="1">+GETPIVOTDATA("XXB4",'xabang (2016)'!$A$3,"MA_HT","DSH","MA_QH","NKH")</f>
        <v>0</v>
      </c>
      <c r="R52" s="79">
        <f ca="1">SUM(S52:AA52,AN52:AX52,AZ52:BD52)</f>
        <v>0</v>
      </c>
      <c r="S52" s="22">
        <f ca="1">+GETPIVOTDATA("XXB4",'xabang (2016)'!$A$3,"MA_HT","DSH","MA_QH","CQP")</f>
        <v>0</v>
      </c>
      <c r="T52" s="22">
        <f ca="1">+GETPIVOTDATA("XXB4",'xabang (2016)'!$A$3,"MA_HT","DSH","MA_QH","CAN")</f>
        <v>0</v>
      </c>
      <c r="U52" s="22">
        <f ca="1">+GETPIVOTDATA("XXB4",'xabang (2016)'!$A$3,"MA_HT","DSH","MA_QH","SKK")</f>
        <v>0</v>
      </c>
      <c r="V52" s="22">
        <f ca="1">+GETPIVOTDATA("XXB4",'xabang (2016)'!$A$3,"MA_HT","DSH","MA_QH","SKT")</f>
        <v>0</v>
      </c>
      <c r="W52" s="22">
        <f ca="1">+GETPIVOTDATA("XXB4",'xabang (2016)'!$A$3,"MA_HT","DSH","MA_QH","SKN")</f>
        <v>0</v>
      </c>
      <c r="X52" s="22">
        <f ca="1">+GETPIVOTDATA("XXB4",'xabang (2016)'!$A$3,"MA_HT","DSH","MA_QH","TMD")</f>
        <v>0</v>
      </c>
      <c r="Y52" s="22">
        <f ca="1">+GETPIVOTDATA("XXB4",'xabang (2016)'!$A$3,"MA_HT","DSH","MA_QH","SKC")</f>
        <v>0</v>
      </c>
      <c r="Z52" s="22">
        <f ca="1">+GETPIVOTDATA("XXB4",'xabang (2016)'!$A$3,"MA_HT","DSH","MA_QH","SKS")</f>
        <v>0</v>
      </c>
      <c r="AA52" s="52">
        <f ca="1" t="shared" si="21"/>
        <v>0</v>
      </c>
      <c r="AB52" s="22">
        <f ca="1">+GETPIVOTDATA("XXB4",'xabang (2016)'!$A$3,"MA_HT","DSH","MA_QH","DGT")</f>
        <v>0</v>
      </c>
      <c r="AC52" s="22">
        <f ca="1">+GETPIVOTDATA("XXB4",'xabang (2016)'!$A$3,"MA_HT","DSH","MA_QH","DTL")</f>
        <v>0</v>
      </c>
      <c r="AD52" s="22">
        <f ca="1">+GETPIVOTDATA("XXB4",'xabang (2016)'!$A$3,"MA_HT","DSH","MA_QH","DNL")</f>
        <v>0</v>
      </c>
      <c r="AE52" s="22">
        <f ca="1">+GETPIVOTDATA("XXB4",'xabang (2016)'!$A$3,"MA_HT","DSH","MA_QH","DBV")</f>
        <v>0</v>
      </c>
      <c r="AF52" s="22">
        <f ca="1">+GETPIVOTDATA("XXB4",'xabang (2016)'!$A$3,"MA_HT","DSH","MA_QH","DVH")</f>
        <v>0</v>
      </c>
      <c r="AG52" s="22">
        <f ca="1">+GETPIVOTDATA("XXB4",'xabang (2016)'!$A$3,"MA_HT","DSH","MA_QH","DYT")</f>
        <v>0</v>
      </c>
      <c r="AH52" s="22">
        <f ca="1">+GETPIVOTDATA("XXB4",'xabang (2016)'!$A$3,"MA_HT","DSH","MA_QH","DGD")</f>
        <v>0</v>
      </c>
      <c r="AI52" s="22">
        <f ca="1">+GETPIVOTDATA("XXB4",'xabang (2016)'!$A$3,"MA_HT","DSH","MA_QH","DTT")</f>
        <v>0</v>
      </c>
      <c r="AJ52" s="22">
        <f ca="1">+GETPIVOTDATA("XXB4",'xabang (2016)'!$A$3,"MA_HT","DSH","MA_QH","NCK")</f>
        <v>0</v>
      </c>
      <c r="AK52" s="22">
        <f ca="1">+GETPIVOTDATA("XXB4",'xabang (2016)'!$A$3,"MA_HT","DSH","MA_QH","DXH")</f>
        <v>0</v>
      </c>
      <c r="AL52" s="22">
        <f ca="1">+GETPIVOTDATA("XXB4",'xabang (2016)'!$A$3,"MA_HT","DSH","MA_QH","DCH")</f>
        <v>0</v>
      </c>
      <c r="AM52" s="22">
        <f ca="1">+GETPIVOTDATA("XXB4",'xabang (2016)'!$A$3,"MA_HT","DSH","MA_QH","DKG")</f>
        <v>0</v>
      </c>
      <c r="AN52" s="22">
        <f ca="1">+GETPIVOTDATA("XXB4",'xabang (2016)'!$A$3,"MA_HT","DSH","MA_QH","DDT")</f>
        <v>0</v>
      </c>
      <c r="AO52" s="22">
        <f ca="1">+GETPIVOTDATA("XXB4",'xabang (2016)'!$A$3,"MA_HT","DSH","MA_QH","DDL")</f>
        <v>0</v>
      </c>
      <c r="AP52" s="22">
        <f ca="1">+GETPIVOTDATA("XXB4",'xabang (2016)'!$A$3,"MA_HT","DSH","MA_QH","DRA")</f>
        <v>0</v>
      </c>
      <c r="AQ52" s="22">
        <f ca="1">+GETPIVOTDATA("XXB4",'xabang (2016)'!$A$3,"MA_HT","DSH","MA_QH","ONT")</f>
        <v>0</v>
      </c>
      <c r="AR52" s="22">
        <f ca="1">+GETPIVOTDATA("XXB4",'xabang (2016)'!$A$3,"MA_HT","DSH","MA_QH","ODT")</f>
        <v>0</v>
      </c>
      <c r="AS52" s="22">
        <f ca="1">+GETPIVOTDATA("XXB4",'xabang (2016)'!$A$3,"MA_HT","DSH","MA_QH","TSC")</f>
        <v>0</v>
      </c>
      <c r="AT52" s="22">
        <f ca="1">+GETPIVOTDATA("XXB4",'xabang (2016)'!$A$3,"MA_HT","DSH","MA_QH","DTS")</f>
        <v>0</v>
      </c>
      <c r="AU52" s="22">
        <f ca="1">+GETPIVOTDATA("XXB4",'xabang (2016)'!$A$3,"MA_HT","DSH","MA_QH","DNG")</f>
        <v>0</v>
      </c>
      <c r="AV52" s="22">
        <f ca="1">+GETPIVOTDATA("XXB4",'xabang (2016)'!$A$3,"MA_HT","DSH","MA_QH","TON")</f>
        <v>0</v>
      </c>
      <c r="AW52" s="22">
        <f ca="1">+GETPIVOTDATA("XXB4",'xabang (2016)'!$A$3,"MA_HT","DSH","MA_QH","NTD")</f>
        <v>0</v>
      </c>
      <c r="AX52" s="22">
        <f ca="1">+GETPIVOTDATA("XXB4",'xabang (2016)'!$A$3,"MA_HT","DSH","MA_QH","SKX")</f>
        <v>0</v>
      </c>
      <c r="AY52" s="43" t="e">
        <f ca="1">$D52-$BF52</f>
        <v>#REF!</v>
      </c>
      <c r="AZ52" s="22">
        <f ca="1">+GETPIVOTDATA("XXB4",'xabang (2016)'!$A$3,"MA_HT","DSH","MA_QH","DKV")</f>
        <v>0</v>
      </c>
      <c r="BA52" s="89">
        <f ca="1">+GETPIVOTDATA("XXB4",'xabang (2016)'!$A$3,"MA_HT","DSH","MA_QH","TIN")</f>
        <v>0</v>
      </c>
      <c r="BB52" s="50">
        <f ca="1">+GETPIVOTDATA("XXB4",'xabang (2016)'!$A$3,"MA_HT","DSH","MA_QH","SON")</f>
        <v>0</v>
      </c>
      <c r="BC52" s="50">
        <f ca="1">+GETPIVOTDATA("XXB4",'xabang (2016)'!$A$3,"MA_HT","DSH","MA_QH","MNC")</f>
        <v>0</v>
      </c>
      <c r="BD52" s="22">
        <f ca="1">+GETPIVOTDATA("XXB4",'xabang (2016)'!$A$3,"MA_HT","DSH","MA_QH","PNK")</f>
        <v>0</v>
      </c>
      <c r="BE52" s="71">
        <f ca="1">+GETPIVOTDATA("XXB4",'xabang (2016)'!$A$3,"MA_HT","DSH","MA_QH","CSD")</f>
        <v>0</v>
      </c>
      <c r="BF52" s="74">
        <f ca="1" t="shared" si="13"/>
        <v>0</v>
      </c>
      <c r="BG52" s="101">
        <f ca="1">AY$59-$BF52</f>
        <v>0</v>
      </c>
      <c r="BH52" s="41" t="e">
        <f ca="1" t="shared" si="14"/>
        <v>#REF!</v>
      </c>
      <c r="BI52" s="98"/>
      <c r="BJ52" s="98" t="e">
        <f>#REF!</f>
        <v>#REF!</v>
      </c>
      <c r="BK52" s="107" t="e">
        <f ca="1">BH52-BJ52</f>
        <v>#REF!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</row>
    <row r="53" s="2" customFormat="1" ht="15.75" customHeight="1" spans="1:79">
      <c r="A53" s="39" t="s">
        <v>8424</v>
      </c>
      <c r="B53" s="39" t="s">
        <v>8425</v>
      </c>
      <c r="C53" s="40" t="s">
        <v>8289</v>
      </c>
      <c r="D53" s="41" t="e">
        <f>+#REF!</f>
        <v>#REF!</v>
      </c>
      <c r="E53" s="42">
        <f ca="1" t="shared" si="15"/>
        <v>0</v>
      </c>
      <c r="F53" s="52">
        <f ca="1" t="shared" si="9"/>
        <v>0</v>
      </c>
      <c r="G53" s="22">
        <f ca="1">+GETPIVOTDATA("XXB4",'xabang (2016)'!$A$3,"MA_HT","DKV","MA_QH","LUC")</f>
        <v>0</v>
      </c>
      <c r="H53" s="22">
        <f ca="1">+GETPIVOTDATA("XXB4",'xabang (2016)'!$A$3,"MA_HT","DKV","MA_QH","LUK")</f>
        <v>0</v>
      </c>
      <c r="I53" s="22">
        <f ca="1">+GETPIVOTDATA("XXB4",'xabang (2016)'!$A$3,"MA_HT","DKV","MA_QH","LUN")</f>
        <v>0</v>
      </c>
      <c r="J53" s="22">
        <f ca="1">+GETPIVOTDATA("XXB4",'xabang (2016)'!$A$3,"MA_HT","DKV","MA_QH","HNK")</f>
        <v>0</v>
      </c>
      <c r="K53" s="22">
        <f ca="1">+GETPIVOTDATA("XXB4",'xabang (2016)'!$A$3,"MA_HT","DKV","MA_QH","CLN")</f>
        <v>0</v>
      </c>
      <c r="L53" s="22">
        <f ca="1">+GETPIVOTDATA("XXB4",'xabang (2016)'!$A$3,"MA_HT","DKV","MA_QH","RSX")</f>
        <v>0</v>
      </c>
      <c r="M53" s="22">
        <f ca="1">+GETPIVOTDATA("XXB4",'xabang (2016)'!$A$3,"MA_HT","DKV","MA_QH","RPH")</f>
        <v>0</v>
      </c>
      <c r="N53" s="22">
        <f ca="1">+GETPIVOTDATA("XXB4",'xabang (2016)'!$A$3,"MA_HT","DKV","MA_QH","RDD")</f>
        <v>0</v>
      </c>
      <c r="O53" s="22">
        <f ca="1">+GETPIVOTDATA("XXB4",'xabang (2016)'!$A$3,"MA_HT","DKV","MA_QH","NTS")</f>
        <v>0</v>
      </c>
      <c r="P53" s="22">
        <f ca="1">+GETPIVOTDATA("XXB4",'xabang (2016)'!$A$3,"MA_HT","DKV","MA_QH","LMU")</f>
        <v>0</v>
      </c>
      <c r="Q53" s="22">
        <f ca="1">+GETPIVOTDATA("XXB4",'xabang (2016)'!$A$3,"MA_HT","DKV","MA_QH","NKH")</f>
        <v>0</v>
      </c>
      <c r="R53" s="79">
        <f ca="1">SUM(S53:AA53,AN53:AY53,BB53:BD53)</f>
        <v>0</v>
      </c>
      <c r="S53" s="22">
        <f ca="1">+GETPIVOTDATA("XXB4",'xabang (2016)'!$A$3,"MA_HT","DKV","MA_QH","CQP")</f>
        <v>0</v>
      </c>
      <c r="T53" s="22">
        <f ca="1">+GETPIVOTDATA("XXB4",'xabang (2016)'!$A$3,"MA_HT","DKV","MA_QH","CAN")</f>
        <v>0</v>
      </c>
      <c r="U53" s="22">
        <f ca="1">+GETPIVOTDATA("XXB4",'xabang (2016)'!$A$3,"MA_HT","DKV","MA_QH","SKK")</f>
        <v>0</v>
      </c>
      <c r="V53" s="22">
        <f ca="1">+GETPIVOTDATA("XXB4",'xabang (2016)'!$A$3,"MA_HT","DKV","MA_QH","SKT")</f>
        <v>0</v>
      </c>
      <c r="W53" s="22">
        <f ca="1">+GETPIVOTDATA("XXB4",'xabang (2016)'!$A$3,"MA_HT","DKV","MA_QH","SKN")</f>
        <v>0</v>
      </c>
      <c r="X53" s="22">
        <f ca="1">+GETPIVOTDATA("XXB4",'xabang (2016)'!$A$3,"MA_HT","DKV","MA_QH","TMD")</f>
        <v>0</v>
      </c>
      <c r="Y53" s="22">
        <f ca="1">+GETPIVOTDATA("XXB4",'xabang (2016)'!$A$3,"MA_HT","DKV","MA_QH","SKC")</f>
        <v>0</v>
      </c>
      <c r="Z53" s="22">
        <f ca="1">+GETPIVOTDATA("XXB4",'xabang (2016)'!$A$3,"MA_HT","DKV","MA_QH","SKS")</f>
        <v>0</v>
      </c>
      <c r="AA53" s="52">
        <f ca="1" t="shared" si="21"/>
        <v>0</v>
      </c>
      <c r="AB53" s="22">
        <f ca="1">+GETPIVOTDATA("XXB4",'xabang (2016)'!$A$3,"MA_HT","DKV","MA_QH","DGT")</f>
        <v>0</v>
      </c>
      <c r="AC53" s="22">
        <f ca="1">+GETPIVOTDATA("XXB4",'xabang (2016)'!$A$3,"MA_HT","DKV","MA_QH","DTL")</f>
        <v>0</v>
      </c>
      <c r="AD53" s="22">
        <f ca="1">+GETPIVOTDATA("XXB4",'xabang (2016)'!$A$3,"MA_HT","DKV","MA_QH","DNL")</f>
        <v>0</v>
      </c>
      <c r="AE53" s="22">
        <f ca="1">+GETPIVOTDATA("XXB4",'xabang (2016)'!$A$3,"MA_HT","DKV","MA_QH","DBV")</f>
        <v>0</v>
      </c>
      <c r="AF53" s="22">
        <f ca="1">+GETPIVOTDATA("XXB4",'xabang (2016)'!$A$3,"MA_HT","DKV","MA_QH","DVH")</f>
        <v>0</v>
      </c>
      <c r="AG53" s="22">
        <f ca="1">+GETPIVOTDATA("XXB4",'xabang (2016)'!$A$3,"MA_HT","DKV","MA_QH","DYT")</f>
        <v>0</v>
      </c>
      <c r="AH53" s="22">
        <f ca="1">+GETPIVOTDATA("XXB4",'xabang (2016)'!$A$3,"MA_HT","DKV","MA_QH","DGD")</f>
        <v>0</v>
      </c>
      <c r="AI53" s="22">
        <f ca="1">+GETPIVOTDATA("XXB4",'xabang (2016)'!$A$3,"MA_HT","DKV","MA_QH","DTT")</f>
        <v>0</v>
      </c>
      <c r="AJ53" s="22">
        <f ca="1">+GETPIVOTDATA("XXB4",'xabang (2016)'!$A$3,"MA_HT","DKV","MA_QH","NCK")</f>
        <v>0</v>
      </c>
      <c r="AK53" s="22">
        <f ca="1">+GETPIVOTDATA("XXB4",'xabang (2016)'!$A$3,"MA_HT","DKV","MA_QH","DXH")</f>
        <v>0</v>
      </c>
      <c r="AL53" s="22">
        <f ca="1">+GETPIVOTDATA("XXB4",'xabang (2016)'!$A$3,"MA_HT","DKV","MA_QH","DCH")</f>
        <v>0</v>
      </c>
      <c r="AM53" s="22">
        <f ca="1">+GETPIVOTDATA("XXB4",'xabang (2016)'!$A$3,"MA_HT","DKV","MA_QH","DKG")</f>
        <v>0</v>
      </c>
      <c r="AN53" s="22">
        <f ca="1">+GETPIVOTDATA("XXB4",'xabang (2016)'!$A$3,"MA_HT","DKV","MA_QH","DDT")</f>
        <v>0</v>
      </c>
      <c r="AO53" s="22">
        <f ca="1">+GETPIVOTDATA("XXB4",'xabang (2016)'!$A$3,"MA_HT","DKV","MA_QH","DDL")</f>
        <v>0</v>
      </c>
      <c r="AP53" s="22">
        <f ca="1">+GETPIVOTDATA("XXB4",'xabang (2016)'!$A$3,"MA_HT","DKV","MA_QH","DRA")</f>
        <v>0</v>
      </c>
      <c r="AQ53" s="22">
        <f ca="1">+GETPIVOTDATA("XXB4",'xabang (2016)'!$A$3,"MA_HT","DKV","MA_QH","ONT")</f>
        <v>0</v>
      </c>
      <c r="AR53" s="22">
        <f ca="1">+GETPIVOTDATA("XXB4",'xabang (2016)'!$A$3,"MA_HT","DKV","MA_QH","ODT")</f>
        <v>0</v>
      </c>
      <c r="AS53" s="22">
        <f ca="1">+GETPIVOTDATA("XXB4",'xabang (2016)'!$A$3,"MA_HT","DKV","MA_QH","TSC")</f>
        <v>0</v>
      </c>
      <c r="AT53" s="22">
        <f ca="1">+GETPIVOTDATA("XXB4",'xabang (2016)'!$A$3,"MA_HT","DKV","MA_QH","DTS")</f>
        <v>0</v>
      </c>
      <c r="AU53" s="22">
        <f ca="1">+GETPIVOTDATA("XXB4",'xabang (2016)'!$A$3,"MA_HT","DKV","MA_QH","DNG")</f>
        <v>0</v>
      </c>
      <c r="AV53" s="22">
        <f ca="1">+GETPIVOTDATA("XXB4",'xabang (2016)'!$A$3,"MA_HT","DKV","MA_QH","TON")</f>
        <v>0</v>
      </c>
      <c r="AW53" s="22">
        <f ca="1">+GETPIVOTDATA("XXB4",'xabang (2016)'!$A$3,"MA_HT","DKV","MA_QH","NTD")</f>
        <v>0</v>
      </c>
      <c r="AX53" s="22">
        <f ca="1">+GETPIVOTDATA("XXB4",'xabang (2016)'!$A$3,"MA_HT","DKV","MA_QH","SKX")</f>
        <v>0</v>
      </c>
      <c r="AY53" s="22">
        <f ca="1">+GETPIVOTDATA("XXB4",'xabang (2016)'!$A$3,"MA_HT","DKV","MA_QH","DSH")</f>
        <v>0</v>
      </c>
      <c r="AZ53" s="43" t="e">
        <f ca="1">$D53-$BF53</f>
        <v>#REF!</v>
      </c>
      <c r="BA53" s="89">
        <f ca="1">+GETPIVOTDATA("XXB4",'xabang (2016)'!$A$3,"MA_HT","DKV","MA_QH","TIN")</f>
        <v>0</v>
      </c>
      <c r="BB53" s="50">
        <f ca="1">+GETPIVOTDATA("XXB4",'xabang (2016)'!$A$3,"MA_HT","DKV","MA_QH","SON")</f>
        <v>0</v>
      </c>
      <c r="BC53" s="50">
        <f ca="1">+GETPIVOTDATA("XXB4",'xabang (2016)'!$A$3,"MA_HT","DKV","MA_QH","MNC")</f>
        <v>0</v>
      </c>
      <c r="BD53" s="22">
        <f ca="1">+GETPIVOTDATA("XXB4",'xabang (2016)'!$A$3,"MA_HT","DKV","MA_QH","PNK")</f>
        <v>0</v>
      </c>
      <c r="BE53" s="71">
        <f ca="1">+GETPIVOTDATA("XXB4",'xabang (2016)'!$A$3,"MA_HT","DKV","MA_QH","CSD")</f>
        <v>0</v>
      </c>
      <c r="BF53" s="74">
        <f ca="1" t="shared" si="13"/>
        <v>0</v>
      </c>
      <c r="BG53" s="101">
        <f ca="1">AZ$59-$BF53</f>
        <v>0</v>
      </c>
      <c r="BH53" s="41" t="e">
        <f ca="1" t="shared" si="14"/>
        <v>#REF!</v>
      </c>
      <c r="BI53" s="98"/>
      <c r="BJ53" s="98" t="e">
        <f>#REF!</f>
        <v>#REF!</v>
      </c>
      <c r="BK53" s="107" t="e">
        <f ca="1">BH53-BJ53</f>
        <v>#REF!</v>
      </c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</row>
    <row r="54" s="2" customFormat="1" ht="15.75" customHeight="1" spans="1:75">
      <c r="A54" s="39" t="s">
        <v>8426</v>
      </c>
      <c r="B54" s="39" t="s">
        <v>8427</v>
      </c>
      <c r="C54" s="40" t="s">
        <v>8310</v>
      </c>
      <c r="D54" s="41" t="e">
        <f>+#REF!</f>
        <v>#REF!</v>
      </c>
      <c r="E54" s="33">
        <f ca="1" t="shared" si="15"/>
        <v>0</v>
      </c>
      <c r="F54" s="52">
        <f ca="1">SUM(F29:F39)</f>
        <v>0</v>
      </c>
      <c r="G54" s="22">
        <f ca="1">+GETPIVOTDATA("XXB4",'xabang (2016)'!$A$3,"MA_HT","TIN","MA_QH","LUC")</f>
        <v>0</v>
      </c>
      <c r="H54" s="22">
        <f ca="1">+GETPIVOTDATA("XXB4",'xabang (2016)'!$A$3,"MA_HT","TIN","MA_QH","LUK")</f>
        <v>0</v>
      </c>
      <c r="I54" s="22">
        <f ca="1">+GETPIVOTDATA("XXB4",'xabang (2016)'!$A$3,"MA_HT","TIN","MA_QH","LUN")</f>
        <v>0</v>
      </c>
      <c r="J54" s="22">
        <f ca="1">+GETPIVOTDATA("XXB4",'xabang (2016)'!$A$3,"MA_HT","TIN","MA_QH","HNK")</f>
        <v>0</v>
      </c>
      <c r="K54" s="22">
        <f ca="1">+GETPIVOTDATA("XXB4",'xabang (2016)'!$A$3,"MA_HT","TIN","MA_QH","CLN")</f>
        <v>0</v>
      </c>
      <c r="L54" s="22">
        <f ca="1">+GETPIVOTDATA("XXB4",'xabang (2016)'!$A$3,"MA_HT","TIN","MA_QH","RSX")</f>
        <v>0</v>
      </c>
      <c r="M54" s="22">
        <f ca="1">+GETPIVOTDATA("XXB4",'xabang (2016)'!$A$3,"MA_HT","TIN","MA_QH","RPH")</f>
        <v>0</v>
      </c>
      <c r="N54" s="22">
        <f ca="1">+GETPIVOTDATA("XXB4",'xabang (2016)'!$A$3,"MA_HT","TIN","MA_QH","RDD")</f>
        <v>0</v>
      </c>
      <c r="O54" s="22">
        <f ca="1">+GETPIVOTDATA("XXB4",'xabang (2016)'!$A$3,"MA_HT","TIN","MA_QH","NTS")</f>
        <v>0</v>
      </c>
      <c r="P54" s="22">
        <f ca="1">+GETPIVOTDATA("XXB4",'xabang (2016)'!$A$3,"MA_HT","TIN","MA_QH","LMU")</f>
        <v>0</v>
      </c>
      <c r="Q54" s="22">
        <f ca="1">+GETPIVOTDATA("XXB4",'xabang (2016)'!$A$3,"MA_HT","TIN","MA_QH","NKH")</f>
        <v>0</v>
      </c>
      <c r="R54" s="79">
        <f ca="1">SUM(S54:AA54,AN54:AZ54,BB54:BD54)</f>
        <v>0</v>
      </c>
      <c r="S54" s="22">
        <f ca="1">+GETPIVOTDATA("XXB4",'xabang (2016)'!$A$3,"MA_HT","TIN","MA_QH","CQP")</f>
        <v>0</v>
      </c>
      <c r="T54" s="22">
        <f ca="1">+GETPIVOTDATA("XXB4",'xabang (2016)'!$A$3,"MA_HT","TIN","MA_QH","CAN")</f>
        <v>0</v>
      </c>
      <c r="U54" s="22">
        <f ca="1">+GETPIVOTDATA("XXB4",'xabang (2016)'!$A$3,"MA_HT","TIN","MA_QH","SKK")</f>
        <v>0</v>
      </c>
      <c r="V54" s="22">
        <f ca="1">+GETPIVOTDATA("XXB4",'xabang (2016)'!$A$3,"MA_HT","TIN","MA_QH","SKT")</f>
        <v>0</v>
      </c>
      <c r="W54" s="22">
        <f ca="1">+GETPIVOTDATA("XXB4",'xabang (2016)'!$A$3,"MA_HT","TIN","MA_QH","SKN")</f>
        <v>0</v>
      </c>
      <c r="X54" s="22">
        <f ca="1">+GETPIVOTDATA("XXB4",'xabang (2016)'!$A$3,"MA_HT","TIN","MA_QH","TMD")</f>
        <v>0</v>
      </c>
      <c r="Y54" s="22">
        <f ca="1">+GETPIVOTDATA("XXB4",'xabang (2016)'!$A$3,"MA_HT","TIN","MA_QH","SKC")</f>
        <v>0</v>
      </c>
      <c r="Z54" s="22">
        <f ca="1">+GETPIVOTDATA("XXB4",'xabang (2016)'!$A$3,"MA_HT","TIN","MA_QH","SKS")</f>
        <v>0</v>
      </c>
      <c r="AA54" s="52">
        <f ca="1" t="shared" si="21"/>
        <v>0</v>
      </c>
      <c r="AB54" s="22">
        <f ca="1">+GETPIVOTDATA("XXB4",'xabang (2016)'!$A$3,"MA_HT","TIN","MA_QH","DGT")</f>
        <v>0</v>
      </c>
      <c r="AC54" s="22">
        <f ca="1">+GETPIVOTDATA("XXB4",'xabang (2016)'!$A$3,"MA_HT","TIN","MA_QH","DTL")</f>
        <v>0</v>
      </c>
      <c r="AD54" s="22">
        <f ca="1">+GETPIVOTDATA("XXB4",'xabang (2016)'!$A$3,"MA_HT","TIN","MA_QH","DNL")</f>
        <v>0</v>
      </c>
      <c r="AE54" s="22">
        <f ca="1">+GETPIVOTDATA("XXB4",'xabang (2016)'!$A$3,"MA_HT","TIN","MA_QH","DBV")</f>
        <v>0</v>
      </c>
      <c r="AF54" s="22">
        <f ca="1">+GETPIVOTDATA("XXB4",'xabang (2016)'!$A$3,"MA_HT","TIN","MA_QH","DVH")</f>
        <v>0</v>
      </c>
      <c r="AG54" s="22">
        <f ca="1">+GETPIVOTDATA("XXB4",'xabang (2016)'!$A$3,"MA_HT","TIN","MA_QH","DYT")</f>
        <v>0</v>
      </c>
      <c r="AH54" s="22">
        <f ca="1">+GETPIVOTDATA("XXB4",'xabang (2016)'!$A$3,"MA_HT","TIN","MA_QH","DGD")</f>
        <v>0</v>
      </c>
      <c r="AI54" s="22">
        <f ca="1">+GETPIVOTDATA("XXB4",'xabang (2016)'!$A$3,"MA_HT","TIN","MA_QH","DTT")</f>
        <v>0</v>
      </c>
      <c r="AJ54" s="22">
        <f ca="1">+GETPIVOTDATA("XXB4",'xabang (2016)'!$A$3,"MA_HT","TIN","MA_QH","NCK")</f>
        <v>0</v>
      </c>
      <c r="AK54" s="22">
        <f ca="1">+GETPIVOTDATA("XXB4",'xabang (2016)'!$A$3,"MA_HT","TIN","MA_QH","DXH")</f>
        <v>0</v>
      </c>
      <c r="AL54" s="22">
        <f ca="1">+GETPIVOTDATA("XXB4",'xabang (2016)'!$A$3,"MA_HT","TIN","MA_QH","DCH")</f>
        <v>0</v>
      </c>
      <c r="AM54" s="22">
        <f ca="1">+GETPIVOTDATA("XXB4",'xabang (2016)'!$A$3,"MA_HT","TIN","MA_QH","DKG")</f>
        <v>0</v>
      </c>
      <c r="AN54" s="22">
        <f ca="1">+GETPIVOTDATA("XXB4",'xabang (2016)'!$A$3,"MA_HT","TIN","MA_QH","DDT")</f>
        <v>0</v>
      </c>
      <c r="AO54" s="22">
        <f ca="1">+GETPIVOTDATA("XXB4",'xabang (2016)'!$A$3,"MA_HT","TIN","MA_QH","DDL")</f>
        <v>0</v>
      </c>
      <c r="AP54" s="22">
        <f ca="1">+GETPIVOTDATA("XXB4",'xabang (2016)'!$A$3,"MA_HT","TIN","MA_QH","DRA")</f>
        <v>0</v>
      </c>
      <c r="AQ54" s="22">
        <f ca="1">+GETPIVOTDATA("XXB4",'xabang (2016)'!$A$3,"MA_HT","TIN","MA_QH","ONT")</f>
        <v>0</v>
      </c>
      <c r="AR54" s="22">
        <f ca="1">+GETPIVOTDATA("XXB4",'xabang (2016)'!$A$3,"MA_HT","TIN","MA_QH","ODT")</f>
        <v>0</v>
      </c>
      <c r="AS54" s="22">
        <f ca="1">+GETPIVOTDATA("XXB4",'xabang (2016)'!$A$3,"MA_HT","TIN","MA_QH","TSC")</f>
        <v>0</v>
      </c>
      <c r="AT54" s="22">
        <f ca="1">+GETPIVOTDATA("XXB4",'xabang (2016)'!$A$3,"MA_HT","TIN","MA_QH","DTS")</f>
        <v>0</v>
      </c>
      <c r="AU54" s="22">
        <f ca="1">+GETPIVOTDATA("XXB4",'xabang (2016)'!$A$3,"MA_HT","TIN","MA_QH","DNG")</f>
        <v>0</v>
      </c>
      <c r="AV54" s="22">
        <f ca="1">+GETPIVOTDATA("XXB4",'xabang (2016)'!$A$3,"MA_HT","TIN","MA_QH","TON")</f>
        <v>0</v>
      </c>
      <c r="AW54" s="22">
        <f ca="1">+GETPIVOTDATA("XXB4",'xabang (2016)'!$A$3,"MA_HT","TIN","MA_QH","NTD")</f>
        <v>0</v>
      </c>
      <c r="AX54" s="22">
        <f ca="1">+GETPIVOTDATA("XXB4",'xabang (2016)'!$A$3,"MA_HT","TIN","MA_QH","SKX")</f>
        <v>0</v>
      </c>
      <c r="AY54" s="22">
        <f ca="1">+GETPIVOTDATA("XXB4",'xabang (2016)'!$A$3,"MA_HT","TIN","MA_QH","DSH")</f>
        <v>0</v>
      </c>
      <c r="AZ54" s="22">
        <f ca="1">+GETPIVOTDATA("XXB4",'xabang (2016)'!$A$3,"MA_HT","TIN","MA_QH","DKV")</f>
        <v>0</v>
      </c>
      <c r="BA54" s="43" t="e">
        <f ca="1">$D54-$BF54</f>
        <v>#REF!</v>
      </c>
      <c r="BB54" s="22">
        <f ca="1">+GETPIVOTDATA("XXB4",'xabang (2016)'!$A$3,"MA_HT","TIN","MA_QH","SON")</f>
        <v>0</v>
      </c>
      <c r="BC54" s="22">
        <f ca="1">+GETPIVOTDATA("XXB4",'xabang (2016)'!$A$3,"MA_HT","TIN","MA_QH","MNC")</f>
        <v>0</v>
      </c>
      <c r="BD54" s="22">
        <f ca="1">+GETPIVOTDATA("XXB4",'xabang (2016)'!$A$3,"MA_HT","TIN","MA_QH","PNK")</f>
        <v>0</v>
      </c>
      <c r="BE54" s="71">
        <f ca="1">+GETPIVOTDATA("XXB4",'xabang (2016)'!$A$3,"MA_HT","TIN","MA_QH","CSD")</f>
        <v>0</v>
      </c>
      <c r="BF54" s="74">
        <f ca="1" t="shared" si="13"/>
        <v>0</v>
      </c>
      <c r="BG54" s="101">
        <f ca="1">BA59-BF54</f>
        <v>0</v>
      </c>
      <c r="BH54" s="41" t="e">
        <f ca="1" t="shared" si="14"/>
        <v>#REF!</v>
      </c>
      <c r="BI54" s="98"/>
      <c r="BJ54" s="39" t="e">
        <f>SUM(BJ29:BJ39)</f>
        <v>#REF!</v>
      </c>
      <c r="BK54" s="107" t="e">
        <f ca="1">BH54-BJ54</f>
        <v>#REF!</v>
      </c>
      <c r="BL54" s="107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</row>
    <row r="55" s="2" customFormat="1" ht="15.75" customHeight="1" spans="1:79">
      <c r="A55" s="68" t="s">
        <v>8428</v>
      </c>
      <c r="B55" s="69" t="s">
        <v>8429</v>
      </c>
      <c r="C55" s="40" t="s">
        <v>8309</v>
      </c>
      <c r="D55" s="41" t="e">
        <f>+#REF!</f>
        <v>#REF!</v>
      </c>
      <c r="E55" s="42">
        <f ca="1" t="shared" si="15"/>
        <v>0</v>
      </c>
      <c r="F55" s="52">
        <f ca="1" t="shared" si="9"/>
        <v>0</v>
      </c>
      <c r="G55" s="22">
        <f ca="1">+GETPIVOTDATA("XXB4",'xabang (2016)'!$A$3,"MA_HT","SON","MA_QH","LUC")</f>
        <v>0</v>
      </c>
      <c r="H55" s="22">
        <f ca="1">+GETPIVOTDATA("XXB4",'xabang (2016)'!$A$3,"MA_HT","SON","MA_QH","LUK")</f>
        <v>0</v>
      </c>
      <c r="I55" s="22">
        <f ca="1">+GETPIVOTDATA("XXB4",'xabang (2016)'!$A$3,"MA_HT","SON","MA_QH","LUN")</f>
        <v>0</v>
      </c>
      <c r="J55" s="22">
        <f ca="1">+GETPIVOTDATA("XXB4",'xabang (2016)'!$A$3,"MA_HT","SON","MA_QH","HNK")</f>
        <v>0</v>
      </c>
      <c r="K55" s="22">
        <f ca="1">+GETPIVOTDATA("XXB4",'xabang (2016)'!$A$3,"MA_HT","SON","MA_QH","CLN")</f>
        <v>0</v>
      </c>
      <c r="L55" s="22">
        <f ca="1">+GETPIVOTDATA("XXB4",'xabang (2016)'!$A$3,"MA_HT","SON","MA_QH","RSX")</f>
        <v>0</v>
      </c>
      <c r="M55" s="22">
        <f ca="1">+GETPIVOTDATA("XXB4",'xabang (2016)'!$A$3,"MA_HT","SON","MA_QH","RPH")</f>
        <v>0</v>
      </c>
      <c r="N55" s="22">
        <f ca="1">+GETPIVOTDATA("XXB4",'xabang (2016)'!$A$3,"MA_HT","SON","MA_QH","RDD")</f>
        <v>0</v>
      </c>
      <c r="O55" s="22">
        <f ca="1">+GETPIVOTDATA("XXB4",'xabang (2016)'!$A$3,"MA_HT","SON","MA_QH","NTS")</f>
        <v>0</v>
      </c>
      <c r="P55" s="22">
        <f ca="1">+GETPIVOTDATA("XXB4",'xabang (2016)'!$A$3,"MA_HT","SON","MA_QH","LMU")</f>
        <v>0</v>
      </c>
      <c r="Q55" s="22">
        <f ca="1">+GETPIVOTDATA("XXB4",'xabang (2016)'!$A$3,"MA_HT","SON","MA_QH","NKH")</f>
        <v>0</v>
      </c>
      <c r="R55" s="79">
        <f ca="1">SUM(S55:AA55,AN55:AZ55,BC55:BD55)</f>
        <v>0</v>
      </c>
      <c r="S55" s="22">
        <f ca="1">+GETPIVOTDATA("XXB4",'xabang (2016)'!$A$3,"MA_HT","SON","MA_QH","CQP")</f>
        <v>0</v>
      </c>
      <c r="T55" s="22">
        <f ca="1">+GETPIVOTDATA("XXB4",'xabang (2016)'!$A$3,"MA_HT","SON","MA_QH","CAN")</f>
        <v>0</v>
      </c>
      <c r="U55" s="22">
        <f ca="1">+GETPIVOTDATA("XXB4",'xabang (2016)'!$A$3,"MA_HT","SON","MA_QH","SKK")</f>
        <v>0</v>
      </c>
      <c r="V55" s="22">
        <f ca="1">+GETPIVOTDATA("XXB4",'xabang (2016)'!$A$3,"MA_HT","SON","MA_QH","SKT")</f>
        <v>0</v>
      </c>
      <c r="W55" s="22">
        <f ca="1">+GETPIVOTDATA("XXB4",'xabang (2016)'!$A$3,"MA_HT","SON","MA_QH","SKN")</f>
        <v>0</v>
      </c>
      <c r="X55" s="22">
        <f ca="1">+GETPIVOTDATA("XXB4",'xabang (2016)'!$A$3,"MA_HT","SON","MA_QH","TMD")</f>
        <v>0</v>
      </c>
      <c r="Y55" s="22">
        <f ca="1">+GETPIVOTDATA("XXB4",'xabang (2016)'!$A$3,"MA_HT","SON","MA_QH","SKC")</f>
        <v>0</v>
      </c>
      <c r="Z55" s="22">
        <f ca="1">+GETPIVOTDATA("XXB4",'xabang (2016)'!$A$3,"MA_HT","SON","MA_QH","SKS")</f>
        <v>0</v>
      </c>
      <c r="AA55" s="52">
        <f ca="1" t="shared" si="21"/>
        <v>0</v>
      </c>
      <c r="AB55" s="22">
        <f ca="1">+GETPIVOTDATA("XXB4",'xabang (2016)'!$A$3,"MA_HT","SON","MA_QH","DGT")</f>
        <v>0</v>
      </c>
      <c r="AC55" s="22">
        <f ca="1">+GETPIVOTDATA("XXB4",'xabang (2016)'!$A$3,"MA_HT","SON","MA_QH","DTL")</f>
        <v>0</v>
      </c>
      <c r="AD55" s="22">
        <f ca="1">+GETPIVOTDATA("XXB4",'xabang (2016)'!$A$3,"MA_HT","SON","MA_QH","DNL")</f>
        <v>0</v>
      </c>
      <c r="AE55" s="22">
        <f ca="1">+GETPIVOTDATA("XXB4",'xabang (2016)'!$A$3,"MA_HT","SON","MA_QH","DBV")</f>
        <v>0</v>
      </c>
      <c r="AF55" s="22">
        <f ca="1">+GETPIVOTDATA("XXB4",'xabang (2016)'!$A$3,"MA_HT","SON","MA_QH","DVH")</f>
        <v>0</v>
      </c>
      <c r="AG55" s="22">
        <f ca="1">+GETPIVOTDATA("XXB4",'xabang (2016)'!$A$3,"MA_HT","SON","MA_QH","DYT")</f>
        <v>0</v>
      </c>
      <c r="AH55" s="22">
        <f ca="1">+GETPIVOTDATA("XXB4",'xabang (2016)'!$A$3,"MA_HT","SON","MA_QH","DGD")</f>
        <v>0</v>
      </c>
      <c r="AI55" s="22">
        <f ca="1">+GETPIVOTDATA("XXB4",'xabang (2016)'!$A$3,"MA_HT","SON","MA_QH","DTT")</f>
        <v>0</v>
      </c>
      <c r="AJ55" s="22">
        <f ca="1">+GETPIVOTDATA("XXB4",'xabang (2016)'!$A$3,"MA_HT","SON","MA_QH","NCK")</f>
        <v>0</v>
      </c>
      <c r="AK55" s="22">
        <f ca="1">+GETPIVOTDATA("XXB4",'xabang (2016)'!$A$3,"MA_HT","SON","MA_QH","DXH")</f>
        <v>0</v>
      </c>
      <c r="AL55" s="22">
        <f ca="1">+GETPIVOTDATA("XXB4",'xabang (2016)'!$A$3,"MA_HT","SON","MA_QH","DCH")</f>
        <v>0</v>
      </c>
      <c r="AM55" s="22">
        <f ca="1">+GETPIVOTDATA("XXB4",'xabang (2016)'!$A$3,"MA_HT","SON","MA_QH","DKG")</f>
        <v>0</v>
      </c>
      <c r="AN55" s="22">
        <f ca="1">+GETPIVOTDATA("XXB4",'xabang (2016)'!$A$3,"MA_HT","SON","MA_QH","DDT")</f>
        <v>0</v>
      </c>
      <c r="AO55" s="22">
        <f ca="1">+GETPIVOTDATA("XXB4",'xabang (2016)'!$A$3,"MA_HT","SON","MA_QH","DDL")</f>
        <v>0</v>
      </c>
      <c r="AP55" s="22">
        <f ca="1">+GETPIVOTDATA("XXB4",'xabang (2016)'!$A$3,"MA_HT","SON","MA_QH","DRA")</f>
        <v>0</v>
      </c>
      <c r="AQ55" s="22">
        <f ca="1">+GETPIVOTDATA("XXB4",'xabang (2016)'!$A$3,"MA_HT","SON","MA_QH","ONT")</f>
        <v>0</v>
      </c>
      <c r="AR55" s="22">
        <f ca="1">+GETPIVOTDATA("XXB4",'xabang (2016)'!$A$3,"MA_HT","SON","MA_QH","ODT")</f>
        <v>0</v>
      </c>
      <c r="AS55" s="22">
        <f ca="1">+GETPIVOTDATA("XXB4",'xabang (2016)'!$A$3,"MA_HT","SON","MA_QH","TSC")</f>
        <v>0</v>
      </c>
      <c r="AT55" s="22">
        <f ca="1">+GETPIVOTDATA("XXB4",'xabang (2016)'!$A$3,"MA_HT","SON","MA_QH","DTS")</f>
        <v>0</v>
      </c>
      <c r="AU55" s="22">
        <f ca="1">+GETPIVOTDATA("XXB4",'xabang (2016)'!$A$3,"MA_HT","SON","MA_QH","DNG")</f>
        <v>0</v>
      </c>
      <c r="AV55" s="22">
        <f ca="1">+GETPIVOTDATA("XXB4",'xabang (2016)'!$A$3,"MA_HT","SON","MA_QH","TON")</f>
        <v>0</v>
      </c>
      <c r="AW55" s="22">
        <f ca="1">+GETPIVOTDATA("XXB4",'xabang (2016)'!$A$3,"MA_HT","SON","MA_QH","NTD")</f>
        <v>0</v>
      </c>
      <c r="AX55" s="22">
        <f ca="1">+GETPIVOTDATA("XXB4",'xabang (2016)'!$A$3,"MA_HT","SON","MA_QH","SKX")</f>
        <v>0</v>
      </c>
      <c r="AY55" s="22">
        <f ca="1">+GETPIVOTDATA("XXB4",'xabang (2016)'!$A$3,"MA_HT","SON","MA_QH","DSH")</f>
        <v>0</v>
      </c>
      <c r="AZ55" s="22">
        <f ca="1">+GETPIVOTDATA("XXB4",'xabang (2016)'!$A$3,"MA_HT","SON","MA_QH","DKV")</f>
        <v>0</v>
      </c>
      <c r="BA55" s="89">
        <f ca="1">+GETPIVOTDATA("XXB4",'xabang (2016)'!$A$3,"MA_HT","SON","MA_QH","TIN")</f>
        <v>0</v>
      </c>
      <c r="BB55" s="43" t="e">
        <f ca="1">$D55-$BF55</f>
        <v>#REF!</v>
      </c>
      <c r="BC55" s="50">
        <f ca="1">+GETPIVOTDATA("XXB4",'xabang (2016)'!$A$3,"MA_HT","SON","MA_QH","MNC")</f>
        <v>0</v>
      </c>
      <c r="BD55" s="22">
        <f ca="1">+GETPIVOTDATA("XXB4",'xabang (2016)'!$A$3,"MA_HT","SON","MA_QH","PNK")</f>
        <v>0</v>
      </c>
      <c r="BE55" s="71">
        <f ca="1">+GETPIVOTDATA("XXB4",'xabang (2016)'!$A$3,"MA_HT","SON","MA_QH","CSD")</f>
        <v>0</v>
      </c>
      <c r="BF55" s="74">
        <f ca="1" t="shared" si="13"/>
        <v>0</v>
      </c>
      <c r="BG55" s="101">
        <f ca="1">BB$59-$BF55</f>
        <v>0</v>
      </c>
      <c r="BH55" s="41" t="e">
        <f ca="1" t="shared" si="14"/>
        <v>#REF!</v>
      </c>
      <c r="BI55" s="98"/>
      <c r="BJ55" s="98"/>
      <c r="BK55" s="107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</row>
    <row r="56" s="2" customFormat="1" ht="15.75" customHeight="1" spans="1:79">
      <c r="A56" s="68" t="s">
        <v>8430</v>
      </c>
      <c r="B56" s="69" t="s">
        <v>8431</v>
      </c>
      <c r="C56" s="40" t="s">
        <v>8301</v>
      </c>
      <c r="D56" s="41" t="e">
        <f>+#REF!</f>
        <v>#REF!</v>
      </c>
      <c r="E56" s="42">
        <f ca="1" t="shared" si="15"/>
        <v>0</v>
      </c>
      <c r="F56" s="52">
        <f ca="1" t="shared" si="9"/>
        <v>0</v>
      </c>
      <c r="G56" s="22">
        <f ca="1">+GETPIVOTDATA("XXB4",'xabang (2016)'!$A$3,"MA_HT","MNC","MA_QH","LUC")</f>
        <v>0</v>
      </c>
      <c r="H56" s="22">
        <f ca="1">+GETPIVOTDATA("XXB4",'xabang (2016)'!$A$3,"MA_HT","MNC","MA_QH","LUK")</f>
        <v>0</v>
      </c>
      <c r="I56" s="22">
        <f ca="1">+GETPIVOTDATA("XXB4",'xabang (2016)'!$A$3,"MA_HT","MNC","MA_QH","LUN")</f>
        <v>0</v>
      </c>
      <c r="J56" s="22">
        <f ca="1">+GETPIVOTDATA("XXB4",'xabang (2016)'!$A$3,"MA_HT","MNC","MA_QH","HNK")</f>
        <v>0</v>
      </c>
      <c r="K56" s="22">
        <f ca="1">+GETPIVOTDATA("XXB4",'xabang (2016)'!$A$3,"MA_HT","MNC","MA_QH","CLN")</f>
        <v>0</v>
      </c>
      <c r="L56" s="22">
        <f ca="1">+GETPIVOTDATA("XXB4",'xabang (2016)'!$A$3,"MA_HT","MNC","MA_QH","RSX")</f>
        <v>0</v>
      </c>
      <c r="M56" s="22">
        <f ca="1">+GETPIVOTDATA("XXB4",'xabang (2016)'!$A$3,"MA_HT","MNC","MA_QH","RPH")</f>
        <v>0</v>
      </c>
      <c r="N56" s="22">
        <f ca="1">+GETPIVOTDATA("XXB4",'xabang (2016)'!$A$3,"MA_HT","MNC","MA_QH","RDD")</f>
        <v>0</v>
      </c>
      <c r="O56" s="22">
        <f ca="1">+GETPIVOTDATA("XXB4",'xabang (2016)'!$A$3,"MA_HT","MNC","MA_QH","NTS")</f>
        <v>0</v>
      </c>
      <c r="P56" s="22">
        <f ca="1">+GETPIVOTDATA("XXB4",'xabang (2016)'!$A$3,"MA_HT","MNC","MA_QH","LMU")</f>
        <v>0</v>
      </c>
      <c r="Q56" s="22">
        <f ca="1">+GETPIVOTDATA("XXB4",'xabang (2016)'!$A$3,"MA_HT","MNC","MA_QH","NKH")</f>
        <v>0</v>
      </c>
      <c r="R56" s="79">
        <f ca="1">SUM(S56:AA56,AN56:BB56,BD56)</f>
        <v>0</v>
      </c>
      <c r="S56" s="22">
        <f ca="1">+GETPIVOTDATA("XXB4",'xabang (2016)'!$A$3,"MA_HT","MNC","MA_QH","CQP")</f>
        <v>0</v>
      </c>
      <c r="T56" s="22">
        <f ca="1">+GETPIVOTDATA("XXB4",'xabang (2016)'!$A$3,"MA_HT","MNC","MA_QH","CAN")</f>
        <v>0</v>
      </c>
      <c r="U56" s="22">
        <f ca="1">+GETPIVOTDATA("XXB4",'xabang (2016)'!$A$3,"MA_HT","MNC","MA_QH","SKK")</f>
        <v>0</v>
      </c>
      <c r="V56" s="22">
        <f ca="1">+GETPIVOTDATA("XXB4",'xabang (2016)'!$A$3,"MA_HT","MNC","MA_QH","SKT")</f>
        <v>0</v>
      </c>
      <c r="W56" s="22">
        <f ca="1">+GETPIVOTDATA("XXB4",'xabang (2016)'!$A$3,"MA_HT","MNC","MA_QH","SKN")</f>
        <v>0</v>
      </c>
      <c r="X56" s="22">
        <f ca="1">+GETPIVOTDATA("XXB4",'xabang (2016)'!$A$3,"MA_HT","MNC","MA_QH","TMD")</f>
        <v>0</v>
      </c>
      <c r="Y56" s="22">
        <f ca="1">+GETPIVOTDATA("XXB4",'xabang (2016)'!$A$3,"MA_HT","MNC","MA_QH","SKC")</f>
        <v>0</v>
      </c>
      <c r="Z56" s="22">
        <f ca="1">+GETPIVOTDATA("XXB4",'xabang (2016)'!$A$3,"MA_HT","MNC","MA_QH","SKS")</f>
        <v>0</v>
      </c>
      <c r="AA56" s="52">
        <f ca="1" t="shared" si="21"/>
        <v>0</v>
      </c>
      <c r="AB56" s="22">
        <f ca="1">+GETPIVOTDATA("XXB4",'xabang (2016)'!$A$3,"MA_HT","MNC","MA_QH","DGT")</f>
        <v>0</v>
      </c>
      <c r="AC56" s="22">
        <f ca="1">+GETPIVOTDATA("XXB4",'xabang (2016)'!$A$3,"MA_HT","MNC","MA_QH","DTL")</f>
        <v>0</v>
      </c>
      <c r="AD56" s="22">
        <f ca="1">+GETPIVOTDATA("XXB4",'xabang (2016)'!$A$3,"MA_HT","MNC","MA_QH","DNL")</f>
        <v>0</v>
      </c>
      <c r="AE56" s="22">
        <f ca="1">+GETPIVOTDATA("XXB4",'xabang (2016)'!$A$3,"MA_HT","MNC","MA_QH","DBV")</f>
        <v>0</v>
      </c>
      <c r="AF56" s="22">
        <f ca="1">+GETPIVOTDATA("XXB4",'xabang (2016)'!$A$3,"MA_HT","MNC","MA_QH","DVH")</f>
        <v>0</v>
      </c>
      <c r="AG56" s="22">
        <f ca="1">+GETPIVOTDATA("XXB4",'xabang (2016)'!$A$3,"MA_HT","MNC","MA_QH","DYT")</f>
        <v>0</v>
      </c>
      <c r="AH56" s="22">
        <f ca="1">+GETPIVOTDATA("XXB4",'xabang (2016)'!$A$3,"MA_HT","MNC","MA_QH","DGD")</f>
        <v>0</v>
      </c>
      <c r="AI56" s="22">
        <f ca="1">+GETPIVOTDATA("XXB4",'xabang (2016)'!$A$3,"MA_HT","MNC","MA_QH","DTT")</f>
        <v>0</v>
      </c>
      <c r="AJ56" s="22">
        <f ca="1">+GETPIVOTDATA("XXB4",'xabang (2016)'!$A$3,"MA_HT","MNC","MA_QH","NCK")</f>
        <v>0</v>
      </c>
      <c r="AK56" s="22">
        <f ca="1">+GETPIVOTDATA("XXB4",'xabang (2016)'!$A$3,"MA_HT","MNC","MA_QH","DXH")</f>
        <v>0</v>
      </c>
      <c r="AL56" s="22">
        <f ca="1">+GETPIVOTDATA("XXB4",'xabang (2016)'!$A$3,"MA_HT","MNC","MA_QH","DCH")</f>
        <v>0</v>
      </c>
      <c r="AM56" s="22">
        <f ca="1">+GETPIVOTDATA("XXB4",'xabang (2016)'!$A$3,"MA_HT","MNC","MA_QH","DKG")</f>
        <v>0</v>
      </c>
      <c r="AN56" s="22">
        <f ca="1">+GETPIVOTDATA("XXB4",'xabang (2016)'!$A$3,"MA_HT","MNC","MA_QH","DDT")</f>
        <v>0</v>
      </c>
      <c r="AO56" s="22">
        <f ca="1">+GETPIVOTDATA("XXB4",'xabang (2016)'!$A$3,"MA_HT","MNC","MA_QH","DDL")</f>
        <v>0</v>
      </c>
      <c r="AP56" s="22">
        <f ca="1">+GETPIVOTDATA("XXB4",'xabang (2016)'!$A$3,"MA_HT","MNC","MA_QH","DRA")</f>
        <v>0</v>
      </c>
      <c r="AQ56" s="22">
        <f ca="1">+GETPIVOTDATA("XXB4",'xabang (2016)'!$A$3,"MA_HT","MNC","MA_QH","ONT")</f>
        <v>0</v>
      </c>
      <c r="AR56" s="22">
        <f ca="1">+GETPIVOTDATA("XXB4",'xabang (2016)'!$A$3,"MA_HT","MNC","MA_QH","ODT")</f>
        <v>0</v>
      </c>
      <c r="AS56" s="22">
        <f ca="1">+GETPIVOTDATA("XXB4",'xabang (2016)'!$A$3,"MA_HT","MNC","MA_QH","TSC")</f>
        <v>0</v>
      </c>
      <c r="AT56" s="22">
        <f ca="1">+GETPIVOTDATA("XXB4",'xabang (2016)'!$A$3,"MA_HT","MNC","MA_QH","DTS")</f>
        <v>0</v>
      </c>
      <c r="AU56" s="22">
        <f ca="1">+GETPIVOTDATA("XXB4",'xabang (2016)'!$A$3,"MA_HT","MNC","MA_QH","DNG")</f>
        <v>0</v>
      </c>
      <c r="AV56" s="22">
        <f ca="1">+GETPIVOTDATA("XXB4",'xabang (2016)'!$A$3,"MA_HT","MNC","MA_QH","TON")</f>
        <v>0</v>
      </c>
      <c r="AW56" s="22">
        <f ca="1">+GETPIVOTDATA("XXB4",'xabang (2016)'!$A$3,"MA_HT","MNC","MA_QH","NTD")</f>
        <v>0</v>
      </c>
      <c r="AX56" s="22">
        <f ca="1">+GETPIVOTDATA("XXB4",'xabang (2016)'!$A$3,"MA_HT","MNC","MA_QH","SKX")</f>
        <v>0</v>
      </c>
      <c r="AY56" s="22">
        <f ca="1">+GETPIVOTDATA("XXB4",'xabang (2016)'!$A$3,"MA_HT","MNC","MA_QH","DSH")</f>
        <v>0</v>
      </c>
      <c r="AZ56" s="22">
        <f ca="1">+GETPIVOTDATA("XXB4",'xabang (2016)'!$A$3,"MA_HT","MNC","MA_QH","DKV")</f>
        <v>0</v>
      </c>
      <c r="BA56" s="89">
        <f ca="1">+GETPIVOTDATA("XXB4",'xabang (2016)'!$A$3,"MA_HT","MNC","MA_QH","TIN")</f>
        <v>0</v>
      </c>
      <c r="BB56" s="50">
        <f ca="1">+GETPIVOTDATA("XXB4",'xabang (2016)'!$A$3,"MA_HT","MNC","MA_QH","SON")</f>
        <v>0</v>
      </c>
      <c r="BC56" s="43" t="e">
        <f ca="1">$D56-$BF56</f>
        <v>#REF!</v>
      </c>
      <c r="BD56" s="22">
        <f ca="1">+GETPIVOTDATA("XXB4",'xabang (2016)'!$A$3,"MA_HT","MNC","MA_QH","PNK")</f>
        <v>0</v>
      </c>
      <c r="BE56" s="71">
        <f ca="1">+GETPIVOTDATA("XXB4",'xabang (2016)'!$A$3,"MA_HT","MNC","MA_QH","CSD")</f>
        <v>0</v>
      </c>
      <c r="BF56" s="74">
        <f ca="1" t="shared" si="13"/>
        <v>0</v>
      </c>
      <c r="BG56" s="101">
        <f ca="1">BC$59-$BF56</f>
        <v>0</v>
      </c>
      <c r="BH56" s="41" t="e">
        <f ca="1" t="shared" si="14"/>
        <v>#REF!</v>
      </c>
      <c r="BI56" s="98"/>
      <c r="BJ56" s="98"/>
      <c r="BK56" s="107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</row>
    <row r="57" s="2" customFormat="1" ht="15.75" customHeight="1" spans="1:79">
      <c r="A57" s="68" t="s">
        <v>8432</v>
      </c>
      <c r="B57" s="69" t="s">
        <v>8433</v>
      </c>
      <c r="C57" s="40" t="s">
        <v>59</v>
      </c>
      <c r="D57" s="41" t="e">
        <f>+#REF!</f>
        <v>#REF!</v>
      </c>
      <c r="E57" s="42">
        <f ca="1" t="shared" si="15"/>
        <v>0</v>
      </c>
      <c r="F57" s="52">
        <f ca="1" t="shared" si="9"/>
        <v>0</v>
      </c>
      <c r="G57" s="22">
        <f ca="1">+GETPIVOTDATA("XXB4",'xabang (2016)'!$A$3,"MA_HT","PNK","MA_QH","LUC")</f>
        <v>0</v>
      </c>
      <c r="H57" s="22">
        <f ca="1">+GETPIVOTDATA("XXB4",'xabang (2016)'!$A$3,"MA_HT","PNK","MA_QH","LUK")</f>
        <v>0</v>
      </c>
      <c r="I57" s="22">
        <f ca="1">+GETPIVOTDATA("XXB4",'xabang (2016)'!$A$3,"MA_HT","PNK","MA_QH","LUN")</f>
        <v>0</v>
      </c>
      <c r="J57" s="22">
        <f ca="1">+GETPIVOTDATA("XXB4",'xabang (2016)'!$A$3,"MA_HT","PNK","MA_QH","HNK")</f>
        <v>0</v>
      </c>
      <c r="K57" s="22">
        <f ca="1">+GETPIVOTDATA("XXB4",'xabang (2016)'!$A$3,"MA_HT","PNK","MA_QH","CLN")</f>
        <v>0</v>
      </c>
      <c r="L57" s="22">
        <f ca="1">+GETPIVOTDATA("XXB4",'xabang (2016)'!$A$3,"MA_HT","PNK","MA_QH","RSX")</f>
        <v>0</v>
      </c>
      <c r="M57" s="22">
        <f ca="1">+GETPIVOTDATA("XXB4",'xabang (2016)'!$A$3,"MA_HT","PNK","MA_QH","RPH")</f>
        <v>0</v>
      </c>
      <c r="N57" s="22">
        <f ca="1">+GETPIVOTDATA("XXB4",'xabang (2016)'!$A$3,"MA_HT","PNK","MA_QH","RDD")</f>
        <v>0</v>
      </c>
      <c r="O57" s="22">
        <f ca="1">+GETPIVOTDATA("XXB4",'xabang (2016)'!$A$3,"MA_HT","PNK","MA_QH","NTS")</f>
        <v>0</v>
      </c>
      <c r="P57" s="22">
        <f ca="1">+GETPIVOTDATA("XXB4",'xabang (2016)'!$A$3,"MA_HT","PNK","MA_QH","LMU")</f>
        <v>0</v>
      </c>
      <c r="Q57" s="22">
        <f ca="1">+GETPIVOTDATA("XXB4",'xabang (2016)'!$A$3,"MA_HT","PNK","MA_QH","NKH")</f>
        <v>0</v>
      </c>
      <c r="R57" s="79">
        <f ca="1">SUM(S57:AA57,AN57:BC57)</f>
        <v>0</v>
      </c>
      <c r="S57" s="22">
        <f ca="1">+GETPIVOTDATA("XXB4",'xabang (2016)'!$A$3,"MA_HT","PNK","MA_QH","CQP")</f>
        <v>0</v>
      </c>
      <c r="T57" s="22">
        <f ca="1">+GETPIVOTDATA("XXB4",'xabang (2016)'!$A$3,"MA_HT","PNK","MA_QH","CAN")</f>
        <v>0</v>
      </c>
      <c r="U57" s="22">
        <f ca="1">+GETPIVOTDATA("XXB4",'xabang (2016)'!$A$3,"MA_HT","PNK","MA_QH","SKK")</f>
        <v>0</v>
      </c>
      <c r="V57" s="22">
        <f ca="1">+GETPIVOTDATA("XXB4",'xabang (2016)'!$A$3,"MA_HT","PNK","MA_QH","SKT")</f>
        <v>0</v>
      </c>
      <c r="W57" s="22">
        <f ca="1">+GETPIVOTDATA("XXB4",'xabang (2016)'!$A$3,"MA_HT","PNK","MA_QH","SKN")</f>
        <v>0</v>
      </c>
      <c r="X57" s="22">
        <f ca="1">+GETPIVOTDATA("XXB4",'xabang (2016)'!$A$3,"MA_HT","PNK","MA_QH","TMD")</f>
        <v>0</v>
      </c>
      <c r="Y57" s="22">
        <f ca="1">+GETPIVOTDATA("XXB4",'xabang (2016)'!$A$3,"MA_HT","PNK","MA_QH","SKC")</f>
        <v>0</v>
      </c>
      <c r="Z57" s="22">
        <f ca="1">+GETPIVOTDATA("XXB4",'xabang (2016)'!$A$3,"MA_HT","PNK","MA_QH","SKS")</f>
        <v>0</v>
      </c>
      <c r="AA57" s="52">
        <f ca="1" t="shared" si="21"/>
        <v>0</v>
      </c>
      <c r="AB57" s="22">
        <f ca="1">+GETPIVOTDATA("XXB4",'xabang (2016)'!$A$3,"MA_HT","PNK","MA_QH","DGT")</f>
        <v>0</v>
      </c>
      <c r="AC57" s="22">
        <f ca="1">+GETPIVOTDATA("XXB4",'xabang (2016)'!$A$3,"MA_HT","PNK","MA_QH","DTL")</f>
        <v>0</v>
      </c>
      <c r="AD57" s="22">
        <f ca="1">+GETPIVOTDATA("XXB4",'xabang (2016)'!$A$3,"MA_HT","PNK","MA_QH","DNL")</f>
        <v>0</v>
      </c>
      <c r="AE57" s="22">
        <f ca="1">+GETPIVOTDATA("XXB4",'xabang (2016)'!$A$3,"MA_HT","PNK","MA_QH","DBV")</f>
        <v>0</v>
      </c>
      <c r="AF57" s="22">
        <f ca="1">+GETPIVOTDATA("XXB4",'xabang (2016)'!$A$3,"MA_HT","PNK","MA_QH","DVH")</f>
        <v>0</v>
      </c>
      <c r="AG57" s="22">
        <f ca="1">+GETPIVOTDATA("XXB4",'xabang (2016)'!$A$3,"MA_HT","PNK","MA_QH","DYT")</f>
        <v>0</v>
      </c>
      <c r="AH57" s="22">
        <f ca="1">+GETPIVOTDATA("XXB4",'xabang (2016)'!$A$3,"MA_HT","PNK","MA_QH","DGD")</f>
        <v>0</v>
      </c>
      <c r="AI57" s="22">
        <f ca="1">+GETPIVOTDATA("XXB4",'xabang (2016)'!$A$3,"MA_HT","PNK","MA_QH","DTT")</f>
        <v>0</v>
      </c>
      <c r="AJ57" s="22">
        <f ca="1">+GETPIVOTDATA("XXB4",'xabang (2016)'!$A$3,"MA_HT","PNK","MA_QH","NCK")</f>
        <v>0</v>
      </c>
      <c r="AK57" s="22">
        <f ca="1">+GETPIVOTDATA("XXB4",'xabang (2016)'!$A$3,"MA_HT","PNK","MA_QH","DXH")</f>
        <v>0</v>
      </c>
      <c r="AL57" s="22">
        <f ca="1">+GETPIVOTDATA("XXB4",'xabang (2016)'!$A$3,"MA_HT","PNK","MA_QH","DCH")</f>
        <v>0</v>
      </c>
      <c r="AM57" s="22">
        <f ca="1">+GETPIVOTDATA("XXB4",'xabang (2016)'!$A$3,"MA_HT","PNK","MA_QH","DKG")</f>
        <v>0</v>
      </c>
      <c r="AN57" s="22">
        <f ca="1">+GETPIVOTDATA("XXB4",'xabang (2016)'!$A$3,"MA_HT","PNK","MA_QH","DDT")</f>
        <v>0</v>
      </c>
      <c r="AO57" s="22">
        <f ca="1">+GETPIVOTDATA("XXB4",'xabang (2016)'!$A$3,"MA_HT","PNK","MA_QH","DDL")</f>
        <v>0</v>
      </c>
      <c r="AP57" s="22">
        <f ca="1">+GETPIVOTDATA("XXB4",'xabang (2016)'!$A$3,"MA_HT","PNK","MA_QH","DRA")</f>
        <v>0</v>
      </c>
      <c r="AQ57" s="22">
        <f ca="1">+GETPIVOTDATA("XXB4",'xabang (2016)'!$A$3,"MA_HT","PNK","MA_QH","ONT")</f>
        <v>0</v>
      </c>
      <c r="AR57" s="22">
        <f ca="1">+GETPIVOTDATA("XXB4",'xabang (2016)'!$A$3,"MA_HT","PNK","MA_QH","ODT")</f>
        <v>0</v>
      </c>
      <c r="AS57" s="22">
        <f ca="1">+GETPIVOTDATA("XXB4",'xabang (2016)'!$A$3,"MA_HT","PNK","MA_QH","TSC")</f>
        <v>0</v>
      </c>
      <c r="AT57" s="22">
        <f ca="1">+GETPIVOTDATA("XXB4",'xabang (2016)'!$A$3,"MA_HT","PNK","MA_QH","DTS")</f>
        <v>0</v>
      </c>
      <c r="AU57" s="22">
        <f ca="1">+GETPIVOTDATA("XXB4",'xabang (2016)'!$A$3,"MA_HT","PNK","MA_QH","DNG")</f>
        <v>0</v>
      </c>
      <c r="AV57" s="22">
        <f ca="1">+GETPIVOTDATA("XXB4",'xabang (2016)'!$A$3,"MA_HT","PNK","MA_QH","TON")</f>
        <v>0</v>
      </c>
      <c r="AW57" s="22">
        <f ca="1">+GETPIVOTDATA("XXB4",'xabang (2016)'!$A$3,"MA_HT","PNK","MA_QH","NTD")</f>
        <v>0</v>
      </c>
      <c r="AX57" s="22">
        <f ca="1">+GETPIVOTDATA("XXB4",'xabang (2016)'!$A$3,"MA_HT","PNK","MA_QH","SKX")</f>
        <v>0</v>
      </c>
      <c r="AY57" s="22">
        <f ca="1">+GETPIVOTDATA("XXB4",'xabang (2016)'!$A$3,"MA_HT","PNK","MA_QH","DSH")</f>
        <v>0</v>
      </c>
      <c r="AZ57" s="22">
        <f ca="1">+GETPIVOTDATA("XXB4",'xabang (2016)'!$A$3,"MA_HT","PNK","MA_QH","DKV")</f>
        <v>0</v>
      </c>
      <c r="BA57" s="89">
        <f ca="1">+GETPIVOTDATA("XXB4",'xabang (2016)'!$A$3,"MA_HT","PNK","MA_QH","TIN")</f>
        <v>0</v>
      </c>
      <c r="BB57" s="50">
        <f ca="1">+GETPIVOTDATA("XXB4",'xabang (2016)'!$A$3,"MA_HT","PNK","MA_QH","SON")</f>
        <v>0</v>
      </c>
      <c r="BC57" s="50">
        <f ca="1">+GETPIVOTDATA("XXB4",'xabang (2016)'!$A$3,"MA_HT","PNK","MA_QH","MNC")</f>
        <v>0</v>
      </c>
      <c r="BD57" s="43" t="e">
        <f ca="1">$D57-$BF57</f>
        <v>#REF!</v>
      </c>
      <c r="BE57" s="71">
        <f ca="1">+GETPIVOTDATA("XXB4",'xabang (2016)'!$A$3,"MA_HT","PNK","MA_QH","CSD")</f>
        <v>0</v>
      </c>
      <c r="BF57" s="74">
        <f ca="1" t="shared" si="13"/>
        <v>0</v>
      </c>
      <c r="BG57" s="101">
        <f ca="1">BD$59-$BF57</f>
        <v>0</v>
      </c>
      <c r="BH57" s="41" t="e">
        <f ca="1" t="shared" si="14"/>
        <v>#REF!</v>
      </c>
      <c r="BI57" s="98"/>
      <c r="BJ57" s="98" t="e">
        <f>#REF!</f>
        <v>#REF!</v>
      </c>
      <c r="BK57" s="107" t="e">
        <f ca="1">BH57-BJ57</f>
        <v>#REF!</v>
      </c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</row>
    <row r="58" s="3" customFormat="1" ht="15.75" customHeight="1" spans="1:79">
      <c r="A58" s="70" t="s">
        <v>8434</v>
      </c>
      <c r="B58" s="36" t="s">
        <v>8435</v>
      </c>
      <c r="C58" s="37" t="s">
        <v>8284</v>
      </c>
      <c r="D58" s="32" t="e">
        <f>+#REF!</f>
        <v>#REF!</v>
      </c>
      <c r="E58" s="42">
        <f ca="1" t="shared" si="15"/>
        <v>0</v>
      </c>
      <c r="F58" s="33">
        <f ca="1" t="shared" si="9"/>
        <v>0</v>
      </c>
      <c r="G58" s="71">
        <f ca="1">+GETPIVOTDATA("XXB4",'xabang (2016)'!$A$3,"MA_HT","CSD","MA_QH","LUC")</f>
        <v>0</v>
      </c>
      <c r="H58" s="71">
        <f ca="1">+GETPIVOTDATA("XXB4",'xabang (2016)'!$A$3,"MA_HT","CSD","MA_QH","LUK")</f>
        <v>0</v>
      </c>
      <c r="I58" s="71">
        <f ca="1">+GETPIVOTDATA("XXB4",'xabang (2016)'!$A$3,"MA_HT","CSD","MA_QH","LUN")</f>
        <v>0</v>
      </c>
      <c r="J58" s="71">
        <f ca="1">+GETPIVOTDATA("XXB4",'xabang (2016)'!$A$3,"MA_HT","CSD","MA_QH","HNK")</f>
        <v>0</v>
      </c>
      <c r="K58" s="71">
        <f ca="1">+GETPIVOTDATA("XXB4",'xabang (2016)'!$A$3,"MA_HT","CSD","MA_QH","CLN")</f>
        <v>0</v>
      </c>
      <c r="L58" s="71">
        <f ca="1">+GETPIVOTDATA("XXB4",'xabang (2016)'!$A$3,"MA_HT","CSD","MA_QH","RSX")</f>
        <v>0</v>
      </c>
      <c r="M58" s="71">
        <f ca="1">+GETPIVOTDATA("XXB4",'xabang (2016)'!$A$3,"MA_HT","CSD","MA_QH","RPH")</f>
        <v>0</v>
      </c>
      <c r="N58" s="71">
        <f ca="1">+GETPIVOTDATA("XXB4",'xabang (2016)'!$A$3,"MA_HT","CSD","MA_QH","RDD")</f>
        <v>0</v>
      </c>
      <c r="O58" s="71">
        <f ca="1">+GETPIVOTDATA("XXB4",'xabang (2016)'!$A$3,"MA_HT","CSD","MA_QH","NTS")</f>
        <v>0</v>
      </c>
      <c r="P58" s="71">
        <f ca="1">+GETPIVOTDATA("XXB4",'xabang (2016)'!$A$3,"MA_HT","CSD","MA_QH","LMU")</f>
        <v>0</v>
      </c>
      <c r="Q58" s="71">
        <f ca="1">+GETPIVOTDATA("XXB4",'xabang (2016)'!$A$3,"MA_HT","CSD","MA_QH","NKH")</f>
        <v>0</v>
      </c>
      <c r="R58" s="79">
        <f ca="1">SUM(S58:AA58,AN58:BD58)</f>
        <v>0</v>
      </c>
      <c r="S58" s="80">
        <f ca="1">+GETPIVOTDATA("XXB4",'xabang (2016)'!$A$3,"MA_HT","CSD","MA_QH","CQP")</f>
        <v>0</v>
      </c>
      <c r="T58" s="80">
        <f ca="1">+GETPIVOTDATA("XXB4",'xabang (2016)'!$A$3,"MA_HT","CSD","MA_QH","CAN")</f>
        <v>0</v>
      </c>
      <c r="U58" s="71">
        <f ca="1">+GETPIVOTDATA("XXB4",'xabang (2016)'!$A$3,"MA_HT","CSD","MA_QH","SKK")</f>
        <v>0</v>
      </c>
      <c r="V58" s="71">
        <f ca="1">+GETPIVOTDATA("XXB4",'xabang (2016)'!$A$3,"MA_HT","CSD","MA_QH","SKT")</f>
        <v>0</v>
      </c>
      <c r="W58" s="71">
        <f ca="1">+GETPIVOTDATA("XXB4",'xabang (2016)'!$A$3,"MA_HT","CSD","MA_QH","SKN")</f>
        <v>0</v>
      </c>
      <c r="X58" s="71">
        <f ca="1">+GETPIVOTDATA("XXB4",'xabang (2016)'!$A$3,"MA_HT","CSD","MA_QH","TMD")</f>
        <v>0</v>
      </c>
      <c r="Y58" s="71">
        <f ca="1">+GETPIVOTDATA("XXB4",'xabang (2016)'!$A$3,"MA_HT","CSD","MA_QH","SKC")</f>
        <v>0</v>
      </c>
      <c r="Z58" s="71">
        <f ca="1">+GETPIVOTDATA("XXB4",'xabang (2016)'!$A$3,"MA_HT","CSD","MA_QH","SKS")</f>
        <v>0</v>
      </c>
      <c r="AA58" s="52">
        <f ca="1" t="shared" si="21"/>
        <v>0</v>
      </c>
      <c r="AB58" s="80">
        <f ca="1">+GETPIVOTDATA("XXB4",'xabang (2016)'!$A$3,"MA_HT","CSD","MA_QH","DGT")</f>
        <v>0</v>
      </c>
      <c r="AC58" s="80">
        <f ca="1">+GETPIVOTDATA("XXB4",'xabang (2016)'!$A$3,"MA_HT","CSD","MA_QH","DTL")</f>
        <v>0</v>
      </c>
      <c r="AD58" s="80">
        <f ca="1">+GETPIVOTDATA("XXB4",'xabang (2016)'!$A$3,"MA_HT","CSD","MA_QH","DNL")</f>
        <v>0</v>
      </c>
      <c r="AE58" s="80">
        <f ca="1">+GETPIVOTDATA("XXB4",'xabang (2016)'!$A$3,"MA_HT","CSD","MA_QH","DBV")</f>
        <v>0</v>
      </c>
      <c r="AF58" s="80">
        <f ca="1">+GETPIVOTDATA("XXB4",'xabang (2016)'!$A$3,"MA_HT","CSD","MA_QH","DVH")</f>
        <v>0</v>
      </c>
      <c r="AG58" s="80">
        <f ca="1">+GETPIVOTDATA("XXB4",'xabang (2016)'!$A$3,"MA_HT","CSD","MA_QH","DYT")</f>
        <v>0</v>
      </c>
      <c r="AH58" s="80">
        <f ca="1">+GETPIVOTDATA("XXB4",'xabang (2016)'!$A$3,"MA_HT","CSD","MA_QH","DGD")</f>
        <v>0</v>
      </c>
      <c r="AI58" s="80">
        <f ca="1">+GETPIVOTDATA("XXB4",'xabang (2016)'!$A$3,"MA_HT","CSD","MA_QH","DTT")</f>
        <v>0</v>
      </c>
      <c r="AJ58" s="80">
        <f ca="1">+GETPIVOTDATA("XXB4",'xabang (2016)'!$A$3,"MA_HT","CSD","MA_QH","NCK")</f>
        <v>0</v>
      </c>
      <c r="AK58" s="80">
        <f ca="1">+GETPIVOTDATA("XXB4",'xabang (2016)'!$A$3,"MA_HT","CSD","MA_QH","DXH")</f>
        <v>0</v>
      </c>
      <c r="AL58" s="80">
        <f ca="1">+GETPIVOTDATA("XXB4",'xabang (2016)'!$A$3,"MA_HT","CSD","MA_QH","DCH")</f>
        <v>0</v>
      </c>
      <c r="AM58" s="80">
        <f ca="1">+GETPIVOTDATA("XXB4",'xabang (2016)'!$A$3,"MA_HT","CSD","MA_QH","DKG")</f>
        <v>0</v>
      </c>
      <c r="AN58" s="71">
        <f ca="1">+GETPIVOTDATA("XXB4",'xabang (2016)'!$A$3,"MA_HT","CSD","MA_QH","DDT")</f>
        <v>0</v>
      </c>
      <c r="AO58" s="71">
        <f ca="1">+GETPIVOTDATA("XXB4",'xabang (2016)'!$A$3,"MA_HT","CSD","MA_QH","DDL")</f>
        <v>0</v>
      </c>
      <c r="AP58" s="71">
        <f ca="1">+GETPIVOTDATA("XXB4",'xabang (2016)'!$A$3,"MA_HT","CSD","MA_QH","DRA")</f>
        <v>0</v>
      </c>
      <c r="AQ58" s="71">
        <f ca="1">+GETPIVOTDATA("XXB4",'xabang (2016)'!$A$3,"MA_HT","CSD","MA_QH","ONT")</f>
        <v>0</v>
      </c>
      <c r="AR58" s="71">
        <f ca="1">+GETPIVOTDATA("XXB4",'xabang (2016)'!$A$3,"MA_HT","CSD","MA_QH","ODT")</f>
        <v>0</v>
      </c>
      <c r="AS58" s="71">
        <f ca="1">+GETPIVOTDATA("XXB4",'xabang (2016)'!$A$3,"MA_HT","CSD","MA_QH","TSC")</f>
        <v>0</v>
      </c>
      <c r="AT58" s="71">
        <f ca="1">+GETPIVOTDATA("XXB4",'xabang (2016)'!$A$3,"MA_HT","CSD","MA_QH","DTS")</f>
        <v>0</v>
      </c>
      <c r="AU58" s="71">
        <f ca="1">+GETPIVOTDATA("XXB4",'xabang (2016)'!$A$3,"MA_HT","CSD","MA_QH","DNG")</f>
        <v>0</v>
      </c>
      <c r="AV58" s="71">
        <f ca="1">+GETPIVOTDATA("XXB4",'xabang (2016)'!$A$3,"MA_HT","CSD","MA_QH","TON")</f>
        <v>0</v>
      </c>
      <c r="AW58" s="71">
        <f ca="1">+GETPIVOTDATA("XXB4",'xabang (2016)'!$A$3,"MA_HT","CSD","MA_QH","NTD")</f>
        <v>0</v>
      </c>
      <c r="AX58" s="71">
        <f ca="1">+GETPIVOTDATA("XXB4",'xabang (2016)'!$A$3,"MA_HT","CSD","MA_QH","SKX")</f>
        <v>0</v>
      </c>
      <c r="AY58" s="71">
        <f ca="1">+GETPIVOTDATA("XXB4",'xabang (2016)'!$A$3,"MA_HT","CSD","MA_QH","DSH")</f>
        <v>0</v>
      </c>
      <c r="AZ58" s="71">
        <f ca="1">+GETPIVOTDATA("XXB4",'xabang (2016)'!$A$3,"MA_HT","CSD","MA_QH","DKV")</f>
        <v>0</v>
      </c>
      <c r="BA58" s="89">
        <f ca="1">+GETPIVOTDATA("XXB4",'xabang (2016)'!$A$3,"MA_HT","CSD","MA_QH","TIN")</f>
        <v>0</v>
      </c>
      <c r="BB58" s="80">
        <f ca="1">+GETPIVOTDATA("XXB4",'xabang (2016)'!$A$3,"MA_HT","CSD","MA_QH","SON")</f>
        <v>0</v>
      </c>
      <c r="BC58" s="80">
        <f ca="1">+GETPIVOTDATA("XXB4",'xabang (2016)'!$A$3,"MA_HT","CSD","MA_QH","MNC")</f>
        <v>0</v>
      </c>
      <c r="BD58" s="71">
        <f ca="1">+GETPIVOTDATA("XXB4",'xabang (2016)'!$A$3,"MA_HT","CSD","MA_QH","PNK")</f>
        <v>0</v>
      </c>
      <c r="BE58" s="38" t="e">
        <f ca="1">$D58-$BF58</f>
        <v>#REF!</v>
      </c>
      <c r="BF58" s="74">
        <f ca="1">R58+E58</f>
        <v>0</v>
      </c>
      <c r="BG58" s="119">
        <f ca="1">BE$59-$BF58</f>
        <v>0</v>
      </c>
      <c r="BH58" s="41" t="e">
        <f ca="1" t="shared" si="14"/>
        <v>#REF!</v>
      </c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</row>
    <row r="59" s="2" customFormat="1" ht="13.5" spans="1:246">
      <c r="A59" s="72"/>
      <c r="B59" s="72" t="s">
        <v>8436</v>
      </c>
      <c r="C59" s="73"/>
      <c r="D59" s="74"/>
      <c r="E59" s="75">
        <f ca="1">E58+E19</f>
        <v>0</v>
      </c>
      <c r="F59" s="74">
        <f ca="1" t="shared" ref="F59:Q59" si="22">F58+F19+F6</f>
        <v>0</v>
      </c>
      <c r="G59" s="74">
        <f ca="1" t="shared" si="22"/>
        <v>0</v>
      </c>
      <c r="H59" s="74">
        <f ca="1" t="shared" si="22"/>
        <v>0</v>
      </c>
      <c r="I59" s="74">
        <f ca="1" t="shared" si="22"/>
        <v>0</v>
      </c>
      <c r="J59" s="74">
        <f ca="1" t="shared" si="22"/>
        <v>0</v>
      </c>
      <c r="K59" s="74">
        <f ca="1" t="shared" si="22"/>
        <v>0</v>
      </c>
      <c r="L59" s="74">
        <f ca="1" t="shared" si="22"/>
        <v>0</v>
      </c>
      <c r="M59" s="74">
        <f ca="1" t="shared" si="22"/>
        <v>0</v>
      </c>
      <c r="N59" s="74">
        <f ca="1" t="shared" si="22"/>
        <v>0</v>
      </c>
      <c r="O59" s="74">
        <f ca="1" t="shared" si="22"/>
        <v>0</v>
      </c>
      <c r="P59" s="74">
        <f ca="1" t="shared" si="22"/>
        <v>0</v>
      </c>
      <c r="Q59" s="74">
        <f ca="1" t="shared" si="22"/>
        <v>0</v>
      </c>
      <c r="R59" s="75">
        <f ca="1">+R58+R6</f>
        <v>0</v>
      </c>
      <c r="S59" s="74">
        <f ca="1" t="shared" ref="S59:BD59" si="23">S58+S19+S6</f>
        <v>0</v>
      </c>
      <c r="T59" s="74">
        <f ca="1" t="shared" si="23"/>
        <v>0</v>
      </c>
      <c r="U59" s="74">
        <f ca="1" t="shared" si="23"/>
        <v>0</v>
      </c>
      <c r="V59" s="74">
        <f ca="1" t="shared" si="23"/>
        <v>0</v>
      </c>
      <c r="W59" s="74">
        <f ca="1" t="shared" si="23"/>
        <v>0</v>
      </c>
      <c r="X59" s="74">
        <f ca="1" t="shared" si="23"/>
        <v>0</v>
      </c>
      <c r="Y59" s="74">
        <f ca="1" t="shared" si="23"/>
        <v>0</v>
      </c>
      <c r="Z59" s="74">
        <f ca="1" t="shared" si="23"/>
        <v>0</v>
      </c>
      <c r="AA59" s="74">
        <f ca="1" t="shared" si="23"/>
        <v>0</v>
      </c>
      <c r="AB59" s="74">
        <f ca="1" t="shared" si="23"/>
        <v>0</v>
      </c>
      <c r="AC59" s="74">
        <f ca="1" t="shared" si="23"/>
        <v>0</v>
      </c>
      <c r="AD59" s="74">
        <f ca="1" t="shared" si="23"/>
        <v>0</v>
      </c>
      <c r="AE59" s="74">
        <f ca="1" t="shared" si="23"/>
        <v>0</v>
      </c>
      <c r="AF59" s="74">
        <f ca="1" t="shared" si="23"/>
        <v>0</v>
      </c>
      <c r="AG59" s="74">
        <f ca="1" t="shared" si="23"/>
        <v>0</v>
      </c>
      <c r="AH59" s="74">
        <f ca="1" t="shared" si="23"/>
        <v>0</v>
      </c>
      <c r="AI59" s="74">
        <f ca="1" t="shared" si="23"/>
        <v>0</v>
      </c>
      <c r="AJ59" s="74">
        <f ca="1" t="shared" si="23"/>
        <v>0</v>
      </c>
      <c r="AK59" s="74">
        <f ca="1" t="shared" si="23"/>
        <v>0</v>
      </c>
      <c r="AL59" s="74">
        <f ca="1" t="shared" si="23"/>
        <v>0</v>
      </c>
      <c r="AM59" s="74">
        <f ca="1" t="shared" si="23"/>
        <v>0</v>
      </c>
      <c r="AN59" s="74">
        <f ca="1" t="shared" si="23"/>
        <v>0</v>
      </c>
      <c r="AO59" s="74">
        <f ca="1" t="shared" si="23"/>
        <v>0</v>
      </c>
      <c r="AP59" s="74">
        <f ca="1" t="shared" si="23"/>
        <v>0</v>
      </c>
      <c r="AQ59" s="74">
        <f ca="1" t="shared" si="23"/>
        <v>0</v>
      </c>
      <c r="AR59" s="74">
        <f ca="1" t="shared" si="23"/>
        <v>0</v>
      </c>
      <c r="AS59" s="74">
        <f ca="1" t="shared" si="23"/>
        <v>0</v>
      </c>
      <c r="AT59" s="74">
        <f ca="1" t="shared" si="23"/>
        <v>0</v>
      </c>
      <c r="AU59" s="74">
        <f ca="1" t="shared" si="23"/>
        <v>0</v>
      </c>
      <c r="AV59" s="74">
        <f ca="1" t="shared" si="23"/>
        <v>0</v>
      </c>
      <c r="AW59" s="74">
        <f ca="1" t="shared" si="23"/>
        <v>0</v>
      </c>
      <c r="AX59" s="74">
        <f ca="1" t="shared" si="23"/>
        <v>0</v>
      </c>
      <c r="AY59" s="74">
        <f ca="1" t="shared" si="23"/>
        <v>0</v>
      </c>
      <c r="AZ59" s="74">
        <f ca="1" t="shared" si="23"/>
        <v>0</v>
      </c>
      <c r="BA59" s="75">
        <f ca="1" t="shared" si="23"/>
        <v>0</v>
      </c>
      <c r="BB59" s="74">
        <f ca="1" t="shared" si="23"/>
        <v>0</v>
      </c>
      <c r="BC59" s="74">
        <f ca="1" t="shared" si="23"/>
        <v>0</v>
      </c>
      <c r="BD59" s="74">
        <f ca="1" t="shared" si="23"/>
        <v>0</v>
      </c>
      <c r="BE59" s="120">
        <f ca="1">BE19+BE6</f>
        <v>0</v>
      </c>
      <c r="BF59" s="74"/>
      <c r="BG59" s="74"/>
      <c r="BH59" s="74"/>
      <c r="BI59" s="121"/>
      <c r="BJ59" s="121"/>
      <c r="BK59" s="121"/>
      <c r="BL59" s="1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3"/>
      <c r="CB59" s="123"/>
      <c r="CC59" s="124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</row>
    <row r="61" spans="61:76"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</row>
  </sheetData>
  <mergeCells count="3">
    <mergeCell ref="A3:A4"/>
    <mergeCell ref="B3:B4"/>
    <mergeCell ref="C3:C4"/>
  </mergeCells>
  <pageMargins left="0.65" right="0" top="0.5" bottom="0.25" header="0.5" footer="0.5"/>
  <pageSetup paperSize="8" orientation="landscape" horizontalDpi="360" verticalDpi="36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4">
    <tabColor rgb="FFFF0000"/>
  </sheetPr>
  <dimension ref="A1:IL61"/>
  <sheetViews>
    <sheetView workbookViewId="0">
      <selection activeCell="A1" sqref="A1"/>
    </sheetView>
  </sheetViews>
  <sheetFormatPr defaultColWidth="9" defaultRowHeight="15"/>
  <cols>
    <col min="1" max="1" width="6.375" style="7" customWidth="1"/>
    <col min="2" max="2" width="29.125" style="7" customWidth="1"/>
    <col min="3" max="3" width="6" style="7" customWidth="1"/>
    <col min="4" max="4" width="9.75" style="8" customWidth="1"/>
    <col min="5" max="5" width="9.375" style="9" customWidth="1"/>
    <col min="6" max="6" width="7" style="8" customWidth="1"/>
    <col min="7" max="7" width="7.75" style="8" customWidth="1"/>
    <col min="8" max="8" width="7" style="8" customWidth="1"/>
    <col min="9" max="9" width="6.875" style="8" customWidth="1"/>
    <col min="10" max="10" width="7.625" style="8" customWidth="1"/>
    <col min="11" max="11" width="9.125" style="8" customWidth="1"/>
    <col min="12" max="12" width="8.25" style="8" customWidth="1"/>
    <col min="13" max="13" width="6" style="8" customWidth="1"/>
    <col min="14" max="14" width="6.25" style="8" customWidth="1"/>
    <col min="15" max="15" width="5.875" style="8" customWidth="1"/>
    <col min="16" max="16" width="5.75" style="8" customWidth="1"/>
    <col min="17" max="17" width="6.25" style="8" customWidth="1"/>
    <col min="18" max="18" width="8.75" style="10" customWidth="1"/>
    <col min="19" max="19" width="7.125" style="8" customWidth="1"/>
    <col min="20" max="20" width="7.75" style="8" customWidth="1"/>
    <col min="21" max="23" width="6.125" style="8" customWidth="1"/>
    <col min="24" max="24" width="7.125" style="8" customWidth="1"/>
    <col min="25" max="25" width="7.75" style="8" customWidth="1"/>
    <col min="26" max="26" width="6.875" style="8" customWidth="1"/>
    <col min="27" max="27" width="7.375" style="8" customWidth="1"/>
    <col min="28" max="28" width="9" style="8"/>
    <col min="29" max="29" width="7.25" style="8" customWidth="1"/>
    <col min="30" max="30" width="7" style="8" customWidth="1"/>
    <col min="31" max="31" width="6.125" style="8" customWidth="1"/>
    <col min="32" max="33" width="6.625" style="8" customWidth="1"/>
    <col min="34" max="34" width="6.125" style="8" customWidth="1"/>
    <col min="35" max="35" width="8.5" style="8" customWidth="1"/>
    <col min="36" max="36" width="8.875" style="8" customWidth="1"/>
    <col min="37" max="37" width="8.75" style="8" customWidth="1"/>
    <col min="38" max="39" width="6.625" style="8" customWidth="1"/>
    <col min="40" max="41" width="6.875" style="8" customWidth="1"/>
    <col min="42" max="42" width="6.75" style="8" customWidth="1"/>
    <col min="43" max="43" width="6.375" style="8" customWidth="1"/>
    <col min="44" max="44" width="6.125" style="8" customWidth="1"/>
    <col min="45" max="46" width="5.75" style="8" customWidth="1"/>
    <col min="47" max="47" width="6.5" style="8" customWidth="1"/>
    <col min="48" max="49" width="5.625" style="8" customWidth="1"/>
    <col min="50" max="51" width="6.125" style="8" customWidth="1"/>
    <col min="52" max="52" width="7.625" style="8" customWidth="1"/>
    <col min="53" max="53" width="9.375" style="11" customWidth="1"/>
    <col min="54" max="54" width="6.625" style="12" customWidth="1"/>
    <col min="55" max="55" width="6.25" style="12" customWidth="1"/>
    <col min="56" max="56" width="7.125" style="8" customWidth="1"/>
    <col min="57" max="57" width="6.25" style="9" customWidth="1"/>
    <col min="58" max="58" width="7.25" style="11" customWidth="1"/>
    <col min="59" max="59" width="8.25" style="11" customWidth="1"/>
    <col min="60" max="60" width="10.125" style="11" customWidth="1"/>
    <col min="61" max="61" width="5.125" style="7" customWidth="1"/>
    <col min="62" max="62" width="8.375" style="7" hidden="1" customWidth="1"/>
    <col min="63" max="63" width="9" style="7" hidden="1" customWidth="1"/>
    <col min="64" max="64" width="4.875" style="7" customWidth="1"/>
    <col min="65" max="65" width="6.25" style="7" customWidth="1"/>
    <col min="66" max="66" width="5" style="7" customWidth="1"/>
    <col min="67" max="67" width="4.25" style="7" customWidth="1"/>
    <col min="68" max="68" width="5.375" style="7" customWidth="1"/>
    <col min="69" max="69" width="5.125" style="7" customWidth="1"/>
    <col min="70" max="70" width="4.625" style="7" customWidth="1"/>
    <col min="71" max="71" width="5.625" style="7" customWidth="1"/>
    <col min="72" max="72" width="5.875" style="7" customWidth="1"/>
    <col min="73" max="73" width="5" style="7" customWidth="1"/>
    <col min="74" max="74" width="3.875" style="7" customWidth="1"/>
    <col min="75" max="75" width="4.625" style="7" customWidth="1"/>
    <col min="76" max="76" width="5.5" style="7" customWidth="1"/>
    <col min="77" max="77" width="7.625" style="13" customWidth="1"/>
    <col min="78" max="79" width="8.375" style="13" customWidth="1"/>
    <col min="80" max="80" width="7.5" style="7" customWidth="1"/>
    <col min="81" max="16384" width="9" style="7"/>
  </cols>
  <sheetData>
    <row r="1" ht="21" customHeight="1" spans="1:82">
      <c r="A1" s="14" t="s">
        <v>8330</v>
      </c>
      <c r="B1" s="15"/>
      <c r="C1" s="16" t="e">
        <f>+"CHU CHUYỂN ĐẤT ĐAI TRONG KẾ HOẠCH SỬ DỤNG ĐẤT NĂM 2015 CỦA "&amp;#REF!</f>
        <v>#REF!</v>
      </c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83"/>
      <c r="BC1" s="83"/>
      <c r="BD1" s="18"/>
      <c r="BE1" s="18"/>
      <c r="BF1" s="18"/>
      <c r="BG1" s="18"/>
      <c r="BH1" s="18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7"/>
      <c r="BZ1" s="7"/>
      <c r="CA1" s="7"/>
      <c r="CB1" s="8"/>
      <c r="CC1" s="8"/>
      <c r="CD1" s="8"/>
    </row>
    <row r="2" s="1" customFormat="1" ht="7.5" customHeight="1" spans="1:82">
      <c r="A2" s="1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9"/>
      <c r="BA2" s="20"/>
      <c r="BB2" s="84"/>
      <c r="BC2" s="84"/>
      <c r="BD2" s="20"/>
      <c r="BE2" s="20"/>
      <c r="BF2" s="20"/>
      <c r="BG2" s="20"/>
      <c r="BH2" s="95" t="s">
        <v>8331</v>
      </c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CB2" s="9"/>
      <c r="CC2" s="9"/>
      <c r="CD2" s="9"/>
    </row>
    <row r="3" s="2" customFormat="1" ht="15.75" customHeight="1" spans="1:79">
      <c r="A3" s="21" t="s">
        <v>3</v>
      </c>
      <c r="B3" s="21" t="s">
        <v>8332</v>
      </c>
      <c r="C3" s="21" t="s">
        <v>8333</v>
      </c>
      <c r="D3" s="22"/>
      <c r="E3" s="23" t="s">
        <v>8334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7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85"/>
      <c r="BC3" s="85"/>
      <c r="BD3" s="24"/>
      <c r="BE3" s="97"/>
      <c r="BF3" s="22"/>
      <c r="BG3" s="22"/>
      <c r="BH3" s="22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</row>
    <row r="4" s="2" customFormat="1" ht="31.5" customHeight="1" spans="1:79">
      <c r="A4" s="25"/>
      <c r="B4" s="25"/>
      <c r="C4" s="25"/>
      <c r="D4" s="26" t="s">
        <v>8335</v>
      </c>
      <c r="E4" s="27" t="s">
        <v>8303</v>
      </c>
      <c r="F4" s="28" t="s">
        <v>8298</v>
      </c>
      <c r="G4" s="29" t="s">
        <v>8299</v>
      </c>
      <c r="H4" s="29" t="s">
        <v>221</v>
      </c>
      <c r="I4" s="29" t="s">
        <v>8300</v>
      </c>
      <c r="J4" s="28" t="s">
        <v>2492</v>
      </c>
      <c r="K4" s="28" t="s">
        <v>30</v>
      </c>
      <c r="L4" s="28" t="s">
        <v>8307</v>
      </c>
      <c r="M4" s="28" t="s">
        <v>8306</v>
      </c>
      <c r="N4" s="28" t="s">
        <v>8305</v>
      </c>
      <c r="O4" s="76" t="s">
        <v>318</v>
      </c>
      <c r="P4" s="28" t="s">
        <v>8297</v>
      </c>
      <c r="Q4" s="28" t="s">
        <v>553</v>
      </c>
      <c r="R4" s="37" t="s">
        <v>8304</v>
      </c>
      <c r="S4" s="40" t="s">
        <v>31</v>
      </c>
      <c r="T4" s="40" t="s">
        <v>8283</v>
      </c>
      <c r="U4" s="40" t="s">
        <v>47</v>
      </c>
      <c r="V4" s="40" t="s">
        <v>8308</v>
      </c>
      <c r="W4" s="40" t="s">
        <v>56</v>
      </c>
      <c r="X4" s="40" t="s">
        <v>265</v>
      </c>
      <c r="Y4" s="40" t="s">
        <v>204</v>
      </c>
      <c r="Z4" s="40" t="s">
        <v>174</v>
      </c>
      <c r="AA4" s="40" t="s">
        <v>8288</v>
      </c>
      <c r="AB4" s="46" t="s">
        <v>94</v>
      </c>
      <c r="AC4" s="46" t="s">
        <v>216</v>
      </c>
      <c r="AD4" s="46" t="s">
        <v>71</v>
      </c>
      <c r="AE4" s="46" t="s">
        <v>8285</v>
      </c>
      <c r="AF4" s="46" t="s">
        <v>212</v>
      </c>
      <c r="AG4" s="46" t="s">
        <v>8296</v>
      </c>
      <c r="AH4" s="46" t="s">
        <v>165</v>
      </c>
      <c r="AI4" s="46" t="s">
        <v>8294</v>
      </c>
      <c r="AJ4" s="46" t="s">
        <v>8302</v>
      </c>
      <c r="AK4" s="46" t="s">
        <v>8295</v>
      </c>
      <c r="AL4" s="46" t="s">
        <v>178</v>
      </c>
      <c r="AM4" s="46" t="s">
        <v>8312</v>
      </c>
      <c r="AN4" s="40" t="s">
        <v>8287</v>
      </c>
      <c r="AO4" s="40" t="s">
        <v>8286</v>
      </c>
      <c r="AP4" s="40" t="s">
        <v>8291</v>
      </c>
      <c r="AQ4" s="40" t="s">
        <v>188</v>
      </c>
      <c r="AR4" s="40" t="s">
        <v>201</v>
      </c>
      <c r="AS4" s="40" t="s">
        <v>336</v>
      </c>
      <c r="AT4" s="40" t="s">
        <v>8293</v>
      </c>
      <c r="AU4" s="40" t="s">
        <v>8290</v>
      </c>
      <c r="AV4" s="40" t="s">
        <v>324</v>
      </c>
      <c r="AW4" s="40" t="s">
        <v>182</v>
      </c>
      <c r="AX4" s="40" t="s">
        <v>236</v>
      </c>
      <c r="AY4" s="40" t="s">
        <v>8292</v>
      </c>
      <c r="AZ4" s="40" t="s">
        <v>8289</v>
      </c>
      <c r="BA4" s="40" t="s">
        <v>8310</v>
      </c>
      <c r="BB4" s="40" t="s">
        <v>8309</v>
      </c>
      <c r="BC4" s="40" t="s">
        <v>8301</v>
      </c>
      <c r="BD4" s="40" t="s">
        <v>59</v>
      </c>
      <c r="BE4" s="27" t="s">
        <v>8284</v>
      </c>
      <c r="BF4" s="99" t="s">
        <v>8336</v>
      </c>
      <c r="BG4" s="100" t="s">
        <v>8337</v>
      </c>
      <c r="BH4" s="26" t="s">
        <v>8335</v>
      </c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</row>
    <row r="5" s="2" customFormat="1" ht="15.75" customHeight="1" spans="1:79">
      <c r="A5" s="30"/>
      <c r="B5" s="30" t="s">
        <v>8338</v>
      </c>
      <c r="C5" s="31"/>
      <c r="D5" s="32" t="e">
        <f>+#REF!</f>
        <v>#REF!</v>
      </c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86"/>
      <c r="BC5" s="86"/>
      <c r="BD5" s="34"/>
      <c r="BE5" s="33"/>
      <c r="BF5" s="34"/>
      <c r="BG5" s="34"/>
      <c r="BH5" s="34" t="e">
        <f ca="1">BH6+BH19+BH58</f>
        <v>#REF!</v>
      </c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</row>
    <row r="6" s="3" customFormat="1" ht="15.75" customHeight="1" spans="1:79">
      <c r="A6" s="35">
        <v>1</v>
      </c>
      <c r="B6" s="36" t="s">
        <v>8339</v>
      </c>
      <c r="C6" s="37" t="s">
        <v>8303</v>
      </c>
      <c r="D6" s="33" t="e">
        <f>+#REF!</f>
        <v>#REF!</v>
      </c>
      <c r="E6" s="38" t="e">
        <f ca="1">$D6-$BF6</f>
        <v>#REF!</v>
      </c>
      <c r="F6" s="33">
        <f ca="1">SUM(F11:F18)</f>
        <v>0</v>
      </c>
      <c r="G6" s="33">
        <f ca="1">SUM(G7,G11:G18)</f>
        <v>0</v>
      </c>
      <c r="H6" s="33">
        <f ca="1">SUM(H7,H11:H18)</f>
        <v>0</v>
      </c>
      <c r="I6" s="33">
        <f ca="1">SUM(I7,I11:I18)</f>
        <v>0</v>
      </c>
      <c r="J6" s="33">
        <f ca="1">SUM(J7,J12:J18)</f>
        <v>0</v>
      </c>
      <c r="K6" s="33">
        <f ca="1">SUM(K7,K11,K13:K18)</f>
        <v>0</v>
      </c>
      <c r="L6" s="33">
        <f ca="1">SUM(L7,L11:L12,L14:L18)</f>
        <v>0</v>
      </c>
      <c r="M6" s="33">
        <f ca="1">SUM(M7,M11:M13,M15:M18)</f>
        <v>0</v>
      </c>
      <c r="N6" s="33">
        <f ca="1">SUM(N7,N11:N14,N16:N18)</f>
        <v>0</v>
      </c>
      <c r="O6" s="33">
        <f ca="1">SUM(O7,O11:O15,O17:O18)</f>
        <v>0</v>
      </c>
      <c r="P6" s="33">
        <f ca="1">SUM(P7,P11:P16,P18:P18)</f>
        <v>0</v>
      </c>
      <c r="Q6" s="33">
        <f ca="1">SUM(Q7,Q11:Q17)</f>
        <v>0</v>
      </c>
      <c r="R6" s="33">
        <f ca="1">SUM(R7,R11:R18)</f>
        <v>0</v>
      </c>
      <c r="S6" s="33">
        <f ca="1">SUM(S7,S11:S18)</f>
        <v>0</v>
      </c>
      <c r="T6" s="33">
        <f ca="1" t="shared" ref="T6:BE6" si="0">SUM(T7,T11:T18)</f>
        <v>0</v>
      </c>
      <c r="U6" s="33">
        <f ca="1" t="shared" si="0"/>
        <v>0</v>
      </c>
      <c r="V6" s="33">
        <f ca="1" t="shared" si="0"/>
        <v>0</v>
      </c>
      <c r="W6" s="33">
        <f ca="1" t="shared" si="0"/>
        <v>0</v>
      </c>
      <c r="X6" s="33">
        <f ca="1" t="shared" si="0"/>
        <v>0</v>
      </c>
      <c r="Y6" s="33">
        <f ca="1" t="shared" si="0"/>
        <v>0</v>
      </c>
      <c r="Z6" s="33">
        <f ca="1" t="shared" si="0"/>
        <v>0</v>
      </c>
      <c r="AA6" s="33">
        <f ca="1" t="shared" si="0"/>
        <v>0</v>
      </c>
      <c r="AB6" s="33">
        <f ca="1" t="shared" si="0"/>
        <v>0</v>
      </c>
      <c r="AC6" s="33">
        <f ca="1" t="shared" si="0"/>
        <v>0</v>
      </c>
      <c r="AD6" s="33">
        <f ca="1" t="shared" si="0"/>
        <v>0</v>
      </c>
      <c r="AE6" s="33">
        <f ca="1" t="shared" si="0"/>
        <v>0</v>
      </c>
      <c r="AF6" s="33">
        <f ca="1" t="shared" si="0"/>
        <v>0</v>
      </c>
      <c r="AG6" s="33">
        <f ca="1" t="shared" si="0"/>
        <v>0</v>
      </c>
      <c r="AH6" s="33">
        <f ca="1" t="shared" si="0"/>
        <v>0</v>
      </c>
      <c r="AI6" s="33">
        <f ca="1" t="shared" si="0"/>
        <v>0</v>
      </c>
      <c r="AJ6" s="33">
        <f ca="1" t="shared" si="0"/>
        <v>0</v>
      </c>
      <c r="AK6" s="33">
        <f ca="1" t="shared" si="0"/>
        <v>0</v>
      </c>
      <c r="AL6" s="33">
        <f ca="1" t="shared" si="0"/>
        <v>0</v>
      </c>
      <c r="AM6" s="33">
        <f ca="1" t="shared" si="0"/>
        <v>0</v>
      </c>
      <c r="AN6" s="33">
        <f ca="1" t="shared" si="0"/>
        <v>0</v>
      </c>
      <c r="AO6" s="33">
        <f ca="1" t="shared" si="0"/>
        <v>0</v>
      </c>
      <c r="AP6" s="33">
        <f ca="1" t="shared" si="0"/>
        <v>0</v>
      </c>
      <c r="AQ6" s="33">
        <f ca="1" t="shared" si="0"/>
        <v>0</v>
      </c>
      <c r="AR6" s="33">
        <f ca="1" t="shared" si="0"/>
        <v>0</v>
      </c>
      <c r="AS6" s="33">
        <f ca="1" t="shared" si="0"/>
        <v>0</v>
      </c>
      <c r="AT6" s="33">
        <f ca="1" t="shared" si="0"/>
        <v>0</v>
      </c>
      <c r="AU6" s="33">
        <f ca="1" t="shared" si="0"/>
        <v>0</v>
      </c>
      <c r="AV6" s="33">
        <f ca="1" t="shared" si="0"/>
        <v>0</v>
      </c>
      <c r="AW6" s="33">
        <f ca="1" t="shared" si="0"/>
        <v>0</v>
      </c>
      <c r="AX6" s="33">
        <f ca="1" t="shared" si="0"/>
        <v>0</v>
      </c>
      <c r="AY6" s="33">
        <f ca="1" t="shared" si="0"/>
        <v>0</v>
      </c>
      <c r="AZ6" s="33">
        <f ca="1" t="shared" si="0"/>
        <v>0</v>
      </c>
      <c r="BA6" s="33">
        <f ca="1" t="shared" si="0"/>
        <v>0</v>
      </c>
      <c r="BB6" s="33">
        <f ca="1" t="shared" si="0"/>
        <v>0</v>
      </c>
      <c r="BC6" s="33">
        <f ca="1" t="shared" si="0"/>
        <v>0</v>
      </c>
      <c r="BD6" s="33">
        <f ca="1" t="shared" si="0"/>
        <v>0</v>
      </c>
      <c r="BE6" s="33">
        <f ca="1" t="shared" si="0"/>
        <v>0</v>
      </c>
      <c r="BF6" s="74">
        <f ca="1">BE6+R6</f>
        <v>0</v>
      </c>
      <c r="BG6" s="101">
        <f ca="1">E$59-$BF6</f>
        <v>0</v>
      </c>
      <c r="BH6" s="33" t="e">
        <f ca="1">SUM(BH7,BH11:BH18)</f>
        <v>#REF!</v>
      </c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</row>
    <row r="7" s="2" customFormat="1" ht="15.75" customHeight="1" spans="1:79">
      <c r="A7" s="39" t="s">
        <v>27</v>
      </c>
      <c r="B7" s="39" t="s">
        <v>8340</v>
      </c>
      <c r="C7" s="40" t="s">
        <v>8298</v>
      </c>
      <c r="D7" s="41" t="e">
        <f>+#REF!</f>
        <v>#REF!</v>
      </c>
      <c r="E7" s="42">
        <f ca="1">SUM(J7:Q7)</f>
        <v>0</v>
      </c>
      <c r="F7" s="43" t="e">
        <f ca="1">$D7-$BF7</f>
        <v>#REF!</v>
      </c>
      <c r="G7" s="44">
        <f ca="1">SUM(G9:G10)</f>
        <v>0</v>
      </c>
      <c r="H7" s="44">
        <f ca="1">SUM(H8,H10)</f>
        <v>0</v>
      </c>
      <c r="I7" s="44">
        <f ca="1">SUM(I8:I9)</f>
        <v>0</v>
      </c>
      <c r="J7" s="44">
        <f ca="1">SUM(J8:J10)</f>
        <v>0</v>
      </c>
      <c r="K7" s="44">
        <f ca="1" t="shared" ref="K7:Q7" si="1">SUM(K8:K10)</f>
        <v>0</v>
      </c>
      <c r="L7" s="44">
        <f ca="1" t="shared" si="1"/>
        <v>0</v>
      </c>
      <c r="M7" s="44">
        <f ca="1" t="shared" si="1"/>
        <v>0</v>
      </c>
      <c r="N7" s="44">
        <f ca="1" t="shared" si="1"/>
        <v>0</v>
      </c>
      <c r="O7" s="44">
        <f ca="1" t="shared" si="1"/>
        <v>0</v>
      </c>
      <c r="P7" s="44">
        <f ca="1" t="shared" si="1"/>
        <v>0</v>
      </c>
      <c r="Q7" s="44">
        <f ca="1" t="shared" si="1"/>
        <v>0</v>
      </c>
      <c r="R7" s="42">
        <f ca="1" t="shared" ref="R7:R18" si="2">SUM(S7:AA7,AN7:BD7)</f>
        <v>0</v>
      </c>
      <c r="S7" s="52">
        <f ca="1" t="shared" ref="S7:AY7" si="3">SUM(S8:S10)</f>
        <v>0</v>
      </c>
      <c r="T7" s="52">
        <f ca="1" t="shared" si="3"/>
        <v>0</v>
      </c>
      <c r="U7" s="52">
        <f ca="1" t="shared" si="3"/>
        <v>0</v>
      </c>
      <c r="V7" s="52">
        <f ca="1" t="shared" si="3"/>
        <v>0</v>
      </c>
      <c r="W7" s="52">
        <f ca="1" t="shared" si="3"/>
        <v>0</v>
      </c>
      <c r="X7" s="52">
        <f ca="1" t="shared" si="3"/>
        <v>0</v>
      </c>
      <c r="Y7" s="52">
        <f ca="1" t="shared" si="3"/>
        <v>0</v>
      </c>
      <c r="Z7" s="52">
        <f ca="1" t="shared" si="3"/>
        <v>0</v>
      </c>
      <c r="AA7" s="52">
        <f ca="1" t="shared" ref="AA7:AA18" si="4">+SUM(AB7:AM7)</f>
        <v>0</v>
      </c>
      <c r="AB7" s="52">
        <f ca="1" t="shared" ref="AB7:AM7" si="5">SUM(AB8:AB10)</f>
        <v>0</v>
      </c>
      <c r="AC7" s="52">
        <f ca="1" t="shared" si="5"/>
        <v>0</v>
      </c>
      <c r="AD7" s="52">
        <f ca="1" t="shared" si="5"/>
        <v>0</v>
      </c>
      <c r="AE7" s="52">
        <f ca="1" t="shared" si="5"/>
        <v>0</v>
      </c>
      <c r="AF7" s="52">
        <f ca="1" t="shared" si="5"/>
        <v>0</v>
      </c>
      <c r="AG7" s="52">
        <f ca="1" t="shared" si="5"/>
        <v>0</v>
      </c>
      <c r="AH7" s="52">
        <f ca="1" t="shared" si="5"/>
        <v>0</v>
      </c>
      <c r="AI7" s="52">
        <f ca="1" t="shared" si="5"/>
        <v>0</v>
      </c>
      <c r="AJ7" s="52">
        <f ca="1" t="shared" si="5"/>
        <v>0</v>
      </c>
      <c r="AK7" s="52">
        <f ca="1" t="shared" si="5"/>
        <v>0</v>
      </c>
      <c r="AL7" s="52">
        <f ca="1" t="shared" si="5"/>
        <v>0</v>
      </c>
      <c r="AM7" s="52">
        <f ca="1" t="shared" si="5"/>
        <v>0</v>
      </c>
      <c r="AN7" s="52">
        <f ca="1" t="shared" si="3"/>
        <v>0</v>
      </c>
      <c r="AO7" s="52">
        <f ca="1" t="shared" si="3"/>
        <v>0</v>
      </c>
      <c r="AP7" s="52">
        <f ca="1" t="shared" si="3"/>
        <v>0</v>
      </c>
      <c r="AQ7" s="52">
        <f ca="1" t="shared" si="3"/>
        <v>0</v>
      </c>
      <c r="AR7" s="52">
        <f ca="1" t="shared" si="3"/>
        <v>0</v>
      </c>
      <c r="AS7" s="52">
        <f ca="1" t="shared" si="3"/>
        <v>0</v>
      </c>
      <c r="AT7" s="52">
        <f ca="1" t="shared" si="3"/>
        <v>0</v>
      </c>
      <c r="AU7" s="52">
        <f ca="1" t="shared" si="3"/>
        <v>0</v>
      </c>
      <c r="AV7" s="52">
        <f ca="1" t="shared" si="3"/>
        <v>0</v>
      </c>
      <c r="AW7" s="52">
        <f ca="1" t="shared" si="3"/>
        <v>0</v>
      </c>
      <c r="AX7" s="52">
        <f ca="1" t="shared" si="3"/>
        <v>0</v>
      </c>
      <c r="AY7" s="52">
        <f ca="1" t="shared" si="3"/>
        <v>0</v>
      </c>
      <c r="AZ7" s="52">
        <f ca="1" t="shared" ref="AZ7:BE7" si="6">SUM(AZ8:AZ10)</f>
        <v>0</v>
      </c>
      <c r="BA7" s="87">
        <f ca="1" t="shared" si="6"/>
        <v>0</v>
      </c>
      <c r="BB7" s="52">
        <f ca="1" t="shared" si="6"/>
        <v>0</v>
      </c>
      <c r="BC7" s="52">
        <f ca="1" t="shared" si="6"/>
        <v>0</v>
      </c>
      <c r="BD7" s="52">
        <f ca="1" t="shared" si="6"/>
        <v>0</v>
      </c>
      <c r="BE7" s="52">
        <f ca="1" t="shared" si="6"/>
        <v>0</v>
      </c>
      <c r="BF7" s="74">
        <f ca="1" t="shared" ref="BF7:BF18" si="7">BE7+R7+E7</f>
        <v>0</v>
      </c>
      <c r="BG7" s="101">
        <f ca="1">F$59-$BF7</f>
        <v>0</v>
      </c>
      <c r="BH7" s="41" t="e">
        <f ca="1" t="shared" ref="BH7:BH18" si="8">BG7+D7</f>
        <v>#REF!</v>
      </c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</row>
    <row r="8" s="4" customFormat="1" ht="15.75" customHeight="1" spans="1:79">
      <c r="A8" s="45"/>
      <c r="B8" s="316" t="s">
        <v>8341</v>
      </c>
      <c r="C8" s="46" t="s">
        <v>8299</v>
      </c>
      <c r="D8" s="47" t="e">
        <f>+#REF!</f>
        <v>#REF!</v>
      </c>
      <c r="E8" s="48">
        <f ca="1">SUM(F8,J8:Q8)</f>
        <v>0</v>
      </c>
      <c r="F8" s="44">
        <f ca="1">SUM(H8:I8)</f>
        <v>0</v>
      </c>
      <c r="G8" s="49" t="e">
        <f ca="1">$D8-$BF8</f>
        <v>#REF!</v>
      </c>
      <c r="H8" s="50">
        <f ca="1">+GETPIVOTDATA("XXS4",'xuanson (2016)'!$A$3,"MA_HT","LUC","MA_QH","LUK")</f>
        <v>0</v>
      </c>
      <c r="I8" s="50">
        <f ca="1">+GETPIVOTDATA("XXS4",'xuanson (2016)'!$A$3,"MA_HT","LUC","MA_QH","LUN")</f>
        <v>0</v>
      </c>
      <c r="J8" s="50">
        <f ca="1">+GETPIVOTDATA("XXS4",'xuanson (2016)'!$A$3,"MA_HT","LUC","MA_QH","HNK")</f>
        <v>0</v>
      </c>
      <c r="K8" s="50">
        <f ca="1">+GETPIVOTDATA("XXS4",'xuanson (2016)'!$A$3,"MA_HT","LUC","MA_QH","CLN")</f>
        <v>0</v>
      </c>
      <c r="L8" s="50">
        <f ca="1">+GETPIVOTDATA("XXS4",'xuanson (2016)'!$A$3,"MA_HT","LUC","MA_QH","RSX")</f>
        <v>0</v>
      </c>
      <c r="M8" s="50">
        <f ca="1">+GETPIVOTDATA("XXS4",'xuanson (2016)'!$A$3,"MA_HT","LUC","MA_QH","RPH")</f>
        <v>0</v>
      </c>
      <c r="N8" s="50">
        <f ca="1">+GETPIVOTDATA("XXS4",'xuanson (2016)'!$A$3,"MA_HT","LUC","MA_QH","RDD")</f>
        <v>0</v>
      </c>
      <c r="O8" s="50">
        <f ca="1">+GETPIVOTDATA("XXS4",'xuanson (2016)'!$A$3,"MA_HT","LUC","MA_QH","NTS")</f>
        <v>0</v>
      </c>
      <c r="P8" s="50">
        <f ca="1">+GETPIVOTDATA("XXS4",'xuanson (2016)'!$A$3,"MA_HT","LUC","MA_QH","LMU")</f>
        <v>0</v>
      </c>
      <c r="Q8" s="50">
        <f ca="1">+GETPIVOTDATA("XXS4",'xuanson (2016)'!$A$3,"MA_HT","LUC","MA_QH","NKH")</f>
        <v>0</v>
      </c>
      <c r="R8" s="48">
        <f ca="1" t="shared" si="2"/>
        <v>0</v>
      </c>
      <c r="S8" s="50">
        <f ca="1">+GETPIVOTDATA("XXS4",'xuanson (2016)'!$A$3,"MA_HT","LUC","MA_QH","CQP")</f>
        <v>0</v>
      </c>
      <c r="T8" s="50">
        <f ca="1">+GETPIVOTDATA("XXS4",'xuanson (2016)'!$A$3,"MA_HT","LUC","MA_QH","CAN")</f>
        <v>0</v>
      </c>
      <c r="U8" s="50">
        <f ca="1">+GETPIVOTDATA("XXS4",'xuanson (2016)'!$A$3,"MA_HT","LUC","MA_QH","SKK")</f>
        <v>0</v>
      </c>
      <c r="V8" s="50">
        <f ca="1">+GETPIVOTDATA("XXS4",'xuanson (2016)'!$A$3,"MA_HT","LUC","MA_QH","SKT")</f>
        <v>0</v>
      </c>
      <c r="W8" s="50">
        <f ca="1">+GETPIVOTDATA("XXS4",'xuanson (2016)'!$A$3,"MA_HT","LUC","MA_QH","SKN")</f>
        <v>0</v>
      </c>
      <c r="X8" s="50">
        <f ca="1">+GETPIVOTDATA("XXS4",'xuanson (2016)'!$A$3,"MA_HT","LUC","MA_QH","TMD")</f>
        <v>0</v>
      </c>
      <c r="Y8" s="50">
        <f ca="1">+GETPIVOTDATA("XXS4",'xuanson (2016)'!$A$3,"MA_HT","LUC","MA_QH","SKC")</f>
        <v>0</v>
      </c>
      <c r="Z8" s="50">
        <f ca="1">+GETPIVOTDATA("XXS4",'xuanson (2016)'!$A$3,"MA_HT","LUC","MA_QH","SKS")</f>
        <v>0</v>
      </c>
      <c r="AA8" s="52">
        <f ca="1" t="shared" si="4"/>
        <v>0</v>
      </c>
      <c r="AB8" s="50">
        <f ca="1">+GETPIVOTDATA("XXS4",'xuanson (2016)'!$A$3,"MA_HT","LUC","MA_QH","DGT")</f>
        <v>0</v>
      </c>
      <c r="AC8" s="50">
        <f ca="1">+GETPIVOTDATA("XXS4",'xuanson (2016)'!$A$3,"MA_HT","LUC","MA_QH","DTL")</f>
        <v>0</v>
      </c>
      <c r="AD8" s="50">
        <f ca="1">+GETPIVOTDATA("XXS4",'xuanson (2016)'!$A$3,"MA_HT","LUC","MA_QH","DNL")</f>
        <v>0</v>
      </c>
      <c r="AE8" s="50">
        <f ca="1">+GETPIVOTDATA("XXS4",'xuanson (2016)'!$A$3,"MA_HT","LUC","MA_QH","DBV")</f>
        <v>0</v>
      </c>
      <c r="AF8" s="50">
        <f ca="1">+GETPIVOTDATA("XXS4",'xuanson (2016)'!$A$3,"MA_HT","LUC","MA_QH","DVH")</f>
        <v>0</v>
      </c>
      <c r="AG8" s="50">
        <f ca="1">+GETPIVOTDATA("XXS4",'xuanson (2016)'!$A$3,"MA_HT","LUC","MA_QH","DYT")</f>
        <v>0</v>
      </c>
      <c r="AH8" s="50">
        <f ca="1">+GETPIVOTDATA("XXS4",'xuanson (2016)'!$A$3,"MA_HT","LUC","MA_QH","DGD")</f>
        <v>0</v>
      </c>
      <c r="AI8" s="50">
        <f ca="1">+GETPIVOTDATA("XXS4",'xuanson (2016)'!$A$3,"MA_HT","LUC","MA_QH","DTT")</f>
        <v>0</v>
      </c>
      <c r="AJ8" s="50">
        <f ca="1">+GETPIVOTDATA("XXS4",'xuanson (2016)'!$A$3,"MA_HT","LUC","MA_QH","NCK")</f>
        <v>0</v>
      </c>
      <c r="AK8" s="50">
        <f ca="1">+GETPIVOTDATA("XXS4",'xuanson (2016)'!$A$3,"MA_HT","LUC","MA_QH","DXH")</f>
        <v>0</v>
      </c>
      <c r="AL8" s="50">
        <f ca="1">+GETPIVOTDATA("XXS4",'xuanson (2016)'!$A$3,"MA_HT","LUC","MA_QH","DCH")</f>
        <v>0</v>
      </c>
      <c r="AM8" s="50">
        <f ca="1">+GETPIVOTDATA("XXS4",'xuanson (2016)'!$A$3,"MA_HT","LUC","MA_QH","DKG")</f>
        <v>0</v>
      </c>
      <c r="AN8" s="50">
        <f ca="1">+GETPIVOTDATA("XXS4",'xuanson (2016)'!$A$3,"MA_HT","LUC","MA_QH","DDT")</f>
        <v>0</v>
      </c>
      <c r="AO8" s="50">
        <f ca="1">+GETPIVOTDATA("XXS4",'xuanson (2016)'!$A$3,"MA_HT","LUC","MA_QH","DDL")</f>
        <v>0</v>
      </c>
      <c r="AP8" s="50">
        <f ca="1">+GETPIVOTDATA("XXS4",'xuanson (2016)'!$A$3,"MA_HT","LUC","MA_QH","DRA")</f>
        <v>0</v>
      </c>
      <c r="AQ8" s="50">
        <f ca="1">+GETPIVOTDATA("XXS4",'xuanson (2016)'!$A$3,"MA_HT","LUC","MA_QH","ONT")</f>
        <v>0</v>
      </c>
      <c r="AR8" s="50">
        <f ca="1">+GETPIVOTDATA("XXS4",'xuanson (2016)'!$A$3,"MA_HT","LUC","MA_QH","ODT")</f>
        <v>0</v>
      </c>
      <c r="AS8" s="50">
        <f ca="1">+GETPIVOTDATA("XXS4",'xuanson (2016)'!$A$3,"MA_HT","LUC","MA_QH","TSC")</f>
        <v>0</v>
      </c>
      <c r="AT8" s="50">
        <f ca="1">+GETPIVOTDATA("XXS4",'xuanson (2016)'!$A$3,"MA_HT","LUC","MA_QH","DTS")</f>
        <v>0</v>
      </c>
      <c r="AU8" s="50">
        <f ca="1">+GETPIVOTDATA("XXS4",'xuanson (2016)'!$A$3,"MA_HT","LUC","MA_QH","DNG")</f>
        <v>0</v>
      </c>
      <c r="AV8" s="50">
        <f ca="1">+GETPIVOTDATA("XXS4",'xuanson (2016)'!$A$3,"MA_HT","LUC","MA_QH","TON")</f>
        <v>0</v>
      </c>
      <c r="AW8" s="50">
        <f ca="1">+GETPIVOTDATA("XXS4",'xuanson (2016)'!$A$3,"MA_HT","LUC","MA_QH","NTD")</f>
        <v>0</v>
      </c>
      <c r="AX8" s="50">
        <f ca="1">+GETPIVOTDATA("XXS4",'xuanson (2016)'!$A$3,"MA_HT","LUC","MA_QH","SKX")</f>
        <v>0</v>
      </c>
      <c r="AY8" s="50">
        <f ca="1">+GETPIVOTDATA("XXS4",'xuanson (2016)'!$A$3,"MA_HT","LUC","MA_QH","DSH")</f>
        <v>0</v>
      </c>
      <c r="AZ8" s="50">
        <f ca="1">+GETPIVOTDATA("XXS4",'xuanson (2016)'!$A$3,"MA_HT","LUC","MA_QH","DKV")</f>
        <v>0</v>
      </c>
      <c r="BA8" s="88">
        <f ca="1">+GETPIVOTDATA("XXS4",'xuanson (2016)'!$A$3,"MA_HT","LUC","MA_QH","TIN")</f>
        <v>0</v>
      </c>
      <c r="BB8" s="50">
        <f ca="1">+GETPIVOTDATA("XXS4",'xuanson (2016)'!$A$3,"MA_HT","LUC","MA_QH","SON")</f>
        <v>0</v>
      </c>
      <c r="BC8" s="50">
        <f ca="1">+GETPIVOTDATA("XXS4",'xuanson (2016)'!$A$3,"MA_HT","LUC","MA_QH","MNC")</f>
        <v>0</v>
      </c>
      <c r="BD8" s="50">
        <f ca="1">+GETPIVOTDATA("XXS4",'xuanson (2016)'!$A$3,"MA_HT","LUC","MA_QH","PNK")</f>
        <v>0</v>
      </c>
      <c r="BE8" s="80">
        <f ca="1">+GETPIVOTDATA("XXS4",'xuanson (2016)'!$A$3,"MA_HT","LUC","MA_QH","CSD")</f>
        <v>0</v>
      </c>
      <c r="BF8" s="103">
        <f ca="1" t="shared" si="7"/>
        <v>0</v>
      </c>
      <c r="BG8" s="104">
        <f ca="1">G$59-$BF8</f>
        <v>0</v>
      </c>
      <c r="BH8" s="47" t="e">
        <f ca="1" t="shared" si="8"/>
        <v>#REF!</v>
      </c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</row>
    <row r="9" s="4" customFormat="1" ht="15.75" customHeight="1" spans="1:79">
      <c r="A9" s="45"/>
      <c r="B9" s="316" t="s">
        <v>8342</v>
      </c>
      <c r="C9" s="46" t="s">
        <v>221</v>
      </c>
      <c r="D9" s="47" t="e">
        <f>+#REF!</f>
        <v>#REF!</v>
      </c>
      <c r="E9" s="48">
        <f ca="1">SUM(F9,J9:Q9)</f>
        <v>0</v>
      </c>
      <c r="F9" s="44">
        <f ca="1">SUM(G9,I9)</f>
        <v>0</v>
      </c>
      <c r="G9" s="51">
        <f ca="1">+GETPIVOTDATA("XXS4",'xuanson (2016)'!$A$3,"MA_HT","LUK","MA_QH","LUC")</f>
        <v>0</v>
      </c>
      <c r="H9" s="49" t="e">
        <f ca="1">$D9-$BF9</f>
        <v>#REF!</v>
      </c>
      <c r="I9" s="50">
        <f ca="1">+GETPIVOTDATA("XXS4",'xuanson (2016)'!$A$3,"MA_HT","LUK","MA_QH","LUN")</f>
        <v>0</v>
      </c>
      <c r="J9" s="50">
        <f ca="1">+GETPIVOTDATA("XXS4",'xuanson (2016)'!$A$3,"MA_HT","LUK","MA_QH","HNK")</f>
        <v>0</v>
      </c>
      <c r="K9" s="50">
        <f ca="1">+GETPIVOTDATA("XXS4",'xuanson (2016)'!$A$3,"MA_HT","LUK","MA_QH","CLN")</f>
        <v>0</v>
      </c>
      <c r="L9" s="50">
        <f ca="1">+GETPIVOTDATA("XXS4",'xuanson (2016)'!$A$3,"MA_HT","LUK","MA_QH","RSX")</f>
        <v>0</v>
      </c>
      <c r="M9" s="50">
        <f ca="1">+GETPIVOTDATA("XXS4",'xuanson (2016)'!$A$3,"MA_HT","LUK","MA_QH","RPH")</f>
        <v>0</v>
      </c>
      <c r="N9" s="50">
        <f ca="1">+GETPIVOTDATA("XXS4",'xuanson (2016)'!$A$3,"MA_HT","LUK","MA_QH","RDD")</f>
        <v>0</v>
      </c>
      <c r="O9" s="50">
        <f ca="1">+GETPIVOTDATA("XXS4",'xuanson (2016)'!$A$3,"MA_HT","LUK","MA_QH","NTS")</f>
        <v>0</v>
      </c>
      <c r="P9" s="50">
        <f ca="1">+GETPIVOTDATA("XXS4",'xuanson (2016)'!$A$3,"MA_HT","LUK","MA_QH","LMU")</f>
        <v>0</v>
      </c>
      <c r="Q9" s="50">
        <f ca="1">+GETPIVOTDATA("XXS4",'xuanson (2016)'!$A$3,"MA_HT","LUK","MA_QH","NKH")</f>
        <v>0</v>
      </c>
      <c r="R9" s="48">
        <f ca="1" t="shared" si="2"/>
        <v>0</v>
      </c>
      <c r="S9" s="50">
        <f ca="1">+GETPIVOTDATA("XXS4",'xuanson (2016)'!$A$3,"MA_HT","LUK","MA_QH","CQP")</f>
        <v>0</v>
      </c>
      <c r="T9" s="50">
        <f ca="1">+GETPIVOTDATA("XXS4",'xuanson (2016)'!$A$3,"MA_HT","LUK","MA_QH","CAN")</f>
        <v>0</v>
      </c>
      <c r="U9" s="50">
        <f ca="1">+GETPIVOTDATA("XXS4",'xuanson (2016)'!$A$3,"MA_HT","LUK","MA_QH","SKK")</f>
        <v>0</v>
      </c>
      <c r="V9" s="50">
        <f ca="1">+GETPIVOTDATA("XXS4",'xuanson (2016)'!$A$3,"MA_HT","LUK","MA_QH","SKT")</f>
        <v>0</v>
      </c>
      <c r="W9" s="50">
        <f ca="1">+GETPIVOTDATA("XXS4",'xuanson (2016)'!$A$3,"MA_HT","LUK","MA_QH","SKN")</f>
        <v>0</v>
      </c>
      <c r="X9" s="50">
        <f ca="1">+GETPIVOTDATA("XXS4",'xuanson (2016)'!$A$3,"MA_HT","LUK","MA_QH","TMD")</f>
        <v>0</v>
      </c>
      <c r="Y9" s="50">
        <f ca="1">+GETPIVOTDATA("XXS4",'xuanson (2016)'!$A$3,"MA_HT","LUK","MA_QH","SKC")</f>
        <v>0</v>
      </c>
      <c r="Z9" s="50">
        <f ca="1">+GETPIVOTDATA("XXS4",'xuanson (2016)'!$A$3,"MA_HT","LUK","MA_QH","SKS")</f>
        <v>0</v>
      </c>
      <c r="AA9" s="52">
        <f ca="1" t="shared" si="4"/>
        <v>0</v>
      </c>
      <c r="AB9" s="50">
        <f ca="1">+GETPIVOTDATA("XXS4",'xuanson (2016)'!$A$3,"MA_HT","LUK","MA_QH","DGT")</f>
        <v>0</v>
      </c>
      <c r="AC9" s="50">
        <f ca="1">+GETPIVOTDATA("XXS4",'xuanson (2016)'!$A$3,"MA_HT","LUK","MA_QH","DTL")</f>
        <v>0</v>
      </c>
      <c r="AD9" s="50">
        <f ca="1">+GETPIVOTDATA("XXS4",'xuanson (2016)'!$A$3,"MA_HT","LUK","MA_QH","DNL")</f>
        <v>0</v>
      </c>
      <c r="AE9" s="50">
        <f ca="1">+GETPIVOTDATA("XXS4",'xuanson (2016)'!$A$3,"MA_HT","LUK","MA_QH","DBV")</f>
        <v>0</v>
      </c>
      <c r="AF9" s="50">
        <f ca="1">+GETPIVOTDATA("XXS4",'xuanson (2016)'!$A$3,"MA_HT","LUK","MA_QH","DVH")</f>
        <v>0</v>
      </c>
      <c r="AG9" s="50">
        <f ca="1">+GETPIVOTDATA("XXS4",'xuanson (2016)'!$A$3,"MA_HT","LUK","MA_QH","DYT")</f>
        <v>0</v>
      </c>
      <c r="AH9" s="50">
        <f ca="1">+GETPIVOTDATA("XXS4",'xuanson (2016)'!$A$3,"MA_HT","LUK","MA_QH","DGD")</f>
        <v>0</v>
      </c>
      <c r="AI9" s="50">
        <f ca="1">+GETPIVOTDATA("XXS4",'xuanson (2016)'!$A$3,"MA_HT","LUK","MA_QH","DTT")</f>
        <v>0</v>
      </c>
      <c r="AJ9" s="50">
        <f ca="1">+GETPIVOTDATA("XXS4",'xuanson (2016)'!$A$3,"MA_HT","LUK","MA_QH","NCK")</f>
        <v>0</v>
      </c>
      <c r="AK9" s="50">
        <f ca="1">+GETPIVOTDATA("XXS4",'xuanson (2016)'!$A$3,"MA_HT","LUK","MA_QH","DXH")</f>
        <v>0</v>
      </c>
      <c r="AL9" s="50">
        <f ca="1">+GETPIVOTDATA("XXS4",'xuanson (2016)'!$A$3,"MA_HT","LUK","MA_QH","DCH")</f>
        <v>0</v>
      </c>
      <c r="AM9" s="50">
        <f ca="1">+GETPIVOTDATA("XXS4",'xuanson (2016)'!$A$3,"MA_HT","LUK","MA_QH","DKG")</f>
        <v>0</v>
      </c>
      <c r="AN9" s="50">
        <f ca="1">+GETPIVOTDATA("XXS4",'xuanson (2016)'!$A$3,"MA_HT","LUK","MA_QH","DDT")</f>
        <v>0</v>
      </c>
      <c r="AO9" s="50">
        <f ca="1">+GETPIVOTDATA("XXS4",'xuanson (2016)'!$A$3,"MA_HT","LUK","MA_QH","DDL")</f>
        <v>0</v>
      </c>
      <c r="AP9" s="50">
        <f ca="1">+GETPIVOTDATA("XXS4",'xuanson (2016)'!$A$3,"MA_HT","LUK","MA_QH","DRA")</f>
        <v>0</v>
      </c>
      <c r="AQ9" s="50">
        <f ca="1">+GETPIVOTDATA("XXS4",'xuanson (2016)'!$A$3,"MA_HT","LUK","MA_QH","ONT")</f>
        <v>0</v>
      </c>
      <c r="AR9" s="50">
        <f ca="1">+GETPIVOTDATA("XXS4",'xuanson (2016)'!$A$3,"MA_HT","LUK","MA_QH","ODT")</f>
        <v>0</v>
      </c>
      <c r="AS9" s="50">
        <f ca="1">+GETPIVOTDATA("XXS4",'xuanson (2016)'!$A$3,"MA_HT","LUK","MA_QH","TSC")</f>
        <v>0</v>
      </c>
      <c r="AT9" s="50">
        <f ca="1">+GETPIVOTDATA("XXS4",'xuanson (2016)'!$A$3,"MA_HT","LUK","MA_QH","DTS")</f>
        <v>0</v>
      </c>
      <c r="AU9" s="50">
        <f ca="1">+GETPIVOTDATA("XXS4",'xuanson (2016)'!$A$3,"MA_HT","LUK","MA_QH","DNG")</f>
        <v>0</v>
      </c>
      <c r="AV9" s="50">
        <f ca="1">+GETPIVOTDATA("XXS4",'xuanson (2016)'!$A$3,"MA_HT","LUK","MA_QH","TON")</f>
        <v>0</v>
      </c>
      <c r="AW9" s="50">
        <f ca="1">+GETPIVOTDATA("XXS4",'xuanson (2016)'!$A$3,"MA_HT","LUK","MA_QH","NTD")</f>
        <v>0</v>
      </c>
      <c r="AX9" s="50">
        <f ca="1">+GETPIVOTDATA("XXS4",'xuanson (2016)'!$A$3,"MA_HT","LUK","MA_QH","SKX")</f>
        <v>0</v>
      </c>
      <c r="AY9" s="50">
        <f ca="1">+GETPIVOTDATA("XXS4",'xuanson (2016)'!$A$3,"MA_HT","LUK","MA_QH","DSH")</f>
        <v>0</v>
      </c>
      <c r="AZ9" s="50">
        <f ca="1">+GETPIVOTDATA("XXS4",'xuanson (2016)'!$A$3,"MA_HT","LUK","MA_QH","DKV")</f>
        <v>0</v>
      </c>
      <c r="BA9" s="88">
        <f ca="1">+GETPIVOTDATA("XXS4",'xuanson (2016)'!$A$3,"MA_HT","LUK","MA_QH","TIN")</f>
        <v>0</v>
      </c>
      <c r="BB9" s="50">
        <f ca="1">+GETPIVOTDATA("XXS4",'xuanson (2016)'!$A$3,"MA_HT","LUK","MA_QH","SON")</f>
        <v>0</v>
      </c>
      <c r="BC9" s="50">
        <f ca="1">+GETPIVOTDATA("XXS4",'xuanson (2016)'!$A$3,"MA_HT","LUK","MA_QH","MNC")</f>
        <v>0</v>
      </c>
      <c r="BD9" s="50">
        <f ca="1">+GETPIVOTDATA("XXS4",'xuanson (2016)'!$A$3,"MA_HT","LUK","MA_QH","PNK")</f>
        <v>0</v>
      </c>
      <c r="BE9" s="80">
        <f ca="1">+GETPIVOTDATA("XXS4",'xuanson (2016)'!$A$3,"MA_HT","LUK","MA_QH","CSD")</f>
        <v>0</v>
      </c>
      <c r="BF9" s="103">
        <f ca="1" t="shared" si="7"/>
        <v>0</v>
      </c>
      <c r="BG9" s="104">
        <f ca="1">H$59-$BF9</f>
        <v>0</v>
      </c>
      <c r="BH9" s="47" t="e">
        <f ca="1" t="shared" si="8"/>
        <v>#REF!</v>
      </c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</row>
    <row r="10" s="4" customFormat="1" ht="15.75" customHeight="1" spans="1:79">
      <c r="A10" s="45"/>
      <c r="B10" s="316" t="s">
        <v>8343</v>
      </c>
      <c r="C10" s="46" t="s">
        <v>8300</v>
      </c>
      <c r="D10" s="47" t="e">
        <f>+#REF!</f>
        <v>#REF!</v>
      </c>
      <c r="E10" s="48">
        <f ca="1">SUM(J10:Q10,F10)</f>
        <v>0</v>
      </c>
      <c r="F10" s="44">
        <f ca="1">SUM(G10:H10)</f>
        <v>0</v>
      </c>
      <c r="G10" s="50">
        <f ca="1">+GETPIVOTDATA("XXS4",'xuanson (2016)'!$A$3,"MA_HT","LUN","MA_QH","LUC")</f>
        <v>0</v>
      </c>
      <c r="H10" s="50">
        <f ca="1">+GETPIVOTDATA("XXS4",'xuanson (2016)'!$A$3,"MA_HT","LUN","MA_QH","LUK")</f>
        <v>0</v>
      </c>
      <c r="I10" s="49" t="e">
        <f ca="1">$D10-$BF10</f>
        <v>#REF!</v>
      </c>
      <c r="J10" s="50">
        <f ca="1">+GETPIVOTDATA("XXS4",'xuanson (2016)'!$A$3,"MA_HT","LUN","MA_QH","HNK")</f>
        <v>0</v>
      </c>
      <c r="K10" s="50">
        <f ca="1">+GETPIVOTDATA("XXS4",'xuanson (2016)'!$A$3,"MA_HT","LUN","MA_QH","CLN")</f>
        <v>0</v>
      </c>
      <c r="L10" s="50">
        <f ca="1">+GETPIVOTDATA("XXS4",'xuanson (2016)'!$A$3,"MA_HT","LUN","MA_QH","RSX")</f>
        <v>0</v>
      </c>
      <c r="M10" s="50">
        <f ca="1">+GETPIVOTDATA("XXS4",'xuanson (2016)'!$A$3,"MA_HT","LUN","MA_QH","RPH")</f>
        <v>0</v>
      </c>
      <c r="N10" s="50">
        <f ca="1">+GETPIVOTDATA("XXS4",'xuanson (2016)'!$A$3,"MA_HT","LUN","MA_QH","RDD")</f>
        <v>0</v>
      </c>
      <c r="O10" s="50">
        <f ca="1">+GETPIVOTDATA("XXS4",'xuanson (2016)'!$A$3,"MA_HT","LUN","MA_QH","NTS")</f>
        <v>0</v>
      </c>
      <c r="P10" s="50">
        <f ca="1">+GETPIVOTDATA("XXS4",'xuanson (2016)'!$A$3,"MA_HT","LUN","MA_QH","LMU")</f>
        <v>0</v>
      </c>
      <c r="Q10" s="50">
        <f ca="1">+GETPIVOTDATA("XXS4",'xuanson (2016)'!$A$3,"MA_HT","LUN","MA_QH","NKH")</f>
        <v>0</v>
      </c>
      <c r="R10" s="48">
        <f ca="1" t="shared" si="2"/>
        <v>0</v>
      </c>
      <c r="S10" s="50">
        <f ca="1">+GETPIVOTDATA("XXS4",'xuanson (2016)'!$A$3,"MA_HT","LUN","MA_QH","CQP")</f>
        <v>0</v>
      </c>
      <c r="T10" s="50">
        <f ca="1">+GETPIVOTDATA("XXS4",'xuanson (2016)'!$A$3,"MA_HT","LUN","MA_QH","CAN")</f>
        <v>0</v>
      </c>
      <c r="U10" s="50">
        <f ca="1">+GETPIVOTDATA("XXS4",'xuanson (2016)'!$A$3,"MA_HT","LUN","MA_QH","SKK")</f>
        <v>0</v>
      </c>
      <c r="V10" s="50">
        <f ca="1">+GETPIVOTDATA("XXS4",'xuanson (2016)'!$A$3,"MA_HT","LUN","MA_QH","SKT")</f>
        <v>0</v>
      </c>
      <c r="W10" s="50">
        <f ca="1">+GETPIVOTDATA("XXS4",'xuanson (2016)'!$A$3,"MA_HT","LUN","MA_QH","SKN")</f>
        <v>0</v>
      </c>
      <c r="X10" s="50">
        <f ca="1">+GETPIVOTDATA("XXS4",'xuanson (2016)'!$A$3,"MA_HT","LUN","MA_QH","TMD")</f>
        <v>0</v>
      </c>
      <c r="Y10" s="50">
        <f ca="1">+GETPIVOTDATA("XXS4",'xuanson (2016)'!$A$3,"MA_HT","LUN","MA_QH","SKC")</f>
        <v>0</v>
      </c>
      <c r="Z10" s="50">
        <f ca="1">+GETPIVOTDATA("XXS4",'xuanson (2016)'!$A$3,"MA_HT","LUN","MA_QH","SKS")</f>
        <v>0</v>
      </c>
      <c r="AA10" s="52">
        <f ca="1" t="shared" si="4"/>
        <v>0</v>
      </c>
      <c r="AB10" s="50">
        <f ca="1">+GETPIVOTDATA("XXS4",'xuanson (2016)'!$A$3,"MA_HT","LUN","MA_QH","DGT")</f>
        <v>0</v>
      </c>
      <c r="AC10" s="50">
        <f ca="1">+GETPIVOTDATA("XXS4",'xuanson (2016)'!$A$3,"MA_HT","LUN","MA_QH","DTL")</f>
        <v>0</v>
      </c>
      <c r="AD10" s="50">
        <f ca="1">+GETPIVOTDATA("XXS4",'xuanson (2016)'!$A$3,"MA_HT","LUN","MA_QH","DNL")</f>
        <v>0</v>
      </c>
      <c r="AE10" s="50">
        <f ca="1">+GETPIVOTDATA("XXS4",'xuanson (2016)'!$A$3,"MA_HT","LUN","MA_QH","DBV")</f>
        <v>0</v>
      </c>
      <c r="AF10" s="50">
        <f ca="1">+GETPIVOTDATA("XXS4",'xuanson (2016)'!$A$3,"MA_HT","LUN","MA_QH","DVH")</f>
        <v>0</v>
      </c>
      <c r="AG10" s="50">
        <f ca="1">+GETPIVOTDATA("XXS4",'xuanson (2016)'!$A$3,"MA_HT","LUN","MA_QH","DYT")</f>
        <v>0</v>
      </c>
      <c r="AH10" s="50">
        <f ca="1">+GETPIVOTDATA("XXS4",'xuanson (2016)'!$A$3,"MA_HT","LUN","MA_QH","DGD")</f>
        <v>0</v>
      </c>
      <c r="AI10" s="50">
        <f ca="1">+GETPIVOTDATA("XXS4",'xuanson (2016)'!$A$3,"MA_HT","LUN","MA_QH","DTT")</f>
        <v>0</v>
      </c>
      <c r="AJ10" s="50">
        <f ca="1">+GETPIVOTDATA("XXS4",'xuanson (2016)'!$A$3,"MA_HT","LUN","MA_QH","NCK")</f>
        <v>0</v>
      </c>
      <c r="AK10" s="50">
        <f ca="1">+GETPIVOTDATA("XXS4",'xuanson (2016)'!$A$3,"MA_HT","LUN","MA_QH","DXH")</f>
        <v>0</v>
      </c>
      <c r="AL10" s="50">
        <f ca="1">+GETPIVOTDATA("XXS4",'xuanson (2016)'!$A$3,"MA_HT","LUN","MA_QH","DCH")</f>
        <v>0</v>
      </c>
      <c r="AM10" s="50">
        <f ca="1">+GETPIVOTDATA("XXS4",'xuanson (2016)'!$A$3,"MA_HT","LUN","MA_QH","DKG")</f>
        <v>0</v>
      </c>
      <c r="AN10" s="50">
        <f ca="1">+GETPIVOTDATA("XXS4",'xuanson (2016)'!$A$3,"MA_HT","LUN","MA_QH","DDT")</f>
        <v>0</v>
      </c>
      <c r="AO10" s="50">
        <f ca="1">+GETPIVOTDATA("XXS4",'xuanson (2016)'!$A$3,"MA_HT","LUN","MA_QH","DDL")</f>
        <v>0</v>
      </c>
      <c r="AP10" s="50">
        <f ca="1">+GETPIVOTDATA("XXS4",'xuanson (2016)'!$A$3,"MA_HT","LUN","MA_QH","DRA")</f>
        <v>0</v>
      </c>
      <c r="AQ10" s="50">
        <f ca="1">+GETPIVOTDATA("XXS4",'xuanson (2016)'!$A$3,"MA_HT","LUN","MA_QH","ONT")</f>
        <v>0</v>
      </c>
      <c r="AR10" s="50">
        <f ca="1">+GETPIVOTDATA("XXS4",'xuanson (2016)'!$A$3,"MA_HT","LUN","MA_QH","ODT")</f>
        <v>0</v>
      </c>
      <c r="AS10" s="50">
        <f ca="1">+GETPIVOTDATA("XXS4",'xuanson (2016)'!$A$3,"MA_HT","LUN","MA_QH","TSC")</f>
        <v>0</v>
      </c>
      <c r="AT10" s="50">
        <f ca="1">+GETPIVOTDATA("XXS4",'xuanson (2016)'!$A$3,"MA_HT","LUN","MA_QH","DTS")</f>
        <v>0</v>
      </c>
      <c r="AU10" s="50">
        <f ca="1">+GETPIVOTDATA("XXS4",'xuanson (2016)'!$A$3,"MA_HT","LUN","MA_QH","DNG")</f>
        <v>0</v>
      </c>
      <c r="AV10" s="50">
        <f ca="1">+GETPIVOTDATA("XXS4",'xuanson (2016)'!$A$3,"MA_HT","LUN","MA_QH","TON")</f>
        <v>0</v>
      </c>
      <c r="AW10" s="50">
        <f ca="1">+GETPIVOTDATA("XXS4",'xuanson (2016)'!$A$3,"MA_HT","LUN","MA_QH","NTD")</f>
        <v>0</v>
      </c>
      <c r="AX10" s="50">
        <f ca="1">+GETPIVOTDATA("XXS4",'xuanson (2016)'!$A$3,"MA_HT","LUN","MA_QH","SKX")</f>
        <v>0</v>
      </c>
      <c r="AY10" s="50">
        <f ca="1">+GETPIVOTDATA("XXS4",'xuanson (2016)'!$A$3,"MA_HT","LUN","MA_QH","DSH")</f>
        <v>0</v>
      </c>
      <c r="AZ10" s="50">
        <f ca="1">+GETPIVOTDATA("XXS4",'xuanson (2016)'!$A$3,"MA_HT","LUN","MA_QH","DKV")</f>
        <v>0</v>
      </c>
      <c r="BA10" s="88">
        <f ca="1">+GETPIVOTDATA("XXS4",'xuanson (2016)'!$A$3,"MA_HT","LUN","MA_QH","TIN")</f>
        <v>0</v>
      </c>
      <c r="BB10" s="50">
        <f ca="1">+GETPIVOTDATA("XXS4",'xuanson (2016)'!$A$3,"MA_HT","LUN","MA_QH","SON")</f>
        <v>0</v>
      </c>
      <c r="BC10" s="50">
        <f ca="1">+GETPIVOTDATA("XXS4",'xuanson (2016)'!$A$3,"MA_HT","LUN","MA_QH","MNC")</f>
        <v>0</v>
      </c>
      <c r="BD10" s="50">
        <f ca="1">+GETPIVOTDATA("XXS4",'xuanson (2016)'!$A$3,"MA_HT","LUN","MA_QH","PNK")</f>
        <v>0</v>
      </c>
      <c r="BE10" s="80">
        <f ca="1">+GETPIVOTDATA("XXS4",'xuanson (2016)'!$A$3,"MA_HT","LUN","MA_QH","CSD")</f>
        <v>0</v>
      </c>
      <c r="BF10" s="103">
        <f ca="1" t="shared" si="7"/>
        <v>0</v>
      </c>
      <c r="BG10" s="104">
        <f ca="1">I$59-$BF10</f>
        <v>0</v>
      </c>
      <c r="BH10" s="47" t="e">
        <f ca="1" t="shared" si="8"/>
        <v>#REF!</v>
      </c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</row>
    <row r="11" s="2" customFormat="1" ht="15.75" customHeight="1" spans="1:79">
      <c r="A11" s="39" t="s">
        <v>40</v>
      </c>
      <c r="B11" s="39" t="s">
        <v>8344</v>
      </c>
      <c r="C11" s="40" t="s">
        <v>2492</v>
      </c>
      <c r="D11" s="47" t="e">
        <f>+#REF!</f>
        <v>#REF!</v>
      </c>
      <c r="E11" s="42">
        <f ca="1">SUM(K11:Q11,F11)</f>
        <v>0</v>
      </c>
      <c r="F11" s="52">
        <f ca="1">SUM(G11:I11)</f>
        <v>0</v>
      </c>
      <c r="G11" s="22">
        <f ca="1">+GETPIVOTDATA("XXS4",'xuanson (2016)'!$A$3,"MA_HT","HNK","MA_QH","LUC")</f>
        <v>0</v>
      </c>
      <c r="H11" s="22">
        <f ca="1">+GETPIVOTDATA("XXS4",'xuanson (2016)'!$A$3,"MA_HT","HNK","MA_QH","LUK")</f>
        <v>0</v>
      </c>
      <c r="I11" s="22">
        <f ca="1">+GETPIVOTDATA("XXS4",'xuanson (2016)'!$A$3,"MA_HT","HNK","MA_QH","LUN")</f>
        <v>0</v>
      </c>
      <c r="J11" s="43" t="e">
        <f ca="1">$D11-$BF11</f>
        <v>#REF!</v>
      </c>
      <c r="K11" s="22">
        <f ca="1">+GETPIVOTDATA("XXS4",'xuanson (2016)'!$A$3,"MA_HT","HNK","MA_QH","CLN")</f>
        <v>0</v>
      </c>
      <c r="L11" s="22">
        <f ca="1">+GETPIVOTDATA("XXS4",'xuanson (2016)'!$A$3,"MA_HT","HNK","MA_QH","RSX")</f>
        <v>0</v>
      </c>
      <c r="M11" s="22">
        <f ca="1">+GETPIVOTDATA("XXS4",'xuanson (2016)'!$A$3,"MA_HT","HNK","MA_QH","RPH")</f>
        <v>0</v>
      </c>
      <c r="N11" s="22">
        <f ca="1">+GETPIVOTDATA("XXS4",'xuanson (2016)'!$A$3,"MA_HT","HNK","MA_QH","RDD")</f>
        <v>0</v>
      </c>
      <c r="O11" s="22">
        <f ca="1">+GETPIVOTDATA("XXS4",'xuanson (2016)'!$A$3,"MA_HT","HNK","MA_QH","NTS")</f>
        <v>0</v>
      </c>
      <c r="P11" s="22">
        <f ca="1">+GETPIVOTDATA("XXS4",'xuanson (2016)'!$A$3,"MA_HT","HNK","MA_QH","LMU")</f>
        <v>0</v>
      </c>
      <c r="Q11" s="22">
        <f ca="1">+GETPIVOTDATA("XXS4",'xuanson (2016)'!$A$3,"MA_HT","HNK","MA_QH","NKH")</f>
        <v>0</v>
      </c>
      <c r="R11" s="42">
        <f ca="1" t="shared" si="2"/>
        <v>0</v>
      </c>
      <c r="S11" s="22">
        <f ca="1">+GETPIVOTDATA("XXS4",'xuanson (2016)'!$A$3,"MA_HT","HNK","MA_QH","CQP")</f>
        <v>0</v>
      </c>
      <c r="T11" s="22">
        <f ca="1">+GETPIVOTDATA("XXS4",'xuanson (2016)'!$A$3,"MA_HT","HNK","MA_QH","CAN")</f>
        <v>0</v>
      </c>
      <c r="U11" s="22">
        <f ca="1">+GETPIVOTDATA("XXS4",'xuanson (2016)'!$A$3,"MA_HT","HNK","MA_QH","SKK")</f>
        <v>0</v>
      </c>
      <c r="V11" s="22">
        <f ca="1">+GETPIVOTDATA("XXS4",'xuanson (2016)'!$A$3,"MA_HT","HNK","MA_QH","SKT")</f>
        <v>0</v>
      </c>
      <c r="W11" s="22">
        <f ca="1">+GETPIVOTDATA("XXS4",'xuanson (2016)'!$A$3,"MA_HT","HNK","MA_QH","SKN")</f>
        <v>0</v>
      </c>
      <c r="X11" s="22">
        <f ca="1">+GETPIVOTDATA("XXS4",'xuanson (2016)'!$A$3,"MA_HT","HNK","MA_QH","TMD")</f>
        <v>0</v>
      </c>
      <c r="Y11" s="22">
        <f ca="1">+GETPIVOTDATA("XXS4",'xuanson (2016)'!$A$3,"MA_HT","HNK","MA_QH","SKC")</f>
        <v>0</v>
      </c>
      <c r="Z11" s="22">
        <f ca="1">+GETPIVOTDATA("XXS4",'xuanson (2016)'!$A$3,"MA_HT","HNK","MA_QH","SKS")</f>
        <v>0</v>
      </c>
      <c r="AA11" s="52">
        <f ca="1" t="shared" si="4"/>
        <v>0</v>
      </c>
      <c r="AB11" s="22">
        <f ca="1">+GETPIVOTDATA("XXS4",'xuanson (2016)'!$A$3,"MA_HT","HNK","MA_QH","DGT")</f>
        <v>0</v>
      </c>
      <c r="AC11" s="22">
        <f ca="1">+GETPIVOTDATA("XXS4",'xuanson (2016)'!$A$3,"MA_HT","HNK","MA_QH","DTL")</f>
        <v>0</v>
      </c>
      <c r="AD11" s="22">
        <f ca="1">+GETPIVOTDATA("XXS4",'xuanson (2016)'!$A$3,"MA_HT","HNK","MA_QH","DNL")</f>
        <v>0</v>
      </c>
      <c r="AE11" s="22">
        <f ca="1">+GETPIVOTDATA("XXS4",'xuanson (2016)'!$A$3,"MA_HT","HNK","MA_QH","DBV")</f>
        <v>0</v>
      </c>
      <c r="AF11" s="22">
        <f ca="1">+GETPIVOTDATA("XXS4",'xuanson (2016)'!$A$3,"MA_HT","HNK","MA_QH","DVH")</f>
        <v>0</v>
      </c>
      <c r="AG11" s="22">
        <f ca="1">+GETPIVOTDATA("XXS4",'xuanson (2016)'!$A$3,"MA_HT","HNK","MA_QH","DYT")</f>
        <v>0</v>
      </c>
      <c r="AH11" s="22">
        <f ca="1">+GETPIVOTDATA("XXS4",'xuanson (2016)'!$A$3,"MA_HT","HNK","MA_QH","DGD")</f>
        <v>0</v>
      </c>
      <c r="AI11" s="22">
        <f ca="1">+GETPIVOTDATA("XXS4",'xuanson (2016)'!$A$3,"MA_HT","HNK","MA_QH","DTT")</f>
        <v>0</v>
      </c>
      <c r="AJ11" s="22">
        <f ca="1">+GETPIVOTDATA("XXS4",'xuanson (2016)'!$A$3,"MA_HT","HNK","MA_QH","NCK")</f>
        <v>0</v>
      </c>
      <c r="AK11" s="22">
        <f ca="1">+GETPIVOTDATA("XXS4",'xuanson (2016)'!$A$3,"MA_HT","HNK","MA_QH","DXH")</f>
        <v>0</v>
      </c>
      <c r="AL11" s="22">
        <f ca="1">+GETPIVOTDATA("XXS4",'xuanson (2016)'!$A$3,"MA_HT","HNK","MA_QH","DCH")</f>
        <v>0</v>
      </c>
      <c r="AM11" s="22">
        <f ca="1">+GETPIVOTDATA("XXS4",'xuanson (2016)'!$A$3,"MA_HT","HNK","MA_QH","DKG")</f>
        <v>0</v>
      </c>
      <c r="AN11" s="22">
        <f ca="1">+GETPIVOTDATA("XXS4",'xuanson (2016)'!$A$3,"MA_HT","HNK","MA_QH","DDT")</f>
        <v>0</v>
      </c>
      <c r="AO11" s="22">
        <f ca="1">+GETPIVOTDATA("XXS4",'xuanson (2016)'!$A$3,"MA_HT","HNK","MA_QH","DDL")</f>
        <v>0</v>
      </c>
      <c r="AP11" s="22">
        <f ca="1">+GETPIVOTDATA("XXS4",'xuanson (2016)'!$A$3,"MA_HT","HNK","MA_QH","DRA")</f>
        <v>0</v>
      </c>
      <c r="AQ11" s="22">
        <f ca="1">+GETPIVOTDATA("XXS4",'xuanson (2016)'!$A$3,"MA_HT","HNK","MA_QH","ONT")</f>
        <v>0</v>
      </c>
      <c r="AR11" s="22">
        <f ca="1">+GETPIVOTDATA("XXS4",'xuanson (2016)'!$A$3,"MA_HT","HNK","MA_QH","ODT")</f>
        <v>0</v>
      </c>
      <c r="AS11" s="22">
        <f ca="1">+GETPIVOTDATA("XXS4",'xuanson (2016)'!$A$3,"MA_HT","HNK","MA_QH","TSC")</f>
        <v>0</v>
      </c>
      <c r="AT11" s="22">
        <f ca="1">+GETPIVOTDATA("XXS4",'xuanson (2016)'!$A$3,"MA_HT","HNK","MA_QH","DTS")</f>
        <v>0</v>
      </c>
      <c r="AU11" s="22">
        <f ca="1">+GETPIVOTDATA("XXS4",'xuanson (2016)'!$A$3,"MA_HT","HNK","MA_QH","DNG")</f>
        <v>0</v>
      </c>
      <c r="AV11" s="22">
        <f ca="1">+GETPIVOTDATA("XXS4",'xuanson (2016)'!$A$3,"MA_HT","HNK","MA_QH","TON")</f>
        <v>0</v>
      </c>
      <c r="AW11" s="22">
        <f ca="1">+GETPIVOTDATA("XXS4",'xuanson (2016)'!$A$3,"MA_HT","HNK","MA_QH","NTD")</f>
        <v>0</v>
      </c>
      <c r="AX11" s="22">
        <f ca="1">+GETPIVOTDATA("XXS4",'xuanson (2016)'!$A$3,"MA_HT","HNK","MA_QH","SKX")</f>
        <v>0</v>
      </c>
      <c r="AY11" s="22">
        <f ca="1">+GETPIVOTDATA("XXS4",'xuanson (2016)'!$A$3,"MA_HT","HNK","MA_QH","DSH")</f>
        <v>0</v>
      </c>
      <c r="AZ11" s="22">
        <f ca="1">+GETPIVOTDATA("XXS4",'xuanson (2016)'!$A$3,"MA_HT","HNK","MA_QH","DKV")</f>
        <v>0</v>
      </c>
      <c r="BA11" s="89">
        <f ca="1">+GETPIVOTDATA("XXS4",'xuanson (2016)'!$A$3,"MA_HT","HNK","MA_QH","TIN")</f>
        <v>0</v>
      </c>
      <c r="BB11" s="50">
        <f ca="1">+GETPIVOTDATA("XXS4",'xuanson (2016)'!$A$3,"MA_HT","HNK","MA_QH","SON")</f>
        <v>0</v>
      </c>
      <c r="BC11" s="50">
        <f ca="1">+GETPIVOTDATA("XXS4",'xuanson (2016)'!$A$3,"MA_HT","HNK","MA_QH","MNC")</f>
        <v>0</v>
      </c>
      <c r="BD11" s="22">
        <f ca="1">+GETPIVOTDATA("XXS4",'xuanson (2016)'!$A$3,"MA_HT","HNK","MA_QH","PNK")</f>
        <v>0</v>
      </c>
      <c r="BE11" s="71">
        <f ca="1">+GETPIVOTDATA("XXS4",'xuanson (2016)'!$A$3,"MA_HT","HNK","MA_QH","CSD")</f>
        <v>0</v>
      </c>
      <c r="BF11" s="74">
        <f ca="1" t="shared" si="7"/>
        <v>0</v>
      </c>
      <c r="BG11" s="101">
        <f ca="1">J$59-$BF11</f>
        <v>0</v>
      </c>
      <c r="BH11" s="41" t="e">
        <f ca="1" t="shared" si="8"/>
        <v>#REF!</v>
      </c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</row>
    <row r="12" s="2" customFormat="1" ht="15.75" customHeight="1" spans="1:79">
      <c r="A12" s="39" t="s">
        <v>8345</v>
      </c>
      <c r="B12" s="39" t="s">
        <v>8346</v>
      </c>
      <c r="C12" s="40" t="s">
        <v>30</v>
      </c>
      <c r="D12" s="47" t="e">
        <f>+#REF!</f>
        <v>#REF!</v>
      </c>
      <c r="E12" s="42">
        <f ca="1">SUM(L12:Q12,F12,J12)</f>
        <v>0</v>
      </c>
      <c r="F12" s="52">
        <f ca="1" t="shared" ref="F12:F58" si="9">SUM(G12:I12)</f>
        <v>0</v>
      </c>
      <c r="G12" s="22">
        <f ca="1">+GETPIVOTDATA("XXS4",'xuanson (2016)'!$A$3,"MA_HT","CLN","MA_QH","LUC")</f>
        <v>0</v>
      </c>
      <c r="H12" s="22">
        <f ca="1">+GETPIVOTDATA("XXS4",'xuanson (2016)'!$A$3,"MA_HT","CLN","MA_QH","LUK")</f>
        <v>0</v>
      </c>
      <c r="I12" s="22">
        <f ca="1">+GETPIVOTDATA("XXS4",'xuanson (2016)'!$A$3,"MA_HT","CLN","MA_QH","LUN")</f>
        <v>0</v>
      </c>
      <c r="J12" s="22">
        <f ca="1">+GETPIVOTDATA("XXS4",'xuanson (2016)'!$A$3,"MA_HT","CLN","MA_QH","HNK")</f>
        <v>0</v>
      </c>
      <c r="K12" s="43" t="e">
        <f ca="1">$D12-$BF12</f>
        <v>#REF!</v>
      </c>
      <c r="L12" s="22">
        <f ca="1">+GETPIVOTDATA("XXS4",'xuanson (2016)'!$A$3,"MA_HT","CLN","MA_QH","RSX")</f>
        <v>0</v>
      </c>
      <c r="M12" s="22">
        <f ca="1">+GETPIVOTDATA("XXS4",'xuanson (2016)'!$A$3,"MA_HT","CLN","MA_QH","RPH")</f>
        <v>0</v>
      </c>
      <c r="N12" s="22">
        <f ca="1">+GETPIVOTDATA("XXS4",'xuanson (2016)'!$A$3,"MA_HT","CLN","MA_QH","RDD")</f>
        <v>0</v>
      </c>
      <c r="O12" s="22">
        <f ca="1">+GETPIVOTDATA("XXS4",'xuanson (2016)'!$A$3,"MA_HT","CLN","MA_QH","NTS")</f>
        <v>0</v>
      </c>
      <c r="P12" s="22">
        <f ca="1">+GETPIVOTDATA("XXS4",'xuanson (2016)'!$A$3,"MA_HT","CLN","MA_QH","LMU")</f>
        <v>0</v>
      </c>
      <c r="Q12" s="22">
        <f ca="1">+GETPIVOTDATA("XXS4",'xuanson (2016)'!$A$3,"MA_HT","CLN","MA_QH","NKH")</f>
        <v>0</v>
      </c>
      <c r="R12" s="42">
        <f ca="1" t="shared" si="2"/>
        <v>0</v>
      </c>
      <c r="S12" s="22">
        <f ca="1">+GETPIVOTDATA("XXS4",'xuanson (2016)'!$A$3,"MA_HT","CLN","MA_QH","CQP")</f>
        <v>0</v>
      </c>
      <c r="T12" s="22">
        <f ca="1">+GETPIVOTDATA("XXS4",'xuanson (2016)'!$A$3,"MA_HT","CLN","MA_QH","CAN")</f>
        <v>0</v>
      </c>
      <c r="U12" s="22">
        <f ca="1">+GETPIVOTDATA("XXS4",'xuanson (2016)'!$A$3,"MA_HT","CLN","MA_QH","SKK")</f>
        <v>0</v>
      </c>
      <c r="V12" s="22">
        <f ca="1">+GETPIVOTDATA("XXS4",'xuanson (2016)'!$A$3,"MA_HT","CLN","MA_QH","SKT")</f>
        <v>0</v>
      </c>
      <c r="W12" s="22">
        <f ca="1">+GETPIVOTDATA("XXS4",'xuanson (2016)'!$A$3,"MA_HT","CLN","MA_QH","SKN")</f>
        <v>0</v>
      </c>
      <c r="X12" s="22">
        <f ca="1">+GETPIVOTDATA("XXS4",'xuanson (2016)'!$A$3,"MA_HT","CLN","MA_QH","TMD")</f>
        <v>0</v>
      </c>
      <c r="Y12" s="22">
        <f ca="1">+GETPIVOTDATA("XXS4",'xuanson (2016)'!$A$3,"MA_HT","CLN","MA_QH","SKC")</f>
        <v>0</v>
      </c>
      <c r="Z12" s="22">
        <f ca="1">+GETPIVOTDATA("XXS4",'xuanson (2016)'!$A$3,"MA_HT","CLN","MA_QH","SKS")</f>
        <v>0</v>
      </c>
      <c r="AA12" s="52">
        <f ca="1" t="shared" si="4"/>
        <v>0</v>
      </c>
      <c r="AB12" s="22">
        <f ca="1">+GETPIVOTDATA("XXS4",'xuanson (2016)'!$A$3,"MA_HT","CLN","MA_QH","DGT")</f>
        <v>0</v>
      </c>
      <c r="AC12" s="22">
        <f ca="1">+GETPIVOTDATA("XXS4",'xuanson (2016)'!$A$3,"MA_HT","CLN","MA_QH","DTL")</f>
        <v>0</v>
      </c>
      <c r="AD12" s="22">
        <f ca="1">+GETPIVOTDATA("XXS4",'xuanson (2016)'!$A$3,"MA_HT","CLN","MA_QH","DNL")</f>
        <v>0</v>
      </c>
      <c r="AE12" s="22">
        <f ca="1">+GETPIVOTDATA("XXS4",'xuanson (2016)'!$A$3,"MA_HT","CLN","MA_QH","DBV")</f>
        <v>0</v>
      </c>
      <c r="AF12" s="22">
        <f ca="1">+GETPIVOTDATA("XXS4",'xuanson (2016)'!$A$3,"MA_HT","CLN","MA_QH","DVH")</f>
        <v>0</v>
      </c>
      <c r="AG12" s="22">
        <f ca="1">+GETPIVOTDATA("XXS4",'xuanson (2016)'!$A$3,"MA_HT","CLN","MA_QH","DYT")</f>
        <v>0</v>
      </c>
      <c r="AH12" s="22">
        <f ca="1">+GETPIVOTDATA("XXS4",'xuanson (2016)'!$A$3,"MA_HT","CLN","MA_QH","DGD")</f>
        <v>0</v>
      </c>
      <c r="AI12" s="22">
        <f ca="1">+GETPIVOTDATA("XXS4",'xuanson (2016)'!$A$3,"MA_HT","CLN","MA_QH","DTT")</f>
        <v>0</v>
      </c>
      <c r="AJ12" s="22">
        <f ca="1">+GETPIVOTDATA("XXS4",'xuanson (2016)'!$A$3,"MA_HT","CLN","MA_QH","NCK")</f>
        <v>0</v>
      </c>
      <c r="AK12" s="22">
        <f ca="1">+GETPIVOTDATA("XXS4",'xuanson (2016)'!$A$3,"MA_HT","CLN","MA_QH","DXH")</f>
        <v>0</v>
      </c>
      <c r="AL12" s="22">
        <f ca="1">+GETPIVOTDATA("XXS4",'xuanson (2016)'!$A$3,"MA_HT","CLN","MA_QH","DCH")</f>
        <v>0</v>
      </c>
      <c r="AM12" s="22">
        <f ca="1">+GETPIVOTDATA("XXS4",'xuanson (2016)'!$A$3,"MA_HT","CLN","MA_QH","DKG")</f>
        <v>0</v>
      </c>
      <c r="AN12" s="22">
        <f ca="1">+GETPIVOTDATA("XXS4",'xuanson (2016)'!$A$3,"MA_HT","CLN","MA_QH","DDT")</f>
        <v>0</v>
      </c>
      <c r="AO12" s="22">
        <f ca="1">+GETPIVOTDATA("XXS4",'xuanson (2016)'!$A$3,"MA_HT","CLN","MA_QH","DDL")</f>
        <v>0</v>
      </c>
      <c r="AP12" s="22">
        <f ca="1">+GETPIVOTDATA("XXS4",'xuanson (2016)'!$A$3,"MA_HT","CLN","MA_QH","DRA")</f>
        <v>0</v>
      </c>
      <c r="AQ12" s="22">
        <f ca="1">+GETPIVOTDATA("XXS4",'xuanson (2016)'!$A$3,"MA_HT","CLN","MA_QH","ONT")</f>
        <v>0</v>
      </c>
      <c r="AR12" s="22">
        <f ca="1">+GETPIVOTDATA("XXS4",'xuanson (2016)'!$A$3,"MA_HT","CLN","MA_QH","ODT")</f>
        <v>0</v>
      </c>
      <c r="AS12" s="22">
        <f ca="1">+GETPIVOTDATA("XXS4",'xuanson (2016)'!$A$3,"MA_HT","CLN","MA_QH","TSC")</f>
        <v>0</v>
      </c>
      <c r="AT12" s="22">
        <f ca="1">+GETPIVOTDATA("XXS4",'xuanson (2016)'!$A$3,"MA_HT","CLN","MA_QH","DTS")</f>
        <v>0</v>
      </c>
      <c r="AU12" s="22">
        <f ca="1">+GETPIVOTDATA("XXS4",'xuanson (2016)'!$A$3,"MA_HT","CLN","MA_QH","DNG")</f>
        <v>0</v>
      </c>
      <c r="AV12" s="22">
        <f ca="1">+GETPIVOTDATA("XXS4",'xuanson (2016)'!$A$3,"MA_HT","CLN","MA_QH","TON")</f>
        <v>0</v>
      </c>
      <c r="AW12" s="22">
        <f ca="1">+GETPIVOTDATA("XXS4",'xuanson (2016)'!$A$3,"MA_HT","CLN","MA_QH","NTD")</f>
        <v>0</v>
      </c>
      <c r="AX12" s="22">
        <f ca="1">+GETPIVOTDATA("XXS4",'xuanson (2016)'!$A$3,"MA_HT","CLN","MA_QH","SKX")</f>
        <v>0</v>
      </c>
      <c r="AY12" s="22">
        <f ca="1">+GETPIVOTDATA("XXS4",'xuanson (2016)'!$A$3,"MA_HT","CLN","MA_QH","DSH")</f>
        <v>0</v>
      </c>
      <c r="AZ12" s="22">
        <f ca="1">+GETPIVOTDATA("XXS4",'xuanson (2016)'!$A$3,"MA_HT","CLN","MA_QH","DKV")</f>
        <v>0</v>
      </c>
      <c r="BA12" s="89">
        <f ca="1">+GETPIVOTDATA("XXS4",'xuanson (2016)'!$A$3,"MA_HT","CLN","MA_QH","TIN")</f>
        <v>0</v>
      </c>
      <c r="BB12" s="50">
        <f ca="1">+GETPIVOTDATA("XXS4",'xuanson (2016)'!$A$3,"MA_HT","CLN","MA_QH","SON")</f>
        <v>0</v>
      </c>
      <c r="BC12" s="50">
        <f ca="1">+GETPIVOTDATA("XXS4",'xuanson (2016)'!$A$3,"MA_HT","CLN","MA_QH","MNC")</f>
        <v>0</v>
      </c>
      <c r="BD12" s="22">
        <f ca="1">+GETPIVOTDATA("XXS4",'xuanson (2016)'!$A$3,"MA_HT","CLN","MA_QH","PNK")</f>
        <v>0</v>
      </c>
      <c r="BE12" s="71">
        <f ca="1">+GETPIVOTDATA("XXS4",'xuanson (2016)'!$A$3,"MA_HT","CLN","MA_QH","CSD")</f>
        <v>0</v>
      </c>
      <c r="BF12" s="74">
        <f ca="1" t="shared" si="7"/>
        <v>0</v>
      </c>
      <c r="BG12" s="101">
        <f ca="1">K$59-$BF12</f>
        <v>0</v>
      </c>
      <c r="BH12" s="41" t="e">
        <f ca="1" t="shared" si="8"/>
        <v>#REF!</v>
      </c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</row>
    <row r="13" s="2" customFormat="1" ht="15.75" customHeight="1" spans="1:79">
      <c r="A13" s="39" t="s">
        <v>8347</v>
      </c>
      <c r="B13" s="39" t="s">
        <v>8348</v>
      </c>
      <c r="C13" s="40" t="s">
        <v>8307</v>
      </c>
      <c r="D13" s="47" t="e">
        <f>+#REF!</f>
        <v>#REF!</v>
      </c>
      <c r="E13" s="42">
        <f ca="1">SUM(F13,J13:K13,M13:Q13)</f>
        <v>0</v>
      </c>
      <c r="F13" s="52">
        <f ca="1" t="shared" si="9"/>
        <v>0</v>
      </c>
      <c r="G13" s="22">
        <f ca="1">+GETPIVOTDATA("XXS4",'xuanson (2016)'!$A$3,"MA_HT","RSX","MA_QH","LUC")</f>
        <v>0</v>
      </c>
      <c r="H13" s="22">
        <f ca="1">+GETPIVOTDATA("XXS4",'xuanson (2016)'!$A$3,"MA_HT","RSX","MA_QH","LUK")</f>
        <v>0</v>
      </c>
      <c r="I13" s="22">
        <f ca="1">+GETPIVOTDATA("XXS4",'xuanson (2016)'!$A$3,"MA_HT","RSX","MA_QH","LUN")</f>
        <v>0</v>
      </c>
      <c r="J13" s="22">
        <f ca="1">+GETPIVOTDATA("XXS4",'xuanson (2016)'!$A$3,"MA_HT","RSX","MA_QH","HNK")</f>
        <v>0</v>
      </c>
      <c r="K13" s="22">
        <f ca="1">+GETPIVOTDATA("XXS4",'xuanson (2016)'!$A$3,"MA_HT","RSX","MA_QH","CLN")</f>
        <v>0</v>
      </c>
      <c r="L13" s="43" t="e">
        <f ca="1">$D13-$BF13</f>
        <v>#REF!</v>
      </c>
      <c r="M13" s="22">
        <f ca="1">+GETPIVOTDATA("XXS4",'xuanson (2016)'!$A$3,"MA_HT","RSX","MA_QH","RPH")</f>
        <v>0</v>
      </c>
      <c r="N13" s="22">
        <f ca="1">+GETPIVOTDATA("XXS4",'xuanson (2016)'!$A$3,"MA_HT","RSX","MA_QH","RDD")</f>
        <v>0</v>
      </c>
      <c r="O13" s="22">
        <f ca="1">+GETPIVOTDATA("XXS4",'xuanson (2016)'!$A$3,"MA_HT","RSX","MA_QH","NTS")</f>
        <v>0</v>
      </c>
      <c r="P13" s="22">
        <f ca="1">+GETPIVOTDATA("XXS4",'xuanson (2016)'!$A$3,"MA_HT","RSX","MA_QH","LMU")</f>
        <v>0</v>
      </c>
      <c r="Q13" s="22">
        <f ca="1">+GETPIVOTDATA("XXS4",'xuanson (2016)'!$A$3,"MA_HT","RSX","MA_QH","NKH")</f>
        <v>0</v>
      </c>
      <c r="R13" s="42">
        <f ca="1" t="shared" si="2"/>
        <v>0</v>
      </c>
      <c r="S13" s="22">
        <f ca="1">+GETPIVOTDATA("XXS4",'xuanson (2016)'!$A$3,"MA_HT","RSX","MA_QH","CQP")</f>
        <v>0</v>
      </c>
      <c r="T13" s="22">
        <f ca="1">+GETPIVOTDATA("XXS4",'xuanson (2016)'!$A$3,"MA_HT","RSX","MA_QH","CAN")</f>
        <v>0</v>
      </c>
      <c r="U13" s="22">
        <f ca="1">+GETPIVOTDATA("XXS4",'xuanson (2016)'!$A$3,"MA_HT","RSX","MA_QH","SKK")</f>
        <v>0</v>
      </c>
      <c r="V13" s="22">
        <f ca="1">+GETPIVOTDATA("XXS4",'xuanson (2016)'!$A$3,"MA_HT","RSX","MA_QH","SKT")</f>
        <v>0</v>
      </c>
      <c r="W13" s="22">
        <f ca="1">+GETPIVOTDATA("XXS4",'xuanson (2016)'!$A$3,"MA_HT","RSX","MA_QH","SKN")</f>
        <v>0</v>
      </c>
      <c r="X13" s="22">
        <f ca="1">+GETPIVOTDATA("XXS4",'xuanson (2016)'!$A$3,"MA_HT","RSX","MA_QH","TMD")</f>
        <v>0</v>
      </c>
      <c r="Y13" s="22">
        <f ca="1">+GETPIVOTDATA("XXS4",'xuanson (2016)'!$A$3,"MA_HT","RSX","MA_QH","SKC")</f>
        <v>0</v>
      </c>
      <c r="Z13" s="22">
        <f ca="1">+GETPIVOTDATA("XXS4",'xuanson (2016)'!$A$3,"MA_HT","RSX","MA_QH","SKS")</f>
        <v>0</v>
      </c>
      <c r="AA13" s="52">
        <f ca="1" t="shared" si="4"/>
        <v>0</v>
      </c>
      <c r="AB13" s="22">
        <f ca="1">+GETPIVOTDATA("XXS4",'xuanson (2016)'!$A$3,"MA_HT","RSX","MA_QH","DGT")</f>
        <v>0</v>
      </c>
      <c r="AC13" s="22">
        <f ca="1">+GETPIVOTDATA("XXS4",'xuanson (2016)'!$A$3,"MA_HT","RSX","MA_QH","DTL")</f>
        <v>0</v>
      </c>
      <c r="AD13" s="22">
        <f ca="1">+GETPIVOTDATA("XXS4",'xuanson (2016)'!$A$3,"MA_HT","RSX","MA_QH","DNL")</f>
        <v>0</v>
      </c>
      <c r="AE13" s="22">
        <f ca="1">+GETPIVOTDATA("XXS4",'xuanson (2016)'!$A$3,"MA_HT","RSX","MA_QH","DBV")</f>
        <v>0</v>
      </c>
      <c r="AF13" s="22">
        <f ca="1">+GETPIVOTDATA("XXS4",'xuanson (2016)'!$A$3,"MA_HT","RSX","MA_QH","DVH")</f>
        <v>0</v>
      </c>
      <c r="AG13" s="22">
        <f ca="1">+GETPIVOTDATA("XXS4",'xuanson (2016)'!$A$3,"MA_HT","RSX","MA_QH","DYT")</f>
        <v>0</v>
      </c>
      <c r="AH13" s="22">
        <f ca="1">+GETPIVOTDATA("XXS4",'xuanson (2016)'!$A$3,"MA_HT","RSX","MA_QH","DGD")</f>
        <v>0</v>
      </c>
      <c r="AI13" s="22">
        <f ca="1">+GETPIVOTDATA("XXS4",'xuanson (2016)'!$A$3,"MA_HT","RSX","MA_QH","DTT")</f>
        <v>0</v>
      </c>
      <c r="AJ13" s="22">
        <f ca="1">+GETPIVOTDATA("XXS4",'xuanson (2016)'!$A$3,"MA_HT","RSX","MA_QH","NCK")</f>
        <v>0</v>
      </c>
      <c r="AK13" s="22">
        <f ca="1">+GETPIVOTDATA("XXS4",'xuanson (2016)'!$A$3,"MA_HT","RSX","MA_QH","DXH")</f>
        <v>0</v>
      </c>
      <c r="AL13" s="22">
        <f ca="1">+GETPIVOTDATA("XXS4",'xuanson (2016)'!$A$3,"MA_HT","RSX","MA_QH","DCH")</f>
        <v>0</v>
      </c>
      <c r="AM13" s="22">
        <f ca="1">+GETPIVOTDATA("XXS4",'xuanson (2016)'!$A$3,"MA_HT","RSX","MA_QH","DKG")</f>
        <v>0</v>
      </c>
      <c r="AN13" s="22">
        <f ca="1">+GETPIVOTDATA("XXS4",'xuanson (2016)'!$A$3,"MA_HT","RSX","MA_QH","DDT")</f>
        <v>0</v>
      </c>
      <c r="AO13" s="22">
        <f ca="1">+GETPIVOTDATA("XXS4",'xuanson (2016)'!$A$3,"MA_HT","RSX","MA_QH","DDL")</f>
        <v>0</v>
      </c>
      <c r="AP13" s="22">
        <f ca="1">+GETPIVOTDATA("XXS4",'xuanson (2016)'!$A$3,"MA_HT","RSX","MA_QH","DRA")</f>
        <v>0</v>
      </c>
      <c r="AQ13" s="22">
        <f ca="1">+GETPIVOTDATA("XXS4",'xuanson (2016)'!$A$3,"MA_HT","RSX","MA_QH","ONT")</f>
        <v>0</v>
      </c>
      <c r="AR13" s="22">
        <f ca="1">+GETPIVOTDATA("XXS4",'xuanson (2016)'!$A$3,"MA_HT","RSX","MA_QH","ODT")</f>
        <v>0</v>
      </c>
      <c r="AS13" s="22">
        <f ca="1">+GETPIVOTDATA("XXS4",'xuanson (2016)'!$A$3,"MA_HT","RSX","MA_QH","TSC")</f>
        <v>0</v>
      </c>
      <c r="AT13" s="22">
        <f ca="1">+GETPIVOTDATA("XXS4",'xuanson (2016)'!$A$3,"MA_HT","RSX","MA_QH","DTS")</f>
        <v>0</v>
      </c>
      <c r="AU13" s="22">
        <f ca="1">+GETPIVOTDATA("XXS4",'xuanson (2016)'!$A$3,"MA_HT","RSX","MA_QH","DNG")</f>
        <v>0</v>
      </c>
      <c r="AV13" s="22">
        <f ca="1">+GETPIVOTDATA("XXS4",'xuanson (2016)'!$A$3,"MA_HT","RSX","MA_QH","TON")</f>
        <v>0</v>
      </c>
      <c r="AW13" s="22">
        <f ca="1">+GETPIVOTDATA("XXS4",'xuanson (2016)'!$A$3,"MA_HT","RSX","MA_QH","NTD")</f>
        <v>0</v>
      </c>
      <c r="AX13" s="22">
        <f ca="1">+GETPIVOTDATA("XXS4",'xuanson (2016)'!$A$3,"MA_HT","RSX","MA_QH","SKX")</f>
        <v>0</v>
      </c>
      <c r="AY13" s="22">
        <f ca="1">+GETPIVOTDATA("XXS4",'xuanson (2016)'!$A$3,"MA_HT","RSX","MA_QH","DSH")</f>
        <v>0</v>
      </c>
      <c r="AZ13" s="22">
        <f ca="1">+GETPIVOTDATA("XXS4",'xuanson (2016)'!$A$3,"MA_HT","RSX","MA_QH","DKV")</f>
        <v>0</v>
      </c>
      <c r="BA13" s="89">
        <f ca="1">+GETPIVOTDATA("XXS4",'xuanson (2016)'!$A$3,"MA_HT","RSX","MA_QH","TIN")</f>
        <v>0</v>
      </c>
      <c r="BB13" s="50">
        <f ca="1">+GETPIVOTDATA("XXS4",'xuanson (2016)'!$A$3,"MA_HT","RSX","MA_QH","SON")</f>
        <v>0</v>
      </c>
      <c r="BC13" s="50">
        <f ca="1">+GETPIVOTDATA("XXS4",'xuanson (2016)'!$A$3,"MA_HT","RSX","MA_QH","MNC")</f>
        <v>0</v>
      </c>
      <c r="BD13" s="22">
        <f ca="1">+GETPIVOTDATA("XXS4",'xuanson (2016)'!$A$3,"MA_HT","RSX","MA_QH","PNK")</f>
        <v>0</v>
      </c>
      <c r="BE13" s="71">
        <f ca="1">+GETPIVOTDATA("XXS4",'xuanson (2016)'!$A$3,"MA_HT","RSX","MA_QH","CSD")</f>
        <v>0</v>
      </c>
      <c r="BF13" s="74">
        <f ca="1" t="shared" si="7"/>
        <v>0</v>
      </c>
      <c r="BG13" s="101">
        <f ca="1">L$59-$BF13</f>
        <v>0</v>
      </c>
      <c r="BH13" s="41" t="e">
        <f ca="1" t="shared" si="8"/>
        <v>#REF!</v>
      </c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</row>
    <row r="14" s="2" customFormat="1" ht="15.75" customHeight="1" spans="1:79">
      <c r="A14" s="39" t="s">
        <v>8349</v>
      </c>
      <c r="B14" s="39" t="s">
        <v>8350</v>
      </c>
      <c r="C14" s="40" t="s">
        <v>8306</v>
      </c>
      <c r="D14" s="47" t="e">
        <f>+#REF!</f>
        <v>#REF!</v>
      </c>
      <c r="E14" s="42">
        <f ca="1">SUM(F14,J14:L14,N14:Q14)</f>
        <v>0</v>
      </c>
      <c r="F14" s="52">
        <f ca="1" t="shared" si="9"/>
        <v>0</v>
      </c>
      <c r="G14" s="22">
        <f ca="1">+GETPIVOTDATA("XXS4",'xuanson (2016)'!$A$3,"MA_HT","RPH","MA_QH","LUC")</f>
        <v>0</v>
      </c>
      <c r="H14" s="22">
        <f ca="1">+GETPIVOTDATA("XXS4",'xuanson (2016)'!$A$3,"MA_HT","RPH","MA_QH","LUK")</f>
        <v>0</v>
      </c>
      <c r="I14" s="22">
        <f ca="1">+GETPIVOTDATA("XXS4",'xuanson (2016)'!$A$3,"MA_HT","RPH","MA_QH","LUN")</f>
        <v>0</v>
      </c>
      <c r="J14" s="22">
        <f ca="1">+GETPIVOTDATA("XXS4",'xuanson (2016)'!$A$3,"MA_HT","RPH","MA_QH","HNK")</f>
        <v>0</v>
      </c>
      <c r="K14" s="22">
        <f ca="1">+GETPIVOTDATA("XXS4",'xuanson (2016)'!$A$3,"MA_HT","RPH","MA_QH","CLN")</f>
        <v>0</v>
      </c>
      <c r="L14" s="22">
        <f ca="1">+GETPIVOTDATA("XXS4",'xuanson (2016)'!$A$3,"MA_HT","RPH","MA_QH","RSX")</f>
        <v>0</v>
      </c>
      <c r="M14" s="43" t="e">
        <f ca="1">$D14-$BF14</f>
        <v>#REF!</v>
      </c>
      <c r="N14" s="22">
        <f ca="1">+GETPIVOTDATA("XXS4",'xuanson (2016)'!$A$3,"MA_HT","RPH","MA_QH","RDD")</f>
        <v>0</v>
      </c>
      <c r="O14" s="22">
        <f ca="1">+GETPIVOTDATA("XXS4",'xuanson (2016)'!$A$3,"MA_HT","RPH","MA_QH","NTS")</f>
        <v>0</v>
      </c>
      <c r="P14" s="22">
        <f ca="1">+GETPIVOTDATA("XXS4",'xuanson (2016)'!$A$3,"MA_HT","RPH","MA_QH","LMU")</f>
        <v>0</v>
      </c>
      <c r="Q14" s="22">
        <f ca="1">+GETPIVOTDATA("XXS4",'xuanson (2016)'!$A$3,"MA_HT","RPH","MA_QH","NKH")</f>
        <v>0</v>
      </c>
      <c r="R14" s="42">
        <f ca="1" t="shared" si="2"/>
        <v>0</v>
      </c>
      <c r="S14" s="22">
        <f ca="1">+GETPIVOTDATA("XXS4",'xuanson (2016)'!$A$3,"MA_HT","RPH","MA_QH","CQP")</f>
        <v>0</v>
      </c>
      <c r="T14" s="22">
        <f ca="1">+GETPIVOTDATA("XXS4",'xuanson (2016)'!$A$3,"MA_HT","RPH","MA_QH","CAN")</f>
        <v>0</v>
      </c>
      <c r="U14" s="22">
        <f ca="1">+GETPIVOTDATA("XXS4",'xuanson (2016)'!$A$3,"MA_HT","RPH","MA_QH","SKK")</f>
        <v>0</v>
      </c>
      <c r="V14" s="22">
        <f ca="1">+GETPIVOTDATA("XXS4",'xuanson (2016)'!$A$3,"MA_HT","RPH","MA_QH","SKT")</f>
        <v>0</v>
      </c>
      <c r="W14" s="22">
        <f ca="1">+GETPIVOTDATA("XXS4",'xuanson (2016)'!$A$3,"MA_HT","RPH","MA_QH","SKN")</f>
        <v>0</v>
      </c>
      <c r="X14" s="22">
        <f ca="1">+GETPIVOTDATA("XXS4",'xuanson (2016)'!$A$3,"MA_HT","RPH","MA_QH","TMD")</f>
        <v>0</v>
      </c>
      <c r="Y14" s="22">
        <f ca="1">+GETPIVOTDATA("XXS4",'xuanson (2016)'!$A$3,"MA_HT","RPH","MA_QH","SKC")</f>
        <v>0</v>
      </c>
      <c r="Z14" s="22">
        <f ca="1">+GETPIVOTDATA("XXS4",'xuanson (2016)'!$A$3,"MA_HT","RPH","MA_QH","SKS")</f>
        <v>0</v>
      </c>
      <c r="AA14" s="52">
        <f ca="1" t="shared" si="4"/>
        <v>0</v>
      </c>
      <c r="AB14" s="22">
        <f ca="1">+GETPIVOTDATA("XXS4",'xuanson (2016)'!$A$3,"MA_HT","RPH","MA_QH","DGT")</f>
        <v>0</v>
      </c>
      <c r="AC14" s="22">
        <f ca="1">+GETPIVOTDATA("XXS4",'xuanson (2016)'!$A$3,"MA_HT","RPH","MA_QH","DTL")</f>
        <v>0</v>
      </c>
      <c r="AD14" s="22">
        <f ca="1">+GETPIVOTDATA("XXS4",'xuanson (2016)'!$A$3,"MA_HT","RPH","MA_QH","DNL")</f>
        <v>0</v>
      </c>
      <c r="AE14" s="22">
        <f ca="1">+GETPIVOTDATA("XXS4",'xuanson (2016)'!$A$3,"MA_HT","RPH","MA_QH","DBV")</f>
        <v>0</v>
      </c>
      <c r="AF14" s="22">
        <f ca="1">+GETPIVOTDATA("XXS4",'xuanson (2016)'!$A$3,"MA_HT","RPH","MA_QH","DVH")</f>
        <v>0</v>
      </c>
      <c r="AG14" s="22">
        <f ca="1">+GETPIVOTDATA("XXS4",'xuanson (2016)'!$A$3,"MA_HT","RPH","MA_QH","DYT")</f>
        <v>0</v>
      </c>
      <c r="AH14" s="22">
        <f ca="1">+GETPIVOTDATA("XXS4",'xuanson (2016)'!$A$3,"MA_HT","RPH","MA_QH","DGD")</f>
        <v>0</v>
      </c>
      <c r="AI14" s="22">
        <f ca="1">+GETPIVOTDATA("XXS4",'xuanson (2016)'!$A$3,"MA_HT","RPH","MA_QH","DTT")</f>
        <v>0</v>
      </c>
      <c r="AJ14" s="22">
        <f ca="1">+GETPIVOTDATA("XXS4",'xuanson (2016)'!$A$3,"MA_HT","RPH","MA_QH","NCK")</f>
        <v>0</v>
      </c>
      <c r="AK14" s="22">
        <f ca="1">+GETPIVOTDATA("XXS4",'xuanson (2016)'!$A$3,"MA_HT","RPH","MA_QH","DXH")</f>
        <v>0</v>
      </c>
      <c r="AL14" s="22">
        <f ca="1">+GETPIVOTDATA("XXS4",'xuanson (2016)'!$A$3,"MA_HT","RPH","MA_QH","DCH")</f>
        <v>0</v>
      </c>
      <c r="AM14" s="22">
        <f ca="1">+GETPIVOTDATA("XXS4",'xuanson (2016)'!$A$3,"MA_HT","RPH","MA_QH","DKG")</f>
        <v>0</v>
      </c>
      <c r="AN14" s="22">
        <f ca="1">+GETPIVOTDATA("XXS4",'xuanson (2016)'!$A$3,"MA_HT","RPH","MA_QH","DDT")</f>
        <v>0</v>
      </c>
      <c r="AO14" s="22">
        <f ca="1">+GETPIVOTDATA("XXS4",'xuanson (2016)'!$A$3,"MA_HT","RPH","MA_QH","DDL")</f>
        <v>0</v>
      </c>
      <c r="AP14" s="22">
        <f ca="1">+GETPIVOTDATA("XXS4",'xuanson (2016)'!$A$3,"MA_HT","RPH","MA_QH","DRA")</f>
        <v>0</v>
      </c>
      <c r="AQ14" s="22">
        <f ca="1">+GETPIVOTDATA("XXS4",'xuanson (2016)'!$A$3,"MA_HT","RPH","MA_QH","ONT")</f>
        <v>0</v>
      </c>
      <c r="AR14" s="22">
        <f ca="1">+GETPIVOTDATA("XXS4",'xuanson (2016)'!$A$3,"MA_HT","RPH","MA_QH","ODT")</f>
        <v>0</v>
      </c>
      <c r="AS14" s="22">
        <f ca="1">+GETPIVOTDATA("XXS4",'xuanson (2016)'!$A$3,"MA_HT","RPH","MA_QH","TSC")</f>
        <v>0</v>
      </c>
      <c r="AT14" s="22">
        <f ca="1">+GETPIVOTDATA("XXS4",'xuanson (2016)'!$A$3,"MA_HT","RPH","MA_QH","DTS")</f>
        <v>0</v>
      </c>
      <c r="AU14" s="22">
        <f ca="1">+GETPIVOTDATA("XXS4",'xuanson (2016)'!$A$3,"MA_HT","RPH","MA_QH","DNG")</f>
        <v>0</v>
      </c>
      <c r="AV14" s="22">
        <f ca="1">+GETPIVOTDATA("XXS4",'xuanson (2016)'!$A$3,"MA_HT","RPH","MA_QH","TON")</f>
        <v>0</v>
      </c>
      <c r="AW14" s="22">
        <f ca="1">+GETPIVOTDATA("XXS4",'xuanson (2016)'!$A$3,"MA_HT","RPH","MA_QH","NTD")</f>
        <v>0</v>
      </c>
      <c r="AX14" s="22">
        <f ca="1">+GETPIVOTDATA("XXS4",'xuanson (2016)'!$A$3,"MA_HT","RPH","MA_QH","SKX")</f>
        <v>0</v>
      </c>
      <c r="AY14" s="22">
        <f ca="1">+GETPIVOTDATA("XXS4",'xuanson (2016)'!$A$3,"MA_HT","RPH","MA_QH","DSH")</f>
        <v>0</v>
      </c>
      <c r="AZ14" s="22">
        <f ca="1">+GETPIVOTDATA("XXS4",'xuanson (2016)'!$A$3,"MA_HT","RPH","MA_QH","DKV")</f>
        <v>0</v>
      </c>
      <c r="BA14" s="89">
        <f ca="1">+GETPIVOTDATA("XXS4",'xuanson (2016)'!$A$3,"MA_HT","RPH","MA_QH","TIN")</f>
        <v>0</v>
      </c>
      <c r="BB14" s="50">
        <f ca="1">+GETPIVOTDATA("XXS4",'xuanson (2016)'!$A$3,"MA_HT","RPH","MA_QH","SON")</f>
        <v>0</v>
      </c>
      <c r="BC14" s="50">
        <f ca="1">+GETPIVOTDATA("XXS4",'xuanson (2016)'!$A$3,"MA_HT","RPH","MA_QH","MNC")</f>
        <v>0</v>
      </c>
      <c r="BD14" s="22">
        <f ca="1">+GETPIVOTDATA("XXS4",'xuanson (2016)'!$A$3,"MA_HT","RPH","MA_QH","PNK")</f>
        <v>0</v>
      </c>
      <c r="BE14" s="71">
        <f ca="1">+GETPIVOTDATA("XXS4",'xuanson (2016)'!$A$3,"MA_HT","RPH","MA_QH","CSD")</f>
        <v>0</v>
      </c>
      <c r="BF14" s="74">
        <f ca="1" t="shared" si="7"/>
        <v>0</v>
      </c>
      <c r="BG14" s="101">
        <f ca="1">M$59-$BF14</f>
        <v>0</v>
      </c>
      <c r="BH14" s="41" t="e">
        <f ca="1" t="shared" si="8"/>
        <v>#REF!</v>
      </c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</row>
    <row r="15" s="2" customFormat="1" ht="15.75" customHeight="1" spans="1:79">
      <c r="A15" s="39" t="s">
        <v>8351</v>
      </c>
      <c r="B15" s="39" t="s">
        <v>8352</v>
      </c>
      <c r="C15" s="40" t="s">
        <v>8305</v>
      </c>
      <c r="D15" s="47" t="e">
        <f>+#REF!</f>
        <v>#REF!</v>
      </c>
      <c r="E15" s="42">
        <f ca="1">SUM(F15,J15:M15,O15:Q15)</f>
        <v>0</v>
      </c>
      <c r="F15" s="52">
        <f ca="1" t="shared" si="9"/>
        <v>0</v>
      </c>
      <c r="G15" s="22">
        <f ca="1">+GETPIVOTDATA("XXS4",'xuanson (2016)'!$A$3,"MA_HT","RDD","MA_QH","LUC")</f>
        <v>0</v>
      </c>
      <c r="H15" s="22">
        <f ca="1">+GETPIVOTDATA("XXS4",'xuanson (2016)'!$A$3,"MA_HT","RDD","MA_QH","LUK")</f>
        <v>0</v>
      </c>
      <c r="I15" s="22">
        <f ca="1">+GETPIVOTDATA("XXS4",'xuanson (2016)'!$A$3,"MA_HT","RDD","MA_QH","LUN")</f>
        <v>0</v>
      </c>
      <c r="J15" s="22">
        <f ca="1">+GETPIVOTDATA("XXS4",'xuanson (2016)'!$A$3,"MA_HT","RDD","MA_QH","HNK")</f>
        <v>0</v>
      </c>
      <c r="K15" s="22">
        <f ca="1">+GETPIVOTDATA("XXS4",'xuanson (2016)'!$A$3,"MA_HT","RDD","MA_QH","CLN")</f>
        <v>0</v>
      </c>
      <c r="L15" s="22">
        <f ca="1">+GETPIVOTDATA("XXS4",'xuanson (2016)'!$A$3,"MA_HT","RDD","MA_QH","RSX")</f>
        <v>0</v>
      </c>
      <c r="M15" s="22">
        <f ca="1">+GETPIVOTDATA("XXS4",'xuanson (2016)'!$A$3,"MA_HT","RDD","MA_QH","RPH")</f>
        <v>0</v>
      </c>
      <c r="N15" s="43" t="e">
        <f ca="1">$D15-$BF15</f>
        <v>#REF!</v>
      </c>
      <c r="O15" s="22">
        <f ca="1">+GETPIVOTDATA("XXS4",'xuanson (2016)'!$A$3,"MA_HT","RDD","MA_QH","NTS")</f>
        <v>0</v>
      </c>
      <c r="P15" s="22">
        <f ca="1">+GETPIVOTDATA("XXS4",'xuanson (2016)'!$A$3,"MA_HT","RDD","MA_QH","LMU")</f>
        <v>0</v>
      </c>
      <c r="Q15" s="22">
        <f ca="1">+GETPIVOTDATA("XXS4",'xuanson (2016)'!$A$3,"MA_HT","RDD","MA_QH","NKH")</f>
        <v>0</v>
      </c>
      <c r="R15" s="42">
        <f ca="1" t="shared" si="2"/>
        <v>0</v>
      </c>
      <c r="S15" s="22">
        <f ca="1">+GETPIVOTDATA("XXS4",'xuanson (2016)'!$A$3,"MA_HT","RDD","MA_QH","CQP")</f>
        <v>0</v>
      </c>
      <c r="T15" s="22">
        <f ca="1">+GETPIVOTDATA("XXS4",'xuanson (2016)'!$A$3,"MA_HT","RDD","MA_QH","CAN")</f>
        <v>0</v>
      </c>
      <c r="U15" s="22">
        <f ca="1">+GETPIVOTDATA("XXS4",'xuanson (2016)'!$A$3,"MA_HT","RDD","MA_QH","SKK")</f>
        <v>0</v>
      </c>
      <c r="V15" s="22">
        <f ca="1">+GETPIVOTDATA("XXS4",'xuanson (2016)'!$A$3,"MA_HT","RDD","MA_QH","SKT")</f>
        <v>0</v>
      </c>
      <c r="W15" s="22">
        <f ca="1">+GETPIVOTDATA("XXS4",'xuanson (2016)'!$A$3,"MA_HT","RDD","MA_QH","SKN")</f>
        <v>0</v>
      </c>
      <c r="X15" s="22">
        <f ca="1">+GETPIVOTDATA("XXS4",'xuanson (2016)'!$A$3,"MA_HT","RDD","MA_QH","TMD")</f>
        <v>0</v>
      </c>
      <c r="Y15" s="22">
        <f ca="1">+GETPIVOTDATA("XXS4",'xuanson (2016)'!$A$3,"MA_HT","RDD","MA_QH","SKC")</f>
        <v>0</v>
      </c>
      <c r="Z15" s="22">
        <f ca="1">+GETPIVOTDATA("XXS4",'xuanson (2016)'!$A$3,"MA_HT","RDD","MA_QH","SKS")</f>
        <v>0</v>
      </c>
      <c r="AA15" s="52">
        <f ca="1" t="shared" si="4"/>
        <v>0</v>
      </c>
      <c r="AB15" s="22">
        <f ca="1">+GETPIVOTDATA("XXS4",'xuanson (2016)'!$A$3,"MA_HT","RDD","MA_QH","DGT")</f>
        <v>0</v>
      </c>
      <c r="AC15" s="22">
        <f ca="1">+GETPIVOTDATA("XXS4",'xuanson (2016)'!$A$3,"MA_HT","RDD","MA_QH","DTL")</f>
        <v>0</v>
      </c>
      <c r="AD15" s="22">
        <f ca="1">+GETPIVOTDATA("XXS4",'xuanson (2016)'!$A$3,"MA_HT","RDD","MA_QH","DNL")</f>
        <v>0</v>
      </c>
      <c r="AE15" s="22">
        <f ca="1">+GETPIVOTDATA("XXS4",'xuanson (2016)'!$A$3,"MA_HT","RDD","MA_QH","DBV")</f>
        <v>0</v>
      </c>
      <c r="AF15" s="22">
        <f ca="1">+GETPIVOTDATA("XXS4",'xuanson (2016)'!$A$3,"MA_HT","RDD","MA_QH","DVH")</f>
        <v>0</v>
      </c>
      <c r="AG15" s="22">
        <f ca="1">+GETPIVOTDATA("XXS4",'xuanson (2016)'!$A$3,"MA_HT","RDD","MA_QH","DYT")</f>
        <v>0</v>
      </c>
      <c r="AH15" s="22">
        <f ca="1">+GETPIVOTDATA("XXS4",'xuanson (2016)'!$A$3,"MA_HT","RDD","MA_QH","DGD")</f>
        <v>0</v>
      </c>
      <c r="AI15" s="22">
        <f ca="1">+GETPIVOTDATA("XXS4",'xuanson (2016)'!$A$3,"MA_HT","RDD","MA_QH","DTT")</f>
        <v>0</v>
      </c>
      <c r="AJ15" s="22">
        <f ca="1">+GETPIVOTDATA("XXS4",'xuanson (2016)'!$A$3,"MA_HT","RDD","MA_QH","NCK")</f>
        <v>0</v>
      </c>
      <c r="AK15" s="22">
        <f ca="1">+GETPIVOTDATA("XXS4",'xuanson (2016)'!$A$3,"MA_HT","RDD","MA_QH","DXH")</f>
        <v>0</v>
      </c>
      <c r="AL15" s="22">
        <f ca="1">+GETPIVOTDATA("XXS4",'xuanson (2016)'!$A$3,"MA_HT","RDD","MA_QH","DCH")</f>
        <v>0</v>
      </c>
      <c r="AM15" s="22">
        <f ca="1">+GETPIVOTDATA("XXS4",'xuanson (2016)'!$A$3,"MA_HT","RDD","MA_QH","DKG")</f>
        <v>0</v>
      </c>
      <c r="AN15" s="22">
        <f ca="1">+GETPIVOTDATA("XXS4",'xuanson (2016)'!$A$3,"MA_HT","RDD","MA_QH","DDT")</f>
        <v>0</v>
      </c>
      <c r="AO15" s="22">
        <f ca="1">+GETPIVOTDATA("XXS4",'xuanson (2016)'!$A$3,"MA_HT","RDD","MA_QH","DDL")</f>
        <v>0</v>
      </c>
      <c r="AP15" s="22">
        <f ca="1">+GETPIVOTDATA("XXS4",'xuanson (2016)'!$A$3,"MA_HT","RDD","MA_QH","DRA")</f>
        <v>0</v>
      </c>
      <c r="AQ15" s="22">
        <f ca="1">+GETPIVOTDATA("XXS4",'xuanson (2016)'!$A$3,"MA_HT","RDD","MA_QH","ONT")</f>
        <v>0</v>
      </c>
      <c r="AR15" s="22">
        <f ca="1">+GETPIVOTDATA("XXS4",'xuanson (2016)'!$A$3,"MA_HT","RDD","MA_QH","ODT")</f>
        <v>0</v>
      </c>
      <c r="AS15" s="22">
        <f ca="1">+GETPIVOTDATA("XXS4",'xuanson (2016)'!$A$3,"MA_HT","RDD","MA_QH","TSC")</f>
        <v>0</v>
      </c>
      <c r="AT15" s="22">
        <f ca="1">+GETPIVOTDATA("XXS4",'xuanson (2016)'!$A$3,"MA_HT","RDD","MA_QH","DTS")</f>
        <v>0</v>
      </c>
      <c r="AU15" s="22">
        <f ca="1">+GETPIVOTDATA("XXS4",'xuanson (2016)'!$A$3,"MA_HT","RDD","MA_QH","DNG")</f>
        <v>0</v>
      </c>
      <c r="AV15" s="22">
        <f ca="1">+GETPIVOTDATA("XXS4",'xuanson (2016)'!$A$3,"MA_HT","RDD","MA_QH","TON")</f>
        <v>0</v>
      </c>
      <c r="AW15" s="22">
        <f ca="1">+GETPIVOTDATA("XXS4",'xuanson (2016)'!$A$3,"MA_HT","RDD","MA_QH","NTD")</f>
        <v>0</v>
      </c>
      <c r="AX15" s="22">
        <f ca="1">+GETPIVOTDATA("XXS4",'xuanson (2016)'!$A$3,"MA_HT","RDD","MA_QH","SKX")</f>
        <v>0</v>
      </c>
      <c r="AY15" s="22">
        <f ca="1">+GETPIVOTDATA("XXS4",'xuanson (2016)'!$A$3,"MA_HT","RDD","MA_QH","DSH")</f>
        <v>0</v>
      </c>
      <c r="AZ15" s="22">
        <f ca="1">+GETPIVOTDATA("XXS4",'xuanson (2016)'!$A$3,"MA_HT","RDD","MA_QH","DKV")</f>
        <v>0</v>
      </c>
      <c r="BA15" s="89">
        <f ca="1">+GETPIVOTDATA("XXS4",'xuanson (2016)'!$A$3,"MA_HT","RDD","MA_QH","TIN")</f>
        <v>0</v>
      </c>
      <c r="BB15" s="50">
        <f ca="1">+GETPIVOTDATA("XXS4",'xuanson (2016)'!$A$3,"MA_HT","RDD","MA_QH","SON")</f>
        <v>0</v>
      </c>
      <c r="BC15" s="50">
        <f ca="1">+GETPIVOTDATA("XXS4",'xuanson (2016)'!$A$3,"MA_HT","RDD","MA_QH","MNC")</f>
        <v>0</v>
      </c>
      <c r="BD15" s="22">
        <f ca="1">+GETPIVOTDATA("XXS4",'xuanson (2016)'!$A$3,"MA_HT","RDD","MA_QH","PNK")</f>
        <v>0</v>
      </c>
      <c r="BE15" s="71">
        <f ca="1">+GETPIVOTDATA("XXS4",'xuanson (2016)'!$A$3,"MA_HT","RDD","MA_QH","CSD")</f>
        <v>0</v>
      </c>
      <c r="BF15" s="74">
        <f ca="1" t="shared" si="7"/>
        <v>0</v>
      </c>
      <c r="BG15" s="101">
        <f ca="1">N$59-$BF15</f>
        <v>0</v>
      </c>
      <c r="BH15" s="41" t="e">
        <f ca="1" t="shared" si="8"/>
        <v>#REF!</v>
      </c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</row>
    <row r="16" s="2" customFormat="1" ht="15.75" customHeight="1" spans="1:79">
      <c r="A16" s="39" t="s">
        <v>8353</v>
      </c>
      <c r="B16" s="39" t="s">
        <v>8354</v>
      </c>
      <c r="C16" s="40" t="s">
        <v>318</v>
      </c>
      <c r="D16" s="47" t="e">
        <f>+#REF!</f>
        <v>#REF!</v>
      </c>
      <c r="E16" s="42">
        <f ca="1">SUM(F16,J16:N16,P16:Q16)</f>
        <v>0</v>
      </c>
      <c r="F16" s="52">
        <f ca="1" t="shared" si="9"/>
        <v>0</v>
      </c>
      <c r="G16" s="22">
        <f ca="1">+GETPIVOTDATA("XXS4",'xuanson (2016)'!$A$3,"MA_HT","NTS","MA_QH","LUC")</f>
        <v>0</v>
      </c>
      <c r="H16" s="22">
        <f ca="1">+GETPIVOTDATA("XXS4",'xuanson (2016)'!$A$3,"MA_HT","NTS","MA_QH","LUK")</f>
        <v>0</v>
      </c>
      <c r="I16" s="22">
        <f ca="1">+GETPIVOTDATA("XXS4",'xuanson (2016)'!$A$3,"MA_HT","NTS","MA_QH","LUN")</f>
        <v>0</v>
      </c>
      <c r="J16" s="22">
        <f ca="1">+GETPIVOTDATA("XXS4",'xuanson (2016)'!$A$3,"MA_HT","NTS","MA_QH","HNK")</f>
        <v>0</v>
      </c>
      <c r="K16" s="22">
        <f ca="1">+GETPIVOTDATA("XXS4",'xuanson (2016)'!$A$3,"MA_HT","NTS","MA_QH","CLN")</f>
        <v>0</v>
      </c>
      <c r="L16" s="22">
        <f ca="1">+GETPIVOTDATA("XXS4",'xuanson (2016)'!$A$3,"MA_HT","NTS","MA_QH","RSX")</f>
        <v>0</v>
      </c>
      <c r="M16" s="22">
        <f ca="1">+GETPIVOTDATA("XXS4",'xuanson (2016)'!$A$3,"MA_HT","NTS","MA_QH","RPH")</f>
        <v>0</v>
      </c>
      <c r="N16" s="22">
        <f ca="1">+GETPIVOTDATA("XXS4",'xuanson (2016)'!$A$3,"MA_HT","NTS","MA_QH","RDD")</f>
        <v>0</v>
      </c>
      <c r="O16" s="43" t="e">
        <f ca="1">$D16-$BF16</f>
        <v>#REF!</v>
      </c>
      <c r="P16" s="22">
        <f ca="1">+GETPIVOTDATA("XXS4",'xuanson (2016)'!$A$3,"MA_HT","NTS","MA_QH","LMU")</f>
        <v>0</v>
      </c>
      <c r="Q16" s="22">
        <f ca="1">+GETPIVOTDATA("XXS4",'xuanson (2016)'!$A$3,"MA_HT","NTS","MA_QH","NKH")</f>
        <v>0</v>
      </c>
      <c r="R16" s="42">
        <f ca="1" t="shared" si="2"/>
        <v>0</v>
      </c>
      <c r="S16" s="22">
        <f ca="1">+GETPIVOTDATA("XXS4",'xuanson (2016)'!$A$3,"MA_HT","NTS","MA_QH","CQP")</f>
        <v>0</v>
      </c>
      <c r="T16" s="22">
        <f ca="1">+GETPIVOTDATA("XXS4",'xuanson (2016)'!$A$3,"MA_HT","NTS","MA_QH","CAN")</f>
        <v>0</v>
      </c>
      <c r="U16" s="22">
        <f ca="1">+GETPIVOTDATA("XXS4",'xuanson (2016)'!$A$3,"MA_HT","NTS","MA_QH","SKK")</f>
        <v>0</v>
      </c>
      <c r="V16" s="22">
        <f ca="1">+GETPIVOTDATA("XXS4",'xuanson (2016)'!$A$3,"MA_HT","NTS","MA_QH","SKT")</f>
        <v>0</v>
      </c>
      <c r="W16" s="22">
        <f ca="1">+GETPIVOTDATA("XXS4",'xuanson (2016)'!$A$3,"MA_HT","NTS","MA_QH","SKN")</f>
        <v>0</v>
      </c>
      <c r="X16" s="22">
        <f ca="1">+GETPIVOTDATA("XXS4",'xuanson (2016)'!$A$3,"MA_HT","NTS","MA_QH","TMD")</f>
        <v>0</v>
      </c>
      <c r="Y16" s="22">
        <f ca="1">+GETPIVOTDATA("XXS4",'xuanson (2016)'!$A$3,"MA_HT","NTS","MA_QH","SKC")</f>
        <v>0</v>
      </c>
      <c r="Z16" s="22">
        <f ca="1">+GETPIVOTDATA("XXS4",'xuanson (2016)'!$A$3,"MA_HT","NTS","MA_QH","SKS")</f>
        <v>0</v>
      </c>
      <c r="AA16" s="52">
        <f ca="1" t="shared" si="4"/>
        <v>0</v>
      </c>
      <c r="AB16" s="22">
        <f ca="1">+GETPIVOTDATA("XXS4",'xuanson (2016)'!$A$3,"MA_HT","NTS","MA_QH","DGT")</f>
        <v>0</v>
      </c>
      <c r="AC16" s="22">
        <f ca="1">+GETPIVOTDATA("XXS4",'xuanson (2016)'!$A$3,"MA_HT","NTS","MA_QH","DTL")</f>
        <v>0</v>
      </c>
      <c r="AD16" s="22">
        <f ca="1">+GETPIVOTDATA("XXS4",'xuanson (2016)'!$A$3,"MA_HT","NTS","MA_QH","DNL")</f>
        <v>0</v>
      </c>
      <c r="AE16" s="22">
        <f ca="1">+GETPIVOTDATA("XXS4",'xuanson (2016)'!$A$3,"MA_HT","NTS","MA_QH","DBV")</f>
        <v>0</v>
      </c>
      <c r="AF16" s="22">
        <f ca="1">+GETPIVOTDATA("XXS4",'xuanson (2016)'!$A$3,"MA_HT","NTS","MA_QH","DVH")</f>
        <v>0</v>
      </c>
      <c r="AG16" s="22">
        <f ca="1">+GETPIVOTDATA("XXS4",'xuanson (2016)'!$A$3,"MA_HT","NTS","MA_QH","DYT")</f>
        <v>0</v>
      </c>
      <c r="AH16" s="22">
        <f ca="1">+GETPIVOTDATA("XXS4",'xuanson (2016)'!$A$3,"MA_HT","NTS","MA_QH","DGD")</f>
        <v>0</v>
      </c>
      <c r="AI16" s="22">
        <f ca="1">+GETPIVOTDATA("XXS4",'xuanson (2016)'!$A$3,"MA_HT","NTS","MA_QH","DTT")</f>
        <v>0</v>
      </c>
      <c r="AJ16" s="22">
        <f ca="1">+GETPIVOTDATA("XXS4",'xuanson (2016)'!$A$3,"MA_HT","NTS","MA_QH","NCK")</f>
        <v>0</v>
      </c>
      <c r="AK16" s="22">
        <f ca="1">+GETPIVOTDATA("XXS4",'xuanson (2016)'!$A$3,"MA_HT","NTS","MA_QH","DXH")</f>
        <v>0</v>
      </c>
      <c r="AL16" s="22">
        <f ca="1">+GETPIVOTDATA("XXS4",'xuanson (2016)'!$A$3,"MA_HT","NTS","MA_QH","DCH")</f>
        <v>0</v>
      </c>
      <c r="AM16" s="22">
        <f ca="1">+GETPIVOTDATA("XXS4",'xuanson (2016)'!$A$3,"MA_HT","NTS","MA_QH","DKG")</f>
        <v>0</v>
      </c>
      <c r="AN16" s="22">
        <f ca="1">+GETPIVOTDATA("XXS4",'xuanson (2016)'!$A$3,"MA_HT","NTS","MA_QH","DDT")</f>
        <v>0</v>
      </c>
      <c r="AO16" s="22">
        <f ca="1">+GETPIVOTDATA("XXS4",'xuanson (2016)'!$A$3,"MA_HT","NTS","MA_QH","DDL")</f>
        <v>0</v>
      </c>
      <c r="AP16" s="22">
        <f ca="1">+GETPIVOTDATA("XXS4",'xuanson (2016)'!$A$3,"MA_HT","NTS","MA_QH","DRA")</f>
        <v>0</v>
      </c>
      <c r="AQ16" s="22">
        <f ca="1">+GETPIVOTDATA("XXS4",'xuanson (2016)'!$A$3,"MA_HT","NTS","MA_QH","ONT")</f>
        <v>0</v>
      </c>
      <c r="AR16" s="22">
        <f ca="1">+GETPIVOTDATA("XXS4",'xuanson (2016)'!$A$3,"MA_HT","NTS","MA_QH","ODT")</f>
        <v>0</v>
      </c>
      <c r="AS16" s="22">
        <f ca="1">+GETPIVOTDATA("XXS4",'xuanson (2016)'!$A$3,"MA_HT","NTS","MA_QH","TSC")</f>
        <v>0</v>
      </c>
      <c r="AT16" s="22">
        <f ca="1">+GETPIVOTDATA("XXS4",'xuanson (2016)'!$A$3,"MA_HT","NTS","MA_QH","DTS")</f>
        <v>0</v>
      </c>
      <c r="AU16" s="22">
        <f ca="1">+GETPIVOTDATA("XXS4",'xuanson (2016)'!$A$3,"MA_HT","NTS","MA_QH","DNG")</f>
        <v>0</v>
      </c>
      <c r="AV16" s="22">
        <f ca="1">+GETPIVOTDATA("XXS4",'xuanson (2016)'!$A$3,"MA_HT","NTS","MA_QH","TON")</f>
        <v>0</v>
      </c>
      <c r="AW16" s="22">
        <f ca="1">+GETPIVOTDATA("XXS4",'xuanson (2016)'!$A$3,"MA_HT","NTS","MA_QH","NTD")</f>
        <v>0</v>
      </c>
      <c r="AX16" s="22">
        <f ca="1">+GETPIVOTDATA("XXS4",'xuanson (2016)'!$A$3,"MA_HT","NTS","MA_QH","SKX")</f>
        <v>0</v>
      </c>
      <c r="AY16" s="22">
        <f ca="1">+GETPIVOTDATA("XXS4",'xuanson (2016)'!$A$3,"MA_HT","NTS","MA_QH","DSH")</f>
        <v>0</v>
      </c>
      <c r="AZ16" s="22">
        <f ca="1">+GETPIVOTDATA("XXS4",'xuanson (2016)'!$A$3,"MA_HT","NTS","MA_QH","DKV")</f>
        <v>0</v>
      </c>
      <c r="BA16" s="89">
        <f ca="1">+GETPIVOTDATA("XXS4",'xuanson (2016)'!$A$3,"MA_HT","NTS","MA_QH","TIN")</f>
        <v>0</v>
      </c>
      <c r="BB16" s="50">
        <f ca="1">+GETPIVOTDATA("XXS4",'xuanson (2016)'!$A$3,"MA_HT","NTS","MA_QH","SON")</f>
        <v>0</v>
      </c>
      <c r="BC16" s="50">
        <f ca="1">+GETPIVOTDATA("XXS4",'xuanson (2016)'!$A$3,"MA_HT","NTS","MA_QH","MNC")</f>
        <v>0</v>
      </c>
      <c r="BD16" s="22">
        <f ca="1">+GETPIVOTDATA("XXS4",'xuanson (2016)'!$A$3,"MA_HT","NTS","MA_QH","PNK")</f>
        <v>0</v>
      </c>
      <c r="BE16" s="71">
        <f ca="1">+GETPIVOTDATA("XXS4",'xuanson (2016)'!$A$3,"MA_HT","NTS","MA_QH","CSD")</f>
        <v>0</v>
      </c>
      <c r="BF16" s="74">
        <f ca="1" t="shared" si="7"/>
        <v>0</v>
      </c>
      <c r="BG16" s="101">
        <f ca="1">O$59-$BF16</f>
        <v>0</v>
      </c>
      <c r="BH16" s="41" t="e">
        <f ca="1" t="shared" si="8"/>
        <v>#REF!</v>
      </c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</row>
    <row r="17" s="2" customFormat="1" ht="15.75" customHeight="1" spans="1:79">
      <c r="A17" s="39" t="s">
        <v>8355</v>
      </c>
      <c r="B17" s="39" t="s">
        <v>8356</v>
      </c>
      <c r="C17" s="40" t="s">
        <v>8297</v>
      </c>
      <c r="D17" s="47" t="e">
        <f>+#REF!</f>
        <v>#REF!</v>
      </c>
      <c r="E17" s="42">
        <f ca="1">SUM(F17,J17:O17,Q17:Q17)</f>
        <v>0</v>
      </c>
      <c r="F17" s="52">
        <f ca="1" t="shared" si="9"/>
        <v>0</v>
      </c>
      <c r="G17" s="22">
        <f ca="1">+GETPIVOTDATA("XXS4",'xuanson (2016)'!$A$3,"MA_HT","LMU","MA_QH","LUC")</f>
        <v>0</v>
      </c>
      <c r="H17" s="22">
        <f ca="1">+GETPIVOTDATA("XXS4",'xuanson (2016)'!$A$3,"MA_HT","LMU","MA_QH","LUK")</f>
        <v>0</v>
      </c>
      <c r="I17" s="22">
        <f ca="1">+GETPIVOTDATA("XXS4",'xuanson (2016)'!$A$3,"MA_HT","LMU","MA_QH","LUN")</f>
        <v>0</v>
      </c>
      <c r="J17" s="22">
        <f ca="1">+GETPIVOTDATA("XXS4",'xuanson (2016)'!$A$3,"MA_HT","LMU","MA_QH","HNK")</f>
        <v>0</v>
      </c>
      <c r="K17" s="22">
        <f ca="1">+GETPIVOTDATA("XXS4",'xuanson (2016)'!$A$3,"MA_HT","LMU","MA_QH","CLN")</f>
        <v>0</v>
      </c>
      <c r="L17" s="22">
        <f ca="1">+GETPIVOTDATA("XXS4",'xuanson (2016)'!$A$3,"MA_HT","LMU","MA_QH","RSX")</f>
        <v>0</v>
      </c>
      <c r="M17" s="22">
        <f ca="1">+GETPIVOTDATA("XXS4",'xuanson (2016)'!$A$3,"MA_HT","LMU","MA_QH","RPH")</f>
        <v>0</v>
      </c>
      <c r="N17" s="22">
        <f ca="1">+GETPIVOTDATA("XXS4",'xuanson (2016)'!$A$3,"MA_HT","LMU","MA_QH","RDD")</f>
        <v>0</v>
      </c>
      <c r="O17" s="22">
        <f ca="1">+GETPIVOTDATA("XXS4",'xuanson (2016)'!$A$3,"MA_HT","LMU","MA_QH","NTS")</f>
        <v>0</v>
      </c>
      <c r="P17" s="43" t="e">
        <f ca="1">$D17-$BF17</f>
        <v>#REF!</v>
      </c>
      <c r="Q17" s="22">
        <f ca="1">+GETPIVOTDATA("XXS4",'xuanson (2016)'!$A$3,"MA_HT","LMU","MA_QH","NKH")</f>
        <v>0</v>
      </c>
      <c r="R17" s="42">
        <f ca="1" t="shared" si="2"/>
        <v>0</v>
      </c>
      <c r="S17" s="22">
        <f ca="1">+GETPIVOTDATA("XXS4",'xuanson (2016)'!$A$3,"MA_HT","LMU","MA_QH","CQP")</f>
        <v>0</v>
      </c>
      <c r="T17" s="22">
        <f ca="1">+GETPIVOTDATA("XXS4",'xuanson (2016)'!$A$3,"MA_HT","LMU","MA_QH","CAN")</f>
        <v>0</v>
      </c>
      <c r="U17" s="22">
        <f ca="1">+GETPIVOTDATA("XXS4",'xuanson (2016)'!$A$3,"MA_HT","LMU","MA_QH","SKK")</f>
        <v>0</v>
      </c>
      <c r="V17" s="22">
        <f ca="1">+GETPIVOTDATA("XXS4",'xuanson (2016)'!$A$3,"MA_HT","LMU","MA_QH","SKT")</f>
        <v>0</v>
      </c>
      <c r="W17" s="22">
        <f ca="1">+GETPIVOTDATA("XXS4",'xuanson (2016)'!$A$3,"MA_HT","LMU","MA_QH","SKN")</f>
        <v>0</v>
      </c>
      <c r="X17" s="22">
        <f ca="1">+GETPIVOTDATA("XXS4",'xuanson (2016)'!$A$3,"MA_HT","LMU","MA_QH","TMD")</f>
        <v>0</v>
      </c>
      <c r="Y17" s="22">
        <f ca="1">+GETPIVOTDATA("XXS4",'xuanson (2016)'!$A$3,"MA_HT","LMU","MA_QH","SKC")</f>
        <v>0</v>
      </c>
      <c r="Z17" s="22">
        <f ca="1">+GETPIVOTDATA("XXS4",'xuanson (2016)'!$A$3,"MA_HT","LMU","MA_QH","SKS")</f>
        <v>0</v>
      </c>
      <c r="AA17" s="52">
        <f ca="1" t="shared" si="4"/>
        <v>0</v>
      </c>
      <c r="AB17" s="22">
        <f ca="1">+GETPIVOTDATA("XXS4",'xuanson (2016)'!$A$3,"MA_HT","LMU","MA_QH","DGT")</f>
        <v>0</v>
      </c>
      <c r="AC17" s="22">
        <f ca="1">+GETPIVOTDATA("XXS4",'xuanson (2016)'!$A$3,"MA_HT","LMU","MA_QH","DTL")</f>
        <v>0</v>
      </c>
      <c r="AD17" s="22">
        <f ca="1">+GETPIVOTDATA("XXS4",'xuanson (2016)'!$A$3,"MA_HT","LMU","MA_QH","DNL")</f>
        <v>0</v>
      </c>
      <c r="AE17" s="22">
        <f ca="1">+GETPIVOTDATA("XXS4",'xuanson (2016)'!$A$3,"MA_HT","LMU","MA_QH","DBV")</f>
        <v>0</v>
      </c>
      <c r="AF17" s="22">
        <f ca="1">+GETPIVOTDATA("XXS4",'xuanson (2016)'!$A$3,"MA_HT","LMU","MA_QH","DVH")</f>
        <v>0</v>
      </c>
      <c r="AG17" s="22">
        <f ca="1">+GETPIVOTDATA("XXS4",'xuanson (2016)'!$A$3,"MA_HT","LMU","MA_QH","DYT")</f>
        <v>0</v>
      </c>
      <c r="AH17" s="22">
        <f ca="1">+GETPIVOTDATA("XXS4",'xuanson (2016)'!$A$3,"MA_HT","LMU","MA_QH","DGD")</f>
        <v>0</v>
      </c>
      <c r="AI17" s="22">
        <f ca="1">+GETPIVOTDATA("XXS4",'xuanson (2016)'!$A$3,"MA_HT","LMU","MA_QH","DTT")</f>
        <v>0</v>
      </c>
      <c r="AJ17" s="22">
        <f ca="1">+GETPIVOTDATA("XXS4",'xuanson (2016)'!$A$3,"MA_HT","LMU","MA_QH","NCK")</f>
        <v>0</v>
      </c>
      <c r="AK17" s="22">
        <f ca="1">+GETPIVOTDATA("XXS4",'xuanson (2016)'!$A$3,"MA_HT","LMU","MA_QH","DXH")</f>
        <v>0</v>
      </c>
      <c r="AL17" s="22">
        <f ca="1">+GETPIVOTDATA("XXS4",'xuanson (2016)'!$A$3,"MA_HT","LMU","MA_QH","DCH")</f>
        <v>0</v>
      </c>
      <c r="AM17" s="22">
        <f ca="1">+GETPIVOTDATA("XXS4",'xuanson (2016)'!$A$3,"MA_HT","LMU","MA_QH","DKG")</f>
        <v>0</v>
      </c>
      <c r="AN17" s="22">
        <f ca="1">+GETPIVOTDATA("XXS4",'xuanson (2016)'!$A$3,"MA_HT","LMU","MA_QH","DDT")</f>
        <v>0</v>
      </c>
      <c r="AO17" s="22">
        <f ca="1">+GETPIVOTDATA("XXS4",'xuanson (2016)'!$A$3,"MA_HT","LMU","MA_QH","DDL")</f>
        <v>0</v>
      </c>
      <c r="AP17" s="22">
        <f ca="1">+GETPIVOTDATA("XXS4",'xuanson (2016)'!$A$3,"MA_HT","LMU","MA_QH","DRA")</f>
        <v>0</v>
      </c>
      <c r="AQ17" s="22">
        <f ca="1">+GETPIVOTDATA("XXS4",'xuanson (2016)'!$A$3,"MA_HT","LMU","MA_QH","ONT")</f>
        <v>0</v>
      </c>
      <c r="AR17" s="22">
        <f ca="1">+GETPIVOTDATA("XXS4",'xuanson (2016)'!$A$3,"MA_HT","LMU","MA_QH","ODT")</f>
        <v>0</v>
      </c>
      <c r="AS17" s="22">
        <f ca="1">+GETPIVOTDATA("XXS4",'xuanson (2016)'!$A$3,"MA_HT","LMU","MA_QH","TSC")</f>
        <v>0</v>
      </c>
      <c r="AT17" s="22">
        <f ca="1">+GETPIVOTDATA("XXS4",'xuanson (2016)'!$A$3,"MA_HT","LMU","MA_QH","DTS")</f>
        <v>0</v>
      </c>
      <c r="AU17" s="22">
        <f ca="1">+GETPIVOTDATA("XXS4",'xuanson (2016)'!$A$3,"MA_HT","LMU","MA_QH","DNG")</f>
        <v>0</v>
      </c>
      <c r="AV17" s="22">
        <f ca="1">+GETPIVOTDATA("XXS4",'xuanson (2016)'!$A$3,"MA_HT","LMU","MA_QH","TON")</f>
        <v>0</v>
      </c>
      <c r="AW17" s="22">
        <f ca="1">+GETPIVOTDATA("XXS4",'xuanson (2016)'!$A$3,"MA_HT","LMU","MA_QH","NTD")</f>
        <v>0</v>
      </c>
      <c r="AX17" s="22">
        <f ca="1">+GETPIVOTDATA("XXS4",'xuanson (2016)'!$A$3,"MA_HT","LMU","MA_QH","SKX")</f>
        <v>0</v>
      </c>
      <c r="AY17" s="22">
        <f ca="1">+GETPIVOTDATA("XXS4",'xuanson (2016)'!$A$3,"MA_HT","LMU","MA_QH","DSH")</f>
        <v>0</v>
      </c>
      <c r="AZ17" s="22">
        <f ca="1">+GETPIVOTDATA("XXS4",'xuanson (2016)'!$A$3,"MA_HT","LMU","MA_QH","DKV")</f>
        <v>0</v>
      </c>
      <c r="BA17" s="89">
        <f ca="1">+GETPIVOTDATA("XXS4",'xuanson (2016)'!$A$3,"MA_HT","LMU","MA_QH","TIN")</f>
        <v>0</v>
      </c>
      <c r="BB17" s="50">
        <f ca="1">+GETPIVOTDATA("XXS4",'xuanson (2016)'!$A$3,"MA_HT","LMU","MA_QH","SON")</f>
        <v>0</v>
      </c>
      <c r="BC17" s="50">
        <f ca="1">+GETPIVOTDATA("XXS4",'xuanson (2016)'!$A$3,"MA_HT","LMU","MA_QH","MNC")</f>
        <v>0</v>
      </c>
      <c r="BD17" s="22">
        <f ca="1">+GETPIVOTDATA("XXS4",'xuanson (2016)'!$A$3,"MA_HT","LMU","MA_QH","PNK")</f>
        <v>0</v>
      </c>
      <c r="BE17" s="71">
        <f ca="1">+GETPIVOTDATA("XXS4",'xuanson (2016)'!$A$3,"MA_HT","LMU","MA_QH","CSD")</f>
        <v>0</v>
      </c>
      <c r="BF17" s="74">
        <f ca="1" t="shared" si="7"/>
        <v>0</v>
      </c>
      <c r="BG17" s="101">
        <f ca="1">P$59-$BF17</f>
        <v>0</v>
      </c>
      <c r="BH17" s="41" t="e">
        <f ca="1" t="shared" si="8"/>
        <v>#REF!</v>
      </c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</row>
    <row r="18" s="2" customFormat="1" ht="15.75" customHeight="1" spans="1:79">
      <c r="A18" s="39" t="s">
        <v>8357</v>
      </c>
      <c r="B18" s="39" t="s">
        <v>8358</v>
      </c>
      <c r="C18" s="40" t="s">
        <v>553</v>
      </c>
      <c r="D18" s="47" t="e">
        <f>+#REF!</f>
        <v>#REF!</v>
      </c>
      <c r="E18" s="42">
        <f ca="1">SUM(F18,J18:P18)</f>
        <v>0</v>
      </c>
      <c r="F18" s="52">
        <f ca="1" t="shared" si="9"/>
        <v>0</v>
      </c>
      <c r="G18" s="22">
        <f ca="1">+GETPIVOTDATA("XXS4",'xuanson (2016)'!$A$3,"MA_HT","NKH","MA_QH","LUC")</f>
        <v>0</v>
      </c>
      <c r="H18" s="22">
        <f ca="1">+GETPIVOTDATA("XXS4",'xuanson (2016)'!$A$3,"MA_HT","NKH","MA_QH","LUK")</f>
        <v>0</v>
      </c>
      <c r="I18" s="22">
        <f ca="1">+GETPIVOTDATA("XXS4",'xuanson (2016)'!$A$3,"MA_HT","NKH","MA_QH","LUN")</f>
        <v>0</v>
      </c>
      <c r="J18" s="22">
        <f ca="1">+GETPIVOTDATA("XXS4",'xuanson (2016)'!$A$3,"MA_HT","NKH","MA_QH","HNK")</f>
        <v>0</v>
      </c>
      <c r="K18" s="22">
        <f ca="1">+GETPIVOTDATA("XXS4",'xuanson (2016)'!$A$3,"MA_HT","NKH","MA_QH","CLN")</f>
        <v>0</v>
      </c>
      <c r="L18" s="22">
        <f ca="1">+GETPIVOTDATA("XXS4",'xuanson (2016)'!$A$3,"MA_HT","NKH","MA_QH","RSX")</f>
        <v>0</v>
      </c>
      <c r="M18" s="22">
        <f ca="1">+GETPIVOTDATA("XXS4",'xuanson (2016)'!$A$3,"MA_HT","NKH","MA_QH","RPH")</f>
        <v>0</v>
      </c>
      <c r="N18" s="22">
        <f ca="1">+GETPIVOTDATA("XXS4",'xuanson (2016)'!$A$3,"MA_HT","NKH","MA_QH","RDD")</f>
        <v>0</v>
      </c>
      <c r="O18" s="22">
        <f ca="1">+GETPIVOTDATA("XXS4",'xuanson (2016)'!$A$3,"MA_HT","NKH","MA_QH","NTS")</f>
        <v>0</v>
      </c>
      <c r="P18" s="22">
        <f ca="1">+GETPIVOTDATA("XXS4",'xuanson (2016)'!$A$3,"MA_HT","NKH","MA_QH","LMU")</f>
        <v>0</v>
      </c>
      <c r="Q18" s="43" t="e">
        <f ca="1">$D18-$BF18</f>
        <v>#REF!</v>
      </c>
      <c r="R18" s="42">
        <f ca="1" t="shared" si="2"/>
        <v>0</v>
      </c>
      <c r="S18" s="22">
        <f ca="1">+GETPIVOTDATA("XXS4",'xuanson (2016)'!$A$3,"MA_HT","NKH","MA_QH","CQP")</f>
        <v>0</v>
      </c>
      <c r="T18" s="22">
        <f ca="1">+GETPIVOTDATA("XXS4",'xuanson (2016)'!$A$3,"MA_HT","NKH","MA_QH","CAN")</f>
        <v>0</v>
      </c>
      <c r="U18" s="22">
        <f ca="1">+GETPIVOTDATA("XXS4",'xuanson (2016)'!$A$3,"MA_HT","NKH","MA_QH","SKK")</f>
        <v>0</v>
      </c>
      <c r="V18" s="22">
        <f ca="1">+GETPIVOTDATA("XXS4",'xuanson (2016)'!$A$3,"MA_HT","NKH","MA_QH","SKT")</f>
        <v>0</v>
      </c>
      <c r="W18" s="22">
        <f ca="1">+GETPIVOTDATA("XXS4",'xuanson (2016)'!$A$3,"MA_HT","NKH","MA_QH","SKN")</f>
        <v>0</v>
      </c>
      <c r="X18" s="22">
        <f ca="1">+GETPIVOTDATA("XXS4",'xuanson (2016)'!$A$3,"MA_HT","NKH","MA_QH","TMD")</f>
        <v>0</v>
      </c>
      <c r="Y18" s="22">
        <f ca="1">+GETPIVOTDATA("XXS4",'xuanson (2016)'!$A$3,"MA_HT","NKH","MA_QH","SKC")</f>
        <v>0</v>
      </c>
      <c r="Z18" s="22">
        <f ca="1">+GETPIVOTDATA("XXS4",'xuanson (2016)'!$A$3,"MA_HT","NKH","MA_QH","SKS")</f>
        <v>0</v>
      </c>
      <c r="AA18" s="52">
        <f ca="1" t="shared" si="4"/>
        <v>0</v>
      </c>
      <c r="AB18" s="22">
        <f ca="1">+GETPIVOTDATA("XXS4",'xuanson (2016)'!$A$3,"MA_HT","NKH","MA_QH","DGT")</f>
        <v>0</v>
      </c>
      <c r="AC18" s="22">
        <f ca="1">+GETPIVOTDATA("XXS4",'xuanson (2016)'!$A$3,"MA_HT","NKH","MA_QH","DTL")</f>
        <v>0</v>
      </c>
      <c r="AD18" s="22">
        <f ca="1">+GETPIVOTDATA("XXS4",'xuanson (2016)'!$A$3,"MA_HT","NKH","MA_QH","DNL")</f>
        <v>0</v>
      </c>
      <c r="AE18" s="22">
        <f ca="1">+GETPIVOTDATA("XXS4",'xuanson (2016)'!$A$3,"MA_HT","NKH","MA_QH","DBV")</f>
        <v>0</v>
      </c>
      <c r="AF18" s="22">
        <f ca="1">+GETPIVOTDATA("XXS4",'xuanson (2016)'!$A$3,"MA_HT","NKH","MA_QH","DVH")</f>
        <v>0</v>
      </c>
      <c r="AG18" s="22">
        <f ca="1">+GETPIVOTDATA("XXS4",'xuanson (2016)'!$A$3,"MA_HT","NKH","MA_QH","DYT")</f>
        <v>0</v>
      </c>
      <c r="AH18" s="22">
        <f ca="1">+GETPIVOTDATA("XXS4",'xuanson (2016)'!$A$3,"MA_HT","NKH","MA_QH","DGD")</f>
        <v>0</v>
      </c>
      <c r="AI18" s="22">
        <f ca="1">+GETPIVOTDATA("XXS4",'xuanson (2016)'!$A$3,"MA_HT","NKH","MA_QH","DTT")</f>
        <v>0</v>
      </c>
      <c r="AJ18" s="22">
        <f ca="1">+GETPIVOTDATA("XXS4",'xuanson (2016)'!$A$3,"MA_HT","NKH","MA_QH","NCK")</f>
        <v>0</v>
      </c>
      <c r="AK18" s="22">
        <f ca="1">+GETPIVOTDATA("XXS4",'xuanson (2016)'!$A$3,"MA_HT","NKH","MA_QH","DXH")</f>
        <v>0</v>
      </c>
      <c r="AL18" s="22">
        <f ca="1">+GETPIVOTDATA("XXS4",'xuanson (2016)'!$A$3,"MA_HT","NKH","MA_QH","DCH")</f>
        <v>0</v>
      </c>
      <c r="AM18" s="22">
        <f ca="1">+GETPIVOTDATA("XXS4",'xuanson (2016)'!$A$3,"MA_HT","NKH","MA_QH","DKG")</f>
        <v>0</v>
      </c>
      <c r="AN18" s="22">
        <f ca="1">+GETPIVOTDATA("XXS4",'xuanson (2016)'!$A$3,"MA_HT","NKH","MA_QH","DDT")</f>
        <v>0</v>
      </c>
      <c r="AO18" s="22">
        <f ca="1">+GETPIVOTDATA("XXS4",'xuanson (2016)'!$A$3,"MA_HT","NKH","MA_QH","DDL")</f>
        <v>0</v>
      </c>
      <c r="AP18" s="22">
        <f ca="1">+GETPIVOTDATA("XXS4",'xuanson (2016)'!$A$3,"MA_HT","NKH","MA_QH","DRA")</f>
        <v>0</v>
      </c>
      <c r="AQ18" s="22">
        <f ca="1">+GETPIVOTDATA("XXS4",'xuanson (2016)'!$A$3,"MA_HT","NKH","MA_QH","ONT")</f>
        <v>0</v>
      </c>
      <c r="AR18" s="22">
        <f ca="1">+GETPIVOTDATA("XXS4",'xuanson (2016)'!$A$3,"MA_HT","NKH","MA_QH","ODT")</f>
        <v>0</v>
      </c>
      <c r="AS18" s="22">
        <f ca="1">+GETPIVOTDATA("XXS4",'xuanson (2016)'!$A$3,"MA_HT","NKH","MA_QH","TSC")</f>
        <v>0</v>
      </c>
      <c r="AT18" s="22">
        <f ca="1">+GETPIVOTDATA("XXS4",'xuanson (2016)'!$A$3,"MA_HT","NKH","MA_QH","DTS")</f>
        <v>0</v>
      </c>
      <c r="AU18" s="22">
        <f ca="1">+GETPIVOTDATA("XXS4",'xuanson (2016)'!$A$3,"MA_HT","NKH","MA_QH","DNG")</f>
        <v>0</v>
      </c>
      <c r="AV18" s="22">
        <f ca="1">+GETPIVOTDATA("XXS4",'xuanson (2016)'!$A$3,"MA_HT","NKH","MA_QH","TON")</f>
        <v>0</v>
      </c>
      <c r="AW18" s="22">
        <f ca="1">+GETPIVOTDATA("XXS4",'xuanson (2016)'!$A$3,"MA_HT","NKH","MA_QH","NTD")</f>
        <v>0</v>
      </c>
      <c r="AX18" s="22">
        <f ca="1">+GETPIVOTDATA("XXS4",'xuanson (2016)'!$A$3,"MA_HT","NKH","MA_QH","SKX")</f>
        <v>0</v>
      </c>
      <c r="AY18" s="22">
        <f ca="1">+GETPIVOTDATA("XXS4",'xuanson (2016)'!$A$3,"MA_HT","NKH","MA_QH","DSH")</f>
        <v>0</v>
      </c>
      <c r="AZ18" s="22">
        <f ca="1">+GETPIVOTDATA("XXS4",'xuanson (2016)'!$A$3,"MA_HT","NKH","MA_QH","DKV")</f>
        <v>0</v>
      </c>
      <c r="BA18" s="89">
        <f ca="1">+GETPIVOTDATA("XXS4",'xuanson (2016)'!$A$3,"MA_HT","NKH","MA_QH","TIN")</f>
        <v>0</v>
      </c>
      <c r="BB18" s="50">
        <f ca="1">+GETPIVOTDATA("XXS4",'xuanson (2016)'!$A$3,"MA_HT","NKH","MA_QH","SON")</f>
        <v>0</v>
      </c>
      <c r="BC18" s="50">
        <f ca="1">+GETPIVOTDATA("XXS4",'xuanson (2016)'!$A$3,"MA_HT","NKH","MA_QH","MNC")</f>
        <v>0</v>
      </c>
      <c r="BD18" s="22">
        <f ca="1">+GETPIVOTDATA("XXS4",'xuanson (2016)'!$A$3,"MA_HT","NKH","MA_QH","PNK")</f>
        <v>0</v>
      </c>
      <c r="BE18" s="71">
        <f ca="1">+GETPIVOTDATA("XXS4",'xuanson (2016)'!$A$3,"MA_HT","NKH","MA_QH","CSD")</f>
        <v>0</v>
      </c>
      <c r="BF18" s="74">
        <f ca="1" t="shared" si="7"/>
        <v>0</v>
      </c>
      <c r="BG18" s="101">
        <f ca="1">Q$59-$BF18</f>
        <v>0</v>
      </c>
      <c r="BH18" s="41" t="e">
        <f ca="1" t="shared" si="8"/>
        <v>#REF!</v>
      </c>
      <c r="BI18" s="98"/>
      <c r="BJ18" s="98"/>
      <c r="BK18" s="98"/>
      <c r="BL18" s="98"/>
      <c r="BM18" s="107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</row>
    <row r="19" s="3" customFormat="1" ht="15.75" customHeight="1" spans="1:75">
      <c r="A19" s="35">
        <v>2</v>
      </c>
      <c r="B19" s="36" t="s">
        <v>8359</v>
      </c>
      <c r="C19" s="37" t="s">
        <v>8304</v>
      </c>
      <c r="D19" s="33" t="e">
        <f>+#REF!</f>
        <v>#REF!</v>
      </c>
      <c r="E19" s="33">
        <f ca="1">SUM(E20:E28,E41:E57)</f>
        <v>0</v>
      </c>
      <c r="F19" s="33">
        <f ca="1">SUM(F20:F28,F41:F57)</f>
        <v>0</v>
      </c>
      <c r="G19" s="33">
        <f ca="1">SUM(G20:G28,G41:G57)</f>
        <v>0</v>
      </c>
      <c r="H19" s="33">
        <f ca="1">SUM(H20:H28,H41:H57)</f>
        <v>0</v>
      </c>
      <c r="I19" s="33">
        <f ca="1">SUM(I20:I28,I41:I57)</f>
        <v>0</v>
      </c>
      <c r="J19" s="33">
        <f ca="1" t="shared" ref="J19:Q19" si="10">SUM(J20:J28,J41:J57)</f>
        <v>0</v>
      </c>
      <c r="K19" s="33">
        <f ca="1" t="shared" si="10"/>
        <v>0</v>
      </c>
      <c r="L19" s="33">
        <f ca="1" t="shared" si="10"/>
        <v>0</v>
      </c>
      <c r="M19" s="33">
        <f ca="1" t="shared" si="10"/>
        <v>0</v>
      </c>
      <c r="N19" s="33">
        <f ca="1" t="shared" si="10"/>
        <v>0</v>
      </c>
      <c r="O19" s="33">
        <f ca="1" t="shared" si="10"/>
        <v>0</v>
      </c>
      <c r="P19" s="33">
        <f ca="1" t="shared" si="10"/>
        <v>0</v>
      </c>
      <c r="Q19" s="33">
        <f ca="1" t="shared" si="10"/>
        <v>0</v>
      </c>
      <c r="R19" s="38" t="e">
        <f ca="1">$D19-$BF19</f>
        <v>#REF!</v>
      </c>
      <c r="S19" s="33">
        <f ca="1">SUM(S21:S28,S41:S57)</f>
        <v>0</v>
      </c>
      <c r="T19" s="33">
        <f ca="1">SUM(T20,T22:T28,T41:T57)</f>
        <v>0</v>
      </c>
      <c r="U19" s="33">
        <f ca="1">SUM(U20:U21,U23:U28,U41:U57)</f>
        <v>0</v>
      </c>
      <c r="V19" s="33">
        <f ca="1">SUM(V20:V22,V24:V28,V41:V57)</f>
        <v>0</v>
      </c>
      <c r="W19" s="33">
        <f ca="1">SUM(W20:W23,W25:W28,W41:W57)</f>
        <v>0</v>
      </c>
      <c r="X19" s="33">
        <f ca="1">SUM(X20:X24,X26:X28,X41:X57)</f>
        <v>0</v>
      </c>
      <c r="Y19" s="33">
        <f ca="1">SUM(Y20:Y25,Y27:Y28,Y41:Y57)</f>
        <v>0</v>
      </c>
      <c r="Z19" s="33">
        <f ca="1">SUM(Z20:Z26,Z28,Z41:Z57)</f>
        <v>0</v>
      </c>
      <c r="AA19" s="33">
        <f ca="1">SUM(AA20:AA27,AA41:AA57)</f>
        <v>0</v>
      </c>
      <c r="AB19" s="33">
        <f ca="1" t="shared" ref="AB19:AM19" si="11">SUM(AB20:AB28,AB41:AB57)</f>
        <v>0</v>
      </c>
      <c r="AC19" s="33">
        <f ca="1" t="shared" si="11"/>
        <v>0</v>
      </c>
      <c r="AD19" s="33">
        <f ca="1" t="shared" si="11"/>
        <v>0</v>
      </c>
      <c r="AE19" s="33">
        <f ca="1" t="shared" si="11"/>
        <v>0</v>
      </c>
      <c r="AF19" s="33">
        <f ca="1" t="shared" si="11"/>
        <v>0</v>
      </c>
      <c r="AG19" s="33">
        <f ca="1" t="shared" si="11"/>
        <v>0</v>
      </c>
      <c r="AH19" s="33">
        <f ca="1" t="shared" si="11"/>
        <v>0</v>
      </c>
      <c r="AI19" s="33">
        <f ca="1" t="shared" si="11"/>
        <v>0</v>
      </c>
      <c r="AJ19" s="33">
        <f ca="1" t="shared" si="11"/>
        <v>0</v>
      </c>
      <c r="AK19" s="33">
        <f ca="1" t="shared" si="11"/>
        <v>0</v>
      </c>
      <c r="AL19" s="33">
        <f ca="1" t="shared" si="11"/>
        <v>0</v>
      </c>
      <c r="AM19" s="33">
        <f ca="1" t="shared" si="11"/>
        <v>0</v>
      </c>
      <c r="AN19" s="33">
        <f ca="1">SUM(AN20:AN28,AN42:AN57)</f>
        <v>0</v>
      </c>
      <c r="AO19" s="33">
        <f ca="1">SUM(AO20:AO28,AO41,AO43:AO57)</f>
        <v>0</v>
      </c>
      <c r="AP19" s="33">
        <f ca="1">SUM(AP20:AP28,AP41:AP42,AP44:AP57)</f>
        <v>0</v>
      </c>
      <c r="AQ19" s="33">
        <f ca="1">SUM(AQ20:AQ28,AQ41:AQ43,AQ45:AQ57)</f>
        <v>0</v>
      </c>
      <c r="AR19" s="33">
        <f ca="1">SUM(AR20:AR28,AR41:AR44,AR46:AR57)</f>
        <v>0</v>
      </c>
      <c r="AS19" s="33">
        <f ca="1">SUM(AS20:AS28,AS41:AS45,AS47:AS57)</f>
        <v>0</v>
      </c>
      <c r="AT19" s="33">
        <f ca="1">SUM(AT20:AT28,AT41:AT46,AT48:AT57)</f>
        <v>0</v>
      </c>
      <c r="AU19" s="33">
        <f ca="1">SUM(AU20:AU28,AU41:AU47,AU49:AU57)</f>
        <v>0</v>
      </c>
      <c r="AV19" s="33">
        <f ca="1">SUM(AV20:AV28,AV41:AV48,AV50:AV57)</f>
        <v>0</v>
      </c>
      <c r="AW19" s="33">
        <f ca="1">SUM(AW20:AW28,AW41:AW49,AW51:AW57)</f>
        <v>0</v>
      </c>
      <c r="AX19" s="33">
        <f ca="1">SUM(AX20:AX28,AX41:AX50,AX52:AX57)</f>
        <v>0</v>
      </c>
      <c r="AY19" s="33">
        <f ca="1">SUM(AY20:AY28,AY41:AY51,AY53:AY57)</f>
        <v>0</v>
      </c>
      <c r="AZ19" s="33">
        <f ca="1">SUM(AZ20:AZ28,AZ41:AZ52,AZ54:AZ57)</f>
        <v>0</v>
      </c>
      <c r="BA19" s="33">
        <f ca="1">SUM(BA20:BA28,BA41:BA53,BA55:BA57)</f>
        <v>0</v>
      </c>
      <c r="BB19" s="33">
        <f ca="1">SUM(BB20:BB28,BB41:BB54,BB56:BB57)</f>
        <v>0</v>
      </c>
      <c r="BC19" s="33">
        <f ca="1">SUM(BC20:BC28,BC41:BC55,BC57)</f>
        <v>0</v>
      </c>
      <c r="BD19" s="33">
        <f ca="1">SUM(BD20:BD28,BD41:BD56,BD58)</f>
        <v>0</v>
      </c>
      <c r="BE19" s="33">
        <f ca="1">SUM(BE20:BE28,BE41:BE57)</f>
        <v>0</v>
      </c>
      <c r="BF19" s="74">
        <f ca="1">SUM(BE19,E19)</f>
        <v>0</v>
      </c>
      <c r="BG19" s="101">
        <f ca="1">R$59-$BF19</f>
        <v>0</v>
      </c>
      <c r="BH19" s="33" t="e">
        <f ca="1">SUM(BH20:BH28,BH41:BH57)</f>
        <v>#REF!</v>
      </c>
      <c r="BI19" s="102"/>
      <c r="BJ19" s="36" t="e">
        <f>SUM(BJ22:BJ54,BJ57:BJ57)</f>
        <v>#REF!</v>
      </c>
      <c r="BK19" s="106" t="e">
        <f ca="1">BH19-BJ19</f>
        <v>#REF!</v>
      </c>
      <c r="BL19" s="106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</row>
    <row r="20" s="2" customFormat="1" ht="15.75" customHeight="1" spans="1:79">
      <c r="A20" s="39" t="s">
        <v>69</v>
      </c>
      <c r="B20" s="39" t="s">
        <v>8360</v>
      </c>
      <c r="C20" s="40" t="s">
        <v>31</v>
      </c>
      <c r="D20" s="41" t="e">
        <f>+#REF!</f>
        <v>#REF!</v>
      </c>
      <c r="E20" s="42">
        <f ca="1">SUM(F20,J20:Q20)</f>
        <v>0</v>
      </c>
      <c r="F20" s="52">
        <f ca="1" t="shared" si="9"/>
        <v>0</v>
      </c>
      <c r="G20" s="22">
        <f ca="1">+GETPIVOTDATA("XXS4",'xuanson (2016)'!$A$3,"MA_HT","CQP","MA_QH","LUC")</f>
        <v>0</v>
      </c>
      <c r="H20" s="22">
        <f ca="1">+GETPIVOTDATA("XXS4",'xuanson (2016)'!$A$3,"MA_HT","CQP","MA_QH","LUK")</f>
        <v>0</v>
      </c>
      <c r="I20" s="22">
        <f ca="1">+GETPIVOTDATA("XXS4",'xuanson (2016)'!$A$3,"MA_HT","CQP","MA_QH","LUN")</f>
        <v>0</v>
      </c>
      <c r="J20" s="22">
        <f ca="1">+GETPIVOTDATA("XXS4",'xuanson (2016)'!$A$3,"MA_HT","CQP","MA_QH","HNK")</f>
        <v>0</v>
      </c>
      <c r="K20" s="22">
        <f ca="1">+GETPIVOTDATA("XXS4",'xuanson (2016)'!$A$3,"MA_HT","CQP","MA_QH","CLN")</f>
        <v>0</v>
      </c>
      <c r="L20" s="22">
        <f ca="1">+GETPIVOTDATA("XXS4",'xuanson (2016)'!$A$3,"MA_HT","CQP","MA_QH","RSX")</f>
        <v>0</v>
      </c>
      <c r="M20" s="22">
        <f ca="1">+GETPIVOTDATA("XXS4",'xuanson (2016)'!$A$3,"MA_HT","CQP","MA_QH","RPH")</f>
        <v>0</v>
      </c>
      <c r="N20" s="22">
        <f ca="1">+GETPIVOTDATA("XXS4",'xuanson (2016)'!$A$3,"MA_HT","CQP","MA_QH","RDD")</f>
        <v>0</v>
      </c>
      <c r="O20" s="22">
        <f ca="1">+GETPIVOTDATA("XXS4",'xuanson (2016)'!$A$3,"MA_HT","CQP","MA_QH","NTS")</f>
        <v>0</v>
      </c>
      <c r="P20" s="22">
        <f ca="1">+GETPIVOTDATA("XXS4",'xuanson (2016)'!$A$3,"MA_HT","CQP","MA_QH","LMU")</f>
        <v>0</v>
      </c>
      <c r="Q20" s="22">
        <f ca="1">+GETPIVOTDATA("XXS4",'xuanson (2016)'!$A$3,"MA_HT","CQP","MA_QH","NKH")</f>
        <v>0</v>
      </c>
      <c r="R20" s="42">
        <f ca="1">SUM(T20:AA20,AN20:BD20)</f>
        <v>0</v>
      </c>
      <c r="S20" s="43" t="e">
        <f ca="1">$D20-$BF20</f>
        <v>#REF!</v>
      </c>
      <c r="T20" s="22">
        <f ca="1">+GETPIVOTDATA("XXS4",'xuanson (2016)'!$A$3,"MA_HT","CQP","MA_QH","CAN")</f>
        <v>0</v>
      </c>
      <c r="U20" s="22">
        <f ca="1">+GETPIVOTDATA("XXS4",'xuanson (2016)'!$A$3,"MA_HT","CQP","MA_QH","SKK")</f>
        <v>0</v>
      </c>
      <c r="V20" s="22">
        <f ca="1">+GETPIVOTDATA("XXS4",'xuanson (2016)'!$A$3,"MA_HT","CQP","MA_QH","SKT")</f>
        <v>0</v>
      </c>
      <c r="W20" s="22">
        <f ca="1">+GETPIVOTDATA("XXS4",'xuanson (2016)'!$A$3,"MA_HT","CQP","MA_QH","SKN")</f>
        <v>0</v>
      </c>
      <c r="X20" s="22">
        <f ca="1">+GETPIVOTDATA("XXS4",'xuanson (2016)'!$A$3,"MA_HT","CQP","MA_QH","TMD")</f>
        <v>0</v>
      </c>
      <c r="Y20" s="22">
        <f ca="1">+GETPIVOTDATA("XXS4",'xuanson (2016)'!$A$3,"MA_HT","CQP","MA_QH","SKC")</f>
        <v>0</v>
      </c>
      <c r="Z20" s="22">
        <f ca="1">+GETPIVOTDATA("XXS4",'xuanson (2016)'!$A$3,"MA_HT","CQP","MA_QH","SKS")</f>
        <v>0</v>
      </c>
      <c r="AA20" s="52">
        <f ca="1" t="shared" ref="AA20:AA27" si="12">+SUM(AB20:AM20)</f>
        <v>0</v>
      </c>
      <c r="AB20" s="22">
        <f ca="1">+GETPIVOTDATA("XXS4",'xuanson (2016)'!$A$3,"MA_HT","CQP","MA_QH","DGT")</f>
        <v>0</v>
      </c>
      <c r="AC20" s="22">
        <f ca="1">+GETPIVOTDATA("XXS4",'xuanson (2016)'!$A$3,"MA_HT","CQP","MA_QH","DTL")</f>
        <v>0</v>
      </c>
      <c r="AD20" s="22">
        <f ca="1">+GETPIVOTDATA("XXS4",'xuanson (2016)'!$A$3,"MA_HT","CQP","MA_QH","DNL")</f>
        <v>0</v>
      </c>
      <c r="AE20" s="22">
        <f ca="1">+GETPIVOTDATA("XXS4",'xuanson (2016)'!$A$3,"MA_HT","CQP","MA_QH","DBV")</f>
        <v>0</v>
      </c>
      <c r="AF20" s="22">
        <f ca="1">+GETPIVOTDATA("XXS4",'xuanson (2016)'!$A$3,"MA_HT","CQP","MA_QH","DVH")</f>
        <v>0</v>
      </c>
      <c r="AG20" s="22">
        <f ca="1">+GETPIVOTDATA("XXS4",'xuanson (2016)'!$A$3,"MA_HT","CQP","MA_QH","DYT")</f>
        <v>0</v>
      </c>
      <c r="AH20" s="22">
        <f ca="1">+GETPIVOTDATA("XXS4",'xuanson (2016)'!$A$3,"MA_HT","CQP","MA_QH","DGD")</f>
        <v>0</v>
      </c>
      <c r="AI20" s="22">
        <f ca="1">+GETPIVOTDATA("XXS4",'xuanson (2016)'!$A$3,"MA_HT","CQP","MA_QH","DTT")</f>
        <v>0</v>
      </c>
      <c r="AJ20" s="22">
        <f ca="1">+GETPIVOTDATA("XXS4",'xuanson (2016)'!$A$3,"MA_HT","CQP","MA_QH","NCK")</f>
        <v>0</v>
      </c>
      <c r="AK20" s="22">
        <f ca="1">+GETPIVOTDATA("XXS4",'xuanson (2016)'!$A$3,"MA_HT","CQP","MA_QH","DXH")</f>
        <v>0</v>
      </c>
      <c r="AL20" s="22">
        <f ca="1">+GETPIVOTDATA("XXS4",'xuanson (2016)'!$A$3,"MA_HT","CQP","MA_QH","DCH")</f>
        <v>0</v>
      </c>
      <c r="AM20" s="22">
        <f ca="1">+GETPIVOTDATA("XXS4",'xuanson (2016)'!$A$3,"MA_HT","CQP","MA_QH","DKG")</f>
        <v>0</v>
      </c>
      <c r="AN20" s="22">
        <f ca="1">+GETPIVOTDATA("XXS4",'xuanson (2016)'!$A$3,"MA_HT","CQP","MA_QH","DDT")</f>
        <v>0</v>
      </c>
      <c r="AO20" s="22">
        <f ca="1">+GETPIVOTDATA("XXS4",'xuanson (2016)'!$A$3,"MA_HT","CQP","MA_QH","DDL")</f>
        <v>0</v>
      </c>
      <c r="AP20" s="22">
        <f ca="1">+GETPIVOTDATA("XXS4",'xuanson (2016)'!$A$3,"MA_HT","CQP","MA_QH","DRA")</f>
        <v>0</v>
      </c>
      <c r="AQ20" s="22">
        <f ca="1">+GETPIVOTDATA("XXS4",'xuanson (2016)'!$A$3,"MA_HT","CQP","MA_QH","ONT")</f>
        <v>0</v>
      </c>
      <c r="AR20" s="22">
        <f ca="1">+GETPIVOTDATA("XXS4",'xuanson (2016)'!$A$3,"MA_HT","CQP","MA_QH","ODT")</f>
        <v>0</v>
      </c>
      <c r="AS20" s="22">
        <f ca="1">+GETPIVOTDATA("XXS4",'xuanson (2016)'!$A$3,"MA_HT","CQP","MA_QH","TSC")</f>
        <v>0</v>
      </c>
      <c r="AT20" s="22">
        <f ca="1">+GETPIVOTDATA("XXS4",'xuanson (2016)'!$A$3,"MA_HT","CQP","MA_QH","DTS")</f>
        <v>0</v>
      </c>
      <c r="AU20" s="22">
        <f ca="1">+GETPIVOTDATA("XXS4",'xuanson (2016)'!$A$3,"MA_HT","CQP","MA_QH","DNG")</f>
        <v>0</v>
      </c>
      <c r="AV20" s="22">
        <f ca="1">+GETPIVOTDATA("XXS4",'xuanson (2016)'!$A$3,"MA_HT","CQP","MA_QH","TON")</f>
        <v>0</v>
      </c>
      <c r="AW20" s="22">
        <f ca="1">+GETPIVOTDATA("XXS4",'xuanson (2016)'!$A$3,"MA_HT","CQP","MA_QH","NTD")</f>
        <v>0</v>
      </c>
      <c r="AX20" s="22">
        <f ca="1">+GETPIVOTDATA("XXS4",'xuanson (2016)'!$A$3,"MA_HT","CQP","MA_QH","SKX")</f>
        <v>0</v>
      </c>
      <c r="AY20" s="22">
        <f ca="1">+GETPIVOTDATA("XXS4",'xuanson (2016)'!$A$3,"MA_HT","CQP","MA_QH","DSH")</f>
        <v>0</v>
      </c>
      <c r="AZ20" s="22">
        <f ca="1">+GETPIVOTDATA("XXS4",'xuanson (2016)'!$A$3,"MA_HT","CQP","MA_QH","DKV")</f>
        <v>0</v>
      </c>
      <c r="BA20" s="89">
        <f ca="1">+GETPIVOTDATA("XXS4",'xuanson (2016)'!$A$3,"MA_HT","CQP","MA_QH","TIN")</f>
        <v>0</v>
      </c>
      <c r="BB20" s="50">
        <f ca="1">+GETPIVOTDATA("XXS4",'xuanson (2016)'!$A$3,"MA_HT","CQP","MA_QH","SON")</f>
        <v>0</v>
      </c>
      <c r="BC20" s="50">
        <f ca="1">+GETPIVOTDATA("XXS4",'xuanson (2016)'!$A$3,"MA_HT","CQP","MA_QH","MNC")</f>
        <v>0</v>
      </c>
      <c r="BD20" s="22">
        <f ca="1">+GETPIVOTDATA("XXS4",'xuanson (2016)'!$A$3,"MA_HT","CQP","MA_QH","PNK")</f>
        <v>0</v>
      </c>
      <c r="BE20" s="71">
        <f ca="1">+GETPIVOTDATA("XXS4",'xuanson (2016)'!$A$3,"MA_HT","CQP","MA_QH","CSD")</f>
        <v>0</v>
      </c>
      <c r="BF20" s="74">
        <f ca="1" t="shared" ref="BF20:BF57" si="13">BE20+R20+E20</f>
        <v>0</v>
      </c>
      <c r="BG20" s="101">
        <f ca="1">S$59-$BF20</f>
        <v>0</v>
      </c>
      <c r="BH20" s="41" t="e">
        <f ca="1" t="shared" ref="BH20:BH58" si="14">BG20+D20</f>
        <v>#REF!</v>
      </c>
      <c r="BI20" s="98"/>
      <c r="BJ20" s="98" t="e">
        <f>#REF!</f>
        <v>#REF!</v>
      </c>
      <c r="BK20" s="107" t="e">
        <f ca="1">BH20-BJ20</f>
        <v>#REF!</v>
      </c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</row>
    <row r="21" s="2" customFormat="1" ht="15.75" customHeight="1" spans="1:79">
      <c r="A21" s="39" t="s">
        <v>232</v>
      </c>
      <c r="B21" s="39" t="s">
        <v>8361</v>
      </c>
      <c r="C21" s="40" t="s">
        <v>8283</v>
      </c>
      <c r="D21" s="41" t="e">
        <f>+#REF!</f>
        <v>#REF!</v>
      </c>
      <c r="E21" s="42">
        <f ca="1" t="shared" ref="E21:E58" si="15">SUM(F21,J21:Q21)</f>
        <v>0</v>
      </c>
      <c r="F21" s="52">
        <f ca="1" t="shared" si="9"/>
        <v>0</v>
      </c>
      <c r="G21" s="22">
        <f ca="1">+GETPIVOTDATA("XXS4",'xuanson (2016)'!$A$3,"MA_HT","CAN","MA_QH","LUC")</f>
        <v>0</v>
      </c>
      <c r="H21" s="22">
        <f ca="1">+GETPIVOTDATA("XXS4",'xuanson (2016)'!$A$3,"MA_HT","CAN","MA_QH","LUK")</f>
        <v>0</v>
      </c>
      <c r="I21" s="22">
        <f ca="1">+GETPIVOTDATA("XXS4",'xuanson (2016)'!$A$3,"MA_HT","CAN","MA_QH","LUN")</f>
        <v>0</v>
      </c>
      <c r="J21" s="22">
        <f ca="1">+GETPIVOTDATA("XXS4",'xuanson (2016)'!$A$3,"MA_HT","CAN","MA_QH","HNK")</f>
        <v>0</v>
      </c>
      <c r="K21" s="22">
        <f ca="1">+GETPIVOTDATA("XXS4",'xuanson (2016)'!$A$3,"MA_HT","CAN","MA_QH","CLN")</f>
        <v>0</v>
      </c>
      <c r="L21" s="22">
        <f ca="1">+GETPIVOTDATA("XXS4",'xuanson (2016)'!$A$3,"MA_HT","CAN","MA_QH","RSX")</f>
        <v>0</v>
      </c>
      <c r="M21" s="22">
        <f ca="1">+GETPIVOTDATA("XXS4",'xuanson (2016)'!$A$3,"MA_HT","CAN","MA_QH","RPH")</f>
        <v>0</v>
      </c>
      <c r="N21" s="22">
        <f ca="1">+GETPIVOTDATA("XXS4",'xuanson (2016)'!$A$3,"MA_HT","CAN","MA_QH","RDD")</f>
        <v>0</v>
      </c>
      <c r="O21" s="22">
        <f ca="1">+GETPIVOTDATA("XXS4",'xuanson (2016)'!$A$3,"MA_HT","CAN","MA_QH","NTS")</f>
        <v>0</v>
      </c>
      <c r="P21" s="22">
        <f ca="1">+GETPIVOTDATA("XXS4",'xuanson (2016)'!$A$3,"MA_HT","CAN","MA_QH","LMU")</f>
        <v>0</v>
      </c>
      <c r="Q21" s="22">
        <f ca="1">+GETPIVOTDATA("XXS4",'xuanson (2016)'!$A$3,"MA_HT","CAN","MA_QH","NKH")</f>
        <v>0</v>
      </c>
      <c r="R21" s="42">
        <f ca="1">SUM(S21,U21:AA21,AN21:BD21)</f>
        <v>0</v>
      </c>
      <c r="S21" s="22">
        <f ca="1">+GETPIVOTDATA("XXS4",'xuanson (2016)'!$A$3,"MA_HT","CAN","MA_QH","CQP")</f>
        <v>0</v>
      </c>
      <c r="T21" s="43" t="e">
        <f ca="1">$D21-$BF21</f>
        <v>#REF!</v>
      </c>
      <c r="U21" s="22">
        <f ca="1">+GETPIVOTDATA("XXS4",'xuanson (2016)'!$A$3,"MA_HT","CAN","MA_QH","SKK")</f>
        <v>0</v>
      </c>
      <c r="V21" s="22">
        <f ca="1">+GETPIVOTDATA("XXS4",'xuanson (2016)'!$A$3,"MA_HT","CAN","MA_QH","SKT")</f>
        <v>0</v>
      </c>
      <c r="W21" s="22">
        <f ca="1">+GETPIVOTDATA("XXS4",'xuanson (2016)'!$A$3,"MA_HT","CAN","MA_QH","SKN")</f>
        <v>0</v>
      </c>
      <c r="X21" s="22">
        <f ca="1">+GETPIVOTDATA("XXS4",'xuanson (2016)'!$A$3,"MA_HT","CAN","MA_QH","TMD")</f>
        <v>0</v>
      </c>
      <c r="Y21" s="22">
        <f ca="1">+GETPIVOTDATA("XXS4",'xuanson (2016)'!$A$3,"MA_HT","CAN","MA_QH","SKC")</f>
        <v>0</v>
      </c>
      <c r="Z21" s="22">
        <f ca="1">+GETPIVOTDATA("XXS4",'xuanson (2016)'!$A$3,"MA_HT","CAN","MA_QH","SKS")</f>
        <v>0</v>
      </c>
      <c r="AA21" s="52">
        <f ca="1" t="shared" si="12"/>
        <v>0</v>
      </c>
      <c r="AB21" s="22">
        <f ca="1">+GETPIVOTDATA("XXS4",'xuanson (2016)'!$A$3,"MA_HT","CAN","MA_QH","DGT")</f>
        <v>0</v>
      </c>
      <c r="AC21" s="22">
        <f ca="1">+GETPIVOTDATA("XXS4",'xuanson (2016)'!$A$3,"MA_HT","CAN","MA_QH","DTL")</f>
        <v>0</v>
      </c>
      <c r="AD21" s="22">
        <f ca="1">+GETPIVOTDATA("XXS4",'xuanson (2016)'!$A$3,"MA_HT","CAN","MA_QH","DNL")</f>
        <v>0</v>
      </c>
      <c r="AE21" s="22">
        <f ca="1">+GETPIVOTDATA("XXS4",'xuanson (2016)'!$A$3,"MA_HT","CAN","MA_QH","DBV")</f>
        <v>0</v>
      </c>
      <c r="AF21" s="22">
        <f ca="1">+GETPIVOTDATA("XXS4",'xuanson (2016)'!$A$3,"MA_HT","CAN","MA_QH","DVH")</f>
        <v>0</v>
      </c>
      <c r="AG21" s="22">
        <f ca="1">+GETPIVOTDATA("XXS4",'xuanson (2016)'!$A$3,"MA_HT","CAN","MA_QH","DYT")</f>
        <v>0</v>
      </c>
      <c r="AH21" s="22">
        <f ca="1">+GETPIVOTDATA("XXS4",'xuanson (2016)'!$A$3,"MA_HT","CAN","MA_QH","DGD")</f>
        <v>0</v>
      </c>
      <c r="AI21" s="22">
        <f ca="1">+GETPIVOTDATA("XXS4",'xuanson (2016)'!$A$3,"MA_HT","CAN","MA_QH","DTT")</f>
        <v>0</v>
      </c>
      <c r="AJ21" s="22">
        <f ca="1">+GETPIVOTDATA("XXS4",'xuanson (2016)'!$A$3,"MA_HT","CAN","MA_QH","NCK")</f>
        <v>0</v>
      </c>
      <c r="AK21" s="22">
        <f ca="1">+GETPIVOTDATA("XXS4",'xuanson (2016)'!$A$3,"MA_HT","CAN","MA_QH","DXH")</f>
        <v>0</v>
      </c>
      <c r="AL21" s="22">
        <f ca="1">+GETPIVOTDATA("XXS4",'xuanson (2016)'!$A$3,"MA_HT","CAN","MA_QH","DCH")</f>
        <v>0</v>
      </c>
      <c r="AM21" s="22">
        <f ca="1">+GETPIVOTDATA("XXS4",'xuanson (2016)'!$A$3,"MA_HT","CAN","MA_QH","DKG")</f>
        <v>0</v>
      </c>
      <c r="AN21" s="22">
        <f ca="1">+GETPIVOTDATA("XXS4",'xuanson (2016)'!$A$3,"MA_HT","CAN","MA_QH","DDT")</f>
        <v>0</v>
      </c>
      <c r="AO21" s="22">
        <f ca="1">+GETPIVOTDATA("XXS4",'xuanson (2016)'!$A$3,"MA_HT","CAN","MA_QH","DDL")</f>
        <v>0</v>
      </c>
      <c r="AP21" s="22">
        <f ca="1">+GETPIVOTDATA("XXS4",'xuanson (2016)'!$A$3,"MA_HT","CAN","MA_QH","DRA")</f>
        <v>0</v>
      </c>
      <c r="AQ21" s="22">
        <f ca="1">+GETPIVOTDATA("XXS4",'xuanson (2016)'!$A$3,"MA_HT","CAN","MA_QH","ONT")</f>
        <v>0</v>
      </c>
      <c r="AR21" s="22">
        <f ca="1">+GETPIVOTDATA("XXS4",'xuanson (2016)'!$A$3,"MA_HT","CAN","MA_QH","ODT")</f>
        <v>0</v>
      </c>
      <c r="AS21" s="22">
        <f ca="1">+GETPIVOTDATA("XXS4",'xuanson (2016)'!$A$3,"MA_HT","CAN","MA_QH","TSC")</f>
        <v>0</v>
      </c>
      <c r="AT21" s="22">
        <f ca="1">+GETPIVOTDATA("XXS4",'xuanson (2016)'!$A$3,"MA_HT","CAN","MA_QH","DTS")</f>
        <v>0</v>
      </c>
      <c r="AU21" s="22">
        <f ca="1">+GETPIVOTDATA("XXS4",'xuanson (2016)'!$A$3,"MA_HT","CAN","MA_QH","DNG")</f>
        <v>0</v>
      </c>
      <c r="AV21" s="22">
        <f ca="1">+GETPIVOTDATA("XXS4",'xuanson (2016)'!$A$3,"MA_HT","CAN","MA_QH","TON")</f>
        <v>0</v>
      </c>
      <c r="AW21" s="22">
        <f ca="1">+GETPIVOTDATA("XXS4",'xuanson (2016)'!$A$3,"MA_HT","CAN","MA_QH","NTD")</f>
        <v>0</v>
      </c>
      <c r="AX21" s="22">
        <f ca="1">+GETPIVOTDATA("XXS4",'xuanson (2016)'!$A$3,"MA_HT","CAN","MA_QH","SKX")</f>
        <v>0</v>
      </c>
      <c r="AY21" s="22">
        <f ca="1">+GETPIVOTDATA("XXS4",'xuanson (2016)'!$A$3,"MA_HT","CAN","MA_QH","DSH")</f>
        <v>0</v>
      </c>
      <c r="AZ21" s="22">
        <f ca="1">+GETPIVOTDATA("XXS4",'xuanson (2016)'!$A$3,"MA_HT","CAN","MA_QH","DKV")</f>
        <v>0</v>
      </c>
      <c r="BA21" s="89">
        <f ca="1">+GETPIVOTDATA("XXS4",'xuanson (2016)'!$A$3,"MA_HT","CAN","MA_QH","TIN")</f>
        <v>0</v>
      </c>
      <c r="BB21" s="50">
        <f ca="1">+GETPIVOTDATA("XXS4",'xuanson (2016)'!$A$3,"MA_HT","CAN","MA_QH","SON")</f>
        <v>0</v>
      </c>
      <c r="BC21" s="50">
        <f ca="1">+GETPIVOTDATA("XXS4",'xuanson (2016)'!$A$3,"MA_HT","CAN","MA_QH","MNC")</f>
        <v>0</v>
      </c>
      <c r="BD21" s="22">
        <f ca="1">+GETPIVOTDATA("XXS4",'xuanson (2016)'!$A$3,"MA_HT","CAN","MA_QH","PNK")</f>
        <v>0</v>
      </c>
      <c r="BE21" s="71">
        <f ca="1">+GETPIVOTDATA("XXS4",'xuanson (2016)'!$A$3,"MA_HT","CAN","MA_QH","CSD")</f>
        <v>0</v>
      </c>
      <c r="BF21" s="74">
        <f ca="1" t="shared" si="13"/>
        <v>0</v>
      </c>
      <c r="BG21" s="101">
        <f ca="1">T$59-$BF21</f>
        <v>0</v>
      </c>
      <c r="BH21" s="41" t="e">
        <f ca="1" t="shared" si="14"/>
        <v>#REF!</v>
      </c>
      <c r="BI21" s="98"/>
      <c r="BJ21" s="98" t="e">
        <f>#REF!</f>
        <v>#REF!</v>
      </c>
      <c r="BK21" s="107" t="e">
        <f ca="1">BH21-BJ21</f>
        <v>#REF!</v>
      </c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</row>
    <row r="22" s="2" customFormat="1" ht="15.75" customHeight="1" spans="1:79">
      <c r="A22" s="39" t="s">
        <v>8362</v>
      </c>
      <c r="B22" s="53" t="s">
        <v>8363</v>
      </c>
      <c r="C22" s="40" t="s">
        <v>47</v>
      </c>
      <c r="D22" s="41" t="e">
        <f>+#REF!</f>
        <v>#REF!</v>
      </c>
      <c r="E22" s="42">
        <f ca="1" t="shared" si="15"/>
        <v>0</v>
      </c>
      <c r="F22" s="52">
        <f ca="1" t="shared" si="9"/>
        <v>0</v>
      </c>
      <c r="G22" s="22">
        <f ca="1">+GETPIVOTDATA("XXS4",'xuanson (2016)'!$A$3,"MA_HT","SKK","MA_QH","LUC")</f>
        <v>0</v>
      </c>
      <c r="H22" s="22">
        <f ca="1">+GETPIVOTDATA("XXS4",'xuanson (2016)'!$A$3,"MA_HT","SKK","MA_QH","LUK")</f>
        <v>0</v>
      </c>
      <c r="I22" s="22">
        <f ca="1">+GETPIVOTDATA("XXS4",'xuanson (2016)'!$A$3,"MA_HT","SKK","MA_QH","LUN")</f>
        <v>0</v>
      </c>
      <c r="J22" s="22">
        <f ca="1">+GETPIVOTDATA("XXS4",'xuanson (2016)'!$A$3,"MA_HT","SKK","MA_QH","HNK")</f>
        <v>0</v>
      </c>
      <c r="K22" s="22">
        <f ca="1">+GETPIVOTDATA("XXS4",'xuanson (2016)'!$A$3,"MA_HT","SKK","MA_QH","CLN")</f>
        <v>0</v>
      </c>
      <c r="L22" s="22">
        <f ca="1">+GETPIVOTDATA("XXS4",'xuanson (2016)'!$A$3,"MA_HT","SKK","MA_QH","RSX")</f>
        <v>0</v>
      </c>
      <c r="M22" s="22">
        <f ca="1">+GETPIVOTDATA("XXS4",'xuanson (2016)'!$A$3,"MA_HT","SKK","MA_QH","RPH")</f>
        <v>0</v>
      </c>
      <c r="N22" s="22">
        <f ca="1">+GETPIVOTDATA("XXS4",'xuanson (2016)'!$A$3,"MA_HT","SKK","MA_QH","RDD")</f>
        <v>0</v>
      </c>
      <c r="O22" s="22">
        <f ca="1">+GETPIVOTDATA("XXS4",'xuanson (2016)'!$A$3,"MA_HT","SKK","MA_QH","NTS")</f>
        <v>0</v>
      </c>
      <c r="P22" s="22">
        <f ca="1">+GETPIVOTDATA("XXS4",'xuanson (2016)'!$A$3,"MA_HT","SKK","MA_QH","LMU")</f>
        <v>0</v>
      </c>
      <c r="Q22" s="22">
        <f ca="1">+GETPIVOTDATA("XXS4",'xuanson (2016)'!$A$3,"MA_HT","SKK","MA_QH","NKH")</f>
        <v>0</v>
      </c>
      <c r="R22" s="42">
        <f ca="1">SUM(S22:T22,V22:AA22,AN22:BD22)</f>
        <v>0</v>
      </c>
      <c r="S22" s="22">
        <f ca="1">+GETPIVOTDATA("XXS4",'xuanson (2016)'!$A$3,"MA_HT","SKK","MA_QH","CQP")</f>
        <v>0</v>
      </c>
      <c r="T22" s="22">
        <f ca="1">+GETPIVOTDATA("XXS4",'xuanson (2016)'!$A$3,"MA_HT","SKK","MA_QH","CAN")</f>
        <v>0</v>
      </c>
      <c r="U22" s="43" t="e">
        <f ca="1">$D22-$BF22</f>
        <v>#REF!</v>
      </c>
      <c r="V22" s="22">
        <f ca="1">+GETPIVOTDATA("XXS4",'xuanson (2016)'!$A$3,"MA_HT","SKK","MA_QH","SKT")</f>
        <v>0</v>
      </c>
      <c r="W22" s="22">
        <f ca="1">+GETPIVOTDATA("XXS4",'xuanson (2016)'!$A$3,"MA_HT","SKK","MA_QH","SKN")</f>
        <v>0</v>
      </c>
      <c r="X22" s="22">
        <f ca="1">+GETPIVOTDATA("XXS4",'xuanson (2016)'!$A$3,"MA_HT","SKK","MA_QH","TMD")</f>
        <v>0</v>
      </c>
      <c r="Y22" s="22">
        <f ca="1">+GETPIVOTDATA("XXS4",'xuanson (2016)'!$A$3,"MA_HT","SKK","MA_QH","SKC")</f>
        <v>0</v>
      </c>
      <c r="Z22" s="22">
        <f ca="1">+GETPIVOTDATA("XXS4",'xuanson (2016)'!$A$3,"MA_HT","SKK","MA_QH","SKS")</f>
        <v>0</v>
      </c>
      <c r="AA22" s="52">
        <f ca="1" t="shared" si="12"/>
        <v>0</v>
      </c>
      <c r="AB22" s="22">
        <f ca="1">+GETPIVOTDATA("XXS4",'xuanson (2016)'!$A$3,"MA_HT","SKK","MA_QH","DGT")</f>
        <v>0</v>
      </c>
      <c r="AC22" s="22">
        <f ca="1">+GETPIVOTDATA("XXS4",'xuanson (2016)'!$A$3,"MA_HT","SKK","MA_QH","DTL")</f>
        <v>0</v>
      </c>
      <c r="AD22" s="22">
        <f ca="1">+GETPIVOTDATA("XXS4",'xuanson (2016)'!$A$3,"MA_HT","SKK","MA_QH","DNL")</f>
        <v>0</v>
      </c>
      <c r="AE22" s="22">
        <f ca="1">+GETPIVOTDATA("XXS4",'xuanson (2016)'!$A$3,"MA_HT","SKK","MA_QH","DBV")</f>
        <v>0</v>
      </c>
      <c r="AF22" s="22">
        <f ca="1">+GETPIVOTDATA("XXS4",'xuanson (2016)'!$A$3,"MA_HT","SKK","MA_QH","DVH")</f>
        <v>0</v>
      </c>
      <c r="AG22" s="22">
        <f ca="1">+GETPIVOTDATA("XXS4",'xuanson (2016)'!$A$3,"MA_HT","SKK","MA_QH","DYT")</f>
        <v>0</v>
      </c>
      <c r="AH22" s="22">
        <f ca="1">+GETPIVOTDATA("XXS4",'xuanson (2016)'!$A$3,"MA_HT","SKK","MA_QH","DGD")</f>
        <v>0</v>
      </c>
      <c r="AI22" s="22">
        <f ca="1">+GETPIVOTDATA("XXS4",'xuanson (2016)'!$A$3,"MA_HT","SKK","MA_QH","DTT")</f>
        <v>0</v>
      </c>
      <c r="AJ22" s="22">
        <f ca="1">+GETPIVOTDATA("XXS4",'xuanson (2016)'!$A$3,"MA_HT","SKK","MA_QH","NCK")</f>
        <v>0</v>
      </c>
      <c r="AK22" s="22">
        <f ca="1">+GETPIVOTDATA("XXS4",'xuanson (2016)'!$A$3,"MA_HT","SKK","MA_QH","DXH")</f>
        <v>0</v>
      </c>
      <c r="AL22" s="22">
        <f ca="1">+GETPIVOTDATA("XXS4",'xuanson (2016)'!$A$3,"MA_HT","SKK","MA_QH","DCH")</f>
        <v>0</v>
      </c>
      <c r="AM22" s="22">
        <f ca="1">+GETPIVOTDATA("XXS4",'xuanson (2016)'!$A$3,"MA_HT","SKK","MA_QH","DKG")</f>
        <v>0</v>
      </c>
      <c r="AN22" s="22">
        <f ca="1">+GETPIVOTDATA("XXS4",'xuanson (2016)'!$A$3,"MA_HT","SKK","MA_QH","DDT")</f>
        <v>0</v>
      </c>
      <c r="AO22" s="22">
        <f ca="1">+GETPIVOTDATA("XXS4",'xuanson (2016)'!$A$3,"MA_HT","SKK","MA_QH","DDL")</f>
        <v>0</v>
      </c>
      <c r="AP22" s="22">
        <f ca="1">+GETPIVOTDATA("XXS4",'xuanson (2016)'!$A$3,"MA_HT","SKK","MA_QH","DRA")</f>
        <v>0</v>
      </c>
      <c r="AQ22" s="22">
        <f ca="1">+GETPIVOTDATA("XXS4",'xuanson (2016)'!$A$3,"MA_HT","SKK","MA_QH","ONT")</f>
        <v>0</v>
      </c>
      <c r="AR22" s="22">
        <f ca="1">+GETPIVOTDATA("XXS4",'xuanson (2016)'!$A$3,"MA_HT","SKK","MA_QH","ODT")</f>
        <v>0</v>
      </c>
      <c r="AS22" s="22">
        <f ca="1">+GETPIVOTDATA("XXS4",'xuanson (2016)'!$A$3,"MA_HT","SKK","MA_QH","TSC")</f>
        <v>0</v>
      </c>
      <c r="AT22" s="22">
        <f ca="1">+GETPIVOTDATA("XXS4",'xuanson (2016)'!$A$3,"MA_HT","SKK","MA_QH","DTS")</f>
        <v>0</v>
      </c>
      <c r="AU22" s="22">
        <f ca="1">+GETPIVOTDATA("XXS4",'xuanson (2016)'!$A$3,"MA_HT","SKK","MA_QH","DNG")</f>
        <v>0</v>
      </c>
      <c r="AV22" s="22">
        <f ca="1">+GETPIVOTDATA("XXS4",'xuanson (2016)'!$A$3,"MA_HT","SKK","MA_QH","TON")</f>
        <v>0</v>
      </c>
      <c r="AW22" s="22">
        <f ca="1">+GETPIVOTDATA("XXS4",'xuanson (2016)'!$A$3,"MA_HT","SKK","MA_QH","NTD")</f>
        <v>0</v>
      </c>
      <c r="AX22" s="22">
        <f ca="1">+GETPIVOTDATA("XXS4",'xuanson (2016)'!$A$3,"MA_HT","SKK","MA_QH","SKX")</f>
        <v>0</v>
      </c>
      <c r="AY22" s="22">
        <f ca="1">+GETPIVOTDATA("XXS4",'xuanson (2016)'!$A$3,"MA_HT","SKK","MA_QH","DSH")</f>
        <v>0</v>
      </c>
      <c r="AZ22" s="22">
        <f ca="1">+GETPIVOTDATA("XXS4",'xuanson (2016)'!$A$3,"MA_HT","SKK","MA_QH","DKV")</f>
        <v>0</v>
      </c>
      <c r="BA22" s="89">
        <f ca="1">+GETPIVOTDATA("XXS4",'xuanson (2016)'!$A$3,"MA_HT","SKK","MA_QH","TIN")</f>
        <v>0</v>
      </c>
      <c r="BB22" s="50">
        <f ca="1">+GETPIVOTDATA("XXS4",'xuanson (2016)'!$A$3,"MA_HT","SKK","MA_QH","SON")</f>
        <v>0</v>
      </c>
      <c r="BC22" s="50">
        <f ca="1">+GETPIVOTDATA("XXS4",'xuanson (2016)'!$A$3,"MA_HT","SKK","MA_QH","MNC")</f>
        <v>0</v>
      </c>
      <c r="BD22" s="22">
        <f ca="1">+GETPIVOTDATA("XXS4",'xuanson (2016)'!$A$3,"MA_HT","SKK","MA_QH","PNK")</f>
        <v>0</v>
      </c>
      <c r="BE22" s="71">
        <f ca="1">+GETPIVOTDATA("XXS4",'xuanson (2016)'!$A$3,"MA_HT","SKK","MA_QH","CSD")</f>
        <v>0</v>
      </c>
      <c r="BF22" s="74">
        <f ca="1" t="shared" si="13"/>
        <v>0</v>
      </c>
      <c r="BG22" s="101">
        <f ca="1">U$59-$BF22</f>
        <v>0</v>
      </c>
      <c r="BH22" s="41" t="e">
        <f ca="1" t="shared" si="14"/>
        <v>#REF!</v>
      </c>
      <c r="BI22" s="98"/>
      <c r="BJ22" s="107" t="e">
        <f>#REF!</f>
        <v>#REF!</v>
      </c>
      <c r="BK22" s="107" t="e">
        <f ca="1">BH22-BJ22</f>
        <v>#REF!</v>
      </c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</row>
    <row r="23" s="2" customFormat="1" ht="15.75" customHeight="1" spans="1:79">
      <c r="A23" s="39" t="s">
        <v>8364</v>
      </c>
      <c r="B23" s="53" t="s">
        <v>8365</v>
      </c>
      <c r="C23" s="40" t="s">
        <v>8308</v>
      </c>
      <c r="D23" s="41" t="e">
        <f>+#REF!</f>
        <v>#REF!</v>
      </c>
      <c r="E23" s="42">
        <f ca="1" t="shared" si="15"/>
        <v>0</v>
      </c>
      <c r="F23" s="52">
        <f ca="1" t="shared" si="9"/>
        <v>0</v>
      </c>
      <c r="G23" s="22">
        <f ca="1">+GETPIVOTDATA("XXS4",'xuanson (2016)'!$A$3,"MA_HT","SKT","MA_QH","LUC")</f>
        <v>0</v>
      </c>
      <c r="H23" s="22">
        <f ca="1">+GETPIVOTDATA("XXS4",'xuanson (2016)'!$A$3,"MA_HT","SKT","MA_QH","LUK")</f>
        <v>0</v>
      </c>
      <c r="I23" s="22">
        <f ca="1">+GETPIVOTDATA("XXS4",'xuanson (2016)'!$A$3,"MA_HT","SKT","MA_QH","LUN")</f>
        <v>0</v>
      </c>
      <c r="J23" s="22">
        <f ca="1">+GETPIVOTDATA("XXS4",'xuanson (2016)'!$A$3,"MA_HT","SKT","MA_QH","HNK")</f>
        <v>0</v>
      </c>
      <c r="K23" s="22">
        <f ca="1">+GETPIVOTDATA("XXS4",'xuanson (2016)'!$A$3,"MA_HT","SKT","MA_QH","CLN")</f>
        <v>0</v>
      </c>
      <c r="L23" s="22">
        <f ca="1">+GETPIVOTDATA("XXS4",'xuanson (2016)'!$A$3,"MA_HT","SKT","MA_QH","RSX")</f>
        <v>0</v>
      </c>
      <c r="M23" s="22">
        <f ca="1">+GETPIVOTDATA("XXS4",'xuanson (2016)'!$A$3,"MA_HT","SKT","MA_QH","RPH")</f>
        <v>0</v>
      </c>
      <c r="N23" s="22">
        <f ca="1">+GETPIVOTDATA("XXS4",'xuanson (2016)'!$A$3,"MA_HT","SKT","MA_QH","RDD")</f>
        <v>0</v>
      </c>
      <c r="O23" s="22">
        <f ca="1">+GETPIVOTDATA("XXS4",'xuanson (2016)'!$A$3,"MA_HT","SKT","MA_QH","NTS")</f>
        <v>0</v>
      </c>
      <c r="P23" s="22">
        <f ca="1">+GETPIVOTDATA("XXS4",'xuanson (2016)'!$A$3,"MA_HT","SKT","MA_QH","LMU")</f>
        <v>0</v>
      </c>
      <c r="Q23" s="22">
        <f ca="1">+GETPIVOTDATA("XXS4",'xuanson (2016)'!$A$3,"MA_HT","SKT","MA_QH","NKH")</f>
        <v>0</v>
      </c>
      <c r="R23" s="42">
        <f ca="1">SUM(S23:U23,W23:AA23,AN23:BD23)</f>
        <v>0</v>
      </c>
      <c r="S23" s="22">
        <f ca="1">+GETPIVOTDATA("XXS4",'xuanson (2016)'!$A$3,"MA_HT","SKT","MA_QH","CQP")</f>
        <v>0</v>
      </c>
      <c r="T23" s="22">
        <f ca="1">+GETPIVOTDATA("XXS4",'xuanson (2016)'!$A$3,"MA_HT","SKT","MA_QH","CAN")</f>
        <v>0</v>
      </c>
      <c r="U23" s="22">
        <f ca="1">+GETPIVOTDATA("XXS4",'xuanson (2016)'!$A$3,"MA_HT","SKT","MA_QH","SKK")</f>
        <v>0</v>
      </c>
      <c r="V23" s="43" t="e">
        <f ca="1">$D23-$BF23</f>
        <v>#REF!</v>
      </c>
      <c r="W23" s="22">
        <f ca="1">+GETPIVOTDATA("XXS4",'xuanson (2016)'!$A$3,"MA_HT","SKT","MA_QH","SKN")</f>
        <v>0</v>
      </c>
      <c r="X23" s="22">
        <f ca="1">+GETPIVOTDATA("XXS4",'xuanson (2016)'!$A$3,"MA_HT","SKT","MA_QH","TMD")</f>
        <v>0</v>
      </c>
      <c r="Y23" s="22">
        <f ca="1">+GETPIVOTDATA("XXS4",'xuanson (2016)'!$A$3,"MA_HT","SKT","MA_QH","SKC")</f>
        <v>0</v>
      </c>
      <c r="Z23" s="22">
        <f ca="1">+GETPIVOTDATA("XXS4",'xuanson (2016)'!$A$3,"MA_HT","SKT","MA_QH","SKS")</f>
        <v>0</v>
      </c>
      <c r="AA23" s="52">
        <f ca="1" t="shared" si="12"/>
        <v>0</v>
      </c>
      <c r="AB23" s="22">
        <f ca="1">+GETPIVOTDATA("XXS4",'xuanson (2016)'!$A$3,"MA_HT","SKT","MA_QH","DGT")</f>
        <v>0</v>
      </c>
      <c r="AC23" s="22">
        <f ca="1">+GETPIVOTDATA("XXS4",'xuanson (2016)'!$A$3,"MA_HT","SKT","MA_QH","DTL")</f>
        <v>0</v>
      </c>
      <c r="AD23" s="22">
        <f ca="1">+GETPIVOTDATA("XXS4",'xuanson (2016)'!$A$3,"MA_HT","SKT","MA_QH","DNL")</f>
        <v>0</v>
      </c>
      <c r="AE23" s="22">
        <f ca="1">+GETPIVOTDATA("XXS4",'xuanson (2016)'!$A$3,"MA_HT","SKT","MA_QH","DBV")</f>
        <v>0</v>
      </c>
      <c r="AF23" s="22">
        <f ca="1">+GETPIVOTDATA("XXS4",'xuanson (2016)'!$A$3,"MA_HT","SKT","MA_QH","DVH")</f>
        <v>0</v>
      </c>
      <c r="AG23" s="22">
        <f ca="1">+GETPIVOTDATA("XXS4",'xuanson (2016)'!$A$3,"MA_HT","SKT","MA_QH","DYT")</f>
        <v>0</v>
      </c>
      <c r="AH23" s="22">
        <f ca="1">+GETPIVOTDATA("XXS4",'xuanson (2016)'!$A$3,"MA_HT","SKT","MA_QH","DGD")</f>
        <v>0</v>
      </c>
      <c r="AI23" s="22">
        <f ca="1">+GETPIVOTDATA("XXS4",'xuanson (2016)'!$A$3,"MA_HT","SKT","MA_QH","DTT")</f>
        <v>0</v>
      </c>
      <c r="AJ23" s="22">
        <f ca="1">+GETPIVOTDATA("XXS4",'xuanson (2016)'!$A$3,"MA_HT","SKT","MA_QH","NCK")</f>
        <v>0</v>
      </c>
      <c r="AK23" s="22">
        <f ca="1">+GETPIVOTDATA("XXS4",'xuanson (2016)'!$A$3,"MA_HT","SKT","MA_QH","DXH")</f>
        <v>0</v>
      </c>
      <c r="AL23" s="22">
        <f ca="1">+GETPIVOTDATA("XXS4",'xuanson (2016)'!$A$3,"MA_HT","SKT","MA_QH","DCH")</f>
        <v>0</v>
      </c>
      <c r="AM23" s="22">
        <f ca="1">+GETPIVOTDATA("XXS4",'xuanson (2016)'!$A$3,"MA_HT","SKT","MA_QH","DKG")</f>
        <v>0</v>
      </c>
      <c r="AN23" s="22">
        <f ca="1">+GETPIVOTDATA("XXS4",'xuanson (2016)'!$A$3,"MA_HT","SKT","MA_QH","DDT")</f>
        <v>0</v>
      </c>
      <c r="AO23" s="22">
        <f ca="1">+GETPIVOTDATA("XXS4",'xuanson (2016)'!$A$3,"MA_HT","SKT","MA_QH","DDL")</f>
        <v>0</v>
      </c>
      <c r="AP23" s="22">
        <f ca="1">+GETPIVOTDATA("XXS4",'xuanson (2016)'!$A$3,"MA_HT","SKT","MA_QH","DRA")</f>
        <v>0</v>
      </c>
      <c r="AQ23" s="22">
        <f ca="1">+GETPIVOTDATA("XXS4",'xuanson (2016)'!$A$3,"MA_HT","SKT","MA_QH","ONT")</f>
        <v>0</v>
      </c>
      <c r="AR23" s="22">
        <f ca="1">+GETPIVOTDATA("XXS4",'xuanson (2016)'!$A$3,"MA_HT","SKT","MA_QH","ODT")</f>
        <v>0</v>
      </c>
      <c r="AS23" s="22">
        <f ca="1">+GETPIVOTDATA("XXS4",'xuanson (2016)'!$A$3,"MA_HT","SKT","MA_QH","TSC")</f>
        <v>0</v>
      </c>
      <c r="AT23" s="22">
        <f ca="1">+GETPIVOTDATA("XXS4",'xuanson (2016)'!$A$3,"MA_HT","SKT","MA_QH","DTS")</f>
        <v>0</v>
      </c>
      <c r="AU23" s="22">
        <f ca="1">+GETPIVOTDATA("XXS4",'xuanson (2016)'!$A$3,"MA_HT","SKT","MA_QH","DNG")</f>
        <v>0</v>
      </c>
      <c r="AV23" s="22">
        <f ca="1">+GETPIVOTDATA("XXS4",'xuanson (2016)'!$A$3,"MA_HT","SKT","MA_QH","TON")</f>
        <v>0</v>
      </c>
      <c r="AW23" s="22">
        <f ca="1">+GETPIVOTDATA("XXS4",'xuanson (2016)'!$A$3,"MA_HT","SKT","MA_QH","NTD")</f>
        <v>0</v>
      </c>
      <c r="AX23" s="22">
        <f ca="1">+GETPIVOTDATA("XXS4",'xuanson (2016)'!$A$3,"MA_HT","SKT","MA_QH","SKX")</f>
        <v>0</v>
      </c>
      <c r="AY23" s="22">
        <f ca="1">+GETPIVOTDATA("XXS4",'xuanson (2016)'!$A$3,"MA_HT","SKT","MA_QH","DSH")</f>
        <v>0</v>
      </c>
      <c r="AZ23" s="22">
        <f ca="1">+GETPIVOTDATA("XXS4",'xuanson (2016)'!$A$3,"MA_HT","SKT","MA_QH","DKV")</f>
        <v>0</v>
      </c>
      <c r="BA23" s="89">
        <f ca="1">+GETPIVOTDATA("XXS4",'xuanson (2016)'!$A$3,"MA_HT","SKT","MA_QH","TIN")</f>
        <v>0</v>
      </c>
      <c r="BB23" s="50">
        <f ca="1">+GETPIVOTDATA("XXS4",'xuanson (2016)'!$A$3,"MA_HT","SKT","MA_QH","SON")</f>
        <v>0</v>
      </c>
      <c r="BC23" s="50">
        <f ca="1">+GETPIVOTDATA("XXS4",'xuanson (2016)'!$A$3,"MA_HT","SKT","MA_QH","MNC")</f>
        <v>0</v>
      </c>
      <c r="BD23" s="22">
        <f ca="1">+GETPIVOTDATA("XXS4",'xuanson (2016)'!$A$3,"MA_HT","SKT","MA_QH","PNK")</f>
        <v>0</v>
      </c>
      <c r="BE23" s="71">
        <f ca="1">+GETPIVOTDATA("XXS4",'xuanson (2016)'!$A$3,"MA_HT","SKT","MA_QH","CSD")</f>
        <v>0</v>
      </c>
      <c r="BF23" s="74">
        <f ca="1" t="shared" si="13"/>
        <v>0</v>
      </c>
      <c r="BG23" s="101">
        <f ca="1">V$59-$BF23</f>
        <v>0</v>
      </c>
      <c r="BH23" s="41" t="e">
        <f ca="1" t="shared" si="14"/>
        <v>#REF!</v>
      </c>
      <c r="BI23" s="98"/>
      <c r="BJ23" s="107"/>
      <c r="BK23" s="107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</row>
    <row r="24" s="2" customFormat="1" ht="15.75" customHeight="1" spans="1:79">
      <c r="A24" s="39" t="s">
        <v>8366</v>
      </c>
      <c r="B24" s="53" t="s">
        <v>8367</v>
      </c>
      <c r="C24" s="40" t="s">
        <v>56</v>
      </c>
      <c r="D24" s="41" t="e">
        <f>+#REF!</f>
        <v>#REF!</v>
      </c>
      <c r="E24" s="42">
        <f ca="1" t="shared" si="15"/>
        <v>0</v>
      </c>
      <c r="F24" s="52">
        <f ca="1" t="shared" si="9"/>
        <v>0</v>
      </c>
      <c r="G24" s="22">
        <f ca="1">+GETPIVOTDATA("XXS4",'xuanson (2016)'!$A$3,"MA_HT","SKN","MA_QH","LUC")</f>
        <v>0</v>
      </c>
      <c r="H24" s="22">
        <f ca="1">+GETPIVOTDATA("XXS4",'xuanson (2016)'!$A$3,"MA_HT","SKN","MA_QH","LUK")</f>
        <v>0</v>
      </c>
      <c r="I24" s="22">
        <f ca="1">+GETPIVOTDATA("XXS4",'xuanson (2016)'!$A$3,"MA_HT","SKN","MA_QH","LUN")</f>
        <v>0</v>
      </c>
      <c r="J24" s="22">
        <f ca="1">+GETPIVOTDATA("XXS4",'xuanson (2016)'!$A$3,"MA_HT","SKN","MA_QH","HNK")</f>
        <v>0</v>
      </c>
      <c r="K24" s="22">
        <f ca="1">+GETPIVOTDATA("XXS4",'xuanson (2016)'!$A$3,"MA_HT","SKN","MA_QH","CLN")</f>
        <v>0</v>
      </c>
      <c r="L24" s="22">
        <f ca="1">+GETPIVOTDATA("XXS4",'xuanson (2016)'!$A$3,"MA_HT","SKN","MA_QH","RSX")</f>
        <v>0</v>
      </c>
      <c r="M24" s="22">
        <f ca="1">+GETPIVOTDATA("XXS4",'xuanson (2016)'!$A$3,"MA_HT","SKN","MA_QH","RPH")</f>
        <v>0</v>
      </c>
      <c r="N24" s="22">
        <f ca="1">+GETPIVOTDATA("XXS4",'xuanson (2016)'!$A$3,"MA_HT","SKN","MA_QH","RDD")</f>
        <v>0</v>
      </c>
      <c r="O24" s="22">
        <f ca="1">+GETPIVOTDATA("XXS4",'xuanson (2016)'!$A$3,"MA_HT","SKN","MA_QH","NTS")</f>
        <v>0</v>
      </c>
      <c r="P24" s="22">
        <f ca="1">+GETPIVOTDATA("XXS4",'xuanson (2016)'!$A$3,"MA_HT","SKN","MA_QH","LMU")</f>
        <v>0</v>
      </c>
      <c r="Q24" s="22">
        <f ca="1">+GETPIVOTDATA("XXS4",'xuanson (2016)'!$A$3,"MA_HT","SKN","MA_QH","NKH")</f>
        <v>0</v>
      </c>
      <c r="R24" s="42">
        <f ca="1">SUM(S24:V24,X24:AA24,AN24:BD24)</f>
        <v>0</v>
      </c>
      <c r="S24" s="22">
        <f ca="1">+GETPIVOTDATA("XXS4",'xuanson (2016)'!$A$3,"MA_HT","SKN","MA_QH","CQP")</f>
        <v>0</v>
      </c>
      <c r="T24" s="22">
        <f ca="1">+GETPIVOTDATA("XXS4",'xuanson (2016)'!$A$3,"MA_HT","SKN","MA_QH","CAN")</f>
        <v>0</v>
      </c>
      <c r="U24" s="22">
        <f ca="1">+GETPIVOTDATA("XXS4",'xuanson (2016)'!$A$3,"MA_HT","SKN","MA_QH","SKK")</f>
        <v>0</v>
      </c>
      <c r="V24" s="22">
        <f ca="1">+GETPIVOTDATA("XXS4",'xuanson (2016)'!$A$3,"MA_HT","SKN","MA_QH","SKT")</f>
        <v>0</v>
      </c>
      <c r="W24" s="43" t="e">
        <f ca="1">$D24-$BF24</f>
        <v>#REF!</v>
      </c>
      <c r="X24" s="22">
        <f ca="1">+GETPIVOTDATA("XXS4",'xuanson (2016)'!$A$3,"MA_HT","SKN","MA_QH","TMD")</f>
        <v>0</v>
      </c>
      <c r="Y24" s="22">
        <f ca="1">+GETPIVOTDATA("XXS4",'xuanson (2016)'!$A$3,"MA_HT","SKN","MA_QH","SKC")</f>
        <v>0</v>
      </c>
      <c r="Z24" s="22">
        <f ca="1">+GETPIVOTDATA("XXS4",'xuanson (2016)'!$A$3,"MA_HT","SKN","MA_QH","SKS")</f>
        <v>0</v>
      </c>
      <c r="AA24" s="52">
        <f ca="1" t="shared" si="12"/>
        <v>0</v>
      </c>
      <c r="AB24" s="22">
        <f ca="1">+GETPIVOTDATA("XXS4",'xuanson (2016)'!$A$3,"MA_HT","SKN","MA_QH","DGT")</f>
        <v>0</v>
      </c>
      <c r="AC24" s="22">
        <f ca="1">+GETPIVOTDATA("XXS4",'xuanson (2016)'!$A$3,"MA_HT","SKN","MA_QH","DTL")</f>
        <v>0</v>
      </c>
      <c r="AD24" s="22">
        <f ca="1">+GETPIVOTDATA("XXS4",'xuanson (2016)'!$A$3,"MA_HT","SKN","MA_QH","DNL")</f>
        <v>0</v>
      </c>
      <c r="AE24" s="22">
        <f ca="1">+GETPIVOTDATA("XXS4",'xuanson (2016)'!$A$3,"MA_HT","SKN","MA_QH","DBV")</f>
        <v>0</v>
      </c>
      <c r="AF24" s="22">
        <f ca="1">+GETPIVOTDATA("XXS4",'xuanson (2016)'!$A$3,"MA_HT","SKN","MA_QH","DVH")</f>
        <v>0</v>
      </c>
      <c r="AG24" s="22">
        <f ca="1">+GETPIVOTDATA("XXS4",'xuanson (2016)'!$A$3,"MA_HT","SKN","MA_QH","DYT")</f>
        <v>0</v>
      </c>
      <c r="AH24" s="22">
        <f ca="1">+GETPIVOTDATA("XXS4",'xuanson (2016)'!$A$3,"MA_HT","SKN","MA_QH","DGD")</f>
        <v>0</v>
      </c>
      <c r="AI24" s="22">
        <f ca="1">+GETPIVOTDATA("XXS4",'xuanson (2016)'!$A$3,"MA_HT","SKN","MA_QH","DTT")</f>
        <v>0</v>
      </c>
      <c r="AJ24" s="22">
        <f ca="1">+GETPIVOTDATA("XXS4",'xuanson (2016)'!$A$3,"MA_HT","SKN","MA_QH","NCK")</f>
        <v>0</v>
      </c>
      <c r="AK24" s="22">
        <f ca="1">+GETPIVOTDATA("XXS4",'xuanson (2016)'!$A$3,"MA_HT","SKN","MA_QH","DXH")</f>
        <v>0</v>
      </c>
      <c r="AL24" s="22">
        <f ca="1">+GETPIVOTDATA("XXS4",'xuanson (2016)'!$A$3,"MA_HT","SKN","MA_QH","DCH")</f>
        <v>0</v>
      </c>
      <c r="AM24" s="22">
        <f ca="1">+GETPIVOTDATA("XXS4",'xuanson (2016)'!$A$3,"MA_HT","SKN","MA_QH","DKG")</f>
        <v>0</v>
      </c>
      <c r="AN24" s="22">
        <f ca="1">+GETPIVOTDATA("XXS4",'xuanson (2016)'!$A$3,"MA_HT","SKN","MA_QH","DDT")</f>
        <v>0</v>
      </c>
      <c r="AO24" s="22">
        <f ca="1">+GETPIVOTDATA("XXS4",'xuanson (2016)'!$A$3,"MA_HT","SKN","MA_QH","DDL")</f>
        <v>0</v>
      </c>
      <c r="AP24" s="22">
        <f ca="1">+GETPIVOTDATA("XXS4",'xuanson (2016)'!$A$3,"MA_HT","SKN","MA_QH","DRA")</f>
        <v>0</v>
      </c>
      <c r="AQ24" s="22">
        <f ca="1">+GETPIVOTDATA("XXS4",'xuanson (2016)'!$A$3,"MA_HT","SKN","MA_QH","ONT")</f>
        <v>0</v>
      </c>
      <c r="AR24" s="22">
        <f ca="1">+GETPIVOTDATA("XXS4",'xuanson (2016)'!$A$3,"MA_HT","SKN","MA_QH","ODT")</f>
        <v>0</v>
      </c>
      <c r="AS24" s="22">
        <f ca="1">+GETPIVOTDATA("XXS4",'xuanson (2016)'!$A$3,"MA_HT","SKN","MA_QH","TSC")</f>
        <v>0</v>
      </c>
      <c r="AT24" s="22">
        <f ca="1">+GETPIVOTDATA("XXS4",'xuanson (2016)'!$A$3,"MA_HT","SKN","MA_QH","DTS")</f>
        <v>0</v>
      </c>
      <c r="AU24" s="22">
        <f ca="1">+GETPIVOTDATA("XXS4",'xuanson (2016)'!$A$3,"MA_HT","SKN","MA_QH","DNG")</f>
        <v>0</v>
      </c>
      <c r="AV24" s="22">
        <f ca="1">+GETPIVOTDATA("XXS4",'xuanson (2016)'!$A$3,"MA_HT","SKN","MA_QH","TON")</f>
        <v>0</v>
      </c>
      <c r="AW24" s="22">
        <f ca="1">+GETPIVOTDATA("XXS4",'xuanson (2016)'!$A$3,"MA_HT","SKN","MA_QH","NTD")</f>
        <v>0</v>
      </c>
      <c r="AX24" s="22">
        <f ca="1">+GETPIVOTDATA("XXS4",'xuanson (2016)'!$A$3,"MA_HT","SKN","MA_QH","SKX")</f>
        <v>0</v>
      </c>
      <c r="AY24" s="22">
        <f ca="1">+GETPIVOTDATA("XXS4",'xuanson (2016)'!$A$3,"MA_HT","SKN","MA_QH","DSH")</f>
        <v>0</v>
      </c>
      <c r="AZ24" s="22">
        <f ca="1">+GETPIVOTDATA("XXS4",'xuanson (2016)'!$A$3,"MA_HT","SKN","MA_QH","DKV")</f>
        <v>0</v>
      </c>
      <c r="BA24" s="89">
        <f ca="1">+GETPIVOTDATA("XXS4",'xuanson (2016)'!$A$3,"MA_HT","SKN","MA_QH","TIN")</f>
        <v>0</v>
      </c>
      <c r="BB24" s="50">
        <f ca="1">+GETPIVOTDATA("XXS4",'xuanson (2016)'!$A$3,"MA_HT","SKN","MA_QH","SON")</f>
        <v>0</v>
      </c>
      <c r="BC24" s="50">
        <f ca="1">+GETPIVOTDATA("XXS4",'xuanson (2016)'!$A$3,"MA_HT","SKN","MA_QH","MNC")</f>
        <v>0</v>
      </c>
      <c r="BD24" s="22">
        <f ca="1">+GETPIVOTDATA("XXS4",'xuanson (2016)'!$A$3,"MA_HT","SKN","MA_QH","PNK")</f>
        <v>0</v>
      </c>
      <c r="BE24" s="71">
        <f ca="1">+GETPIVOTDATA("XXS4",'xuanson (2016)'!$A$3,"MA_HT","SKN","MA_QH","CSD")</f>
        <v>0</v>
      </c>
      <c r="BF24" s="74">
        <f ca="1" t="shared" si="13"/>
        <v>0</v>
      </c>
      <c r="BG24" s="101">
        <f ca="1">W$59-$BF24</f>
        <v>0</v>
      </c>
      <c r="BH24" s="41" t="e">
        <f ca="1" t="shared" si="14"/>
        <v>#REF!</v>
      </c>
      <c r="BI24" s="98"/>
      <c r="BJ24" s="107"/>
      <c r="BK24" s="107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</row>
    <row r="25" s="2" customFormat="1" ht="15.75" customHeight="1" spans="1:79">
      <c r="A25" s="39" t="s">
        <v>8368</v>
      </c>
      <c r="B25" s="39" t="s">
        <v>8369</v>
      </c>
      <c r="C25" s="40" t="s">
        <v>265</v>
      </c>
      <c r="D25" s="41" t="e">
        <f>+#REF!</f>
        <v>#REF!</v>
      </c>
      <c r="E25" s="42">
        <f ca="1" t="shared" si="15"/>
        <v>0</v>
      </c>
      <c r="F25" s="52">
        <f ca="1" t="shared" si="9"/>
        <v>0</v>
      </c>
      <c r="G25" s="22">
        <f ca="1">+GETPIVOTDATA("XXS4",'xuanson (2016)'!$A$3,"MA_HT","TMD","MA_QH","LUC")</f>
        <v>0</v>
      </c>
      <c r="H25" s="22">
        <f ca="1">+GETPIVOTDATA("XXS4",'xuanson (2016)'!$A$3,"MA_HT","TMD","MA_QH","LUK")</f>
        <v>0</v>
      </c>
      <c r="I25" s="22">
        <f ca="1">+GETPIVOTDATA("XXS4",'xuanson (2016)'!$A$3,"MA_HT","TMD","MA_QH","LUN")</f>
        <v>0</v>
      </c>
      <c r="J25" s="22">
        <f ca="1">+GETPIVOTDATA("XXS4",'xuanson (2016)'!$A$3,"MA_HT","TMD","MA_QH","HNK")</f>
        <v>0</v>
      </c>
      <c r="K25" s="22">
        <f ca="1">+GETPIVOTDATA("XXS4",'xuanson (2016)'!$A$3,"MA_HT","TMD","MA_QH","CLN")</f>
        <v>0</v>
      </c>
      <c r="L25" s="22">
        <f ca="1">+GETPIVOTDATA("XXS4",'xuanson (2016)'!$A$3,"MA_HT","TMD","MA_QH","RSX")</f>
        <v>0</v>
      </c>
      <c r="M25" s="22">
        <f ca="1">+GETPIVOTDATA("XXS4",'xuanson (2016)'!$A$3,"MA_HT","TMD","MA_QH","RPH")</f>
        <v>0</v>
      </c>
      <c r="N25" s="22">
        <f ca="1">+GETPIVOTDATA("XXS4",'xuanson (2016)'!$A$3,"MA_HT","TMD","MA_QH","RDD")</f>
        <v>0</v>
      </c>
      <c r="O25" s="22">
        <f ca="1">+GETPIVOTDATA("XXS4",'xuanson (2016)'!$A$3,"MA_HT","TMD","MA_QH","NTS")</f>
        <v>0</v>
      </c>
      <c r="P25" s="22">
        <f ca="1">+GETPIVOTDATA("XXS4",'xuanson (2016)'!$A$3,"MA_HT","TMD","MA_QH","LMU")</f>
        <v>0</v>
      </c>
      <c r="Q25" s="22">
        <f ca="1">+GETPIVOTDATA("XXS4",'xuanson (2016)'!$A$3,"MA_HT","TMD","MA_QH","NKH")</f>
        <v>0</v>
      </c>
      <c r="R25" s="42">
        <f ca="1">SUM(S25:W25,Y25:AA25,AN25:BD25)</f>
        <v>0</v>
      </c>
      <c r="S25" s="22">
        <f ca="1">+GETPIVOTDATA("XXS4",'xuanson (2016)'!$A$3,"MA_HT","TMD","MA_QH","CQP")</f>
        <v>0</v>
      </c>
      <c r="T25" s="22">
        <f ca="1">+GETPIVOTDATA("XXS4",'xuanson (2016)'!$A$3,"MA_HT","TMD","MA_QH","CAN")</f>
        <v>0</v>
      </c>
      <c r="U25" s="22">
        <f ca="1">+GETPIVOTDATA("XXS4",'xuanson (2016)'!$A$3,"MA_HT","TMD","MA_QH","SKK")</f>
        <v>0</v>
      </c>
      <c r="V25" s="22">
        <f ca="1">+GETPIVOTDATA("XXS4",'xuanson (2016)'!$A$3,"MA_HT","TMD","MA_QH","SKT")</f>
        <v>0</v>
      </c>
      <c r="W25" s="22">
        <f ca="1">+GETPIVOTDATA("XXS4",'xuanson (2016)'!$A$3,"MA_HT","TMD","MA_QH","SKN")</f>
        <v>0</v>
      </c>
      <c r="X25" s="43" t="e">
        <f ca="1">$D25-$BF25</f>
        <v>#REF!</v>
      </c>
      <c r="Y25" s="22">
        <f ca="1">+GETPIVOTDATA("XXS4",'xuanson (2016)'!$A$3,"MA_HT","TMD","MA_QH","SKC")</f>
        <v>0</v>
      </c>
      <c r="Z25" s="22">
        <f ca="1">+GETPIVOTDATA("XXS4",'xuanson (2016)'!$A$3,"MA_HT","TMD","MA_QH","SKS")</f>
        <v>0</v>
      </c>
      <c r="AA25" s="52">
        <f ca="1" t="shared" si="12"/>
        <v>0</v>
      </c>
      <c r="AB25" s="22">
        <f ca="1">+GETPIVOTDATA("XXS4",'xuanson (2016)'!$A$3,"MA_HT","TMD","MA_QH","DGT")</f>
        <v>0</v>
      </c>
      <c r="AC25" s="22">
        <f ca="1">+GETPIVOTDATA("XXS4",'xuanson (2016)'!$A$3,"MA_HT","TMD","MA_QH","DTL")</f>
        <v>0</v>
      </c>
      <c r="AD25" s="22">
        <f ca="1">+GETPIVOTDATA("XXS4",'xuanson (2016)'!$A$3,"MA_HT","TMD","MA_QH","DNL")</f>
        <v>0</v>
      </c>
      <c r="AE25" s="22">
        <f ca="1">+GETPIVOTDATA("XXS4",'xuanson (2016)'!$A$3,"MA_HT","TMD","MA_QH","DBV")</f>
        <v>0</v>
      </c>
      <c r="AF25" s="22">
        <f ca="1">+GETPIVOTDATA("XXS4",'xuanson (2016)'!$A$3,"MA_HT","TMD","MA_QH","DVH")</f>
        <v>0</v>
      </c>
      <c r="AG25" s="22">
        <f ca="1">+GETPIVOTDATA("XXS4",'xuanson (2016)'!$A$3,"MA_HT","TMD","MA_QH","DYT")</f>
        <v>0</v>
      </c>
      <c r="AH25" s="22">
        <f ca="1">+GETPIVOTDATA("XXS4",'xuanson (2016)'!$A$3,"MA_HT","TMD","MA_QH","DGD")</f>
        <v>0</v>
      </c>
      <c r="AI25" s="22">
        <f ca="1">+GETPIVOTDATA("XXS4",'xuanson (2016)'!$A$3,"MA_HT","TMD","MA_QH","DTT")</f>
        <v>0</v>
      </c>
      <c r="AJ25" s="22">
        <f ca="1">+GETPIVOTDATA("XXS4",'xuanson (2016)'!$A$3,"MA_HT","TMD","MA_QH","NCK")</f>
        <v>0</v>
      </c>
      <c r="AK25" s="22">
        <f ca="1">+GETPIVOTDATA("XXS4",'xuanson (2016)'!$A$3,"MA_HT","TMD","MA_QH","DXH")</f>
        <v>0</v>
      </c>
      <c r="AL25" s="22">
        <f ca="1">+GETPIVOTDATA("XXS4",'xuanson (2016)'!$A$3,"MA_HT","TMD","MA_QH","DCH")</f>
        <v>0</v>
      </c>
      <c r="AM25" s="22">
        <f ca="1">+GETPIVOTDATA("XXS4",'xuanson (2016)'!$A$3,"MA_HT","TMD","MA_QH","DKG")</f>
        <v>0</v>
      </c>
      <c r="AN25" s="22">
        <f ca="1">+GETPIVOTDATA("XXS4",'xuanson (2016)'!$A$3,"MA_HT","TMD","MA_QH","DDT")</f>
        <v>0</v>
      </c>
      <c r="AO25" s="22">
        <f ca="1">+GETPIVOTDATA("XXS4",'xuanson (2016)'!$A$3,"MA_HT","TMD","MA_QH","DDL")</f>
        <v>0</v>
      </c>
      <c r="AP25" s="22">
        <f ca="1">+GETPIVOTDATA("XXS4",'xuanson (2016)'!$A$3,"MA_HT","TMD","MA_QH","DRA")</f>
        <v>0</v>
      </c>
      <c r="AQ25" s="22">
        <f ca="1">+GETPIVOTDATA("XXS4",'xuanson (2016)'!$A$3,"MA_HT","TMD","MA_QH","ONT")</f>
        <v>0</v>
      </c>
      <c r="AR25" s="22">
        <f ca="1">+GETPIVOTDATA("XXS4",'xuanson (2016)'!$A$3,"MA_HT","TMD","MA_QH","ODT")</f>
        <v>0</v>
      </c>
      <c r="AS25" s="22">
        <f ca="1">+GETPIVOTDATA("XXS4",'xuanson (2016)'!$A$3,"MA_HT","TMD","MA_QH","TSC")</f>
        <v>0</v>
      </c>
      <c r="AT25" s="22">
        <f ca="1">+GETPIVOTDATA("XXS4",'xuanson (2016)'!$A$3,"MA_HT","TMD","MA_QH","DTS")</f>
        <v>0</v>
      </c>
      <c r="AU25" s="22">
        <f ca="1">+GETPIVOTDATA("XXS4",'xuanson (2016)'!$A$3,"MA_HT","TMD","MA_QH","DNG")</f>
        <v>0</v>
      </c>
      <c r="AV25" s="22">
        <f ca="1">+GETPIVOTDATA("XXS4",'xuanson (2016)'!$A$3,"MA_HT","TMD","MA_QH","TON")</f>
        <v>0</v>
      </c>
      <c r="AW25" s="22">
        <f ca="1">+GETPIVOTDATA("XXS4",'xuanson (2016)'!$A$3,"MA_HT","TMD","MA_QH","NTD")</f>
        <v>0</v>
      </c>
      <c r="AX25" s="22">
        <f ca="1">+GETPIVOTDATA("XXS4",'xuanson (2016)'!$A$3,"MA_HT","TMD","MA_QH","SKX")</f>
        <v>0</v>
      </c>
      <c r="AY25" s="22">
        <f ca="1">+GETPIVOTDATA("XXS4",'xuanson (2016)'!$A$3,"MA_HT","TMD","MA_QH","DSH")</f>
        <v>0</v>
      </c>
      <c r="AZ25" s="22">
        <f ca="1">+GETPIVOTDATA("XXS4",'xuanson (2016)'!$A$3,"MA_HT","TMD","MA_QH","DKV")</f>
        <v>0</v>
      </c>
      <c r="BA25" s="89">
        <f ca="1">+GETPIVOTDATA("XXS4",'xuanson (2016)'!$A$3,"MA_HT","TMD","MA_QH","TIN")</f>
        <v>0</v>
      </c>
      <c r="BB25" s="50">
        <f ca="1">+GETPIVOTDATA("XXS4",'xuanson (2016)'!$A$3,"MA_HT","TMD","MA_QH","SON")</f>
        <v>0</v>
      </c>
      <c r="BC25" s="50">
        <f ca="1">+GETPIVOTDATA("XXS4",'xuanson (2016)'!$A$3,"MA_HT","TMD","MA_QH","MNC")</f>
        <v>0</v>
      </c>
      <c r="BD25" s="22">
        <f ca="1">+GETPIVOTDATA("XXS4",'xuanson (2016)'!$A$3,"MA_HT","TMD","MA_QH","PNK")</f>
        <v>0</v>
      </c>
      <c r="BE25" s="71">
        <f ca="1">+GETPIVOTDATA("XXS4",'xuanson (2016)'!$A$3,"MA_HT","TMD","MA_QH","CSD")</f>
        <v>0</v>
      </c>
      <c r="BF25" s="74">
        <f ca="1" t="shared" si="13"/>
        <v>0</v>
      </c>
      <c r="BG25" s="101">
        <f ca="1">X$59-$BF25</f>
        <v>0</v>
      </c>
      <c r="BH25" s="41" t="e">
        <f ca="1" t="shared" si="14"/>
        <v>#REF!</v>
      </c>
      <c r="BI25" s="98"/>
      <c r="BJ25" s="107" t="e">
        <f>#REF!</f>
        <v>#REF!</v>
      </c>
      <c r="BK25" s="107" t="e">
        <f ca="1">BH25-BJ25</f>
        <v>#REF!</v>
      </c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</row>
    <row r="26" s="2" customFormat="1" ht="15.75" customHeight="1" spans="1:79">
      <c r="A26" s="39" t="s">
        <v>8370</v>
      </c>
      <c r="B26" s="39" t="s">
        <v>8371</v>
      </c>
      <c r="C26" s="40" t="s">
        <v>204</v>
      </c>
      <c r="D26" s="41" t="e">
        <f>+#REF!</f>
        <v>#REF!</v>
      </c>
      <c r="E26" s="42">
        <f ca="1" t="shared" si="15"/>
        <v>0</v>
      </c>
      <c r="F26" s="52">
        <f ca="1" t="shared" si="9"/>
        <v>0</v>
      </c>
      <c r="G26" s="22">
        <f ca="1">+GETPIVOTDATA("XXS4",'xuanson (2016)'!$A$3,"MA_HT","SKC","MA_QH","LUC")</f>
        <v>0</v>
      </c>
      <c r="H26" s="22">
        <f ca="1">+GETPIVOTDATA("XXS4",'xuanson (2016)'!$A$3,"MA_HT","SKC","MA_QH","LUK")</f>
        <v>0</v>
      </c>
      <c r="I26" s="22">
        <f ca="1">+GETPIVOTDATA("XXS4",'xuanson (2016)'!$A$3,"MA_HT","SKC","MA_QH","LUN")</f>
        <v>0</v>
      </c>
      <c r="J26" s="22">
        <f ca="1">+GETPIVOTDATA("XXS4",'xuanson (2016)'!$A$3,"MA_HT","SKC","MA_QH","HNK")</f>
        <v>0</v>
      </c>
      <c r="K26" s="22">
        <f ca="1">+GETPIVOTDATA("XXS4",'xuanson (2016)'!$A$3,"MA_HT","SKC","MA_QH","CLN")</f>
        <v>0</v>
      </c>
      <c r="L26" s="22">
        <f ca="1">+GETPIVOTDATA("XXS4",'xuanson (2016)'!$A$3,"MA_HT","SKC","MA_QH","RSX")</f>
        <v>0</v>
      </c>
      <c r="M26" s="22">
        <f ca="1">+GETPIVOTDATA("XXS4",'xuanson (2016)'!$A$3,"MA_HT","SKC","MA_QH","RPH")</f>
        <v>0</v>
      </c>
      <c r="N26" s="22">
        <f ca="1">+GETPIVOTDATA("XXS4",'xuanson (2016)'!$A$3,"MA_HT","SKC","MA_QH","RDD")</f>
        <v>0</v>
      </c>
      <c r="O26" s="22">
        <f ca="1">+GETPIVOTDATA("XXS4",'xuanson (2016)'!$A$3,"MA_HT","SKC","MA_QH","NTS")</f>
        <v>0</v>
      </c>
      <c r="P26" s="22">
        <f ca="1">+GETPIVOTDATA("XXS4",'xuanson (2016)'!$A$3,"MA_HT","SKC","MA_QH","LMU")</f>
        <v>0</v>
      </c>
      <c r="Q26" s="22">
        <f ca="1">+GETPIVOTDATA("XXS4",'xuanson (2016)'!$A$3,"MA_HT","SKC","MA_QH","NKH")</f>
        <v>0</v>
      </c>
      <c r="R26" s="42">
        <f ca="1">SUM(S26:X26,Z26,AN26:BD26)</f>
        <v>0</v>
      </c>
      <c r="S26" s="22">
        <f ca="1">+GETPIVOTDATA("XXS4",'xuanson (2016)'!$A$3,"MA_HT","SKC","MA_QH","CQP")</f>
        <v>0</v>
      </c>
      <c r="T26" s="22">
        <f ca="1">+GETPIVOTDATA("XXS4",'xuanson (2016)'!$A$3,"MA_HT","SKC","MA_QH","CAN")</f>
        <v>0</v>
      </c>
      <c r="U26" s="22">
        <f ca="1">+GETPIVOTDATA("XXS4",'xuanson (2016)'!$A$3,"MA_HT","SKC","MA_QH","SKK")</f>
        <v>0</v>
      </c>
      <c r="V26" s="22">
        <f ca="1">+GETPIVOTDATA("XXS4",'xuanson (2016)'!$A$3,"MA_HT","SKC","MA_QH","SKT")</f>
        <v>0</v>
      </c>
      <c r="W26" s="22">
        <f ca="1">+GETPIVOTDATA("XXS4",'xuanson (2016)'!$A$3,"MA_HT","SKC","MA_QH","SKN")</f>
        <v>0</v>
      </c>
      <c r="X26" s="22">
        <f ca="1">+GETPIVOTDATA("XXS4",'xuanson (2016)'!$A$3,"MA_HT","SKC","MA_QH","TMD")</f>
        <v>0</v>
      </c>
      <c r="Y26" s="43" t="e">
        <f ca="1">$D26-$BF26</f>
        <v>#REF!</v>
      </c>
      <c r="Z26" s="22">
        <f ca="1">+GETPIVOTDATA("XXS4",'xuanson (2016)'!$A$3,"MA_HT","SKC","MA_QH","SKS")</f>
        <v>0</v>
      </c>
      <c r="AA26" s="52">
        <f ca="1" t="shared" si="12"/>
        <v>0</v>
      </c>
      <c r="AB26" s="22">
        <f ca="1">+GETPIVOTDATA("XXS4",'xuanson (2016)'!$A$3,"MA_HT","SKC","MA_QH","DGT")</f>
        <v>0</v>
      </c>
      <c r="AC26" s="22">
        <f ca="1">+GETPIVOTDATA("XXS4",'xuanson (2016)'!$A$3,"MA_HT","SKC","MA_QH","DTL")</f>
        <v>0</v>
      </c>
      <c r="AD26" s="22">
        <f ca="1">+GETPIVOTDATA("XXS4",'xuanson (2016)'!$A$3,"MA_HT","SKC","MA_QH","DNL")</f>
        <v>0</v>
      </c>
      <c r="AE26" s="22">
        <f ca="1">+GETPIVOTDATA("XXS4",'xuanson (2016)'!$A$3,"MA_HT","SKC","MA_QH","DBV")</f>
        <v>0</v>
      </c>
      <c r="AF26" s="22">
        <f ca="1">+GETPIVOTDATA("XXS4",'xuanson (2016)'!$A$3,"MA_HT","SKC","MA_QH","DVH")</f>
        <v>0</v>
      </c>
      <c r="AG26" s="22">
        <f ca="1">+GETPIVOTDATA("XXS4",'xuanson (2016)'!$A$3,"MA_HT","SKC","MA_QH","DYT")</f>
        <v>0</v>
      </c>
      <c r="AH26" s="22">
        <f ca="1">+GETPIVOTDATA("XXS4",'xuanson (2016)'!$A$3,"MA_HT","SKC","MA_QH","DGD")</f>
        <v>0</v>
      </c>
      <c r="AI26" s="22">
        <f ca="1">+GETPIVOTDATA("XXS4",'xuanson (2016)'!$A$3,"MA_HT","SKC","MA_QH","DTT")</f>
        <v>0</v>
      </c>
      <c r="AJ26" s="22">
        <f ca="1">+GETPIVOTDATA("XXS4",'xuanson (2016)'!$A$3,"MA_HT","SKC","MA_QH","NCK")</f>
        <v>0</v>
      </c>
      <c r="AK26" s="22">
        <f ca="1">+GETPIVOTDATA("XXS4",'xuanson (2016)'!$A$3,"MA_HT","SKC","MA_QH","DXH")</f>
        <v>0</v>
      </c>
      <c r="AL26" s="22">
        <f ca="1">+GETPIVOTDATA("XXS4",'xuanson (2016)'!$A$3,"MA_HT","SKC","MA_QH","DCH")</f>
        <v>0</v>
      </c>
      <c r="AM26" s="22">
        <f ca="1">+GETPIVOTDATA("XXS4",'xuanson (2016)'!$A$3,"MA_HT","SKC","MA_QH","DKG")</f>
        <v>0</v>
      </c>
      <c r="AN26" s="22">
        <f ca="1">+GETPIVOTDATA("XXS4",'xuanson (2016)'!$A$3,"MA_HT","SKC","MA_QH","DDT")</f>
        <v>0</v>
      </c>
      <c r="AO26" s="22">
        <f ca="1">+GETPIVOTDATA("XXS4",'xuanson (2016)'!$A$3,"MA_HT","SKC","MA_QH","DDL")</f>
        <v>0</v>
      </c>
      <c r="AP26" s="22">
        <f ca="1">+GETPIVOTDATA("XXS4",'xuanson (2016)'!$A$3,"MA_HT","SKC","MA_QH","DRA")</f>
        <v>0</v>
      </c>
      <c r="AQ26" s="22">
        <f ca="1">+GETPIVOTDATA("XXS4",'xuanson (2016)'!$A$3,"MA_HT","SKC","MA_QH","ONT")</f>
        <v>0</v>
      </c>
      <c r="AR26" s="22">
        <f ca="1">+GETPIVOTDATA("XXS4",'xuanson (2016)'!$A$3,"MA_HT","SKC","MA_QH","ODT")</f>
        <v>0</v>
      </c>
      <c r="AS26" s="22">
        <f ca="1">+GETPIVOTDATA("XXS4",'xuanson (2016)'!$A$3,"MA_HT","SKC","MA_QH","TSC")</f>
        <v>0</v>
      </c>
      <c r="AT26" s="22">
        <f ca="1">+GETPIVOTDATA("XXS4",'xuanson (2016)'!$A$3,"MA_HT","SKC","MA_QH","DTS")</f>
        <v>0</v>
      </c>
      <c r="AU26" s="22">
        <f ca="1">+GETPIVOTDATA("XXS4",'xuanson (2016)'!$A$3,"MA_HT","SKC","MA_QH","DNG")</f>
        <v>0</v>
      </c>
      <c r="AV26" s="22">
        <f ca="1">+GETPIVOTDATA("XXS4",'xuanson (2016)'!$A$3,"MA_HT","SKC","MA_QH","TON")</f>
        <v>0</v>
      </c>
      <c r="AW26" s="22">
        <f ca="1">+GETPIVOTDATA("XXS4",'xuanson (2016)'!$A$3,"MA_HT","SKC","MA_QH","NTD")</f>
        <v>0</v>
      </c>
      <c r="AX26" s="22">
        <f ca="1">+GETPIVOTDATA("XXS4",'xuanson (2016)'!$A$3,"MA_HT","SKC","MA_QH","SKX")</f>
        <v>0</v>
      </c>
      <c r="AY26" s="22">
        <f ca="1">+GETPIVOTDATA("XXS4",'xuanson (2016)'!$A$3,"MA_HT","SKC","MA_QH","DSH")</f>
        <v>0</v>
      </c>
      <c r="AZ26" s="22">
        <f ca="1">+GETPIVOTDATA("XXS4",'xuanson (2016)'!$A$3,"MA_HT","SKC","MA_QH","DKV")</f>
        <v>0</v>
      </c>
      <c r="BA26" s="89">
        <f ca="1">+GETPIVOTDATA("XXS4",'xuanson (2016)'!$A$3,"MA_HT","SKC","MA_QH","TIN")</f>
        <v>0</v>
      </c>
      <c r="BB26" s="50">
        <f ca="1">+GETPIVOTDATA("XXS4",'xuanson (2016)'!$A$3,"MA_HT","SKC","MA_QH","SON")</f>
        <v>0</v>
      </c>
      <c r="BC26" s="50">
        <f ca="1">+GETPIVOTDATA("XXS4",'xuanson (2016)'!$A$3,"MA_HT","SKC","MA_QH","MNC")</f>
        <v>0</v>
      </c>
      <c r="BD26" s="22">
        <f ca="1">+GETPIVOTDATA("XXS4",'xuanson (2016)'!$A$3,"MA_HT","SKC","MA_QH","PNK")</f>
        <v>0</v>
      </c>
      <c r="BE26" s="71">
        <f ca="1">+GETPIVOTDATA("XXS4",'xuanson (2016)'!$A$3,"MA_HT","SKC","MA_QH","CSD")</f>
        <v>0</v>
      </c>
      <c r="BF26" s="74">
        <f ca="1" t="shared" si="13"/>
        <v>0</v>
      </c>
      <c r="BG26" s="101">
        <f ca="1">Y$59-$BF26</f>
        <v>0</v>
      </c>
      <c r="BH26" s="41" t="e">
        <f ca="1" t="shared" si="14"/>
        <v>#REF!</v>
      </c>
      <c r="BI26" s="98"/>
      <c r="BJ26" s="107" t="e">
        <f>#REF!</f>
        <v>#REF!</v>
      </c>
      <c r="BK26" s="107" t="e">
        <f ca="1">BH26-BJ26</f>
        <v>#REF!</v>
      </c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</row>
    <row r="27" s="2" customFormat="1" ht="15.75" customHeight="1" spans="1:79">
      <c r="A27" s="39" t="s">
        <v>8372</v>
      </c>
      <c r="B27" s="53" t="s">
        <v>8373</v>
      </c>
      <c r="C27" s="40" t="s">
        <v>174</v>
      </c>
      <c r="D27" s="41" t="e">
        <f>+#REF!</f>
        <v>#REF!</v>
      </c>
      <c r="E27" s="42">
        <f ca="1" t="shared" si="15"/>
        <v>0</v>
      </c>
      <c r="F27" s="52">
        <f ca="1" t="shared" si="9"/>
        <v>0</v>
      </c>
      <c r="G27" s="22">
        <f ca="1">+GETPIVOTDATA("XXS4",'xuanson (2016)'!$A$3,"MA_HT","SKS","MA_QH","LUC")</f>
        <v>0</v>
      </c>
      <c r="H27" s="22">
        <f ca="1">+GETPIVOTDATA("XXS4",'xuanson (2016)'!$A$3,"MA_HT","SKS","MA_QH","LUK")</f>
        <v>0</v>
      </c>
      <c r="I27" s="22">
        <f ca="1">+GETPIVOTDATA("XXS4",'xuanson (2016)'!$A$3,"MA_HT","SKS","MA_QH","LUN")</f>
        <v>0</v>
      </c>
      <c r="J27" s="22">
        <f ca="1">+GETPIVOTDATA("XXS4",'xuanson (2016)'!$A$3,"MA_HT","SKS","MA_QH","HNK")</f>
        <v>0</v>
      </c>
      <c r="K27" s="22">
        <f ca="1">+GETPIVOTDATA("XXS4",'xuanson (2016)'!$A$3,"MA_HT","SKS","MA_QH","CLN")</f>
        <v>0</v>
      </c>
      <c r="L27" s="22">
        <f ca="1">+GETPIVOTDATA("XXS4",'xuanson (2016)'!$A$3,"MA_HT","SKS","MA_QH","RSX")</f>
        <v>0</v>
      </c>
      <c r="M27" s="22">
        <f ca="1">+GETPIVOTDATA("XXS4",'xuanson (2016)'!$A$3,"MA_HT","SKS","MA_QH","RPH")</f>
        <v>0</v>
      </c>
      <c r="N27" s="22">
        <f ca="1">+GETPIVOTDATA("XXS4",'xuanson (2016)'!$A$3,"MA_HT","SKS","MA_QH","RDD")</f>
        <v>0</v>
      </c>
      <c r="O27" s="22">
        <f ca="1">+GETPIVOTDATA("XXS4",'xuanson (2016)'!$A$3,"MA_HT","SKS","MA_QH","NTS")</f>
        <v>0</v>
      </c>
      <c r="P27" s="22">
        <f ca="1">+GETPIVOTDATA("XXS4",'xuanson (2016)'!$A$3,"MA_HT","SKS","MA_QH","LMU")</f>
        <v>0</v>
      </c>
      <c r="Q27" s="22">
        <f ca="1">+GETPIVOTDATA("XXS4",'xuanson (2016)'!$A$3,"MA_HT","SKS","MA_QH","NKH")</f>
        <v>0</v>
      </c>
      <c r="R27" s="42">
        <f ca="1">SUM(S27:Y27,AA27,AN27:BD27)</f>
        <v>0</v>
      </c>
      <c r="S27" s="22">
        <f ca="1">+GETPIVOTDATA("XXS4",'xuanson (2016)'!$A$3,"MA_HT","SKS","MA_QH","CQP")</f>
        <v>0</v>
      </c>
      <c r="T27" s="22">
        <f ca="1">+GETPIVOTDATA("XXS4",'xuanson (2016)'!$A$3,"MA_HT","SKS","MA_QH","CAN")</f>
        <v>0</v>
      </c>
      <c r="U27" s="22">
        <f ca="1">+GETPIVOTDATA("XXS4",'xuanson (2016)'!$A$3,"MA_HT","SKS","MA_QH","SKK")</f>
        <v>0</v>
      </c>
      <c r="V27" s="22">
        <f ca="1">+GETPIVOTDATA("XXS4",'xuanson (2016)'!$A$3,"MA_HT","SKS","MA_QH","SKT")</f>
        <v>0</v>
      </c>
      <c r="W27" s="22">
        <f ca="1">+GETPIVOTDATA("XXS4",'xuanson (2016)'!$A$3,"MA_HT","SKS","MA_QH","SKN")</f>
        <v>0</v>
      </c>
      <c r="X27" s="22">
        <f ca="1">+GETPIVOTDATA("XXS4",'xuanson (2016)'!$A$3,"MA_HT","SKS","MA_QH","TMD")</f>
        <v>0</v>
      </c>
      <c r="Y27" s="22">
        <f ca="1">+GETPIVOTDATA("XXS4",'xuanson (2016)'!$A$3,"MA_HT","SKS","MA_QH","SKC")</f>
        <v>0</v>
      </c>
      <c r="Z27" s="43" t="e">
        <f ca="1">$D27-$BF27</f>
        <v>#REF!</v>
      </c>
      <c r="AA27" s="52">
        <f ca="1" t="shared" si="12"/>
        <v>0</v>
      </c>
      <c r="AB27" s="22">
        <f ca="1">+GETPIVOTDATA("XXS4",'xuanson (2016)'!$A$3,"MA_HT","SKS","MA_QH","DGT")</f>
        <v>0</v>
      </c>
      <c r="AC27" s="22">
        <f ca="1">+GETPIVOTDATA("XXS4",'xuanson (2016)'!$A$3,"MA_HT","SKS","MA_QH","DTL")</f>
        <v>0</v>
      </c>
      <c r="AD27" s="22">
        <f ca="1">+GETPIVOTDATA("XXS4",'xuanson (2016)'!$A$3,"MA_HT","SKS","MA_QH","DNL")</f>
        <v>0</v>
      </c>
      <c r="AE27" s="22">
        <f ca="1">+GETPIVOTDATA("XXS4",'xuanson (2016)'!$A$3,"MA_HT","SKS","MA_QH","DBV")</f>
        <v>0</v>
      </c>
      <c r="AF27" s="22">
        <f ca="1">+GETPIVOTDATA("XXS4",'xuanson (2016)'!$A$3,"MA_HT","SKS","MA_QH","DVH")</f>
        <v>0</v>
      </c>
      <c r="AG27" s="22">
        <f ca="1">+GETPIVOTDATA("XXS4",'xuanson (2016)'!$A$3,"MA_HT","SKS","MA_QH","DYT")</f>
        <v>0</v>
      </c>
      <c r="AH27" s="22">
        <f ca="1">+GETPIVOTDATA("XXS4",'xuanson (2016)'!$A$3,"MA_HT","SKS","MA_QH","DGD")</f>
        <v>0</v>
      </c>
      <c r="AI27" s="22">
        <f ca="1">+GETPIVOTDATA("XXS4",'xuanson (2016)'!$A$3,"MA_HT","SKS","MA_QH","DTT")</f>
        <v>0</v>
      </c>
      <c r="AJ27" s="22">
        <f ca="1">+GETPIVOTDATA("XXS4",'xuanson (2016)'!$A$3,"MA_HT","SKS","MA_QH","NCK")</f>
        <v>0</v>
      </c>
      <c r="AK27" s="22">
        <f ca="1">+GETPIVOTDATA("XXS4",'xuanson (2016)'!$A$3,"MA_HT","SKS","MA_QH","DXH")</f>
        <v>0</v>
      </c>
      <c r="AL27" s="22">
        <f ca="1">+GETPIVOTDATA("XXS4",'xuanson (2016)'!$A$3,"MA_HT","SKS","MA_QH","DCH")</f>
        <v>0</v>
      </c>
      <c r="AM27" s="22">
        <f ca="1">+GETPIVOTDATA("XXS4",'xuanson (2016)'!$A$3,"MA_HT","SKS","MA_QH","DKG")</f>
        <v>0</v>
      </c>
      <c r="AN27" s="22">
        <f ca="1">+GETPIVOTDATA("XXS4",'xuanson (2016)'!$A$3,"MA_HT","SKS","MA_QH","DDT")</f>
        <v>0</v>
      </c>
      <c r="AO27" s="22">
        <f ca="1">+GETPIVOTDATA("XXS4",'xuanson (2016)'!$A$3,"MA_HT","SKS","MA_QH","DDL")</f>
        <v>0</v>
      </c>
      <c r="AP27" s="22">
        <f ca="1">+GETPIVOTDATA("XXS4",'xuanson (2016)'!$A$3,"MA_HT","SKS","MA_QH","DRA")</f>
        <v>0</v>
      </c>
      <c r="AQ27" s="22">
        <f ca="1">+GETPIVOTDATA("XXS4",'xuanson (2016)'!$A$3,"MA_HT","SKS","MA_QH","ONT")</f>
        <v>0</v>
      </c>
      <c r="AR27" s="22">
        <f ca="1">+GETPIVOTDATA("XXS4",'xuanson (2016)'!$A$3,"MA_HT","SKS","MA_QH","ODT")</f>
        <v>0</v>
      </c>
      <c r="AS27" s="22">
        <f ca="1">+GETPIVOTDATA("XXS4",'xuanson (2016)'!$A$3,"MA_HT","SKS","MA_QH","TSC")</f>
        <v>0</v>
      </c>
      <c r="AT27" s="22">
        <f ca="1">+GETPIVOTDATA("XXS4",'xuanson (2016)'!$A$3,"MA_HT","SKS","MA_QH","DTS")</f>
        <v>0</v>
      </c>
      <c r="AU27" s="22">
        <f ca="1">+GETPIVOTDATA("XXS4",'xuanson (2016)'!$A$3,"MA_HT","SKS","MA_QH","DNG")</f>
        <v>0</v>
      </c>
      <c r="AV27" s="22">
        <f ca="1">+GETPIVOTDATA("XXS4",'xuanson (2016)'!$A$3,"MA_HT","SKS","MA_QH","TON")</f>
        <v>0</v>
      </c>
      <c r="AW27" s="22">
        <f ca="1">+GETPIVOTDATA("XXS4",'xuanson (2016)'!$A$3,"MA_HT","SKS","MA_QH","NTD")</f>
        <v>0</v>
      </c>
      <c r="AX27" s="22">
        <f ca="1">+GETPIVOTDATA("XXS4",'xuanson (2016)'!$A$3,"MA_HT","SKS","MA_QH","SKX")</f>
        <v>0</v>
      </c>
      <c r="AY27" s="22">
        <f ca="1">+GETPIVOTDATA("XXS4",'xuanson (2016)'!$A$3,"MA_HT","SKS","MA_QH","DSH")</f>
        <v>0</v>
      </c>
      <c r="AZ27" s="22">
        <f ca="1">+GETPIVOTDATA("XXS4",'xuanson (2016)'!$A$3,"MA_HT","SKS","MA_QH","DKV")</f>
        <v>0</v>
      </c>
      <c r="BA27" s="89">
        <f ca="1">+GETPIVOTDATA("XXS4",'xuanson (2016)'!$A$3,"MA_HT","SKS","MA_QH","TIN")</f>
        <v>0</v>
      </c>
      <c r="BB27" s="50">
        <f ca="1">+GETPIVOTDATA("XXS4",'xuanson (2016)'!$A$3,"MA_HT","SKS","MA_QH","SON")</f>
        <v>0</v>
      </c>
      <c r="BC27" s="50">
        <f ca="1">+GETPIVOTDATA("XXS4",'xuanson (2016)'!$A$3,"MA_HT","SKS","MA_QH","MNC")</f>
        <v>0</v>
      </c>
      <c r="BD27" s="22">
        <f ca="1">+GETPIVOTDATA("XXS4",'xuanson (2016)'!$A$3,"MA_HT","SKS","MA_QH","PNK")</f>
        <v>0</v>
      </c>
      <c r="BE27" s="71">
        <f ca="1">+GETPIVOTDATA("XXS4",'xuanson (2016)'!$A$3,"MA_HT","SKS","MA_QH","CSD")</f>
        <v>0</v>
      </c>
      <c r="BF27" s="74">
        <f ca="1" t="shared" si="13"/>
        <v>0</v>
      </c>
      <c r="BG27" s="101">
        <f ca="1">Z$59-$BF27</f>
        <v>0</v>
      </c>
      <c r="BH27" s="41" t="e">
        <f ca="1" t="shared" si="14"/>
        <v>#REF!</v>
      </c>
      <c r="BI27" s="98"/>
      <c r="BJ27" s="107" t="e">
        <f>#REF!</f>
        <v>#REF!</v>
      </c>
      <c r="BK27" s="107" t="e">
        <f ca="1">BH27-BJ27</f>
        <v>#REF!</v>
      </c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</row>
    <row r="28" s="2" customFormat="1" ht="15.75" customHeight="1" spans="1:79">
      <c r="A28" s="39" t="s">
        <v>8374</v>
      </c>
      <c r="B28" s="53" t="s">
        <v>8375</v>
      </c>
      <c r="C28" s="40" t="s">
        <v>8288</v>
      </c>
      <c r="D28" s="41" t="e">
        <f>+#REF!</f>
        <v>#REF!</v>
      </c>
      <c r="E28" s="42">
        <f ca="1" t="shared" si="15"/>
        <v>0</v>
      </c>
      <c r="F28" s="52">
        <f ca="1" t="shared" si="9"/>
        <v>0</v>
      </c>
      <c r="G28" s="44">
        <f ca="1">SUM(G29:G39)</f>
        <v>0</v>
      </c>
      <c r="H28" s="44">
        <f ca="1" t="shared" ref="H28:Q28" si="16">SUM(H29:H39)</f>
        <v>0</v>
      </c>
      <c r="I28" s="44">
        <f ca="1" t="shared" si="16"/>
        <v>0</v>
      </c>
      <c r="J28" s="44">
        <f ca="1" t="shared" si="16"/>
        <v>0</v>
      </c>
      <c r="K28" s="44">
        <f ca="1" t="shared" si="16"/>
        <v>0</v>
      </c>
      <c r="L28" s="44">
        <f ca="1" t="shared" si="16"/>
        <v>0</v>
      </c>
      <c r="M28" s="44">
        <f ca="1" t="shared" si="16"/>
        <v>0</v>
      </c>
      <c r="N28" s="44">
        <f ca="1" t="shared" si="16"/>
        <v>0</v>
      </c>
      <c r="O28" s="44">
        <f ca="1" t="shared" si="16"/>
        <v>0</v>
      </c>
      <c r="P28" s="44">
        <f ca="1" t="shared" si="16"/>
        <v>0</v>
      </c>
      <c r="Q28" s="44">
        <f ca="1" t="shared" si="16"/>
        <v>0</v>
      </c>
      <c r="R28" s="44">
        <f ca="1">SUM(S28:Z28,AN28:BD28)</f>
        <v>0</v>
      </c>
      <c r="S28" s="44">
        <f ca="1">SUM(S29:S39)</f>
        <v>0</v>
      </c>
      <c r="T28" s="44">
        <f ca="1" t="shared" ref="T28:Z28" si="17">SUM(T29:T39)</f>
        <v>0</v>
      </c>
      <c r="U28" s="44">
        <f ca="1" t="shared" si="17"/>
        <v>0</v>
      </c>
      <c r="V28" s="44">
        <f ca="1" t="shared" si="17"/>
        <v>0</v>
      </c>
      <c r="W28" s="44">
        <f ca="1" t="shared" si="17"/>
        <v>0</v>
      </c>
      <c r="X28" s="44">
        <f ca="1" t="shared" si="17"/>
        <v>0</v>
      </c>
      <c r="Y28" s="44">
        <f ca="1" t="shared" si="17"/>
        <v>0</v>
      </c>
      <c r="Z28" s="44">
        <f ca="1" t="shared" si="17"/>
        <v>0</v>
      </c>
      <c r="AA28" s="43" t="e">
        <f ca="1">$D28-$BF28</f>
        <v>#REF!</v>
      </c>
      <c r="AB28" s="44">
        <f ca="1">SUM(AB30:AB39)</f>
        <v>0</v>
      </c>
      <c r="AC28" s="44">
        <f ca="1">SUM(AC29,AC31:AC39)</f>
        <v>0</v>
      </c>
      <c r="AD28" s="44">
        <f ca="1">SUM(AD29:AD30,AD32:AD39)</f>
        <v>0</v>
      </c>
      <c r="AE28" s="44">
        <f ca="1">SUM(AE29:AE31,AE33:AE39)</f>
        <v>0</v>
      </c>
      <c r="AF28" s="44">
        <f ca="1">SUM(AF29:AF32,AF34:AF39)</f>
        <v>0</v>
      </c>
      <c r="AG28" s="44">
        <f ca="1">SUM(AG29:AG33,AG35:AG39)</f>
        <v>0</v>
      </c>
      <c r="AH28" s="44">
        <f ca="1">SUM(AH29:AH34,AH36:AH39)</f>
        <v>0</v>
      </c>
      <c r="AI28" s="44">
        <f ca="1">SUM(AI29:AI35,AI37:AI39)</f>
        <v>0</v>
      </c>
      <c r="AJ28" s="44">
        <f ca="1">SUM(AJ29:AJ36,AJ38:AJ39)</f>
        <v>0</v>
      </c>
      <c r="AK28" s="44">
        <f ca="1">SUM(AK29:AK37,AK39)</f>
        <v>0</v>
      </c>
      <c r="AL28" s="44">
        <f ca="1">SUM(AL29:AL38)</f>
        <v>0</v>
      </c>
      <c r="AM28" s="44">
        <f ca="1">SUM(AM29:AM38)</f>
        <v>0</v>
      </c>
      <c r="AN28" s="44">
        <f ca="1" t="shared" ref="AN28:BE28" si="18">SUM(AN29:AN39)</f>
        <v>0</v>
      </c>
      <c r="AO28" s="44">
        <f ca="1" t="shared" si="18"/>
        <v>0</v>
      </c>
      <c r="AP28" s="44">
        <f ca="1" t="shared" si="18"/>
        <v>0</v>
      </c>
      <c r="AQ28" s="44">
        <f ca="1" t="shared" si="18"/>
        <v>0</v>
      </c>
      <c r="AR28" s="44">
        <f ca="1" t="shared" si="18"/>
        <v>0</v>
      </c>
      <c r="AS28" s="44">
        <f ca="1" t="shared" si="18"/>
        <v>0</v>
      </c>
      <c r="AT28" s="44">
        <f ca="1" t="shared" si="18"/>
        <v>0</v>
      </c>
      <c r="AU28" s="44">
        <f ca="1" t="shared" si="18"/>
        <v>0</v>
      </c>
      <c r="AV28" s="44">
        <f ca="1" t="shared" si="18"/>
        <v>0</v>
      </c>
      <c r="AW28" s="44">
        <f ca="1" t="shared" si="18"/>
        <v>0</v>
      </c>
      <c r="AX28" s="44">
        <f ca="1" t="shared" si="18"/>
        <v>0</v>
      </c>
      <c r="AY28" s="44">
        <f ca="1" t="shared" si="18"/>
        <v>0</v>
      </c>
      <c r="AZ28" s="44">
        <f ca="1" t="shared" si="18"/>
        <v>0</v>
      </c>
      <c r="BA28" s="44">
        <f ca="1" t="shared" si="18"/>
        <v>0</v>
      </c>
      <c r="BB28" s="44">
        <f ca="1" t="shared" si="18"/>
        <v>0</v>
      </c>
      <c r="BC28" s="44">
        <f ca="1" t="shared" si="18"/>
        <v>0</v>
      </c>
      <c r="BD28" s="44">
        <f ca="1" t="shared" si="18"/>
        <v>0</v>
      </c>
      <c r="BE28" s="44">
        <f ca="1" t="shared" si="18"/>
        <v>0</v>
      </c>
      <c r="BF28" s="74">
        <f ca="1" t="shared" si="13"/>
        <v>0</v>
      </c>
      <c r="BG28" s="101">
        <f ca="1">AA$59-$BF28</f>
        <v>0</v>
      </c>
      <c r="BH28" s="41" t="e">
        <f ca="1" t="shared" si="14"/>
        <v>#REF!</v>
      </c>
      <c r="BI28" s="98"/>
      <c r="BJ28" s="107"/>
      <c r="BK28" s="107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</row>
    <row r="29" s="4" customFormat="1" ht="16.5" customHeight="1" spans="1:79">
      <c r="A29" s="45" t="s">
        <v>8376</v>
      </c>
      <c r="B29" s="45" t="s">
        <v>8377</v>
      </c>
      <c r="C29" s="46" t="s">
        <v>94</v>
      </c>
      <c r="D29" s="47" t="e">
        <f>+#REF!</f>
        <v>#REF!</v>
      </c>
      <c r="E29" s="42">
        <f ca="1" t="shared" si="15"/>
        <v>0</v>
      </c>
      <c r="F29" s="52">
        <f ca="1" t="shared" si="9"/>
        <v>0</v>
      </c>
      <c r="G29" s="50">
        <f ca="1">+GETPIVOTDATA("XXS4",'xuanson (2016)'!$A$3,"MA_HT","DGT","MA_QH","LUC")</f>
        <v>0</v>
      </c>
      <c r="H29" s="50">
        <f ca="1">+GETPIVOTDATA("XXS4",'xuanson (2016)'!$A$3,"MA_HT","DGT","MA_QH","LUK")</f>
        <v>0</v>
      </c>
      <c r="I29" s="50">
        <f ca="1">+GETPIVOTDATA("XXS4",'xuanson (2016)'!$A$3,"MA_HT","DGT","MA_QH","LUN")</f>
        <v>0</v>
      </c>
      <c r="J29" s="50">
        <f ca="1">+GETPIVOTDATA("XXS4",'xuanson (2016)'!$A$3,"MA_HT","DGT","MA_QH","HNK")</f>
        <v>0</v>
      </c>
      <c r="K29" s="50">
        <f ca="1">+GETPIVOTDATA("XXS4",'xuanson (2016)'!$A$3,"MA_HT","DGT","MA_QH","CLN")</f>
        <v>0</v>
      </c>
      <c r="L29" s="50">
        <f ca="1">+GETPIVOTDATA("XXS4",'xuanson (2016)'!$A$3,"MA_HT","DGT","MA_QH","RSX")</f>
        <v>0</v>
      </c>
      <c r="M29" s="50">
        <f ca="1">+GETPIVOTDATA("XXS4",'xuanson (2016)'!$A$3,"MA_HT","DGT","MA_QH","RPH")</f>
        <v>0</v>
      </c>
      <c r="N29" s="50">
        <f ca="1">+GETPIVOTDATA("XXS4",'xuanson (2016)'!$A$3,"MA_HT","DGT","MA_QH","RDD")</f>
        <v>0</v>
      </c>
      <c r="O29" s="50">
        <f ca="1">+GETPIVOTDATA("XXS4",'xuanson (2016)'!$A$3,"MA_HT","DGT","MA_QH","NTS")</f>
        <v>0</v>
      </c>
      <c r="P29" s="50">
        <f ca="1">+GETPIVOTDATA("XXS4",'xuanson (2016)'!$A$3,"MA_HT","DGT","MA_QH","LMU")</f>
        <v>0</v>
      </c>
      <c r="Q29" s="50">
        <f ca="1">+GETPIVOTDATA("XXS4",'xuanson (2016)'!$A$3,"MA_HT","DGT","MA_QH","NKH")</f>
        <v>0</v>
      </c>
      <c r="R29" s="48">
        <f ca="1">SUM(S29:AA29,AN29:BD29)</f>
        <v>0</v>
      </c>
      <c r="S29" s="50">
        <f ca="1">+GETPIVOTDATA("XXS4",'xuanson (2016)'!$A$3,"MA_HT","DGT","MA_QH","CQP")</f>
        <v>0</v>
      </c>
      <c r="T29" s="50">
        <f ca="1">+GETPIVOTDATA("XXS4",'xuanson (2016)'!$A$3,"MA_HT","DGT","MA_QH","CAN")</f>
        <v>0</v>
      </c>
      <c r="U29" s="50">
        <f ca="1">+GETPIVOTDATA("XXS4",'xuanson (2016)'!$A$3,"MA_HT","DGT","MA_QH","SKK")</f>
        <v>0</v>
      </c>
      <c r="V29" s="50">
        <f ca="1">+GETPIVOTDATA("XXS4",'xuanson (2016)'!$A$3,"MA_HT","DGT","MA_QH","SKT")</f>
        <v>0</v>
      </c>
      <c r="W29" s="50">
        <f ca="1">+GETPIVOTDATA("XXS4",'xuanson (2016)'!$A$3,"MA_HT","DGT","MA_QH","SKN")</f>
        <v>0</v>
      </c>
      <c r="X29" s="50">
        <f ca="1">+GETPIVOTDATA("XXS4",'xuanson (2016)'!$A$3,"MA_HT","DGT","MA_QH","TMD")</f>
        <v>0</v>
      </c>
      <c r="Y29" s="50">
        <f ca="1">+GETPIVOTDATA("XXS4",'xuanson (2016)'!$A$3,"MA_HT","DGT","MA_QH","SKC")</f>
        <v>0</v>
      </c>
      <c r="Z29" s="50">
        <f ca="1">+GETPIVOTDATA("XXS4",'xuanson (2016)'!$A$3,"MA_HT","DGT","MA_QH","SKS")</f>
        <v>0</v>
      </c>
      <c r="AA29" s="52">
        <f ca="1">+SUM(AC29:AM29)</f>
        <v>0</v>
      </c>
      <c r="AB29" s="49" t="e">
        <f ca="1">$D29-$BF29</f>
        <v>#REF!</v>
      </c>
      <c r="AC29" s="50">
        <f ca="1">+GETPIVOTDATA("XXS4",'xuanson (2016)'!$A$3,"MA_HT","DGT","MA_QH","DTL")</f>
        <v>0</v>
      </c>
      <c r="AD29" s="50">
        <f ca="1">+GETPIVOTDATA("XXS4",'xuanson (2016)'!$A$3,"MA_HT","DGT","MA_QH","DNL")</f>
        <v>0</v>
      </c>
      <c r="AE29" s="50">
        <f ca="1">+GETPIVOTDATA("XXS4",'xuanson (2016)'!$A$3,"MA_HT","DGT","MA_QH","DBV")</f>
        <v>0</v>
      </c>
      <c r="AF29" s="50">
        <f ca="1">+GETPIVOTDATA("XXS4",'xuanson (2016)'!$A$3,"MA_HT","DGT","MA_QH","DVH")</f>
        <v>0</v>
      </c>
      <c r="AG29" s="50">
        <f ca="1">+GETPIVOTDATA("XXS4",'xuanson (2016)'!$A$3,"MA_HT","DGT","MA_QH","DYT")</f>
        <v>0</v>
      </c>
      <c r="AH29" s="50">
        <f ca="1">+GETPIVOTDATA("XXS4",'xuanson (2016)'!$A$3,"MA_HT","DGT","MA_QH","DGD")</f>
        <v>0</v>
      </c>
      <c r="AI29" s="50">
        <f ca="1">+GETPIVOTDATA("XXS4",'xuanson (2016)'!$A$3,"MA_HT","DGT","MA_QH","DTT")</f>
        <v>0</v>
      </c>
      <c r="AJ29" s="50">
        <f ca="1">+GETPIVOTDATA("XXS4",'xuanson (2016)'!$A$3,"MA_HT","DGT","MA_QH","NCK")</f>
        <v>0</v>
      </c>
      <c r="AK29" s="50">
        <f ca="1">+GETPIVOTDATA("XXS4",'xuanson (2016)'!$A$3,"MA_HT","DGT","MA_QH","DXH")</f>
        <v>0</v>
      </c>
      <c r="AL29" s="50">
        <f ca="1">+GETPIVOTDATA("XXS4",'xuanson (2016)'!$A$3,"MA_HT","DGT","MA_QH","DCH")</f>
        <v>0</v>
      </c>
      <c r="AM29" s="50">
        <f ca="1">+GETPIVOTDATA("XXS4",'xuanson (2016)'!$A$3,"MA_HT","DGT","MA_QH","DKG")</f>
        <v>0</v>
      </c>
      <c r="AN29" s="50">
        <f ca="1">+GETPIVOTDATA("XXS4",'xuanson (2016)'!$A$3,"MA_HT","DGT","MA_QH","DDT")</f>
        <v>0</v>
      </c>
      <c r="AO29" s="50">
        <f ca="1">+GETPIVOTDATA("XXS4",'xuanson (2016)'!$A$3,"MA_HT","DGT","MA_QH","DDL")</f>
        <v>0</v>
      </c>
      <c r="AP29" s="50">
        <f ca="1">+GETPIVOTDATA("XXS4",'xuanson (2016)'!$A$3,"MA_HT","DGT","MA_QH","DRA")</f>
        <v>0</v>
      </c>
      <c r="AQ29" s="50">
        <f ca="1">+GETPIVOTDATA("XXS4",'xuanson (2016)'!$A$3,"MA_HT","DGT","MA_QH","ONT")</f>
        <v>0</v>
      </c>
      <c r="AR29" s="50">
        <f ca="1">+GETPIVOTDATA("XXS4",'xuanson (2016)'!$A$3,"MA_HT","DGT","MA_QH","ODT")</f>
        <v>0</v>
      </c>
      <c r="AS29" s="50">
        <f ca="1">+GETPIVOTDATA("XXS4",'xuanson (2016)'!$A$3,"MA_HT","DGT","MA_QH","TSC")</f>
        <v>0</v>
      </c>
      <c r="AT29" s="50">
        <f ca="1">+GETPIVOTDATA("XXS4",'xuanson (2016)'!$A$3,"MA_HT","DGT","MA_QH","DTS")</f>
        <v>0</v>
      </c>
      <c r="AU29" s="50">
        <f ca="1">+GETPIVOTDATA("XXS4",'xuanson (2016)'!$A$3,"MA_HT","DGT","MA_QH","DNG")</f>
        <v>0</v>
      </c>
      <c r="AV29" s="50">
        <f ca="1">+GETPIVOTDATA("XXS4",'xuanson (2016)'!$A$3,"MA_HT","DGT","MA_QH","TON")</f>
        <v>0</v>
      </c>
      <c r="AW29" s="50">
        <f ca="1">+GETPIVOTDATA("XXS4",'xuanson (2016)'!$A$3,"MA_HT","DGT","MA_QH","NTD")</f>
        <v>0</v>
      </c>
      <c r="AX29" s="50">
        <f ca="1">+GETPIVOTDATA("XXS4",'xuanson (2016)'!$A$3,"MA_HT","DGT","MA_QH","SKX")</f>
        <v>0</v>
      </c>
      <c r="AY29" s="50">
        <f ca="1">+GETPIVOTDATA("XXS4",'xuanson (2016)'!$A$3,"MA_HT","DGT","MA_QH","DSH")</f>
        <v>0</v>
      </c>
      <c r="AZ29" s="50">
        <f ca="1">+GETPIVOTDATA("XXS4",'xuanson (2016)'!$A$3,"MA_HT","DGT","MA_QH","DKV")</f>
        <v>0</v>
      </c>
      <c r="BA29" s="88">
        <f ca="1">+GETPIVOTDATA("XXS4",'xuanson (2016)'!$A$3,"MA_HT","DGT","MA_QH","TIN")</f>
        <v>0</v>
      </c>
      <c r="BB29" s="50">
        <f ca="1">+GETPIVOTDATA("XXS4",'xuanson (2016)'!$A$3,"MA_HT","DGT","MA_QH","SON")</f>
        <v>0</v>
      </c>
      <c r="BC29" s="50">
        <f ca="1">+GETPIVOTDATA("XXS4",'xuanson (2016)'!$A$3,"MA_HT","DGT","MA_QH","MNC")</f>
        <v>0</v>
      </c>
      <c r="BD29" s="50">
        <f ca="1">+GETPIVOTDATA("XXS4",'xuanson (2016)'!$A$3,"MA_HT","DGT","MA_QH","PNK")</f>
        <v>0</v>
      </c>
      <c r="BE29" s="80">
        <f ca="1">+GETPIVOTDATA("XXS4",'xuanson (2016)'!$A$3,"MA_HT","DGT","MA_QH","CSD")</f>
        <v>0</v>
      </c>
      <c r="BF29" s="103">
        <f ca="1" t="shared" si="13"/>
        <v>0</v>
      </c>
      <c r="BG29" s="104">
        <f ca="1">AB$59-$BF29</f>
        <v>0</v>
      </c>
      <c r="BH29" s="47" t="e">
        <f ca="1" t="shared" si="14"/>
        <v>#REF!</v>
      </c>
      <c r="BI29" s="105"/>
      <c r="BJ29" s="105" t="e">
        <f>#REF!</f>
        <v>#REF!</v>
      </c>
      <c r="BK29" s="108" t="e">
        <f ca="1" t="shared" ref="BK29:BK40" si="19">BH29-BJ29</f>
        <v>#REF!</v>
      </c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</row>
    <row r="30" s="4" customFormat="1" ht="16.5" customHeight="1" spans="1:79">
      <c r="A30" s="45" t="s">
        <v>8378</v>
      </c>
      <c r="B30" s="45" t="s">
        <v>8379</v>
      </c>
      <c r="C30" s="46" t="s">
        <v>216</v>
      </c>
      <c r="D30" s="47" t="e">
        <f>+#REF!</f>
        <v>#REF!</v>
      </c>
      <c r="E30" s="42">
        <f ca="1" t="shared" si="15"/>
        <v>0</v>
      </c>
      <c r="F30" s="52">
        <f ca="1" t="shared" si="9"/>
        <v>0</v>
      </c>
      <c r="G30" s="50">
        <f ca="1">+GETPIVOTDATA("XXS4",'xuanson (2016)'!$A$3,"MA_HT","DTL","MA_QH","LUC")</f>
        <v>0</v>
      </c>
      <c r="H30" s="50">
        <f ca="1">+GETPIVOTDATA("XXS4",'xuanson (2016)'!$A$3,"MA_HT","DTL","MA_QH","LUK")</f>
        <v>0</v>
      </c>
      <c r="I30" s="50">
        <f ca="1">+GETPIVOTDATA("XXS4",'xuanson (2016)'!$A$3,"MA_HT","DTL","MA_QH","LUN")</f>
        <v>0</v>
      </c>
      <c r="J30" s="50">
        <f ca="1">+GETPIVOTDATA("XXS4",'xuanson (2016)'!$A$3,"MA_HT","DTL","MA_QH","HNK")</f>
        <v>0</v>
      </c>
      <c r="K30" s="50">
        <f ca="1">+GETPIVOTDATA("XXS4",'xuanson (2016)'!$A$3,"MA_HT","DTL","MA_QH","CLN")</f>
        <v>0</v>
      </c>
      <c r="L30" s="50">
        <f ca="1">+GETPIVOTDATA("XXS4",'xuanson (2016)'!$A$3,"MA_HT","DTL","MA_QH","RSX")</f>
        <v>0</v>
      </c>
      <c r="M30" s="50">
        <f ca="1">+GETPIVOTDATA("XXS4",'xuanson (2016)'!$A$3,"MA_HT","DTL","MA_QH","RPH")</f>
        <v>0</v>
      </c>
      <c r="N30" s="50">
        <f ca="1">+GETPIVOTDATA("XXS4",'xuanson (2016)'!$A$3,"MA_HT","DTL","MA_QH","RDD")</f>
        <v>0</v>
      </c>
      <c r="O30" s="50">
        <f ca="1">+GETPIVOTDATA("XXS4",'xuanson (2016)'!$A$3,"MA_HT","DTL","MA_QH","NTS")</f>
        <v>0</v>
      </c>
      <c r="P30" s="50">
        <f ca="1">+GETPIVOTDATA("XXS4",'xuanson (2016)'!$A$3,"MA_HT","DTL","MA_QH","LMU")</f>
        <v>0</v>
      </c>
      <c r="Q30" s="50">
        <f ca="1">+GETPIVOTDATA("XXS4",'xuanson (2016)'!$A$3,"MA_HT","DTL","MA_QH","NKH")</f>
        <v>0</v>
      </c>
      <c r="R30" s="48">
        <f ca="1" t="shared" ref="R30:R40" si="20">SUM(S30:AA30,AN30:BD30)</f>
        <v>0</v>
      </c>
      <c r="S30" s="50">
        <f ca="1">+GETPIVOTDATA("XXS4",'xuanson (2016)'!$A$3,"MA_HT","DTL","MA_QH","CQP")</f>
        <v>0</v>
      </c>
      <c r="T30" s="50">
        <f ca="1">+GETPIVOTDATA("XXS4",'xuanson (2016)'!$A$3,"MA_HT","DTL","MA_QH","CAN")</f>
        <v>0</v>
      </c>
      <c r="U30" s="50">
        <f ca="1">+GETPIVOTDATA("XXS4",'xuanson (2016)'!$A$3,"MA_HT","DTL","MA_QH","SKK")</f>
        <v>0</v>
      </c>
      <c r="V30" s="50">
        <f ca="1">+GETPIVOTDATA("XXS4",'xuanson (2016)'!$A$3,"MA_HT","DTL","MA_QH","SKT")</f>
        <v>0</v>
      </c>
      <c r="W30" s="50">
        <f ca="1">+GETPIVOTDATA("XXS4",'xuanson (2016)'!$A$3,"MA_HT","DTL","MA_QH","SKN")</f>
        <v>0</v>
      </c>
      <c r="X30" s="50">
        <f ca="1">+GETPIVOTDATA("XXS4",'xuanson (2016)'!$A$3,"MA_HT","DTL","MA_QH","TMD")</f>
        <v>0</v>
      </c>
      <c r="Y30" s="50">
        <f ca="1">+GETPIVOTDATA("XXS4",'xuanson (2016)'!$A$3,"MA_HT","DTL","MA_QH","SKC")</f>
        <v>0</v>
      </c>
      <c r="Z30" s="50">
        <f ca="1">+GETPIVOTDATA("XXS4",'xuanson (2016)'!$A$3,"MA_HT","DTL","MA_QH","SKS")</f>
        <v>0</v>
      </c>
      <c r="AA30" s="52">
        <f ca="1">+SUM(AB30,AD30:AM30)</f>
        <v>0</v>
      </c>
      <c r="AB30" s="50">
        <f ca="1">+GETPIVOTDATA("XXS4",'xuanson (2016)'!$A$3,"MA_HT","DTL","MA_QH","DGT")</f>
        <v>0</v>
      </c>
      <c r="AC30" s="49" t="e">
        <f ca="1">$D30-$BF30</f>
        <v>#REF!</v>
      </c>
      <c r="AD30" s="50">
        <f ca="1">+GETPIVOTDATA("XXS4",'xuanson (2016)'!$A$3,"MA_HT","DTL","MA_QH","DNL")</f>
        <v>0</v>
      </c>
      <c r="AE30" s="50">
        <f ca="1">+GETPIVOTDATA("XXS4",'xuanson (2016)'!$A$3,"MA_HT","DTL","MA_QH","DBV")</f>
        <v>0</v>
      </c>
      <c r="AF30" s="50">
        <f ca="1">+GETPIVOTDATA("XXS4",'xuanson (2016)'!$A$3,"MA_HT","DTL","MA_QH","DVH")</f>
        <v>0</v>
      </c>
      <c r="AG30" s="50">
        <f ca="1">+GETPIVOTDATA("XXS4",'xuanson (2016)'!$A$3,"MA_HT","DTL","MA_QH","DYT")</f>
        <v>0</v>
      </c>
      <c r="AH30" s="50">
        <f ca="1">+GETPIVOTDATA("XXS4",'xuanson (2016)'!$A$3,"MA_HT","DTL","MA_QH","DGD")</f>
        <v>0</v>
      </c>
      <c r="AI30" s="50">
        <f ca="1">+GETPIVOTDATA("XXS4",'xuanson (2016)'!$A$3,"MA_HT","DTL","MA_QH","DTT")</f>
        <v>0</v>
      </c>
      <c r="AJ30" s="50">
        <f ca="1">+GETPIVOTDATA("XXS4",'xuanson (2016)'!$A$3,"MA_HT","DTL","MA_QH","NCK")</f>
        <v>0</v>
      </c>
      <c r="AK30" s="50">
        <f ca="1">+GETPIVOTDATA("XXS4",'xuanson (2016)'!$A$3,"MA_HT","DTL","MA_QH","DXH")</f>
        <v>0</v>
      </c>
      <c r="AL30" s="50">
        <f ca="1">+GETPIVOTDATA("XXS4",'xuanson (2016)'!$A$3,"MA_HT","DTL","MA_QH","DCH")</f>
        <v>0</v>
      </c>
      <c r="AM30" s="50">
        <f ca="1">+GETPIVOTDATA("XXS4",'xuanson (2016)'!$A$3,"MA_HT","DTL","MA_QH","DKG")</f>
        <v>0</v>
      </c>
      <c r="AN30" s="50">
        <f ca="1">+GETPIVOTDATA("XXS4",'xuanson (2016)'!$A$3,"MA_HT","DTL","MA_QH","DDT")</f>
        <v>0</v>
      </c>
      <c r="AO30" s="50">
        <f ca="1">+GETPIVOTDATA("XXS4",'xuanson (2016)'!$A$3,"MA_HT","DTL","MA_QH","DDL")</f>
        <v>0</v>
      </c>
      <c r="AP30" s="50">
        <f ca="1">+GETPIVOTDATA("XXS4",'xuanson (2016)'!$A$3,"MA_HT","DTL","MA_QH","DRA")</f>
        <v>0</v>
      </c>
      <c r="AQ30" s="50">
        <f ca="1">+GETPIVOTDATA("XXS4",'xuanson (2016)'!$A$3,"MA_HT","DTL","MA_QH","ONT")</f>
        <v>0</v>
      </c>
      <c r="AR30" s="50">
        <f ca="1">+GETPIVOTDATA("XXS4",'xuanson (2016)'!$A$3,"MA_HT","DTL","MA_QH","ODT")</f>
        <v>0</v>
      </c>
      <c r="AS30" s="50">
        <f ca="1">+GETPIVOTDATA("XXS4",'xuanson (2016)'!$A$3,"MA_HT","DTL","MA_QH","TSC")</f>
        <v>0</v>
      </c>
      <c r="AT30" s="50">
        <f ca="1">+GETPIVOTDATA("XXS4",'xuanson (2016)'!$A$3,"MA_HT","DTL","MA_QH","DTS")</f>
        <v>0</v>
      </c>
      <c r="AU30" s="50">
        <f ca="1">+GETPIVOTDATA("XXS4",'xuanson (2016)'!$A$3,"MA_HT","DTL","MA_QH","DNG")</f>
        <v>0</v>
      </c>
      <c r="AV30" s="50">
        <f ca="1">+GETPIVOTDATA("XXS4",'xuanson (2016)'!$A$3,"MA_HT","DTL","MA_QH","TON")</f>
        <v>0</v>
      </c>
      <c r="AW30" s="50">
        <f ca="1">+GETPIVOTDATA("XXS4",'xuanson (2016)'!$A$3,"MA_HT","DTL","MA_QH","NTD")</f>
        <v>0</v>
      </c>
      <c r="AX30" s="50">
        <f ca="1">+GETPIVOTDATA("XXS4",'xuanson (2016)'!$A$3,"MA_HT","DTL","MA_QH","SKX")</f>
        <v>0</v>
      </c>
      <c r="AY30" s="50">
        <f ca="1">+GETPIVOTDATA("XXS4",'xuanson (2016)'!$A$3,"MA_HT","DTL","MA_QH","DSH")</f>
        <v>0</v>
      </c>
      <c r="AZ30" s="50">
        <f ca="1">+GETPIVOTDATA("XXS4",'xuanson (2016)'!$A$3,"MA_HT","DTL","MA_QH","DKV")</f>
        <v>0</v>
      </c>
      <c r="BA30" s="88">
        <f ca="1">+GETPIVOTDATA("XXS4",'xuanson (2016)'!$A$3,"MA_HT","DTL","MA_QH","TIN")</f>
        <v>0</v>
      </c>
      <c r="BB30" s="50">
        <f ca="1">+GETPIVOTDATA("XXS4",'xuanson (2016)'!$A$3,"MA_HT","DTL","MA_QH","SON")</f>
        <v>0</v>
      </c>
      <c r="BC30" s="50">
        <f ca="1">+GETPIVOTDATA("XXS4",'xuanson (2016)'!$A$3,"MA_HT","DTL","MA_QH","MNC")</f>
        <v>0</v>
      </c>
      <c r="BD30" s="50">
        <f ca="1">+GETPIVOTDATA("XXS4",'xuanson (2016)'!$A$3,"MA_HT","DTL","MA_QH","PNK")</f>
        <v>0</v>
      </c>
      <c r="BE30" s="80">
        <f ca="1">+GETPIVOTDATA("XXS4",'xuanson (2016)'!$A$3,"MA_HT","DTL","MA_QH","CSD")</f>
        <v>0</v>
      </c>
      <c r="BF30" s="103">
        <f ca="1" t="shared" si="13"/>
        <v>0</v>
      </c>
      <c r="BG30" s="104">
        <f ca="1">AC$59-$BF30</f>
        <v>0</v>
      </c>
      <c r="BH30" s="47" t="e">
        <f ca="1" t="shared" si="14"/>
        <v>#REF!</v>
      </c>
      <c r="BI30" s="105"/>
      <c r="BJ30" s="105" t="e">
        <f>#REF!</f>
        <v>#REF!</v>
      </c>
      <c r="BK30" s="108" t="e">
        <f ca="1" t="shared" si="19"/>
        <v>#REF!</v>
      </c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</row>
    <row r="31" s="4" customFormat="1" ht="16.5" customHeight="1" spans="1:79">
      <c r="A31" s="45" t="s">
        <v>8380</v>
      </c>
      <c r="B31" s="45" t="s">
        <v>8381</v>
      </c>
      <c r="C31" s="46" t="s">
        <v>71</v>
      </c>
      <c r="D31" s="47" t="e">
        <f>+#REF!</f>
        <v>#REF!</v>
      </c>
      <c r="E31" s="42">
        <f ca="1" t="shared" si="15"/>
        <v>0</v>
      </c>
      <c r="F31" s="52">
        <f ca="1" t="shared" si="9"/>
        <v>0</v>
      </c>
      <c r="G31" s="50">
        <f ca="1">+GETPIVOTDATA("XXS4",'xuanson (2016)'!$A$3,"MA_HT","DNL","MA_QH","LUC")</f>
        <v>0</v>
      </c>
      <c r="H31" s="50">
        <f ca="1">+GETPIVOTDATA("XXS4",'xuanson (2016)'!$A$3,"MA_HT","DNL","MA_QH","LUK")</f>
        <v>0</v>
      </c>
      <c r="I31" s="50">
        <f ca="1">+GETPIVOTDATA("XXS4",'xuanson (2016)'!$A$3,"MA_HT","DNL","MA_QH","LUN")</f>
        <v>0</v>
      </c>
      <c r="J31" s="50">
        <f ca="1">+GETPIVOTDATA("XXS4",'xuanson (2016)'!$A$3,"MA_HT","DNL","MA_QH","HNK")</f>
        <v>0</v>
      </c>
      <c r="K31" s="50">
        <f ca="1">+GETPIVOTDATA("XXS4",'xuanson (2016)'!$A$3,"MA_HT","DNL","MA_QH","CLN")</f>
        <v>0</v>
      </c>
      <c r="L31" s="50">
        <f ca="1">+GETPIVOTDATA("XXS4",'xuanson (2016)'!$A$3,"MA_HT","DNL","MA_QH","RSX")</f>
        <v>0</v>
      </c>
      <c r="M31" s="50">
        <f ca="1">+GETPIVOTDATA("XXS4",'xuanson (2016)'!$A$3,"MA_HT","DNL","MA_QH","RPH")</f>
        <v>0</v>
      </c>
      <c r="N31" s="50">
        <f ca="1">+GETPIVOTDATA("XXS4",'xuanson (2016)'!$A$3,"MA_HT","DNL","MA_QH","RDD")</f>
        <v>0</v>
      </c>
      <c r="O31" s="50">
        <f ca="1">+GETPIVOTDATA("XXS4",'xuanson (2016)'!$A$3,"MA_HT","DNL","MA_QH","NTS")</f>
        <v>0</v>
      </c>
      <c r="P31" s="50">
        <f ca="1">+GETPIVOTDATA("XXS4",'xuanson (2016)'!$A$3,"MA_HT","DNL","MA_QH","LMU")</f>
        <v>0</v>
      </c>
      <c r="Q31" s="50">
        <f ca="1">+GETPIVOTDATA("XXS4",'xuanson (2016)'!$A$3,"MA_HT","DNL","MA_QH","NKH")</f>
        <v>0</v>
      </c>
      <c r="R31" s="48">
        <f ca="1" t="shared" si="20"/>
        <v>0</v>
      </c>
      <c r="S31" s="50">
        <f ca="1">+GETPIVOTDATA("XXS4",'xuanson (2016)'!$A$3,"MA_HT","DNL","MA_QH","CQP")</f>
        <v>0</v>
      </c>
      <c r="T31" s="50">
        <f ca="1">+GETPIVOTDATA("XXS4",'xuanson (2016)'!$A$3,"MA_HT","DNL","MA_QH","CAN")</f>
        <v>0</v>
      </c>
      <c r="U31" s="50">
        <f ca="1">+GETPIVOTDATA("XXS4",'xuanson (2016)'!$A$3,"MA_HT","DNL","MA_QH","SKK")</f>
        <v>0</v>
      </c>
      <c r="V31" s="50">
        <f ca="1">+GETPIVOTDATA("XXS4",'xuanson (2016)'!$A$3,"MA_HT","DNL","MA_QH","SKT")</f>
        <v>0</v>
      </c>
      <c r="W31" s="50">
        <f ca="1">+GETPIVOTDATA("XXS4",'xuanson (2016)'!$A$3,"MA_HT","DNL","MA_QH","SKN")</f>
        <v>0</v>
      </c>
      <c r="X31" s="50">
        <f ca="1">+GETPIVOTDATA("XXS4",'xuanson (2016)'!$A$3,"MA_HT","DNL","MA_QH","TMD")</f>
        <v>0</v>
      </c>
      <c r="Y31" s="50">
        <f ca="1">+GETPIVOTDATA("XXS4",'xuanson (2016)'!$A$3,"MA_HT","DNL","MA_QH","SKC")</f>
        <v>0</v>
      </c>
      <c r="Z31" s="50">
        <f ca="1">+GETPIVOTDATA("XXS4",'xuanson (2016)'!$A$3,"MA_HT","DNL","MA_QH","SKS")</f>
        <v>0</v>
      </c>
      <c r="AA31" s="52">
        <f ca="1">+SUM(AB31:AC31,AE31:AM31)</f>
        <v>0</v>
      </c>
      <c r="AB31" s="50">
        <f ca="1">+GETPIVOTDATA("XXS4",'xuanson (2016)'!$A$3,"MA_HT","DNL","MA_QH","DGT")</f>
        <v>0</v>
      </c>
      <c r="AC31" s="50">
        <f ca="1">+GETPIVOTDATA("XXS4",'xuanson (2016)'!$A$3,"MA_HT","DNL","MA_QH","DTL")</f>
        <v>0</v>
      </c>
      <c r="AD31" s="49" t="e">
        <f ca="1">$D31-$BF31</f>
        <v>#REF!</v>
      </c>
      <c r="AE31" s="50">
        <f ca="1">+GETPIVOTDATA("XXS4",'xuanson (2016)'!$A$3,"MA_HT","DNL","MA_QH","DBV")</f>
        <v>0</v>
      </c>
      <c r="AF31" s="50">
        <f ca="1">+GETPIVOTDATA("XXS4",'xuanson (2016)'!$A$3,"MA_HT","DNL","MA_QH","DVH")</f>
        <v>0</v>
      </c>
      <c r="AG31" s="50">
        <f ca="1">+GETPIVOTDATA("XXS4",'xuanson (2016)'!$A$3,"MA_HT","DNL","MA_QH","DYT")</f>
        <v>0</v>
      </c>
      <c r="AH31" s="50">
        <f ca="1">+GETPIVOTDATA("XXS4",'xuanson (2016)'!$A$3,"MA_HT","DNL","MA_QH","DGD")</f>
        <v>0</v>
      </c>
      <c r="AI31" s="50">
        <f ca="1">+GETPIVOTDATA("XXS4",'xuanson (2016)'!$A$3,"MA_HT","DNL","MA_QH","DTT")</f>
        <v>0</v>
      </c>
      <c r="AJ31" s="50">
        <f ca="1">+GETPIVOTDATA("XXS4",'xuanson (2016)'!$A$3,"MA_HT","DNL","MA_QH","NCK")</f>
        <v>0</v>
      </c>
      <c r="AK31" s="50">
        <f ca="1">+GETPIVOTDATA("XXS4",'xuanson (2016)'!$A$3,"MA_HT","DNL","MA_QH","DXH")</f>
        <v>0</v>
      </c>
      <c r="AL31" s="50">
        <f ca="1">+GETPIVOTDATA("XXS4",'xuanson (2016)'!$A$3,"MA_HT","DNL","MA_QH","DCH")</f>
        <v>0</v>
      </c>
      <c r="AM31" s="50">
        <f ca="1">+GETPIVOTDATA("XXS4",'xuanson (2016)'!$A$3,"MA_HT","DNL","MA_QH","DKG")</f>
        <v>0</v>
      </c>
      <c r="AN31" s="50">
        <f ca="1">+GETPIVOTDATA("XXS4",'xuanson (2016)'!$A$3,"MA_HT","DNL","MA_QH","DDT")</f>
        <v>0</v>
      </c>
      <c r="AO31" s="50">
        <f ca="1">+GETPIVOTDATA("XXS4",'xuanson (2016)'!$A$3,"MA_HT","DNL","MA_QH","DDL")</f>
        <v>0</v>
      </c>
      <c r="AP31" s="50">
        <f ca="1">+GETPIVOTDATA("XXS4",'xuanson (2016)'!$A$3,"MA_HT","DNL","MA_QH","DRA")</f>
        <v>0</v>
      </c>
      <c r="AQ31" s="50">
        <f ca="1">+GETPIVOTDATA("XXS4",'xuanson (2016)'!$A$3,"MA_HT","DNL","MA_QH","ONT")</f>
        <v>0</v>
      </c>
      <c r="AR31" s="50">
        <f ca="1">+GETPIVOTDATA("XXS4",'xuanson (2016)'!$A$3,"MA_HT","DNL","MA_QH","ODT")</f>
        <v>0</v>
      </c>
      <c r="AS31" s="50">
        <f ca="1">+GETPIVOTDATA("XXS4",'xuanson (2016)'!$A$3,"MA_HT","DNL","MA_QH","TSC")</f>
        <v>0</v>
      </c>
      <c r="AT31" s="50">
        <f ca="1">+GETPIVOTDATA("XXS4",'xuanson (2016)'!$A$3,"MA_HT","DNL","MA_QH","DTS")</f>
        <v>0</v>
      </c>
      <c r="AU31" s="50">
        <f ca="1">+GETPIVOTDATA("XXS4",'xuanson (2016)'!$A$3,"MA_HT","DNL","MA_QH","DNG")</f>
        <v>0</v>
      </c>
      <c r="AV31" s="50">
        <f ca="1">+GETPIVOTDATA("XXS4",'xuanson (2016)'!$A$3,"MA_HT","DNL","MA_QH","TON")</f>
        <v>0</v>
      </c>
      <c r="AW31" s="50">
        <f ca="1">+GETPIVOTDATA("XXS4",'xuanson (2016)'!$A$3,"MA_HT","DNL","MA_QH","NTD")</f>
        <v>0</v>
      </c>
      <c r="AX31" s="50">
        <f ca="1">+GETPIVOTDATA("XXS4",'xuanson (2016)'!$A$3,"MA_HT","DNL","MA_QH","SKX")</f>
        <v>0</v>
      </c>
      <c r="AY31" s="50">
        <f ca="1">+GETPIVOTDATA("XXS4",'xuanson (2016)'!$A$3,"MA_HT","DNL","MA_QH","DSH")</f>
        <v>0</v>
      </c>
      <c r="AZ31" s="50">
        <f ca="1">+GETPIVOTDATA("XXS4",'xuanson (2016)'!$A$3,"MA_HT","DNL","MA_QH","DKV")</f>
        <v>0</v>
      </c>
      <c r="BA31" s="88">
        <f ca="1">+GETPIVOTDATA("XXS4",'xuanson (2016)'!$A$3,"MA_HT","DNL","MA_QH","TIN")</f>
        <v>0</v>
      </c>
      <c r="BB31" s="50">
        <f ca="1">+GETPIVOTDATA("XXS4",'xuanson (2016)'!$A$3,"MA_HT","DNL","MA_QH","SON")</f>
        <v>0</v>
      </c>
      <c r="BC31" s="50">
        <f ca="1">+GETPIVOTDATA("XXS4",'xuanson (2016)'!$A$3,"MA_HT","DNL","MA_QH","MNC")</f>
        <v>0</v>
      </c>
      <c r="BD31" s="50">
        <f ca="1">+GETPIVOTDATA("XXS4",'xuanson (2016)'!$A$3,"MA_HT","DNL","MA_QH","PNK")</f>
        <v>0</v>
      </c>
      <c r="BE31" s="80">
        <f ca="1">+GETPIVOTDATA("XXS4",'xuanson (2016)'!$A$3,"MA_HT","DNL","MA_QH","CSD")</f>
        <v>0</v>
      </c>
      <c r="BF31" s="103">
        <f ca="1" t="shared" si="13"/>
        <v>0</v>
      </c>
      <c r="BG31" s="104">
        <f ca="1">AD$59-$BF31</f>
        <v>0</v>
      </c>
      <c r="BH31" s="47" t="e">
        <f ca="1" t="shared" si="14"/>
        <v>#REF!</v>
      </c>
      <c r="BI31" s="105"/>
      <c r="BJ31" s="105" t="e">
        <f>#REF!</f>
        <v>#REF!</v>
      </c>
      <c r="BK31" s="108" t="e">
        <f ca="1" t="shared" si="19"/>
        <v>#REF!</v>
      </c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</row>
    <row r="32" s="4" customFormat="1" ht="16.5" customHeight="1" spans="1:79">
      <c r="A32" s="45" t="s">
        <v>8382</v>
      </c>
      <c r="B32" s="45" t="s">
        <v>8383</v>
      </c>
      <c r="C32" s="46" t="s">
        <v>8285</v>
      </c>
      <c r="D32" s="47" t="e">
        <f>+#REF!</f>
        <v>#REF!</v>
      </c>
      <c r="E32" s="42">
        <f ca="1" t="shared" si="15"/>
        <v>0</v>
      </c>
      <c r="F32" s="52">
        <f ca="1" t="shared" si="9"/>
        <v>0</v>
      </c>
      <c r="G32" s="50">
        <f ca="1">+GETPIVOTDATA("XXS4",'xuanson (2016)'!$A$3,"MA_HT","DBV","MA_QH","LUC")</f>
        <v>0</v>
      </c>
      <c r="H32" s="50">
        <f ca="1">+GETPIVOTDATA("XXS4",'xuanson (2016)'!$A$3,"MA_HT","DBV","MA_QH","LUK")</f>
        <v>0</v>
      </c>
      <c r="I32" s="50">
        <f ca="1">+GETPIVOTDATA("XXS4",'xuanson (2016)'!$A$3,"MA_HT","DBV","MA_QH","LUN")</f>
        <v>0</v>
      </c>
      <c r="J32" s="50">
        <f ca="1">+GETPIVOTDATA("XXS4",'xuanson (2016)'!$A$3,"MA_HT","DBV","MA_QH","HNK")</f>
        <v>0</v>
      </c>
      <c r="K32" s="50">
        <f ca="1">+GETPIVOTDATA("XXS4",'xuanson (2016)'!$A$3,"MA_HT","DBV","MA_QH","CLN")</f>
        <v>0</v>
      </c>
      <c r="L32" s="50">
        <f ca="1">+GETPIVOTDATA("XXS4",'xuanson (2016)'!$A$3,"MA_HT","DBV","MA_QH","RSX")</f>
        <v>0</v>
      </c>
      <c r="M32" s="50">
        <f ca="1">+GETPIVOTDATA("XXS4",'xuanson (2016)'!$A$3,"MA_HT","DBV","MA_QH","RPH")</f>
        <v>0</v>
      </c>
      <c r="N32" s="50">
        <f ca="1">+GETPIVOTDATA("XXS4",'xuanson (2016)'!$A$3,"MA_HT","DBV","MA_QH","RDD")</f>
        <v>0</v>
      </c>
      <c r="O32" s="50">
        <f ca="1">+GETPIVOTDATA("XXS4",'xuanson (2016)'!$A$3,"MA_HT","DBV","MA_QH","NTS")</f>
        <v>0</v>
      </c>
      <c r="P32" s="50">
        <f ca="1">+GETPIVOTDATA("XXS4",'xuanson (2016)'!$A$3,"MA_HT","DBV","MA_QH","LMU")</f>
        <v>0</v>
      </c>
      <c r="Q32" s="50">
        <f ca="1">+GETPIVOTDATA("XXS4",'xuanson (2016)'!$A$3,"MA_HT","DBV","MA_QH","NKH")</f>
        <v>0</v>
      </c>
      <c r="R32" s="48">
        <f ca="1" t="shared" si="20"/>
        <v>0</v>
      </c>
      <c r="S32" s="50">
        <f ca="1">+GETPIVOTDATA("XXS4",'xuanson (2016)'!$A$3,"MA_HT","DBV","MA_QH","CQP")</f>
        <v>0</v>
      </c>
      <c r="T32" s="50">
        <f ca="1">+GETPIVOTDATA("XXS4",'xuanson (2016)'!$A$3,"MA_HT","DBV","MA_QH","CAN")</f>
        <v>0</v>
      </c>
      <c r="U32" s="50">
        <f ca="1">+GETPIVOTDATA("XXS4",'xuanson (2016)'!$A$3,"MA_HT","DBV","MA_QH","SKK")</f>
        <v>0</v>
      </c>
      <c r="V32" s="50">
        <f ca="1">+GETPIVOTDATA("XXS4",'xuanson (2016)'!$A$3,"MA_HT","DBV","MA_QH","SKT")</f>
        <v>0</v>
      </c>
      <c r="W32" s="50">
        <f ca="1">+GETPIVOTDATA("XXS4",'xuanson (2016)'!$A$3,"MA_HT","DBV","MA_QH","SKN")</f>
        <v>0</v>
      </c>
      <c r="X32" s="50">
        <f ca="1">+GETPIVOTDATA("XXS4",'xuanson (2016)'!$A$3,"MA_HT","DBV","MA_QH","TMD")</f>
        <v>0</v>
      </c>
      <c r="Y32" s="50">
        <f ca="1">+GETPIVOTDATA("XXS4",'xuanson (2016)'!$A$3,"MA_HT","DBV","MA_QH","SKC")</f>
        <v>0</v>
      </c>
      <c r="Z32" s="50">
        <f ca="1">+GETPIVOTDATA("XXS4",'xuanson (2016)'!$A$3,"MA_HT","DBV","MA_QH","SKS")</f>
        <v>0</v>
      </c>
      <c r="AA32" s="52">
        <f ca="1">+SUM(AB32:AD32,AF32:AM32)</f>
        <v>0</v>
      </c>
      <c r="AB32" s="50">
        <f ca="1">+GETPIVOTDATA("XXS4",'xuanson (2016)'!$A$3,"MA_HT","DBV","MA_QH","DGT")</f>
        <v>0</v>
      </c>
      <c r="AC32" s="50">
        <f ca="1">+GETPIVOTDATA("XXS4",'xuanson (2016)'!$A$3,"MA_HT","DBV","MA_QH","DTL")</f>
        <v>0</v>
      </c>
      <c r="AD32" s="50">
        <f ca="1">+GETPIVOTDATA("XXS4",'xuanson (2016)'!$A$3,"MA_HT","DBV","MA_QH","DNL")</f>
        <v>0</v>
      </c>
      <c r="AE32" s="49" t="e">
        <f ca="1">$D32-$BF32</f>
        <v>#REF!</v>
      </c>
      <c r="AF32" s="50">
        <f ca="1">+GETPIVOTDATA("XXS4",'xuanson (2016)'!$A$3,"MA_HT","DBV","MA_QH","DVH")</f>
        <v>0</v>
      </c>
      <c r="AG32" s="50">
        <f ca="1">+GETPIVOTDATA("XXS4",'xuanson (2016)'!$A$3,"MA_HT","DBV","MA_QH","DYT")</f>
        <v>0</v>
      </c>
      <c r="AH32" s="50">
        <f ca="1">+GETPIVOTDATA("XXS4",'xuanson (2016)'!$A$3,"MA_HT","DBV","MA_QH","DGD")</f>
        <v>0</v>
      </c>
      <c r="AI32" s="50">
        <f ca="1">+GETPIVOTDATA("XXS4",'xuanson (2016)'!$A$3,"MA_HT","DBV","MA_QH","DTT")</f>
        <v>0</v>
      </c>
      <c r="AJ32" s="50">
        <f ca="1">+GETPIVOTDATA("XXS4",'xuanson (2016)'!$A$3,"MA_HT","DBV","MA_QH","NCK")</f>
        <v>0</v>
      </c>
      <c r="AK32" s="50">
        <f ca="1">+GETPIVOTDATA("XXS4",'xuanson (2016)'!$A$3,"MA_HT","DBV","MA_QH","DXH")</f>
        <v>0</v>
      </c>
      <c r="AL32" s="50">
        <f ca="1">+GETPIVOTDATA("XXS4",'xuanson (2016)'!$A$3,"MA_HT","DBV","MA_QH","DCH")</f>
        <v>0</v>
      </c>
      <c r="AM32" s="50">
        <f ca="1">+GETPIVOTDATA("XXS4",'xuanson (2016)'!$A$3,"MA_HT","DBV","MA_QH","DKG")</f>
        <v>0</v>
      </c>
      <c r="AN32" s="50">
        <f ca="1">+GETPIVOTDATA("XXS4",'xuanson (2016)'!$A$3,"MA_HT","DBV","MA_QH","DDT")</f>
        <v>0</v>
      </c>
      <c r="AO32" s="50">
        <f ca="1">+GETPIVOTDATA("XXS4",'xuanson (2016)'!$A$3,"MA_HT","DBV","MA_QH","DDL")</f>
        <v>0</v>
      </c>
      <c r="AP32" s="50">
        <f ca="1">+GETPIVOTDATA("XXS4",'xuanson (2016)'!$A$3,"MA_HT","DBV","MA_QH","DRA")</f>
        <v>0</v>
      </c>
      <c r="AQ32" s="50">
        <f ca="1">+GETPIVOTDATA("XXS4",'xuanson (2016)'!$A$3,"MA_HT","DBV","MA_QH","ONT")</f>
        <v>0</v>
      </c>
      <c r="AR32" s="50">
        <f ca="1">+GETPIVOTDATA("XXS4",'xuanson (2016)'!$A$3,"MA_HT","DBV","MA_QH","ODT")</f>
        <v>0</v>
      </c>
      <c r="AS32" s="50">
        <f ca="1">+GETPIVOTDATA("XXS4",'xuanson (2016)'!$A$3,"MA_HT","DBV","MA_QH","TSC")</f>
        <v>0</v>
      </c>
      <c r="AT32" s="50">
        <f ca="1">+GETPIVOTDATA("XXS4",'xuanson (2016)'!$A$3,"MA_HT","DBV","MA_QH","DTS")</f>
        <v>0</v>
      </c>
      <c r="AU32" s="50">
        <f ca="1">+GETPIVOTDATA("XXS4",'xuanson (2016)'!$A$3,"MA_HT","DBV","MA_QH","DNG")</f>
        <v>0</v>
      </c>
      <c r="AV32" s="50">
        <f ca="1">+GETPIVOTDATA("XXS4",'xuanson (2016)'!$A$3,"MA_HT","DBV","MA_QH","TON")</f>
        <v>0</v>
      </c>
      <c r="AW32" s="50">
        <f ca="1">+GETPIVOTDATA("XXS4",'xuanson (2016)'!$A$3,"MA_HT","DBV","MA_QH","NTD")</f>
        <v>0</v>
      </c>
      <c r="AX32" s="50">
        <f ca="1">+GETPIVOTDATA("XXS4",'xuanson (2016)'!$A$3,"MA_HT","DBV","MA_QH","SKX")</f>
        <v>0</v>
      </c>
      <c r="AY32" s="50">
        <f ca="1">+GETPIVOTDATA("XXS4",'xuanson (2016)'!$A$3,"MA_HT","DBV","MA_QH","DSH")</f>
        <v>0</v>
      </c>
      <c r="AZ32" s="50">
        <f ca="1">+GETPIVOTDATA("XXS4",'xuanson (2016)'!$A$3,"MA_HT","DBV","MA_QH","DKV")</f>
        <v>0</v>
      </c>
      <c r="BA32" s="88">
        <f ca="1">+GETPIVOTDATA("XXS4",'xuanson (2016)'!$A$3,"MA_HT","DBV","MA_QH","TIN")</f>
        <v>0</v>
      </c>
      <c r="BB32" s="50">
        <f ca="1">+GETPIVOTDATA("XXS4",'xuanson (2016)'!$A$3,"MA_HT","DBV","MA_QH","SON")</f>
        <v>0</v>
      </c>
      <c r="BC32" s="50">
        <f ca="1">+GETPIVOTDATA("XXS4",'xuanson (2016)'!$A$3,"MA_HT","DBV","MA_QH","MNC")</f>
        <v>0</v>
      </c>
      <c r="BD32" s="50">
        <f ca="1">+GETPIVOTDATA("XXS4",'xuanson (2016)'!$A$3,"MA_HT","DBV","MA_QH","PNK")</f>
        <v>0</v>
      </c>
      <c r="BE32" s="80">
        <f ca="1">+GETPIVOTDATA("XXS4",'xuanson (2016)'!$A$3,"MA_HT","DBV","MA_QH","CSD")</f>
        <v>0</v>
      </c>
      <c r="BF32" s="103">
        <f ca="1" t="shared" si="13"/>
        <v>0</v>
      </c>
      <c r="BG32" s="104">
        <f ca="1">AE$59-$BF32</f>
        <v>0</v>
      </c>
      <c r="BH32" s="47" t="e">
        <f ca="1" t="shared" si="14"/>
        <v>#REF!</v>
      </c>
      <c r="BI32" s="105"/>
      <c r="BJ32" s="105" t="e">
        <f>#REF!</f>
        <v>#REF!</v>
      </c>
      <c r="BK32" s="108" t="e">
        <f ca="1" t="shared" si="19"/>
        <v>#REF!</v>
      </c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</row>
    <row r="33" s="4" customFormat="1" ht="16.5" customHeight="1" spans="1:79">
      <c r="A33" s="45" t="s">
        <v>8384</v>
      </c>
      <c r="B33" s="45" t="s">
        <v>8385</v>
      </c>
      <c r="C33" s="46" t="s">
        <v>212</v>
      </c>
      <c r="D33" s="47" t="e">
        <f>+#REF!</f>
        <v>#REF!</v>
      </c>
      <c r="E33" s="42">
        <f ca="1" t="shared" si="15"/>
        <v>0</v>
      </c>
      <c r="F33" s="52">
        <f ca="1" t="shared" si="9"/>
        <v>0</v>
      </c>
      <c r="G33" s="50">
        <f ca="1">+GETPIVOTDATA("XXS4",'xuanson (2016)'!$A$3,"MA_HT","DVH","MA_QH","LUC")</f>
        <v>0</v>
      </c>
      <c r="H33" s="50">
        <f ca="1">+GETPIVOTDATA("XXS4",'xuanson (2016)'!$A$3,"MA_HT","DVH","MA_QH","LUK")</f>
        <v>0</v>
      </c>
      <c r="I33" s="50">
        <f ca="1">+GETPIVOTDATA("XXS4",'xuanson (2016)'!$A$3,"MA_HT","DVH","MA_QH","LUN")</f>
        <v>0</v>
      </c>
      <c r="J33" s="50">
        <f ca="1">+GETPIVOTDATA("XXS4",'xuanson (2016)'!$A$3,"MA_HT","DVH","MA_QH","HNK")</f>
        <v>0</v>
      </c>
      <c r="K33" s="50">
        <f ca="1">+GETPIVOTDATA("XXS4",'xuanson (2016)'!$A$3,"MA_HT","DVH","MA_QH","CLN")</f>
        <v>0</v>
      </c>
      <c r="L33" s="50">
        <f ca="1">+GETPIVOTDATA("XXS4",'xuanson (2016)'!$A$3,"MA_HT","DVH","MA_QH","RSX")</f>
        <v>0</v>
      </c>
      <c r="M33" s="50">
        <f ca="1">+GETPIVOTDATA("XXS4",'xuanson (2016)'!$A$3,"MA_HT","DVH","MA_QH","RPH")</f>
        <v>0</v>
      </c>
      <c r="N33" s="50">
        <f ca="1">+GETPIVOTDATA("XXS4",'xuanson (2016)'!$A$3,"MA_HT","DVH","MA_QH","RDD")</f>
        <v>0</v>
      </c>
      <c r="O33" s="50">
        <f ca="1">+GETPIVOTDATA("XXS4",'xuanson (2016)'!$A$3,"MA_HT","DVH","MA_QH","NTS")</f>
        <v>0</v>
      </c>
      <c r="P33" s="50">
        <f ca="1">+GETPIVOTDATA("XXS4",'xuanson (2016)'!$A$3,"MA_HT","DVH","MA_QH","LMU")</f>
        <v>0</v>
      </c>
      <c r="Q33" s="50">
        <f ca="1">+GETPIVOTDATA("XXS4",'xuanson (2016)'!$A$3,"MA_HT","DVH","MA_QH","NKH")</f>
        <v>0</v>
      </c>
      <c r="R33" s="48">
        <f ca="1" t="shared" si="20"/>
        <v>0</v>
      </c>
      <c r="S33" s="50">
        <f ca="1">+GETPIVOTDATA("XXS4",'xuanson (2016)'!$A$3,"MA_HT","DVH","MA_QH","CQP")</f>
        <v>0</v>
      </c>
      <c r="T33" s="50">
        <f ca="1">+GETPIVOTDATA("XXS4",'xuanson (2016)'!$A$3,"MA_HT","DVH","MA_QH","CAN")</f>
        <v>0</v>
      </c>
      <c r="U33" s="50">
        <f ca="1">+GETPIVOTDATA("XXS4",'xuanson (2016)'!$A$3,"MA_HT","DVH","MA_QH","SKK")</f>
        <v>0</v>
      </c>
      <c r="V33" s="50">
        <f ca="1">+GETPIVOTDATA("XXS4",'xuanson (2016)'!$A$3,"MA_HT","DVH","MA_QH","SKT")</f>
        <v>0</v>
      </c>
      <c r="W33" s="50">
        <f ca="1">+GETPIVOTDATA("XXS4",'xuanson (2016)'!$A$3,"MA_HT","DVH","MA_QH","SKN")</f>
        <v>0</v>
      </c>
      <c r="X33" s="50">
        <f ca="1">+GETPIVOTDATA("XXS4",'xuanson (2016)'!$A$3,"MA_HT","DVH","MA_QH","TMD")</f>
        <v>0</v>
      </c>
      <c r="Y33" s="50">
        <f ca="1">+GETPIVOTDATA("XXS4",'xuanson (2016)'!$A$3,"MA_HT","DVH","MA_QH","SKC")</f>
        <v>0</v>
      </c>
      <c r="Z33" s="50">
        <f ca="1">+GETPIVOTDATA("XXS4",'xuanson (2016)'!$A$3,"MA_HT","DVH","MA_QH","SKS")</f>
        <v>0</v>
      </c>
      <c r="AA33" s="52">
        <f ca="1">+SUM(AB33:AE33,AG33:AM33)</f>
        <v>0</v>
      </c>
      <c r="AB33" s="50">
        <f ca="1">+GETPIVOTDATA("XXS4",'xuanson (2016)'!$A$3,"MA_HT","DVH","MA_QH","DGT")</f>
        <v>0</v>
      </c>
      <c r="AC33" s="50">
        <f ca="1">+GETPIVOTDATA("XXS4",'xuanson (2016)'!$A$3,"MA_HT","DVH","MA_QH","DTL")</f>
        <v>0</v>
      </c>
      <c r="AD33" s="50">
        <f ca="1">+GETPIVOTDATA("XXS4",'xuanson (2016)'!$A$3,"MA_HT","DVH","MA_QH","DNL")</f>
        <v>0</v>
      </c>
      <c r="AE33" s="50">
        <f ca="1">+GETPIVOTDATA("XXS4",'xuanson (2016)'!$A$3,"MA_HT","DVH","MA_QH","DBV")</f>
        <v>0</v>
      </c>
      <c r="AF33" s="49" t="e">
        <f ca="1">$D33-$BF33</f>
        <v>#REF!</v>
      </c>
      <c r="AG33" s="50">
        <f ca="1">+GETPIVOTDATA("XXS4",'xuanson (2016)'!$A$3,"MA_HT","DVH","MA_QH","DYT")</f>
        <v>0</v>
      </c>
      <c r="AH33" s="50">
        <f ca="1">+GETPIVOTDATA("XXS4",'xuanson (2016)'!$A$3,"MA_HT","DVH","MA_QH","DGD")</f>
        <v>0</v>
      </c>
      <c r="AI33" s="50">
        <f ca="1">+GETPIVOTDATA("XXS4",'xuanson (2016)'!$A$3,"MA_HT","DVH","MA_QH","DTT")</f>
        <v>0</v>
      </c>
      <c r="AJ33" s="50">
        <f ca="1">+GETPIVOTDATA("XXS4",'xuanson (2016)'!$A$3,"MA_HT","DVH","MA_QH","NCK")</f>
        <v>0</v>
      </c>
      <c r="AK33" s="50">
        <f ca="1">+GETPIVOTDATA("XXS4",'xuanson (2016)'!$A$3,"MA_HT","DVH","MA_QH","DXH")</f>
        <v>0</v>
      </c>
      <c r="AL33" s="50">
        <f ca="1">+GETPIVOTDATA("XXS4",'xuanson (2016)'!$A$3,"MA_HT","DVH","MA_QH","DCH")</f>
        <v>0</v>
      </c>
      <c r="AM33" s="50">
        <f ca="1">+GETPIVOTDATA("XXS4",'xuanson (2016)'!$A$3,"MA_HT","DVH","MA_QH","DKG")</f>
        <v>0</v>
      </c>
      <c r="AN33" s="50">
        <f ca="1">+GETPIVOTDATA("XXS4",'xuanson (2016)'!$A$3,"MA_HT","DVH","MA_QH","DDT")</f>
        <v>0</v>
      </c>
      <c r="AO33" s="50">
        <f ca="1">+GETPIVOTDATA("XXS4",'xuanson (2016)'!$A$3,"MA_HT","DVH","MA_QH","DDL")</f>
        <v>0</v>
      </c>
      <c r="AP33" s="50">
        <f ca="1">+GETPIVOTDATA("XXS4",'xuanson (2016)'!$A$3,"MA_HT","DVH","MA_QH","DRA")</f>
        <v>0</v>
      </c>
      <c r="AQ33" s="50">
        <f ca="1">+GETPIVOTDATA("XXS4",'xuanson (2016)'!$A$3,"MA_HT","DVH","MA_QH","ONT")</f>
        <v>0</v>
      </c>
      <c r="AR33" s="50">
        <f ca="1">+GETPIVOTDATA("XXS4",'xuanson (2016)'!$A$3,"MA_HT","DVH","MA_QH","ODT")</f>
        <v>0</v>
      </c>
      <c r="AS33" s="50">
        <f ca="1">+GETPIVOTDATA("XXS4",'xuanson (2016)'!$A$3,"MA_HT","DVH","MA_QH","TSC")</f>
        <v>0</v>
      </c>
      <c r="AT33" s="50">
        <f ca="1">+GETPIVOTDATA("XXS4",'xuanson (2016)'!$A$3,"MA_HT","DVH","MA_QH","DTS")</f>
        <v>0</v>
      </c>
      <c r="AU33" s="50">
        <f ca="1">+GETPIVOTDATA("XXS4",'xuanson (2016)'!$A$3,"MA_HT","DVH","MA_QH","DNG")</f>
        <v>0</v>
      </c>
      <c r="AV33" s="50">
        <f ca="1">+GETPIVOTDATA("XXS4",'xuanson (2016)'!$A$3,"MA_HT","DVH","MA_QH","TON")</f>
        <v>0</v>
      </c>
      <c r="AW33" s="50">
        <f ca="1">+GETPIVOTDATA("XXS4",'xuanson (2016)'!$A$3,"MA_HT","DVH","MA_QH","NTD")</f>
        <v>0</v>
      </c>
      <c r="AX33" s="50">
        <f ca="1">+GETPIVOTDATA("XXS4",'xuanson (2016)'!$A$3,"MA_HT","DVH","MA_QH","SKX")</f>
        <v>0</v>
      </c>
      <c r="AY33" s="50">
        <f ca="1">+GETPIVOTDATA("XXS4",'xuanson (2016)'!$A$3,"MA_HT","DVH","MA_QH","DSH")</f>
        <v>0</v>
      </c>
      <c r="AZ33" s="50">
        <f ca="1">+GETPIVOTDATA("XXS4",'xuanson (2016)'!$A$3,"MA_HT","DVH","MA_QH","DKV")</f>
        <v>0</v>
      </c>
      <c r="BA33" s="88">
        <f ca="1">+GETPIVOTDATA("XXS4",'xuanson (2016)'!$A$3,"MA_HT","DVH","MA_QH","TIN")</f>
        <v>0</v>
      </c>
      <c r="BB33" s="50">
        <f ca="1">+GETPIVOTDATA("XXS4",'xuanson (2016)'!$A$3,"MA_HT","DVH","MA_QH","SON")</f>
        <v>0</v>
      </c>
      <c r="BC33" s="50">
        <f ca="1">+GETPIVOTDATA("XXS4",'xuanson (2016)'!$A$3,"MA_HT","DVH","MA_QH","MNC")</f>
        <v>0</v>
      </c>
      <c r="BD33" s="50">
        <f ca="1">+GETPIVOTDATA("XXS4",'xuanson (2016)'!$A$3,"MA_HT","DVH","MA_QH","PNK")</f>
        <v>0</v>
      </c>
      <c r="BE33" s="80">
        <f ca="1">+GETPIVOTDATA("XXS4",'xuanson (2016)'!$A$3,"MA_HT","DVH","MA_QH","CSD")</f>
        <v>0</v>
      </c>
      <c r="BF33" s="103">
        <f ca="1" t="shared" si="13"/>
        <v>0</v>
      </c>
      <c r="BG33" s="104">
        <f ca="1">AF$59-$BF33</f>
        <v>0</v>
      </c>
      <c r="BH33" s="47" t="e">
        <f ca="1" t="shared" si="14"/>
        <v>#REF!</v>
      </c>
      <c r="BI33" s="105"/>
      <c r="BJ33" s="105" t="e">
        <f>#REF!</f>
        <v>#REF!</v>
      </c>
      <c r="BK33" s="108" t="e">
        <f ca="1" t="shared" si="19"/>
        <v>#REF!</v>
      </c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</row>
    <row r="34" s="4" customFormat="1" ht="16.5" customHeight="1" spans="1:79">
      <c r="A34" s="45" t="s">
        <v>8386</v>
      </c>
      <c r="B34" s="45" t="s">
        <v>8387</v>
      </c>
      <c r="C34" s="46" t="s">
        <v>8296</v>
      </c>
      <c r="D34" s="47" t="e">
        <f>+#REF!</f>
        <v>#REF!</v>
      </c>
      <c r="E34" s="42">
        <f ca="1" t="shared" si="15"/>
        <v>0</v>
      </c>
      <c r="F34" s="52">
        <f ca="1" t="shared" si="9"/>
        <v>0</v>
      </c>
      <c r="G34" s="50">
        <f ca="1">+GETPIVOTDATA("XXS4",'xuanson (2016)'!$A$3,"MA_HT","DYT","MA_QH","LUC")</f>
        <v>0</v>
      </c>
      <c r="H34" s="50">
        <f ca="1">+GETPIVOTDATA("XXS4",'xuanson (2016)'!$A$3,"MA_HT","DYT","MA_QH","LUK")</f>
        <v>0</v>
      </c>
      <c r="I34" s="50">
        <f ca="1">+GETPIVOTDATA("XXS4",'xuanson (2016)'!$A$3,"MA_HT","DYT","MA_QH","LUN")</f>
        <v>0</v>
      </c>
      <c r="J34" s="50">
        <f ca="1">+GETPIVOTDATA("XXS4",'xuanson (2016)'!$A$3,"MA_HT","DYT","MA_QH","HNK")</f>
        <v>0</v>
      </c>
      <c r="K34" s="50">
        <f ca="1">+GETPIVOTDATA("XXS4",'xuanson (2016)'!$A$3,"MA_HT","DYT","MA_QH","CLN")</f>
        <v>0</v>
      </c>
      <c r="L34" s="50">
        <f ca="1">+GETPIVOTDATA("XXS4",'xuanson (2016)'!$A$3,"MA_HT","DYT","MA_QH","RSX")</f>
        <v>0</v>
      </c>
      <c r="M34" s="50">
        <f ca="1">+GETPIVOTDATA("XXS4",'xuanson (2016)'!$A$3,"MA_HT","DYT","MA_QH","RPH")</f>
        <v>0</v>
      </c>
      <c r="N34" s="50">
        <f ca="1">+GETPIVOTDATA("XXS4",'xuanson (2016)'!$A$3,"MA_HT","DYT","MA_QH","RDD")</f>
        <v>0</v>
      </c>
      <c r="O34" s="50">
        <f ca="1">+GETPIVOTDATA("XXS4",'xuanson (2016)'!$A$3,"MA_HT","DYT","MA_QH","NTS")</f>
        <v>0</v>
      </c>
      <c r="P34" s="50">
        <f ca="1">+GETPIVOTDATA("XXS4",'xuanson (2016)'!$A$3,"MA_HT","DYT","MA_QH","LMU")</f>
        <v>0</v>
      </c>
      <c r="Q34" s="50">
        <f ca="1">+GETPIVOTDATA("XXS4",'xuanson (2016)'!$A$3,"MA_HT","DYT","MA_QH","NKH")</f>
        <v>0</v>
      </c>
      <c r="R34" s="48">
        <f ca="1" t="shared" si="20"/>
        <v>0</v>
      </c>
      <c r="S34" s="50">
        <f ca="1">+GETPIVOTDATA("XXS4",'xuanson (2016)'!$A$3,"MA_HT","DYT","MA_QH","CQP")</f>
        <v>0</v>
      </c>
      <c r="T34" s="50">
        <f ca="1">+GETPIVOTDATA("XXS4",'xuanson (2016)'!$A$3,"MA_HT","DYT","MA_QH","CAN")</f>
        <v>0</v>
      </c>
      <c r="U34" s="50">
        <f ca="1">+GETPIVOTDATA("XXS4",'xuanson (2016)'!$A$3,"MA_HT","DYT","MA_QH","SKK")</f>
        <v>0</v>
      </c>
      <c r="V34" s="50">
        <f ca="1">+GETPIVOTDATA("XXS4",'xuanson (2016)'!$A$3,"MA_HT","DYT","MA_QH","SKT")</f>
        <v>0</v>
      </c>
      <c r="W34" s="50">
        <f ca="1">+GETPIVOTDATA("XXS4",'xuanson (2016)'!$A$3,"MA_HT","DYT","MA_QH","SKN")</f>
        <v>0</v>
      </c>
      <c r="X34" s="50">
        <f ca="1">+GETPIVOTDATA("XXS4",'xuanson (2016)'!$A$3,"MA_HT","DYT","MA_QH","TMD")</f>
        <v>0</v>
      </c>
      <c r="Y34" s="50">
        <f ca="1">+GETPIVOTDATA("XXS4",'xuanson (2016)'!$A$3,"MA_HT","DYT","MA_QH","SKC")</f>
        <v>0</v>
      </c>
      <c r="Z34" s="50">
        <f ca="1">+GETPIVOTDATA("XXS4",'xuanson (2016)'!$A$3,"MA_HT","DYT","MA_QH","SKS")</f>
        <v>0</v>
      </c>
      <c r="AA34" s="52">
        <f ca="1">+SUM(AB34:AF34,AH34:AM34)</f>
        <v>0</v>
      </c>
      <c r="AB34" s="50">
        <f ca="1">+GETPIVOTDATA("XXS4",'xuanson (2016)'!$A$3,"MA_HT","DYT","MA_QH","DGT")</f>
        <v>0</v>
      </c>
      <c r="AC34" s="50">
        <f ca="1">+GETPIVOTDATA("XXS4",'xuanson (2016)'!$A$3,"MA_HT","DYT","MA_QH","DTL")</f>
        <v>0</v>
      </c>
      <c r="AD34" s="50">
        <f ca="1">+GETPIVOTDATA("XXS4",'xuanson (2016)'!$A$3,"MA_HT","DYT","MA_QH","DNL")</f>
        <v>0</v>
      </c>
      <c r="AE34" s="50">
        <f ca="1">+GETPIVOTDATA("XXS4",'xuanson (2016)'!$A$3,"MA_HT","DYT","MA_QH","DBV")</f>
        <v>0</v>
      </c>
      <c r="AF34" s="50">
        <f ca="1">+GETPIVOTDATA("XXS4",'xuanson (2016)'!$A$3,"MA_HT","DYT","MA_QH","DVH")</f>
        <v>0</v>
      </c>
      <c r="AG34" s="49" t="e">
        <f ca="1">$D34-$BF34</f>
        <v>#REF!</v>
      </c>
      <c r="AH34" s="50">
        <f ca="1">+GETPIVOTDATA("XXS4",'xuanson (2016)'!$A$3,"MA_HT","DYT","MA_QH","DGD")</f>
        <v>0</v>
      </c>
      <c r="AI34" s="50">
        <f ca="1">+GETPIVOTDATA("XXS4",'xuanson (2016)'!$A$3,"MA_HT","DYT","MA_QH","DTT")</f>
        <v>0</v>
      </c>
      <c r="AJ34" s="50">
        <f ca="1">+GETPIVOTDATA("XXS4",'xuanson (2016)'!$A$3,"MA_HT","DYT","MA_QH","NCK")</f>
        <v>0</v>
      </c>
      <c r="AK34" s="50">
        <f ca="1">+GETPIVOTDATA("XXS4",'xuanson (2016)'!$A$3,"MA_HT","DYT","MA_QH","DXH")</f>
        <v>0</v>
      </c>
      <c r="AL34" s="50">
        <f ca="1">+GETPIVOTDATA("XXS4",'xuanson (2016)'!$A$3,"MA_HT","DYT","MA_QH","DCH")</f>
        <v>0</v>
      </c>
      <c r="AM34" s="50">
        <f ca="1">+GETPIVOTDATA("XXS4",'xuanson (2016)'!$A$3,"MA_HT","DYT","MA_QH","DKG")</f>
        <v>0</v>
      </c>
      <c r="AN34" s="50">
        <f ca="1">+GETPIVOTDATA("XXS4",'xuanson (2016)'!$A$3,"MA_HT","DYT","MA_QH","DDT")</f>
        <v>0</v>
      </c>
      <c r="AO34" s="50">
        <f ca="1">+GETPIVOTDATA("XXS4",'xuanson (2016)'!$A$3,"MA_HT","DYT","MA_QH","DDL")</f>
        <v>0</v>
      </c>
      <c r="AP34" s="50">
        <f ca="1">+GETPIVOTDATA("XXS4",'xuanson (2016)'!$A$3,"MA_HT","DYT","MA_QH","DRA")</f>
        <v>0</v>
      </c>
      <c r="AQ34" s="50">
        <f ca="1">+GETPIVOTDATA("XXS4",'xuanson (2016)'!$A$3,"MA_HT","DYT","MA_QH","ONT")</f>
        <v>0</v>
      </c>
      <c r="AR34" s="50">
        <f ca="1">+GETPIVOTDATA("XXS4",'xuanson (2016)'!$A$3,"MA_HT","DYT","MA_QH","ODT")</f>
        <v>0</v>
      </c>
      <c r="AS34" s="50">
        <f ca="1">+GETPIVOTDATA("XXS4",'xuanson (2016)'!$A$3,"MA_HT","DYT","MA_QH","TSC")</f>
        <v>0</v>
      </c>
      <c r="AT34" s="50">
        <f ca="1">+GETPIVOTDATA("XXS4",'xuanson (2016)'!$A$3,"MA_HT","DYT","MA_QH","DTS")</f>
        <v>0</v>
      </c>
      <c r="AU34" s="50">
        <f ca="1">+GETPIVOTDATA("XXS4",'xuanson (2016)'!$A$3,"MA_HT","DYT","MA_QH","DNG")</f>
        <v>0</v>
      </c>
      <c r="AV34" s="50">
        <f ca="1">+GETPIVOTDATA("XXS4",'xuanson (2016)'!$A$3,"MA_HT","DYT","MA_QH","TON")</f>
        <v>0</v>
      </c>
      <c r="AW34" s="50">
        <f ca="1">+GETPIVOTDATA("XXS4",'xuanson (2016)'!$A$3,"MA_HT","DYT","MA_QH","NTD")</f>
        <v>0</v>
      </c>
      <c r="AX34" s="50">
        <f ca="1">+GETPIVOTDATA("XXS4",'xuanson (2016)'!$A$3,"MA_HT","DYT","MA_QH","SKX")</f>
        <v>0</v>
      </c>
      <c r="AY34" s="50">
        <f ca="1">+GETPIVOTDATA("XXS4",'xuanson (2016)'!$A$3,"MA_HT","DYT","MA_QH","DSH")</f>
        <v>0</v>
      </c>
      <c r="AZ34" s="50">
        <f ca="1">+GETPIVOTDATA("XXS4",'xuanson (2016)'!$A$3,"MA_HT","DYT","MA_QH","DKV")</f>
        <v>0</v>
      </c>
      <c r="BA34" s="88">
        <f ca="1">+GETPIVOTDATA("XXS4",'xuanson (2016)'!$A$3,"MA_HT","DYT","MA_QH","TIN")</f>
        <v>0</v>
      </c>
      <c r="BB34" s="50">
        <f ca="1">+GETPIVOTDATA("XXS4",'xuanson (2016)'!$A$3,"MA_HT","DYT","MA_QH","SON")</f>
        <v>0</v>
      </c>
      <c r="BC34" s="50">
        <f ca="1">+GETPIVOTDATA("XXS4",'xuanson (2016)'!$A$3,"MA_HT","DYT","MA_QH","MNC")</f>
        <v>0</v>
      </c>
      <c r="BD34" s="50">
        <f ca="1">+GETPIVOTDATA("XXS4",'xuanson (2016)'!$A$3,"MA_HT","DYT","MA_QH","PNK")</f>
        <v>0</v>
      </c>
      <c r="BE34" s="80">
        <f ca="1">+GETPIVOTDATA("XXS4",'xuanson (2016)'!$A$3,"MA_HT","DYT","MA_QH","CSD")</f>
        <v>0</v>
      </c>
      <c r="BF34" s="103">
        <f ca="1" t="shared" si="13"/>
        <v>0</v>
      </c>
      <c r="BG34" s="104">
        <f ca="1">AG$59-$BF34</f>
        <v>0</v>
      </c>
      <c r="BH34" s="47" t="e">
        <f ca="1" t="shared" si="14"/>
        <v>#REF!</v>
      </c>
      <c r="BI34" s="105"/>
      <c r="BJ34" s="105" t="e">
        <f>#REF!</f>
        <v>#REF!</v>
      </c>
      <c r="BK34" s="108" t="e">
        <f ca="1" t="shared" si="19"/>
        <v>#REF!</v>
      </c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</row>
    <row r="35" s="4" customFormat="1" ht="16.5" customHeight="1" spans="1:79">
      <c r="A35" s="45" t="s">
        <v>8388</v>
      </c>
      <c r="B35" s="45" t="s">
        <v>8389</v>
      </c>
      <c r="C35" s="46" t="s">
        <v>165</v>
      </c>
      <c r="D35" s="47" t="e">
        <f>+#REF!</f>
        <v>#REF!</v>
      </c>
      <c r="E35" s="42">
        <f ca="1" t="shared" si="15"/>
        <v>0</v>
      </c>
      <c r="F35" s="52">
        <f ca="1" t="shared" si="9"/>
        <v>0</v>
      </c>
      <c r="G35" s="50">
        <f ca="1">+GETPIVOTDATA("XXS4",'xuanson (2016)'!$A$3,"MA_HT","DGD","MA_QH","LUC")</f>
        <v>0</v>
      </c>
      <c r="H35" s="50">
        <f ca="1">+GETPIVOTDATA("XXS4",'xuanson (2016)'!$A$3,"MA_HT","DGD","MA_QH","LUK")</f>
        <v>0</v>
      </c>
      <c r="I35" s="50">
        <f ca="1">+GETPIVOTDATA("XXS4",'xuanson (2016)'!$A$3,"MA_HT","DGD","MA_QH","LUN")</f>
        <v>0</v>
      </c>
      <c r="J35" s="50">
        <f ca="1">+GETPIVOTDATA("XXS4",'xuanson (2016)'!$A$3,"MA_HT","DGD","MA_QH","HNK")</f>
        <v>0</v>
      </c>
      <c r="K35" s="50">
        <f ca="1">+GETPIVOTDATA("XXS4",'xuanson (2016)'!$A$3,"MA_HT","DGD","MA_QH","CLN")</f>
        <v>0</v>
      </c>
      <c r="L35" s="50">
        <f ca="1">+GETPIVOTDATA("XXS4",'xuanson (2016)'!$A$3,"MA_HT","DGD","MA_QH","RSX")</f>
        <v>0</v>
      </c>
      <c r="M35" s="50">
        <f ca="1">+GETPIVOTDATA("XXS4",'xuanson (2016)'!$A$3,"MA_HT","DGD","MA_QH","RPH")</f>
        <v>0</v>
      </c>
      <c r="N35" s="50">
        <f ca="1">+GETPIVOTDATA("XXS4",'xuanson (2016)'!$A$3,"MA_HT","DGD","MA_QH","RDD")</f>
        <v>0</v>
      </c>
      <c r="O35" s="50">
        <f ca="1">+GETPIVOTDATA("XXS4",'xuanson (2016)'!$A$3,"MA_HT","DGD","MA_QH","NTS")</f>
        <v>0</v>
      </c>
      <c r="P35" s="50">
        <f ca="1">+GETPIVOTDATA("XXS4",'xuanson (2016)'!$A$3,"MA_HT","DGD","MA_QH","LMU")</f>
        <v>0</v>
      </c>
      <c r="Q35" s="50">
        <f ca="1">+GETPIVOTDATA("XXS4",'xuanson (2016)'!$A$3,"MA_HT","DGD","MA_QH","NKH")</f>
        <v>0</v>
      </c>
      <c r="R35" s="48">
        <f ca="1" t="shared" si="20"/>
        <v>0</v>
      </c>
      <c r="S35" s="50">
        <f ca="1">+GETPIVOTDATA("XXS4",'xuanson (2016)'!$A$3,"MA_HT","DGD","MA_QH","CQP")</f>
        <v>0</v>
      </c>
      <c r="T35" s="50">
        <f ca="1">+GETPIVOTDATA("XXS4",'xuanson (2016)'!$A$3,"MA_HT","DGD","MA_QH","CAN")</f>
        <v>0</v>
      </c>
      <c r="U35" s="50">
        <f ca="1">+GETPIVOTDATA("XXS4",'xuanson (2016)'!$A$3,"MA_HT","DGD","MA_QH","SKK")</f>
        <v>0</v>
      </c>
      <c r="V35" s="50">
        <f ca="1">+GETPIVOTDATA("XXS4",'xuanson (2016)'!$A$3,"MA_HT","DGD","MA_QH","SKT")</f>
        <v>0</v>
      </c>
      <c r="W35" s="50">
        <f ca="1">+GETPIVOTDATA("XXS4",'xuanson (2016)'!$A$3,"MA_HT","DGD","MA_QH","SKN")</f>
        <v>0</v>
      </c>
      <c r="X35" s="50">
        <f ca="1">+GETPIVOTDATA("XXS4",'xuanson (2016)'!$A$3,"MA_HT","DGD","MA_QH","TMD")</f>
        <v>0</v>
      </c>
      <c r="Y35" s="50">
        <f ca="1">+GETPIVOTDATA("XXS4",'xuanson (2016)'!$A$3,"MA_HT","DGD","MA_QH","SKC")</f>
        <v>0</v>
      </c>
      <c r="Z35" s="50">
        <f ca="1">+GETPIVOTDATA("XXS4",'xuanson (2016)'!$A$3,"MA_HT","DGD","MA_QH","SKS")</f>
        <v>0</v>
      </c>
      <c r="AA35" s="52">
        <f ca="1">+SUM(AB35:AG35,AI35:AM35)</f>
        <v>0</v>
      </c>
      <c r="AB35" s="50">
        <f ca="1">+GETPIVOTDATA("XXS4",'xuanson (2016)'!$A$3,"MA_HT","DGD","MA_QH","DGT")</f>
        <v>0</v>
      </c>
      <c r="AC35" s="50">
        <f ca="1">+GETPIVOTDATA("XXS4",'xuanson (2016)'!$A$3,"MA_HT","DGD","MA_QH","DTL")</f>
        <v>0</v>
      </c>
      <c r="AD35" s="50">
        <f ca="1">+GETPIVOTDATA("XXS4",'xuanson (2016)'!$A$3,"MA_HT","DGD","MA_QH","DNL")</f>
        <v>0</v>
      </c>
      <c r="AE35" s="50">
        <f ca="1">+GETPIVOTDATA("XXS4",'xuanson (2016)'!$A$3,"MA_HT","DGD","MA_QH","DBV")</f>
        <v>0</v>
      </c>
      <c r="AF35" s="50">
        <f ca="1">+GETPIVOTDATA("XXS4",'xuanson (2016)'!$A$3,"MA_HT","DGD","MA_QH","DVH")</f>
        <v>0</v>
      </c>
      <c r="AG35" s="50">
        <f ca="1">+GETPIVOTDATA("XXS4",'xuanson (2016)'!$A$3,"MA_HT","DGD","MA_QH","DYT")</f>
        <v>0</v>
      </c>
      <c r="AH35" s="49" t="e">
        <f ca="1">$D35-$BF35</f>
        <v>#REF!</v>
      </c>
      <c r="AI35" s="50">
        <f ca="1">+GETPIVOTDATA("XXS4",'xuanson (2016)'!$A$3,"MA_HT","DGD","MA_QH","DTT")</f>
        <v>0</v>
      </c>
      <c r="AJ35" s="50">
        <f ca="1">+GETPIVOTDATA("XXS4",'xuanson (2016)'!$A$3,"MA_HT","DGD","MA_QH","NCK")</f>
        <v>0</v>
      </c>
      <c r="AK35" s="50">
        <f ca="1">+GETPIVOTDATA("XXS4",'xuanson (2016)'!$A$3,"MA_HT","DGD","MA_QH","DXH")</f>
        <v>0</v>
      </c>
      <c r="AL35" s="50">
        <f ca="1">+GETPIVOTDATA("XXS4",'xuanson (2016)'!$A$3,"MA_HT","DGD","MA_QH","DCH")</f>
        <v>0</v>
      </c>
      <c r="AM35" s="50">
        <f ca="1">+GETPIVOTDATA("XXS4",'xuanson (2016)'!$A$3,"MA_HT","DGD","MA_QH","DKG")</f>
        <v>0</v>
      </c>
      <c r="AN35" s="50">
        <f ca="1">+GETPIVOTDATA("XXS4",'xuanson (2016)'!$A$3,"MA_HT","DGD","MA_QH","DDT")</f>
        <v>0</v>
      </c>
      <c r="AO35" s="50">
        <f ca="1">+GETPIVOTDATA("XXS4",'xuanson (2016)'!$A$3,"MA_HT","DGD","MA_QH","DDL")</f>
        <v>0</v>
      </c>
      <c r="AP35" s="50">
        <f ca="1">+GETPIVOTDATA("XXS4",'xuanson (2016)'!$A$3,"MA_HT","DGD","MA_QH","DRA")</f>
        <v>0</v>
      </c>
      <c r="AQ35" s="50">
        <f ca="1">+GETPIVOTDATA("XXS4",'xuanson (2016)'!$A$3,"MA_HT","DGD","MA_QH","ONT")</f>
        <v>0</v>
      </c>
      <c r="AR35" s="50">
        <f ca="1">+GETPIVOTDATA("XXS4",'xuanson (2016)'!$A$3,"MA_HT","DGD","MA_QH","ODT")</f>
        <v>0</v>
      </c>
      <c r="AS35" s="50">
        <f ca="1">+GETPIVOTDATA("XXS4",'xuanson (2016)'!$A$3,"MA_HT","DGD","MA_QH","TSC")</f>
        <v>0</v>
      </c>
      <c r="AT35" s="50">
        <f ca="1">+GETPIVOTDATA("XXS4",'xuanson (2016)'!$A$3,"MA_HT","DGD","MA_QH","DTS")</f>
        <v>0</v>
      </c>
      <c r="AU35" s="50">
        <f ca="1">+GETPIVOTDATA("XXS4",'xuanson (2016)'!$A$3,"MA_HT","DGD","MA_QH","DNG")</f>
        <v>0</v>
      </c>
      <c r="AV35" s="50">
        <f ca="1">+GETPIVOTDATA("XXS4",'xuanson (2016)'!$A$3,"MA_HT","DGD","MA_QH","TON")</f>
        <v>0</v>
      </c>
      <c r="AW35" s="50">
        <f ca="1">+GETPIVOTDATA("XXS4",'xuanson (2016)'!$A$3,"MA_HT","DGD","MA_QH","NTD")</f>
        <v>0</v>
      </c>
      <c r="AX35" s="50">
        <f ca="1">+GETPIVOTDATA("XXS4",'xuanson (2016)'!$A$3,"MA_HT","DGD","MA_QH","SKX")</f>
        <v>0</v>
      </c>
      <c r="AY35" s="50">
        <f ca="1">+GETPIVOTDATA("XXS4",'xuanson (2016)'!$A$3,"MA_HT","DGD","MA_QH","DSH")</f>
        <v>0</v>
      </c>
      <c r="AZ35" s="50">
        <f ca="1">+GETPIVOTDATA("XXS4",'xuanson (2016)'!$A$3,"MA_HT","DGD","MA_QH","DKV")</f>
        <v>0</v>
      </c>
      <c r="BA35" s="88">
        <f ca="1">+GETPIVOTDATA("XXS4",'xuanson (2016)'!$A$3,"MA_HT","DGD","MA_QH","TIN")</f>
        <v>0</v>
      </c>
      <c r="BB35" s="50">
        <f ca="1">+GETPIVOTDATA("XXS4",'xuanson (2016)'!$A$3,"MA_HT","DGD","MA_QH","SON")</f>
        <v>0</v>
      </c>
      <c r="BC35" s="50">
        <f ca="1">+GETPIVOTDATA("XXS4",'xuanson (2016)'!$A$3,"MA_HT","DGD","MA_QH","MNC")</f>
        <v>0</v>
      </c>
      <c r="BD35" s="50">
        <f ca="1">+GETPIVOTDATA("XXS4",'xuanson (2016)'!$A$3,"MA_HT","DGD","MA_QH","PNK")</f>
        <v>0</v>
      </c>
      <c r="BE35" s="80">
        <f ca="1">+GETPIVOTDATA("XXS4",'xuanson (2016)'!$A$3,"MA_HT","DGD","MA_QH","CSD")</f>
        <v>0</v>
      </c>
      <c r="BF35" s="103">
        <f ca="1" t="shared" si="13"/>
        <v>0</v>
      </c>
      <c r="BG35" s="104">
        <f ca="1">AH$59-$BF35</f>
        <v>0</v>
      </c>
      <c r="BH35" s="47" t="e">
        <f ca="1" t="shared" si="14"/>
        <v>#REF!</v>
      </c>
      <c r="BI35" s="105"/>
      <c r="BJ35" s="105" t="e">
        <f>#REF!</f>
        <v>#REF!</v>
      </c>
      <c r="BK35" s="108" t="e">
        <f ca="1" t="shared" si="19"/>
        <v>#REF!</v>
      </c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</row>
    <row r="36" s="4" customFormat="1" ht="16.5" customHeight="1" spans="1:79">
      <c r="A36" s="45" t="s">
        <v>8390</v>
      </c>
      <c r="B36" s="45" t="s">
        <v>8391</v>
      </c>
      <c r="C36" s="46" t="s">
        <v>8294</v>
      </c>
      <c r="D36" s="47" t="e">
        <f>+#REF!</f>
        <v>#REF!</v>
      </c>
      <c r="E36" s="42">
        <f ca="1" t="shared" si="15"/>
        <v>0</v>
      </c>
      <c r="F36" s="52">
        <f ca="1" t="shared" si="9"/>
        <v>0</v>
      </c>
      <c r="G36" s="50">
        <f ca="1">+GETPIVOTDATA("XXS4",'xuanson (2016)'!$A$3,"MA_HT","DTT","MA_QH","LUC")</f>
        <v>0</v>
      </c>
      <c r="H36" s="50">
        <f ca="1">+GETPIVOTDATA("XXS4",'xuanson (2016)'!$A$3,"MA_HT","DTT","MA_QH","LUK")</f>
        <v>0</v>
      </c>
      <c r="I36" s="50">
        <f ca="1">+GETPIVOTDATA("XXS4",'xuanson (2016)'!$A$3,"MA_HT","DTT","MA_QH","LUN")</f>
        <v>0</v>
      </c>
      <c r="J36" s="50">
        <f ca="1">+GETPIVOTDATA("XXS4",'xuanson (2016)'!$A$3,"MA_HT","DTT","MA_QH","HNK")</f>
        <v>0</v>
      </c>
      <c r="K36" s="50">
        <f ca="1">+GETPIVOTDATA("XXS4",'xuanson (2016)'!$A$3,"MA_HT","DTT","MA_QH","CLN")</f>
        <v>0</v>
      </c>
      <c r="L36" s="50">
        <f ca="1">+GETPIVOTDATA("XXS4",'xuanson (2016)'!$A$3,"MA_HT","DTT","MA_QH","RSX")</f>
        <v>0</v>
      </c>
      <c r="M36" s="50">
        <f ca="1">+GETPIVOTDATA("XXS4",'xuanson (2016)'!$A$3,"MA_HT","DTT","MA_QH","RPH")</f>
        <v>0</v>
      </c>
      <c r="N36" s="50">
        <f ca="1">+GETPIVOTDATA("XXS4",'xuanson (2016)'!$A$3,"MA_HT","DTT","MA_QH","RDD")</f>
        <v>0</v>
      </c>
      <c r="O36" s="50">
        <f ca="1">+GETPIVOTDATA("XXS4",'xuanson (2016)'!$A$3,"MA_HT","DTT","MA_QH","NTS")</f>
        <v>0</v>
      </c>
      <c r="P36" s="50">
        <f ca="1">+GETPIVOTDATA("XXS4",'xuanson (2016)'!$A$3,"MA_HT","DTT","MA_QH","LMU")</f>
        <v>0</v>
      </c>
      <c r="Q36" s="50">
        <f ca="1">+GETPIVOTDATA("XXS4",'xuanson (2016)'!$A$3,"MA_HT","DTT","MA_QH","NKH")</f>
        <v>0</v>
      </c>
      <c r="R36" s="48">
        <f ca="1" t="shared" si="20"/>
        <v>0</v>
      </c>
      <c r="S36" s="50">
        <f ca="1">+GETPIVOTDATA("XXS4",'xuanson (2016)'!$A$3,"MA_HT","DTT","MA_QH","CQP")</f>
        <v>0</v>
      </c>
      <c r="T36" s="50">
        <f ca="1">+GETPIVOTDATA("XXS4",'xuanson (2016)'!$A$3,"MA_HT","DTT","MA_QH","CAN")</f>
        <v>0</v>
      </c>
      <c r="U36" s="50">
        <f ca="1">+GETPIVOTDATA("XXS4",'xuanson (2016)'!$A$3,"MA_HT","DTT","MA_QH","SKK")</f>
        <v>0</v>
      </c>
      <c r="V36" s="50">
        <f ca="1">+GETPIVOTDATA("XXS4",'xuanson (2016)'!$A$3,"MA_HT","DTT","MA_QH","SKT")</f>
        <v>0</v>
      </c>
      <c r="W36" s="50">
        <f ca="1">+GETPIVOTDATA("XXS4",'xuanson (2016)'!$A$3,"MA_HT","DTT","MA_QH","SKN")</f>
        <v>0</v>
      </c>
      <c r="X36" s="50">
        <f ca="1">+GETPIVOTDATA("XXS4",'xuanson (2016)'!$A$3,"MA_HT","DTT","MA_QH","TMD")</f>
        <v>0</v>
      </c>
      <c r="Y36" s="50">
        <f ca="1">+GETPIVOTDATA("XXS4",'xuanson (2016)'!$A$3,"MA_HT","DTT","MA_QH","SKC")</f>
        <v>0</v>
      </c>
      <c r="Z36" s="50">
        <f ca="1">+GETPIVOTDATA("XXS4",'xuanson (2016)'!$A$3,"MA_HT","DTT","MA_QH","SKS")</f>
        <v>0</v>
      </c>
      <c r="AA36" s="52">
        <f ca="1">+SUM(AB36:AH36,AJ36:AM36)</f>
        <v>0</v>
      </c>
      <c r="AB36" s="50">
        <f ca="1">+GETPIVOTDATA("XXS4",'xuanson (2016)'!$A$3,"MA_HT","DTT","MA_QH","DGT")</f>
        <v>0</v>
      </c>
      <c r="AC36" s="50">
        <f ca="1">+GETPIVOTDATA("XXS4",'xuanson (2016)'!$A$3,"MA_HT","DTT","MA_QH","DTL")</f>
        <v>0</v>
      </c>
      <c r="AD36" s="50">
        <f ca="1">+GETPIVOTDATA("XXS4",'xuanson (2016)'!$A$3,"MA_HT","DTT","MA_QH","DNL")</f>
        <v>0</v>
      </c>
      <c r="AE36" s="50">
        <f ca="1">+GETPIVOTDATA("XXS4",'xuanson (2016)'!$A$3,"MA_HT","DTT","MA_QH","DBV")</f>
        <v>0</v>
      </c>
      <c r="AF36" s="50">
        <f ca="1">+GETPIVOTDATA("XXS4",'xuanson (2016)'!$A$3,"MA_HT","DTT","MA_QH","DVH")</f>
        <v>0</v>
      </c>
      <c r="AG36" s="50">
        <f ca="1">+GETPIVOTDATA("XXS4",'xuanson (2016)'!$A$3,"MA_HT","DTT","MA_QH","DYT")</f>
        <v>0</v>
      </c>
      <c r="AH36" s="50">
        <f ca="1">+GETPIVOTDATA("XXS4",'xuanson (2016)'!$A$3,"MA_HT","DTT","MA_QH","DGD")</f>
        <v>0</v>
      </c>
      <c r="AI36" s="49" t="e">
        <f ca="1">$D36-$BF36</f>
        <v>#REF!</v>
      </c>
      <c r="AJ36" s="50">
        <f ca="1">+GETPIVOTDATA("XXS4",'xuanson (2016)'!$A$3,"MA_HT","DTT","MA_QH","NCK")</f>
        <v>0</v>
      </c>
      <c r="AK36" s="50">
        <f ca="1">+GETPIVOTDATA("XXS4",'xuanson (2016)'!$A$3,"MA_HT","DTT","MA_QH","DXH")</f>
        <v>0</v>
      </c>
      <c r="AL36" s="50">
        <f ca="1">+GETPIVOTDATA("XXS4",'xuanson (2016)'!$A$3,"MA_HT","DTT","MA_QH","DCH")</f>
        <v>0</v>
      </c>
      <c r="AM36" s="50">
        <f ca="1">+GETPIVOTDATA("XXS4",'xuanson (2016)'!$A$3,"MA_HT","DTT","MA_QH","DKG")</f>
        <v>0</v>
      </c>
      <c r="AN36" s="50">
        <f ca="1">+GETPIVOTDATA("XXS4",'xuanson (2016)'!$A$3,"MA_HT","DTT","MA_QH","DDT")</f>
        <v>0</v>
      </c>
      <c r="AO36" s="50">
        <f ca="1">+GETPIVOTDATA("XXS4",'xuanson (2016)'!$A$3,"MA_HT","DTT","MA_QH","DDL")</f>
        <v>0</v>
      </c>
      <c r="AP36" s="50">
        <f ca="1">+GETPIVOTDATA("XXS4",'xuanson (2016)'!$A$3,"MA_HT","DTT","MA_QH","DRA")</f>
        <v>0</v>
      </c>
      <c r="AQ36" s="50">
        <f ca="1">+GETPIVOTDATA("XXS4",'xuanson (2016)'!$A$3,"MA_HT","DTT","MA_QH","ONT")</f>
        <v>0</v>
      </c>
      <c r="AR36" s="50">
        <f ca="1">+GETPIVOTDATA("XXS4",'xuanson (2016)'!$A$3,"MA_HT","DTT","MA_QH","ODT")</f>
        <v>0</v>
      </c>
      <c r="AS36" s="50">
        <f ca="1">+GETPIVOTDATA("XXS4",'xuanson (2016)'!$A$3,"MA_HT","DTT","MA_QH","TSC")</f>
        <v>0</v>
      </c>
      <c r="AT36" s="50">
        <f ca="1">+GETPIVOTDATA("XXS4",'xuanson (2016)'!$A$3,"MA_HT","DTT","MA_QH","DTS")</f>
        <v>0</v>
      </c>
      <c r="AU36" s="50">
        <f ca="1">+GETPIVOTDATA("XXS4",'xuanson (2016)'!$A$3,"MA_HT","DTT","MA_QH","DNG")</f>
        <v>0</v>
      </c>
      <c r="AV36" s="50">
        <f ca="1">+GETPIVOTDATA("XXS4",'xuanson (2016)'!$A$3,"MA_HT","DTT","MA_QH","TON")</f>
        <v>0</v>
      </c>
      <c r="AW36" s="50">
        <f ca="1">+GETPIVOTDATA("XXS4",'xuanson (2016)'!$A$3,"MA_HT","DTT","MA_QH","NTD")</f>
        <v>0</v>
      </c>
      <c r="AX36" s="50">
        <f ca="1">+GETPIVOTDATA("XXS4",'xuanson (2016)'!$A$3,"MA_HT","DTT","MA_QH","SKX")</f>
        <v>0</v>
      </c>
      <c r="AY36" s="50">
        <f ca="1">+GETPIVOTDATA("XXS4",'xuanson (2016)'!$A$3,"MA_HT","DTT","MA_QH","DSH")</f>
        <v>0</v>
      </c>
      <c r="AZ36" s="50">
        <f ca="1">+GETPIVOTDATA("XXS4",'xuanson (2016)'!$A$3,"MA_HT","DTT","MA_QH","DKV")</f>
        <v>0</v>
      </c>
      <c r="BA36" s="88">
        <f ca="1">+GETPIVOTDATA("XXS4",'xuanson (2016)'!$A$3,"MA_HT","DTT","MA_QH","TIN")</f>
        <v>0</v>
      </c>
      <c r="BB36" s="50">
        <f ca="1">+GETPIVOTDATA("XXS4",'xuanson (2016)'!$A$3,"MA_HT","DTT","MA_QH","SON")</f>
        <v>0</v>
      </c>
      <c r="BC36" s="50">
        <f ca="1">+GETPIVOTDATA("XXS4",'xuanson (2016)'!$A$3,"MA_HT","DTT","MA_QH","MNC")</f>
        <v>0</v>
      </c>
      <c r="BD36" s="50">
        <f ca="1">+GETPIVOTDATA("XXS4",'xuanson (2016)'!$A$3,"MA_HT","DTT","MA_QH","PNK")</f>
        <v>0</v>
      </c>
      <c r="BE36" s="80">
        <f ca="1">+GETPIVOTDATA("XXS4",'xuanson (2016)'!$A$3,"MA_HT","DTT","MA_QH","CSD")</f>
        <v>0</v>
      </c>
      <c r="BF36" s="103">
        <f ca="1" t="shared" si="13"/>
        <v>0</v>
      </c>
      <c r="BG36" s="104">
        <f ca="1">AI$59-$BF36</f>
        <v>0</v>
      </c>
      <c r="BH36" s="47" t="e">
        <f ca="1" t="shared" si="14"/>
        <v>#REF!</v>
      </c>
      <c r="BI36" s="105"/>
      <c r="BJ36" s="105" t="e">
        <f>#REF!</f>
        <v>#REF!</v>
      </c>
      <c r="BK36" s="108" t="e">
        <f ca="1" t="shared" si="19"/>
        <v>#REF!</v>
      </c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</row>
    <row r="37" s="4" customFormat="1" ht="16.5" customHeight="1" spans="1:79">
      <c r="A37" s="45" t="s">
        <v>8392</v>
      </c>
      <c r="B37" s="45" t="s">
        <v>8393</v>
      </c>
      <c r="C37" s="46" t="s">
        <v>8302</v>
      </c>
      <c r="D37" s="47" t="e">
        <f>+#REF!</f>
        <v>#REF!</v>
      </c>
      <c r="E37" s="42">
        <f ca="1" t="shared" si="15"/>
        <v>0</v>
      </c>
      <c r="F37" s="52">
        <f ca="1" t="shared" si="9"/>
        <v>0</v>
      </c>
      <c r="G37" s="50">
        <f ca="1">+GETPIVOTDATA("XXS4",'xuanson (2016)'!$A$3,"MA_HT","NCK","MA_QH","LUC")</f>
        <v>0</v>
      </c>
      <c r="H37" s="50">
        <f ca="1">+GETPIVOTDATA("XXS4",'xuanson (2016)'!$A$3,"MA_HT","NCK","MA_QH","LUK")</f>
        <v>0</v>
      </c>
      <c r="I37" s="50">
        <f ca="1">+GETPIVOTDATA("XXS4",'xuanson (2016)'!$A$3,"MA_HT","NCK","MA_QH","LUN")</f>
        <v>0</v>
      </c>
      <c r="J37" s="50">
        <f ca="1">+GETPIVOTDATA("XXS4",'xuanson (2016)'!$A$3,"MA_HT","NCK","MA_QH","HNK")</f>
        <v>0</v>
      </c>
      <c r="K37" s="50">
        <f ca="1">+GETPIVOTDATA("XXS4",'xuanson (2016)'!$A$3,"MA_HT","NCK","MA_QH","CLN")</f>
        <v>0</v>
      </c>
      <c r="L37" s="50">
        <f ca="1">+GETPIVOTDATA("XXS4",'xuanson (2016)'!$A$3,"MA_HT","NCK","MA_QH","RSX")</f>
        <v>0</v>
      </c>
      <c r="M37" s="50">
        <f ca="1">+GETPIVOTDATA("XXS4",'xuanson (2016)'!$A$3,"MA_HT","NCK","MA_QH","RPH")</f>
        <v>0</v>
      </c>
      <c r="N37" s="50">
        <f ca="1">+GETPIVOTDATA("XXS4",'xuanson (2016)'!$A$3,"MA_HT","NCK","MA_QH","RDD")</f>
        <v>0</v>
      </c>
      <c r="O37" s="50">
        <f ca="1">+GETPIVOTDATA("XXS4",'xuanson (2016)'!$A$3,"MA_HT","NCK","MA_QH","NTS")</f>
        <v>0</v>
      </c>
      <c r="P37" s="50">
        <f ca="1">+GETPIVOTDATA("XXS4",'xuanson (2016)'!$A$3,"MA_HT","NCK","MA_QH","LMU")</f>
        <v>0</v>
      </c>
      <c r="Q37" s="50">
        <f ca="1">+GETPIVOTDATA("XXS4",'xuanson (2016)'!$A$3,"MA_HT","NCK","MA_QH","NKH")</f>
        <v>0</v>
      </c>
      <c r="R37" s="48">
        <f ca="1" t="shared" si="20"/>
        <v>0</v>
      </c>
      <c r="S37" s="50">
        <f ca="1">+GETPIVOTDATA("XXS4",'xuanson (2016)'!$A$3,"MA_HT","NCK","MA_QH","CQP")</f>
        <v>0</v>
      </c>
      <c r="T37" s="50">
        <f ca="1">+GETPIVOTDATA("XXS4",'xuanson (2016)'!$A$3,"MA_HT","NCK","MA_QH","CAN")</f>
        <v>0</v>
      </c>
      <c r="U37" s="50">
        <f ca="1">+GETPIVOTDATA("XXS4",'xuanson (2016)'!$A$3,"MA_HT","NCK","MA_QH","SKK")</f>
        <v>0</v>
      </c>
      <c r="V37" s="50">
        <f ca="1">+GETPIVOTDATA("XXS4",'xuanson (2016)'!$A$3,"MA_HT","NCK","MA_QH","SKT")</f>
        <v>0</v>
      </c>
      <c r="W37" s="50">
        <f ca="1">+GETPIVOTDATA("XXS4",'xuanson (2016)'!$A$3,"MA_HT","NCK","MA_QH","SKN")</f>
        <v>0</v>
      </c>
      <c r="X37" s="50">
        <f ca="1">+GETPIVOTDATA("XXS4",'xuanson (2016)'!$A$3,"MA_HT","NCK","MA_QH","TMD")</f>
        <v>0</v>
      </c>
      <c r="Y37" s="50">
        <f ca="1">+GETPIVOTDATA("XXS4",'xuanson (2016)'!$A$3,"MA_HT","NCK","MA_QH","SKC")</f>
        <v>0</v>
      </c>
      <c r="Z37" s="50">
        <f ca="1">+GETPIVOTDATA("XXS4",'xuanson (2016)'!$A$3,"MA_HT","NCK","MA_QH","SKS")</f>
        <v>0</v>
      </c>
      <c r="AA37" s="52">
        <f ca="1">+SUM(AB37:AI37,AK37:AM37)</f>
        <v>0</v>
      </c>
      <c r="AB37" s="50">
        <f ca="1">+GETPIVOTDATA("XXS4",'xuanson (2016)'!$A$3,"MA_HT","NCK","MA_QH","DGT")</f>
        <v>0</v>
      </c>
      <c r="AC37" s="50">
        <f ca="1">+GETPIVOTDATA("XXS4",'xuanson (2016)'!$A$3,"MA_HT","NCK","MA_QH","DTL")</f>
        <v>0</v>
      </c>
      <c r="AD37" s="50">
        <f ca="1">+GETPIVOTDATA("XXS4",'xuanson (2016)'!$A$3,"MA_HT","NCK","MA_QH","DNL")</f>
        <v>0</v>
      </c>
      <c r="AE37" s="50">
        <f ca="1">+GETPIVOTDATA("XXS4",'xuanson (2016)'!$A$3,"MA_HT","NCK","MA_QH","DBV")</f>
        <v>0</v>
      </c>
      <c r="AF37" s="50">
        <f ca="1">+GETPIVOTDATA("XXS4",'xuanson (2016)'!$A$3,"MA_HT","NCK","MA_QH","DVH")</f>
        <v>0</v>
      </c>
      <c r="AG37" s="50">
        <f ca="1">+GETPIVOTDATA("XXS4",'xuanson (2016)'!$A$3,"MA_HT","NCK","MA_QH","DYT")</f>
        <v>0</v>
      </c>
      <c r="AH37" s="50">
        <f ca="1">+GETPIVOTDATA("XXS4",'xuanson (2016)'!$A$3,"MA_HT","NCK","MA_QH","DGD")</f>
        <v>0</v>
      </c>
      <c r="AI37" s="50">
        <f ca="1">+GETPIVOTDATA("XXS4",'xuanson (2016)'!$A$3,"MA_HT","NCK","MA_QH","DTT")</f>
        <v>0</v>
      </c>
      <c r="AJ37" s="49" t="e">
        <f ca="1">$D37-$BF37</f>
        <v>#REF!</v>
      </c>
      <c r="AK37" s="50">
        <f ca="1">+GETPIVOTDATA("XXS4",'xuanson (2016)'!$A$3,"MA_HT","NCK","MA_QH","DXH")</f>
        <v>0</v>
      </c>
      <c r="AL37" s="50">
        <f ca="1">+GETPIVOTDATA("XXS4",'xuanson (2016)'!$A$3,"MA_HT","NCK","MA_QH","DCH")</f>
        <v>0</v>
      </c>
      <c r="AM37" s="50">
        <f ca="1">+GETPIVOTDATA("XXS4",'xuanson (2016)'!$A$3,"MA_HT","NCK","MA_QH","DKG")</f>
        <v>0</v>
      </c>
      <c r="AN37" s="50">
        <f ca="1">+GETPIVOTDATA("XXS4",'xuanson (2016)'!$A$3,"MA_HT","NCK","MA_QH","DDT")</f>
        <v>0</v>
      </c>
      <c r="AO37" s="50">
        <f ca="1">+GETPIVOTDATA("XXS4",'xuanson (2016)'!$A$3,"MA_HT","NCK","MA_QH","DDL")</f>
        <v>0</v>
      </c>
      <c r="AP37" s="50">
        <f ca="1">+GETPIVOTDATA("XXS4",'xuanson (2016)'!$A$3,"MA_HT","NCK","MA_QH","DRA")</f>
        <v>0</v>
      </c>
      <c r="AQ37" s="50">
        <f ca="1">+GETPIVOTDATA("XXS4",'xuanson (2016)'!$A$3,"MA_HT","NCK","MA_QH","ONT")</f>
        <v>0</v>
      </c>
      <c r="AR37" s="50">
        <f ca="1">+GETPIVOTDATA("XXS4",'xuanson (2016)'!$A$3,"MA_HT","NCK","MA_QH","ODT")</f>
        <v>0</v>
      </c>
      <c r="AS37" s="50">
        <f ca="1">+GETPIVOTDATA("XXS4",'xuanson (2016)'!$A$3,"MA_HT","NCK","MA_QH","TSC")</f>
        <v>0</v>
      </c>
      <c r="AT37" s="50">
        <f ca="1">+GETPIVOTDATA("XXS4",'xuanson (2016)'!$A$3,"MA_HT","NCK","MA_QH","DTS")</f>
        <v>0</v>
      </c>
      <c r="AU37" s="50">
        <f ca="1">+GETPIVOTDATA("XXS4",'xuanson (2016)'!$A$3,"MA_HT","NCK","MA_QH","DNG")</f>
        <v>0</v>
      </c>
      <c r="AV37" s="50">
        <f ca="1">+GETPIVOTDATA("XXS4",'xuanson (2016)'!$A$3,"MA_HT","NCK","MA_QH","TON")</f>
        <v>0</v>
      </c>
      <c r="AW37" s="50">
        <f ca="1">+GETPIVOTDATA("XXS4",'xuanson (2016)'!$A$3,"MA_HT","NCK","MA_QH","NTD")</f>
        <v>0</v>
      </c>
      <c r="AX37" s="50">
        <f ca="1">+GETPIVOTDATA("XXS4",'xuanson (2016)'!$A$3,"MA_HT","NCK","MA_QH","SKX")</f>
        <v>0</v>
      </c>
      <c r="AY37" s="50">
        <f ca="1">+GETPIVOTDATA("XXS4",'xuanson (2016)'!$A$3,"MA_HT","NCK","MA_QH","DSH")</f>
        <v>0</v>
      </c>
      <c r="AZ37" s="50">
        <f ca="1">+GETPIVOTDATA("XXS4",'xuanson (2016)'!$A$3,"MA_HT","NCK","MA_QH","DKV")</f>
        <v>0</v>
      </c>
      <c r="BA37" s="88">
        <f ca="1">+GETPIVOTDATA("XXS4",'xuanson (2016)'!$A$3,"MA_HT","NCK","MA_QH","TIN")</f>
        <v>0</v>
      </c>
      <c r="BB37" s="50">
        <f ca="1">+GETPIVOTDATA("XXS4",'xuanson (2016)'!$A$3,"MA_HT","NCK","MA_QH","SON")</f>
        <v>0</v>
      </c>
      <c r="BC37" s="50">
        <f ca="1">+GETPIVOTDATA("XXS4",'xuanson (2016)'!$A$3,"MA_HT","NCK","MA_QH","MNC")</f>
        <v>0</v>
      </c>
      <c r="BD37" s="50">
        <f ca="1">+GETPIVOTDATA("XXS4",'xuanson (2016)'!$A$3,"MA_HT","NCK","MA_QH","PNK")</f>
        <v>0</v>
      </c>
      <c r="BE37" s="80">
        <f ca="1">+GETPIVOTDATA("XXS4",'xuanson (2016)'!$A$3,"MA_HT","NCK","MA_QH","CSD")</f>
        <v>0</v>
      </c>
      <c r="BF37" s="103">
        <f ca="1" t="shared" si="13"/>
        <v>0</v>
      </c>
      <c r="BG37" s="104">
        <f ca="1">AJ$59-$BF37</f>
        <v>0</v>
      </c>
      <c r="BH37" s="47" t="e">
        <f ca="1" t="shared" si="14"/>
        <v>#REF!</v>
      </c>
      <c r="BI37" s="105"/>
      <c r="BJ37" s="105" t="e">
        <f>#REF!</f>
        <v>#REF!</v>
      </c>
      <c r="BK37" s="108" t="e">
        <f ca="1" t="shared" si="19"/>
        <v>#REF!</v>
      </c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</row>
    <row r="38" s="4" customFormat="1" ht="16.5" customHeight="1" spans="1:79">
      <c r="A38" s="45" t="s">
        <v>8394</v>
      </c>
      <c r="B38" s="45" t="s">
        <v>8395</v>
      </c>
      <c r="C38" s="46" t="s">
        <v>8295</v>
      </c>
      <c r="D38" s="47" t="e">
        <f>+#REF!</f>
        <v>#REF!</v>
      </c>
      <c r="E38" s="42">
        <f ca="1" t="shared" si="15"/>
        <v>0</v>
      </c>
      <c r="F38" s="52">
        <f ca="1" t="shared" si="9"/>
        <v>0</v>
      </c>
      <c r="G38" s="50">
        <f ca="1">+GETPIVOTDATA("XXS4",'xuanson (2016)'!$A$3,"MA_HT","DXH","MA_QH","LUC")</f>
        <v>0</v>
      </c>
      <c r="H38" s="50">
        <f ca="1">+GETPIVOTDATA("XXS4",'xuanson (2016)'!$A$3,"MA_HT","DXH","MA_QH","LUK")</f>
        <v>0</v>
      </c>
      <c r="I38" s="50">
        <f ca="1">+GETPIVOTDATA("XXS4",'xuanson (2016)'!$A$3,"MA_HT","DXH","MA_QH","LUN")</f>
        <v>0</v>
      </c>
      <c r="J38" s="50">
        <f ca="1">+GETPIVOTDATA("XXS4",'xuanson (2016)'!$A$3,"MA_HT","DXH","MA_QH","HNK")</f>
        <v>0</v>
      </c>
      <c r="K38" s="50">
        <f ca="1">+GETPIVOTDATA("XXS4",'xuanson (2016)'!$A$3,"MA_HT","DXH","MA_QH","CLN")</f>
        <v>0</v>
      </c>
      <c r="L38" s="50">
        <f ca="1">+GETPIVOTDATA("XXS4",'xuanson (2016)'!$A$3,"MA_HT","DXH","MA_QH","RSX")</f>
        <v>0</v>
      </c>
      <c r="M38" s="50">
        <f ca="1">+GETPIVOTDATA("XXS4",'xuanson (2016)'!$A$3,"MA_HT","DXH","MA_QH","RPH")</f>
        <v>0</v>
      </c>
      <c r="N38" s="50">
        <f ca="1">+GETPIVOTDATA("XXS4",'xuanson (2016)'!$A$3,"MA_HT","DXH","MA_QH","RDD")</f>
        <v>0</v>
      </c>
      <c r="O38" s="50">
        <f ca="1">+GETPIVOTDATA("XXS4",'xuanson (2016)'!$A$3,"MA_HT","DXH","MA_QH","NTS")</f>
        <v>0</v>
      </c>
      <c r="P38" s="50">
        <f ca="1">+GETPIVOTDATA("XXS4",'xuanson (2016)'!$A$3,"MA_HT","DXH","MA_QH","LMU")</f>
        <v>0</v>
      </c>
      <c r="Q38" s="50">
        <f ca="1">+GETPIVOTDATA("XXS4",'xuanson (2016)'!$A$3,"MA_HT","DXH","MA_QH","NKH")</f>
        <v>0</v>
      </c>
      <c r="R38" s="48">
        <f ca="1" t="shared" si="20"/>
        <v>0</v>
      </c>
      <c r="S38" s="50">
        <f ca="1">+GETPIVOTDATA("XXS4",'xuanson (2016)'!$A$3,"MA_HT","DXH","MA_QH","CQP")</f>
        <v>0</v>
      </c>
      <c r="T38" s="50">
        <f ca="1">+GETPIVOTDATA("XXS4",'xuanson (2016)'!$A$3,"MA_HT","DXH","MA_QH","CAN")</f>
        <v>0</v>
      </c>
      <c r="U38" s="50">
        <f ca="1">+GETPIVOTDATA("XXS4",'xuanson (2016)'!$A$3,"MA_HT","DXH","MA_QH","SKK")</f>
        <v>0</v>
      </c>
      <c r="V38" s="50">
        <f ca="1">+GETPIVOTDATA("XXS4",'xuanson (2016)'!$A$3,"MA_HT","DXH","MA_QH","SKT")</f>
        <v>0</v>
      </c>
      <c r="W38" s="50">
        <f ca="1">+GETPIVOTDATA("XXS4",'xuanson (2016)'!$A$3,"MA_HT","DXH","MA_QH","SKN")</f>
        <v>0</v>
      </c>
      <c r="X38" s="50">
        <f ca="1">+GETPIVOTDATA("XXS4",'xuanson (2016)'!$A$3,"MA_HT","DXH","MA_QH","TMD")</f>
        <v>0</v>
      </c>
      <c r="Y38" s="50">
        <f ca="1">+GETPIVOTDATA("XXS4",'xuanson (2016)'!$A$3,"MA_HT","DXH","MA_QH","SKC")</f>
        <v>0</v>
      </c>
      <c r="Z38" s="50">
        <f ca="1">+GETPIVOTDATA("XXS4",'xuanson (2016)'!$A$3,"MA_HT","DXH","MA_QH","SKS")</f>
        <v>0</v>
      </c>
      <c r="AA38" s="52">
        <f ca="1">+SUM(AB38:AJ38,AL38:AM38)</f>
        <v>0</v>
      </c>
      <c r="AB38" s="50">
        <f ca="1">+GETPIVOTDATA("XXS4",'xuanson (2016)'!$A$3,"MA_HT","DXH","MA_QH","DGT")</f>
        <v>0</v>
      </c>
      <c r="AC38" s="50">
        <f ca="1">+GETPIVOTDATA("XXS4",'xuanson (2016)'!$A$3,"MA_HT","DXH","MA_QH","DTL")</f>
        <v>0</v>
      </c>
      <c r="AD38" s="50">
        <f ca="1">+GETPIVOTDATA("XXS4",'xuanson (2016)'!$A$3,"MA_HT","DXH","MA_QH","DNL")</f>
        <v>0</v>
      </c>
      <c r="AE38" s="50">
        <f ca="1">+GETPIVOTDATA("XXS4",'xuanson (2016)'!$A$3,"MA_HT","DXH","MA_QH","DBV")</f>
        <v>0</v>
      </c>
      <c r="AF38" s="50">
        <f ca="1">+GETPIVOTDATA("XXS4",'xuanson (2016)'!$A$3,"MA_HT","DXH","MA_QH","DVH")</f>
        <v>0</v>
      </c>
      <c r="AG38" s="50">
        <f ca="1">+GETPIVOTDATA("XXS4",'xuanson (2016)'!$A$3,"MA_HT","DXH","MA_QH","DYT")</f>
        <v>0</v>
      </c>
      <c r="AH38" s="50">
        <f ca="1">+GETPIVOTDATA("XXS4",'xuanson (2016)'!$A$3,"MA_HT","DXH","MA_QH","DGD")</f>
        <v>0</v>
      </c>
      <c r="AI38" s="50">
        <f ca="1">+GETPIVOTDATA("XXS4",'xuanson (2016)'!$A$3,"MA_HT","DXH","MA_QH","DTT")</f>
        <v>0</v>
      </c>
      <c r="AJ38" s="50">
        <f ca="1">+GETPIVOTDATA("XXS4",'xuanson (2016)'!$A$3,"MA_HT","DXH","MA_QH","NCK")</f>
        <v>0</v>
      </c>
      <c r="AK38" s="49" t="e">
        <f ca="1">$D38-$BF38</f>
        <v>#REF!</v>
      </c>
      <c r="AL38" s="50">
        <f ca="1">+GETPIVOTDATA("XXS4",'xuanson (2016)'!$A$3,"MA_HT","DXH","MA_QH","DCH")</f>
        <v>0</v>
      </c>
      <c r="AM38" s="50">
        <f ca="1">+GETPIVOTDATA("XXS4",'xuanson (2016)'!$A$3,"MA_HT","DXH","MA_QH","DKG")</f>
        <v>0</v>
      </c>
      <c r="AN38" s="50">
        <f ca="1">+GETPIVOTDATA("XXS4",'xuanson (2016)'!$A$3,"MA_HT","DXH","MA_QH","DDT")</f>
        <v>0</v>
      </c>
      <c r="AO38" s="50">
        <f ca="1">+GETPIVOTDATA("XXS4",'xuanson (2016)'!$A$3,"MA_HT","DXH","MA_QH","DDL")</f>
        <v>0</v>
      </c>
      <c r="AP38" s="50">
        <f ca="1">+GETPIVOTDATA("XXS4",'xuanson (2016)'!$A$3,"MA_HT","DXH","MA_QH","DRA")</f>
        <v>0</v>
      </c>
      <c r="AQ38" s="50">
        <f ca="1">+GETPIVOTDATA("XXS4",'xuanson (2016)'!$A$3,"MA_HT","DXH","MA_QH","ONT")</f>
        <v>0</v>
      </c>
      <c r="AR38" s="50">
        <f ca="1">+GETPIVOTDATA("XXS4",'xuanson (2016)'!$A$3,"MA_HT","DXH","MA_QH","ODT")</f>
        <v>0</v>
      </c>
      <c r="AS38" s="50">
        <f ca="1">+GETPIVOTDATA("XXS4",'xuanson (2016)'!$A$3,"MA_HT","DXH","MA_QH","TSC")</f>
        <v>0</v>
      </c>
      <c r="AT38" s="50">
        <f ca="1">+GETPIVOTDATA("XXS4",'xuanson (2016)'!$A$3,"MA_HT","DXH","MA_QH","DTS")</f>
        <v>0</v>
      </c>
      <c r="AU38" s="50">
        <f ca="1">+GETPIVOTDATA("XXS4",'xuanson (2016)'!$A$3,"MA_HT","DXH","MA_QH","DNG")</f>
        <v>0</v>
      </c>
      <c r="AV38" s="50">
        <f ca="1">+GETPIVOTDATA("XXS4",'xuanson (2016)'!$A$3,"MA_HT","DXH","MA_QH","TON")</f>
        <v>0</v>
      </c>
      <c r="AW38" s="50">
        <f ca="1">+GETPIVOTDATA("XXS4",'xuanson (2016)'!$A$3,"MA_HT","DXH","MA_QH","NTD")</f>
        <v>0</v>
      </c>
      <c r="AX38" s="50">
        <f ca="1">+GETPIVOTDATA("XXS4",'xuanson (2016)'!$A$3,"MA_HT","DXH","MA_QH","SKX")</f>
        <v>0</v>
      </c>
      <c r="AY38" s="50">
        <f ca="1">+GETPIVOTDATA("XXS4",'xuanson (2016)'!$A$3,"MA_HT","DXH","MA_QH","DSH")</f>
        <v>0</v>
      </c>
      <c r="AZ38" s="50">
        <f ca="1">+GETPIVOTDATA("XXS4",'xuanson (2016)'!$A$3,"MA_HT","DXH","MA_QH","DKV")</f>
        <v>0</v>
      </c>
      <c r="BA38" s="88">
        <f ca="1">+GETPIVOTDATA("XXS4",'xuanson (2016)'!$A$3,"MA_HT","DXH","MA_QH","TIN")</f>
        <v>0</v>
      </c>
      <c r="BB38" s="50">
        <f ca="1">+GETPIVOTDATA("XXS4",'xuanson (2016)'!$A$3,"MA_HT","DXH","MA_QH","SON")</f>
        <v>0</v>
      </c>
      <c r="BC38" s="50">
        <f ca="1">+GETPIVOTDATA("XXS4",'xuanson (2016)'!$A$3,"MA_HT","DXH","MA_QH","MNC")</f>
        <v>0</v>
      </c>
      <c r="BD38" s="50">
        <f ca="1">+GETPIVOTDATA("XXS4",'xuanson (2016)'!$A$3,"MA_HT","DXH","MA_QH","PNK")</f>
        <v>0</v>
      </c>
      <c r="BE38" s="80">
        <f ca="1">+GETPIVOTDATA("XXS4",'xuanson (2016)'!$A$3,"MA_HT","DXH","MA_QH","CSD")</f>
        <v>0</v>
      </c>
      <c r="BF38" s="103">
        <f ca="1" t="shared" si="13"/>
        <v>0</v>
      </c>
      <c r="BG38" s="104">
        <f ca="1">AK$59-$BF38</f>
        <v>0</v>
      </c>
      <c r="BH38" s="47" t="e">
        <f ca="1" t="shared" si="14"/>
        <v>#REF!</v>
      </c>
      <c r="BI38" s="105"/>
      <c r="BJ38" s="105" t="e">
        <f>#REF!</f>
        <v>#REF!</v>
      </c>
      <c r="BK38" s="108" t="e">
        <f ca="1" t="shared" si="19"/>
        <v>#REF!</v>
      </c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</row>
    <row r="39" s="5" customFormat="1" ht="16.5" customHeight="1" spans="1:79">
      <c r="A39" s="45" t="s">
        <v>8396</v>
      </c>
      <c r="B39" s="45" t="s">
        <v>8397</v>
      </c>
      <c r="C39" s="46" t="s">
        <v>178</v>
      </c>
      <c r="D39" s="47" t="e">
        <f>+#REF!</f>
        <v>#REF!</v>
      </c>
      <c r="E39" s="42">
        <f ca="1" t="shared" si="15"/>
        <v>0</v>
      </c>
      <c r="F39" s="52">
        <f ca="1" t="shared" si="9"/>
        <v>0</v>
      </c>
      <c r="G39" s="50">
        <f ca="1">+GETPIVOTDATA("XXS4",'xuanson (2016)'!$A$3,"MA_HT","DCH","MA_QH","LUC")</f>
        <v>0</v>
      </c>
      <c r="H39" s="50">
        <f ca="1">+GETPIVOTDATA("XXS4",'xuanson (2016)'!$A$3,"MA_HT","DCH","MA_QH","LUK")</f>
        <v>0</v>
      </c>
      <c r="I39" s="50">
        <f ca="1">+GETPIVOTDATA("XXS4",'xuanson (2016)'!$A$3,"MA_HT","DCH","MA_QH","LUN")</f>
        <v>0</v>
      </c>
      <c r="J39" s="50">
        <f ca="1">+GETPIVOTDATA("XXS4",'xuanson (2016)'!$A$3,"MA_HT","DCH","MA_QH","HNK")</f>
        <v>0</v>
      </c>
      <c r="K39" s="50">
        <f ca="1">+GETPIVOTDATA("XXS4",'xuanson (2016)'!$A$3,"MA_HT","DCH","MA_QH","CLN")</f>
        <v>0</v>
      </c>
      <c r="L39" s="50">
        <f ca="1">+GETPIVOTDATA("XXS4",'xuanson (2016)'!$A$3,"MA_HT","DCH","MA_QH","RSX")</f>
        <v>0</v>
      </c>
      <c r="M39" s="50">
        <f ca="1">+GETPIVOTDATA("XXS4",'xuanson (2016)'!$A$3,"MA_HT","DCH","MA_QH","RPH")</f>
        <v>0</v>
      </c>
      <c r="N39" s="50">
        <f ca="1">+GETPIVOTDATA("XXS4",'xuanson (2016)'!$A$3,"MA_HT","DCH","MA_QH","RDD")</f>
        <v>0</v>
      </c>
      <c r="O39" s="50">
        <f ca="1">+GETPIVOTDATA("XXS4",'xuanson (2016)'!$A$3,"MA_HT","DCH","MA_QH","NTS")</f>
        <v>0</v>
      </c>
      <c r="P39" s="50">
        <f ca="1">+GETPIVOTDATA("XXS4",'xuanson (2016)'!$A$3,"MA_HT","DCH","MA_QH","LMU")</f>
        <v>0</v>
      </c>
      <c r="Q39" s="50">
        <f ca="1">+GETPIVOTDATA("XXS4",'xuanson (2016)'!$A$3,"MA_HT","DCH","MA_QH","NKH")</f>
        <v>0</v>
      </c>
      <c r="R39" s="48">
        <f ca="1" t="shared" si="20"/>
        <v>0</v>
      </c>
      <c r="S39" s="50">
        <f ca="1">+GETPIVOTDATA("XXS4",'xuanson (2016)'!$A$3,"MA_HT","DCH","MA_QH","CQP")</f>
        <v>0</v>
      </c>
      <c r="T39" s="50">
        <f ca="1">+GETPIVOTDATA("XXS4",'xuanson (2016)'!$A$3,"MA_HT","DCH","MA_QH","CAN")</f>
        <v>0</v>
      </c>
      <c r="U39" s="50">
        <f ca="1">+GETPIVOTDATA("XXS4",'xuanson (2016)'!$A$3,"MA_HT","DCH","MA_QH","SKK")</f>
        <v>0</v>
      </c>
      <c r="V39" s="50">
        <f ca="1">+GETPIVOTDATA("XXS4",'xuanson (2016)'!$A$3,"MA_HT","DCH","MA_QH","SKT")</f>
        <v>0</v>
      </c>
      <c r="W39" s="50">
        <f ca="1">+GETPIVOTDATA("XXS4",'xuanson (2016)'!$A$3,"MA_HT","DCH","MA_QH","SKN")</f>
        <v>0</v>
      </c>
      <c r="X39" s="50">
        <f ca="1">+GETPIVOTDATA("XXS4",'xuanson (2016)'!$A$3,"MA_HT","DCH","MA_QH","TMD")</f>
        <v>0</v>
      </c>
      <c r="Y39" s="50">
        <f ca="1">+GETPIVOTDATA("XXS4",'xuanson (2016)'!$A$3,"MA_HT","DCH","MA_QH","SKC")</f>
        <v>0</v>
      </c>
      <c r="Z39" s="50">
        <f ca="1">+GETPIVOTDATA("XXS4",'xuanson (2016)'!$A$3,"MA_HT","DCH","MA_QH","SKS")</f>
        <v>0</v>
      </c>
      <c r="AA39" s="52">
        <f ca="1">+SUM(AB39:AK39,AM39)</f>
        <v>0</v>
      </c>
      <c r="AB39" s="50">
        <f ca="1">+GETPIVOTDATA("XXS4",'xuanson (2016)'!$A$3,"MA_HT","DCH","MA_QH","DGT")</f>
        <v>0</v>
      </c>
      <c r="AC39" s="50">
        <f ca="1">+GETPIVOTDATA("XXS4",'xuanson (2016)'!$A$3,"MA_HT","DCH","MA_QH","DTL")</f>
        <v>0</v>
      </c>
      <c r="AD39" s="50">
        <f ca="1">+GETPIVOTDATA("XXS4",'xuanson (2016)'!$A$3,"MA_HT","DCH","MA_QH","DNL")</f>
        <v>0</v>
      </c>
      <c r="AE39" s="50">
        <f ca="1">+GETPIVOTDATA("XXS4",'xuanson (2016)'!$A$3,"MA_HT","DCH","MA_QH","DBV")</f>
        <v>0</v>
      </c>
      <c r="AF39" s="50">
        <f ca="1">+GETPIVOTDATA("XXS4",'xuanson (2016)'!$A$3,"MA_HT","DCH","MA_QH","DVH")</f>
        <v>0</v>
      </c>
      <c r="AG39" s="50">
        <f ca="1">+GETPIVOTDATA("XXS4",'xuanson (2016)'!$A$3,"MA_HT","DCH","MA_QH","DYT")</f>
        <v>0</v>
      </c>
      <c r="AH39" s="50">
        <f ca="1">+GETPIVOTDATA("XXS4",'xuanson (2016)'!$A$3,"MA_HT","DCH","MA_QH","DGD")</f>
        <v>0</v>
      </c>
      <c r="AI39" s="50">
        <f ca="1">+GETPIVOTDATA("XXS4",'xuanson (2016)'!$A$3,"MA_HT","DCH","MA_QH","DTT")</f>
        <v>0</v>
      </c>
      <c r="AJ39" s="50">
        <f ca="1">+GETPIVOTDATA("XXS4",'xuanson (2016)'!$A$3,"MA_HT","DCH","MA_QH","NCK")</f>
        <v>0</v>
      </c>
      <c r="AK39" s="50">
        <f ca="1">+GETPIVOTDATA("XXS4",'xuanson (2016)'!$A$3,"MA_HT","DCH","MA_QH","DXH")</f>
        <v>0</v>
      </c>
      <c r="AL39" s="49" t="e">
        <f ca="1">$D39-$BF39</f>
        <v>#REF!</v>
      </c>
      <c r="AM39" s="50">
        <f ca="1">+GETPIVOTDATA("XXS4",'xuanson (2016)'!$A$3,"MA_HT","DXH","MA_QH","DKG")</f>
        <v>0</v>
      </c>
      <c r="AN39" s="50">
        <f ca="1">+GETPIVOTDATA("XXS4",'xuanson (2016)'!$A$3,"MA_HT","DCH","MA_QH","DDT")</f>
        <v>0</v>
      </c>
      <c r="AO39" s="50">
        <f ca="1">+GETPIVOTDATA("XXS4",'xuanson (2016)'!$A$3,"MA_HT","DCH","MA_QH","DDL")</f>
        <v>0</v>
      </c>
      <c r="AP39" s="50">
        <f ca="1">+GETPIVOTDATA("XXS4",'xuanson (2016)'!$A$3,"MA_HT","DCH","MA_QH","DRA")</f>
        <v>0</v>
      </c>
      <c r="AQ39" s="50">
        <f ca="1">+GETPIVOTDATA("XXS4",'xuanson (2016)'!$A$3,"MA_HT","DCH","MA_QH","ONT")</f>
        <v>0</v>
      </c>
      <c r="AR39" s="50">
        <f ca="1">+GETPIVOTDATA("XXS4",'xuanson (2016)'!$A$3,"MA_HT","DCH","MA_QH","ODT")</f>
        <v>0</v>
      </c>
      <c r="AS39" s="50">
        <f ca="1">+GETPIVOTDATA("XXS4",'xuanson (2016)'!$A$3,"MA_HT","DCH","MA_QH","TSC")</f>
        <v>0</v>
      </c>
      <c r="AT39" s="50">
        <f ca="1">+GETPIVOTDATA("XXS4",'xuanson (2016)'!$A$3,"MA_HT","DCH","MA_QH","DTS")</f>
        <v>0</v>
      </c>
      <c r="AU39" s="50">
        <f ca="1">+GETPIVOTDATA("XXS4",'xuanson (2016)'!$A$3,"MA_HT","DCH","MA_QH","DNG")</f>
        <v>0</v>
      </c>
      <c r="AV39" s="50">
        <f ca="1">+GETPIVOTDATA("XXS4",'xuanson (2016)'!$A$3,"MA_HT","DCH","MA_QH","TON")</f>
        <v>0</v>
      </c>
      <c r="AW39" s="50">
        <f ca="1">+GETPIVOTDATA("XXS4",'xuanson (2016)'!$A$3,"MA_HT","DCH","MA_QH","NTD")</f>
        <v>0</v>
      </c>
      <c r="AX39" s="50">
        <f ca="1">+GETPIVOTDATA("XXS4",'xuanson (2016)'!$A$3,"MA_HT","DCH","MA_QH","SKX")</f>
        <v>0</v>
      </c>
      <c r="AY39" s="50">
        <f ca="1">+GETPIVOTDATA("XXS4",'xuanson (2016)'!$A$3,"MA_HT","DCH","MA_QH","DSH")</f>
        <v>0</v>
      </c>
      <c r="AZ39" s="50">
        <f ca="1">+GETPIVOTDATA("XXS4",'xuanson (2016)'!$A$3,"MA_HT","DCH","MA_QH","DKV")</f>
        <v>0</v>
      </c>
      <c r="BA39" s="88">
        <f ca="1">+GETPIVOTDATA("XXS4",'xuanson (2016)'!$A$3,"MA_HT","DCH","MA_QH","TIN")</f>
        <v>0</v>
      </c>
      <c r="BB39" s="50">
        <f ca="1">+GETPIVOTDATA("XXS4",'xuanson (2016)'!$A$3,"MA_HT","DCH","MA_QH","SON")</f>
        <v>0</v>
      </c>
      <c r="BC39" s="50">
        <f ca="1">+GETPIVOTDATA("XXS4",'xuanson (2016)'!$A$3,"MA_HT","DCH","MA_QH","MNC")</f>
        <v>0</v>
      </c>
      <c r="BD39" s="50">
        <f ca="1">+GETPIVOTDATA("XXS4",'xuanson (2016)'!$A$3,"MA_HT","DCH","MA_QH","PNK")</f>
        <v>0</v>
      </c>
      <c r="BE39" s="80">
        <f ca="1">+GETPIVOTDATA("XXS4",'xuanson (2016)'!$A$3,"MA_HT","DCH","MA_QH","CSD")</f>
        <v>0</v>
      </c>
      <c r="BF39" s="103">
        <f ca="1" t="shared" si="13"/>
        <v>0</v>
      </c>
      <c r="BG39" s="104">
        <f ca="1">AL$59-$BF39</f>
        <v>0</v>
      </c>
      <c r="BH39" s="47" t="e">
        <f ca="1" t="shared" si="14"/>
        <v>#REF!</v>
      </c>
      <c r="BI39" s="109"/>
      <c r="BJ39" s="109" t="e">
        <f>#REF!</f>
        <v>#REF!</v>
      </c>
      <c r="BK39" s="110" t="e">
        <f ca="1" t="shared" si="19"/>
        <v>#REF!</v>
      </c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</row>
    <row r="40" s="5" customFormat="1" ht="16.5" customHeight="1" spans="1:79">
      <c r="A40" s="45" t="s">
        <v>8398</v>
      </c>
      <c r="B40" s="45" t="s">
        <v>8399</v>
      </c>
      <c r="C40" s="46" t="s">
        <v>8312</v>
      </c>
      <c r="D40" s="47" t="e">
        <f>+#REF!</f>
        <v>#REF!</v>
      </c>
      <c r="E40" s="42">
        <f ca="1" t="shared" si="15"/>
        <v>0</v>
      </c>
      <c r="F40" s="52">
        <f ca="1" t="shared" si="9"/>
        <v>0</v>
      </c>
      <c r="G40" s="50">
        <f ca="1">+GETPIVOTDATA("XXS4",'xuanson (2016)'!$A$3,"MA_HT","DKG","MA_QH","LUC")</f>
        <v>0</v>
      </c>
      <c r="H40" s="50">
        <f ca="1">+GETPIVOTDATA("XXS4",'xuanson (2016)'!$A$3,"MA_HT","DKG","MA_QH","LUK")</f>
        <v>0</v>
      </c>
      <c r="I40" s="50">
        <f ca="1">+GETPIVOTDATA("XXS4",'xuanson (2016)'!$A$3,"MA_HT","DKG","MA_QH","LUN")</f>
        <v>0</v>
      </c>
      <c r="J40" s="50">
        <f ca="1">+GETPIVOTDATA("XXS4",'xuanson (2016)'!$A$3,"MA_HT","DKG","MA_QH","HNK")</f>
        <v>0</v>
      </c>
      <c r="K40" s="50">
        <f ca="1">+GETPIVOTDATA("XXS4",'xuanson (2016)'!$A$3,"MA_HT","DKG","MA_QH","CLN")</f>
        <v>0</v>
      </c>
      <c r="L40" s="50">
        <f ca="1">+GETPIVOTDATA("XXS4",'xuanson (2016)'!$A$3,"MA_HT","DKG","MA_QH","RSX")</f>
        <v>0</v>
      </c>
      <c r="M40" s="50">
        <f ca="1">+GETPIVOTDATA("XXS4",'xuanson (2016)'!$A$3,"MA_HT","DKG","MA_QH","RPH")</f>
        <v>0</v>
      </c>
      <c r="N40" s="50">
        <f ca="1">+GETPIVOTDATA("XXS4",'xuanson (2016)'!$A$3,"MA_HT","DKG","MA_QH","RDD")</f>
        <v>0</v>
      </c>
      <c r="O40" s="50">
        <f ca="1">+GETPIVOTDATA("XXS4",'xuanson (2016)'!$A$3,"MA_HT","DKG","MA_QH","NTS")</f>
        <v>0</v>
      </c>
      <c r="P40" s="50">
        <f ca="1">+GETPIVOTDATA("XXS4",'xuanson (2016)'!$A$3,"MA_HT","DKG","MA_QH","LMU")</f>
        <v>0</v>
      </c>
      <c r="Q40" s="50">
        <f ca="1">+GETPIVOTDATA("XXS4",'xuanson (2016)'!$A$3,"MA_HT","DKG","MA_QH","NKH")</f>
        <v>0</v>
      </c>
      <c r="R40" s="48">
        <f ca="1" t="shared" si="20"/>
        <v>0</v>
      </c>
      <c r="S40" s="50">
        <f ca="1">+GETPIVOTDATA("XXS4",'xuanson (2016)'!$A$3,"MA_HT","DKG","MA_QH","CQP")</f>
        <v>0</v>
      </c>
      <c r="T40" s="50">
        <f ca="1">+GETPIVOTDATA("XXS4",'xuanson (2016)'!$A$3,"MA_HT","DKG","MA_QH","CAN")</f>
        <v>0</v>
      </c>
      <c r="U40" s="50">
        <f ca="1">+GETPIVOTDATA("XXS4",'xuanson (2016)'!$A$3,"MA_HT","DKG","MA_QH","SKK")</f>
        <v>0</v>
      </c>
      <c r="V40" s="50">
        <f ca="1">+GETPIVOTDATA("XXS4",'xuanson (2016)'!$A$3,"MA_HT","DKG","MA_QH","SKT")</f>
        <v>0</v>
      </c>
      <c r="W40" s="50">
        <f ca="1">+GETPIVOTDATA("XXS4",'xuanson (2016)'!$A$3,"MA_HT","DKG","MA_QH","SKN")</f>
        <v>0</v>
      </c>
      <c r="X40" s="50">
        <f ca="1">+GETPIVOTDATA("XXS4",'xuanson (2016)'!$A$3,"MA_HT","DKG","MA_QH","TMD")</f>
        <v>0</v>
      </c>
      <c r="Y40" s="50">
        <f ca="1">+GETPIVOTDATA("XXS4",'xuanson (2016)'!$A$3,"MA_HT","DKG","MA_QH","SKC")</f>
        <v>0</v>
      </c>
      <c r="Z40" s="50">
        <f ca="1">+GETPIVOTDATA("XXS4",'xuanson (2016)'!$A$3,"MA_HT","DKG","MA_QH","SKS")</f>
        <v>0</v>
      </c>
      <c r="AA40" s="52">
        <f ca="1">+SUM(AB40:AL40)</f>
        <v>0</v>
      </c>
      <c r="AB40" s="50">
        <f ca="1">+GETPIVOTDATA("XXS4",'xuanson (2016)'!$A$3,"MA_HT","DKG","MA_QH","DGT")</f>
        <v>0</v>
      </c>
      <c r="AC40" s="50">
        <f ca="1">+GETPIVOTDATA("XXS4",'xuanson (2016)'!$A$3,"MA_HT","DKG","MA_QH","DTL")</f>
        <v>0</v>
      </c>
      <c r="AD40" s="50">
        <f ca="1">+GETPIVOTDATA("XXS4",'xuanson (2016)'!$A$3,"MA_HT","DKG","MA_QH","DNL")</f>
        <v>0</v>
      </c>
      <c r="AE40" s="50">
        <f ca="1">+GETPIVOTDATA("XXS4",'xuanson (2016)'!$A$3,"MA_HT","DKG","MA_QH","DBV")</f>
        <v>0</v>
      </c>
      <c r="AF40" s="50">
        <f ca="1">+GETPIVOTDATA("XXS4",'xuanson (2016)'!$A$3,"MA_HT","DKG","MA_QH","DVH")</f>
        <v>0</v>
      </c>
      <c r="AG40" s="50">
        <f ca="1">+GETPIVOTDATA("XXS4",'xuanson (2016)'!$A$3,"MA_HT","DKG","MA_QH","DYT")</f>
        <v>0</v>
      </c>
      <c r="AH40" s="50">
        <f ca="1">+GETPIVOTDATA("XXS4",'xuanson (2016)'!$A$3,"MA_HT","DKG","MA_QH","DGD")</f>
        <v>0</v>
      </c>
      <c r="AI40" s="50">
        <f ca="1">+GETPIVOTDATA("XXS4",'xuanson (2016)'!$A$3,"MA_HT","DKG","MA_QH","DTT")</f>
        <v>0</v>
      </c>
      <c r="AJ40" s="50">
        <f ca="1">+GETPIVOTDATA("XXS4",'xuanson (2016)'!$A$3,"MA_HT","DKG","MA_QH","NCK")</f>
        <v>0</v>
      </c>
      <c r="AK40" s="50">
        <f ca="1">+GETPIVOTDATA("XXS4",'xuanson (2016)'!$A$3,"MA_HT","DKG","MA_QH","DXH")</f>
        <v>0</v>
      </c>
      <c r="AL40" s="60">
        <f ca="1">+GETPIVOTDATA("XXS4",'xuanson (2016)'!$A$3,"MA_HT","DDT","MA_QH","DKG")</f>
        <v>0</v>
      </c>
      <c r="AM40" s="49" t="e">
        <f ca="1">$D40-$BF40</f>
        <v>#REF!</v>
      </c>
      <c r="AN40" s="50">
        <f ca="1">+GETPIVOTDATA("XXS4",'xuanson (2016)'!$A$3,"MA_HT","DKG","MA_QH","DDT")</f>
        <v>0</v>
      </c>
      <c r="AO40" s="50">
        <f ca="1">+GETPIVOTDATA("XXS4",'xuanson (2016)'!$A$3,"MA_HT","DKG","MA_QH","DDL")</f>
        <v>0</v>
      </c>
      <c r="AP40" s="50">
        <f ca="1">+GETPIVOTDATA("XXS4",'xuanson (2016)'!$A$3,"MA_HT","DKG","MA_QH","DRA")</f>
        <v>0</v>
      </c>
      <c r="AQ40" s="50">
        <f ca="1">+GETPIVOTDATA("XXS4",'xuanson (2016)'!$A$3,"MA_HT","DKG","MA_QH","ONT")</f>
        <v>0</v>
      </c>
      <c r="AR40" s="50">
        <f ca="1">+GETPIVOTDATA("XXS4",'xuanson (2016)'!$A$3,"MA_HT","DKG","MA_QH","ODT")</f>
        <v>0</v>
      </c>
      <c r="AS40" s="50">
        <f ca="1">+GETPIVOTDATA("XXS4",'xuanson (2016)'!$A$3,"MA_HT","DKG","MA_QH","TSC")</f>
        <v>0</v>
      </c>
      <c r="AT40" s="50">
        <f ca="1">+GETPIVOTDATA("XXS4",'xuanson (2016)'!$A$3,"MA_HT","DKG","MA_QH","DTS")</f>
        <v>0</v>
      </c>
      <c r="AU40" s="50">
        <f ca="1">+GETPIVOTDATA("XXS4",'xuanson (2016)'!$A$3,"MA_HT","DKG","MA_QH","DNG")</f>
        <v>0</v>
      </c>
      <c r="AV40" s="50">
        <f ca="1">+GETPIVOTDATA("XXS4",'xuanson (2016)'!$A$3,"MA_HT","DKG","MA_QH","TON")</f>
        <v>0</v>
      </c>
      <c r="AW40" s="50">
        <f ca="1">+GETPIVOTDATA("XXS4",'xuanson (2016)'!$A$3,"MA_HT","DKG","MA_QH","NTD")</f>
        <v>0</v>
      </c>
      <c r="AX40" s="50">
        <f ca="1">+GETPIVOTDATA("XXS4",'xuanson (2016)'!$A$3,"MA_HT","DKG","MA_QH","SKX")</f>
        <v>0</v>
      </c>
      <c r="AY40" s="50">
        <f ca="1">+GETPIVOTDATA("XXS4",'xuanson (2016)'!$A$3,"MA_HT","DKG","MA_QH","DSH")</f>
        <v>0</v>
      </c>
      <c r="AZ40" s="50">
        <f ca="1">+GETPIVOTDATA("XXS4",'xuanson (2016)'!$A$3,"MA_HT","DKG","MA_QH","DKV")</f>
        <v>0</v>
      </c>
      <c r="BA40" s="88">
        <f ca="1">+GETPIVOTDATA("XXS4",'xuanson (2016)'!$A$3,"MA_HT","DKG","MA_QH","TIN")</f>
        <v>0</v>
      </c>
      <c r="BB40" s="50">
        <f ca="1">+GETPIVOTDATA("XXS4",'xuanson (2016)'!$A$3,"MA_HT","DKG","MA_QH","SON")</f>
        <v>0</v>
      </c>
      <c r="BC40" s="50">
        <f ca="1">+GETPIVOTDATA("XXS4",'xuanson (2016)'!$A$3,"MA_HT","DKG","MA_QH","MNC")</f>
        <v>0</v>
      </c>
      <c r="BD40" s="50">
        <f ca="1">+GETPIVOTDATA("XXS4",'xuanson (2016)'!$A$3,"MA_HT","DKG","MA_QH","PNK")</f>
        <v>0</v>
      </c>
      <c r="BE40" s="80">
        <f ca="1">+GETPIVOTDATA("XXS4",'xuanson (2016)'!$A$3,"MA_HT","DKG","MA_QH","CSD")</f>
        <v>0</v>
      </c>
      <c r="BF40" s="103">
        <f ca="1" t="shared" si="13"/>
        <v>0</v>
      </c>
      <c r="BG40" s="104">
        <f ca="1">AM$59-$BF40</f>
        <v>0</v>
      </c>
      <c r="BH40" s="47" t="e">
        <f ca="1" t="shared" si="14"/>
        <v>#REF!</v>
      </c>
      <c r="BI40" s="109"/>
      <c r="BJ40" s="109" t="e">
        <f>#REF!</f>
        <v>#REF!</v>
      </c>
      <c r="BK40" s="110" t="e">
        <f ca="1" t="shared" si="19"/>
        <v>#REF!</v>
      </c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</row>
    <row r="41" s="6" customFormat="1" ht="15.75" customHeight="1" spans="1:79">
      <c r="A41" s="54" t="s">
        <v>8400</v>
      </c>
      <c r="B41" s="55" t="s">
        <v>8401</v>
      </c>
      <c r="C41" s="56" t="s">
        <v>8287</v>
      </c>
      <c r="D41" s="57" t="e">
        <f>+#REF!</f>
        <v>#REF!</v>
      </c>
      <c r="E41" s="58">
        <f ca="1" t="shared" si="15"/>
        <v>0</v>
      </c>
      <c r="F41" s="59">
        <f ca="1" t="shared" si="9"/>
        <v>0</v>
      </c>
      <c r="G41" s="60">
        <f ca="1">+GETPIVOTDATA("XXS4",'xuanson (2016)'!$A$3,"MA_HT","DDT","MA_QH","LUC")</f>
        <v>0</v>
      </c>
      <c r="H41" s="60">
        <f ca="1">+GETPIVOTDATA("XXS4",'xuanson (2016)'!$A$3,"MA_HT","DDT","MA_QH","LUK")</f>
        <v>0</v>
      </c>
      <c r="I41" s="60">
        <f ca="1">+GETPIVOTDATA("XXS4",'xuanson (2016)'!$A$3,"MA_HT","DDT","MA_QH","LUN")</f>
        <v>0</v>
      </c>
      <c r="J41" s="60">
        <f ca="1">+GETPIVOTDATA("XXS4",'xuanson (2016)'!$A$3,"MA_HT","DDT","MA_QH","HNK")</f>
        <v>0</v>
      </c>
      <c r="K41" s="60">
        <f ca="1">+GETPIVOTDATA("XXS4",'xuanson (2016)'!$A$3,"MA_HT","DDT","MA_QH","CLN")</f>
        <v>0</v>
      </c>
      <c r="L41" s="60">
        <f ca="1">+GETPIVOTDATA("XXS4",'xuanson (2016)'!$A$3,"MA_HT","DDT","MA_QH","RSX")</f>
        <v>0</v>
      </c>
      <c r="M41" s="60">
        <f ca="1">+GETPIVOTDATA("XXS4",'xuanson (2016)'!$A$3,"MA_HT","DDT","MA_QH","RPH")</f>
        <v>0</v>
      </c>
      <c r="N41" s="60">
        <f ca="1">+GETPIVOTDATA("XXS4",'xuanson (2016)'!$A$3,"MA_HT","DDT","MA_QH","RDD")</f>
        <v>0</v>
      </c>
      <c r="O41" s="60">
        <f ca="1">+GETPIVOTDATA("XXS4",'xuanson (2016)'!$A$3,"MA_HT","DDT","MA_QH","NTS")</f>
        <v>0</v>
      </c>
      <c r="P41" s="60">
        <f ca="1">+GETPIVOTDATA("XXS4",'xuanson (2016)'!$A$3,"MA_HT","DDT","MA_QH","LMU")</f>
        <v>0</v>
      </c>
      <c r="Q41" s="60">
        <f ca="1">+GETPIVOTDATA("XXS4",'xuanson (2016)'!$A$3,"MA_HT","DDT","MA_QH","NKH")</f>
        <v>0</v>
      </c>
      <c r="R41" s="78">
        <f ca="1">SUM(S41:AA41,AO41:BD41)</f>
        <v>0</v>
      </c>
      <c r="S41" s="60">
        <f ca="1">+GETPIVOTDATA("XXS4",'xuanson (2016)'!$A$3,"MA_HT","DDT","MA_QH","CQP")</f>
        <v>0</v>
      </c>
      <c r="T41" s="60">
        <f ca="1">+GETPIVOTDATA("XXS4",'xuanson (2016)'!$A$3,"MA_HT","DDT","MA_QH","CAN")</f>
        <v>0</v>
      </c>
      <c r="U41" s="60">
        <f ca="1">+GETPIVOTDATA("XXS4",'xuanson (2016)'!$A$3,"MA_HT","DDT","MA_QH","SKK")</f>
        <v>0</v>
      </c>
      <c r="V41" s="60">
        <f ca="1">+GETPIVOTDATA("XXS4",'xuanson (2016)'!$A$3,"MA_HT","DDT","MA_QH","SKT")</f>
        <v>0</v>
      </c>
      <c r="W41" s="60">
        <f ca="1">+GETPIVOTDATA("XXS4",'xuanson (2016)'!$A$3,"MA_HT","DDT","MA_QH","SKN")</f>
        <v>0</v>
      </c>
      <c r="X41" s="60">
        <f ca="1">+GETPIVOTDATA("XXS4",'xuanson (2016)'!$A$3,"MA_HT","DDT","MA_QH","TMD")</f>
        <v>0</v>
      </c>
      <c r="Y41" s="60">
        <f ca="1">+GETPIVOTDATA("XXS4",'xuanson (2016)'!$A$3,"MA_HT","DDT","MA_QH","SKC")</f>
        <v>0</v>
      </c>
      <c r="Z41" s="60">
        <f ca="1">+GETPIVOTDATA("XXS4",'xuanson (2016)'!$A$3,"MA_HT","DDT","MA_QH","SKS")</f>
        <v>0</v>
      </c>
      <c r="AA41" s="59">
        <f ca="1" t="shared" ref="AA41:AA58" si="21">+SUM(AB41:AM41)</f>
        <v>0</v>
      </c>
      <c r="AB41" s="60">
        <f ca="1">+GETPIVOTDATA("XXS4",'xuanson (2016)'!$A$3,"MA_HT","DDT","MA_QH","DGT")</f>
        <v>0</v>
      </c>
      <c r="AC41" s="60">
        <f ca="1">+GETPIVOTDATA("XXS4",'xuanson (2016)'!$A$3,"MA_HT","DDT","MA_QH","DTL")</f>
        <v>0</v>
      </c>
      <c r="AD41" s="60">
        <f ca="1">+GETPIVOTDATA("XXS4",'xuanson (2016)'!$A$3,"MA_HT","DDT","MA_QH","DNL")</f>
        <v>0</v>
      </c>
      <c r="AE41" s="60">
        <f ca="1">+GETPIVOTDATA("XXS4",'xuanson (2016)'!$A$3,"MA_HT","DDT","MA_QH","DBV")</f>
        <v>0</v>
      </c>
      <c r="AF41" s="60">
        <f ca="1">+GETPIVOTDATA("XXS4",'xuanson (2016)'!$A$3,"MA_HT","DDT","MA_QH","DVH")</f>
        <v>0</v>
      </c>
      <c r="AG41" s="60">
        <f ca="1">+GETPIVOTDATA("XXS4",'xuanson (2016)'!$A$3,"MA_HT","DDT","MA_QH","DYT")</f>
        <v>0</v>
      </c>
      <c r="AH41" s="60">
        <f ca="1">+GETPIVOTDATA("XXS4",'xuanson (2016)'!$A$3,"MA_HT","DDT","MA_QH","DGD")</f>
        <v>0</v>
      </c>
      <c r="AI41" s="60">
        <f ca="1">+GETPIVOTDATA("XXS4",'xuanson (2016)'!$A$3,"MA_HT","DDT","MA_QH","DTT")</f>
        <v>0</v>
      </c>
      <c r="AJ41" s="60">
        <f ca="1">+GETPIVOTDATA("XXS4",'xuanson (2016)'!$A$3,"MA_HT","DDT","MA_QH","NCK")</f>
        <v>0</v>
      </c>
      <c r="AK41" s="60">
        <f ca="1">+GETPIVOTDATA("XXS4",'xuanson (2016)'!$A$3,"MA_HT","DDT","MA_QH","DXH")</f>
        <v>0</v>
      </c>
      <c r="AL41" s="60">
        <f ca="1">+GETPIVOTDATA("XXS4",'xuanson (2016)'!$A$3,"MA_HT","DDT","MA_QH","DCH")</f>
        <v>0</v>
      </c>
      <c r="AM41" s="60">
        <f ca="1">+GETPIVOTDATA("XXS4",'xuanson (2016)'!$A$3,"MA_HT","DDT","MA_QH","DKG")</f>
        <v>0</v>
      </c>
      <c r="AN41" s="81" t="e">
        <f ca="1">$D41-$BF41</f>
        <v>#REF!</v>
      </c>
      <c r="AO41" s="60">
        <f ca="1">+GETPIVOTDATA("XXS4",'xuanson (2016)'!$A$3,"MA_HT","DDT","MA_QH","DDL")</f>
        <v>0</v>
      </c>
      <c r="AP41" s="60">
        <f ca="1">+GETPIVOTDATA("XXS4",'xuanson (2016)'!$A$3,"MA_HT","DDT","MA_QH","DRA")</f>
        <v>0</v>
      </c>
      <c r="AQ41" s="60">
        <f ca="1">+GETPIVOTDATA("XXS4",'xuanson (2016)'!$A$3,"MA_HT","DDT","MA_QH","ONT")</f>
        <v>0</v>
      </c>
      <c r="AR41" s="60">
        <f ca="1">+GETPIVOTDATA("XXS4",'xuanson (2016)'!$A$3,"MA_HT","DDT","MA_QH","ODT")</f>
        <v>0</v>
      </c>
      <c r="AS41" s="60">
        <f ca="1">+GETPIVOTDATA("XXS4",'xuanson (2016)'!$A$3,"MA_HT","DDT","MA_QH","TSC")</f>
        <v>0</v>
      </c>
      <c r="AT41" s="60">
        <f ca="1">+GETPIVOTDATA("XXS4",'xuanson (2016)'!$A$3,"MA_HT","DDT","MA_QH","DTS")</f>
        <v>0</v>
      </c>
      <c r="AU41" s="60">
        <f ca="1">+GETPIVOTDATA("XXS4",'xuanson (2016)'!$A$3,"MA_HT","DDT","MA_QH","DNG")</f>
        <v>0</v>
      </c>
      <c r="AV41" s="60">
        <f ca="1">+GETPIVOTDATA("XXS4",'xuanson (2016)'!$A$3,"MA_HT","DDT","MA_QH","TON")</f>
        <v>0</v>
      </c>
      <c r="AW41" s="60">
        <f ca="1">+GETPIVOTDATA("XXS4",'xuanson (2016)'!$A$3,"MA_HT","DDT","MA_QH","NTD")</f>
        <v>0</v>
      </c>
      <c r="AX41" s="60">
        <f ca="1">+GETPIVOTDATA("XXS4",'xuanson (2016)'!$A$3,"MA_HT","DDT","MA_QH","SKX")</f>
        <v>0</v>
      </c>
      <c r="AY41" s="60">
        <f ca="1">+GETPIVOTDATA("XXS4",'xuanson (2016)'!$A$3,"MA_HT","DDT","MA_QH","DSH")</f>
        <v>0</v>
      </c>
      <c r="AZ41" s="60">
        <f ca="1">+GETPIVOTDATA("XXS4",'xuanson (2016)'!$A$3,"MA_HT","DDT","MA_QH","DKV")</f>
        <v>0</v>
      </c>
      <c r="BA41" s="90">
        <f ca="1">+GETPIVOTDATA("XXS4",'xuanson (2016)'!$A$3,"MA_HT","DDT","MA_QH","TIN")</f>
        <v>0</v>
      </c>
      <c r="BB41" s="91">
        <f ca="1">+GETPIVOTDATA("XXS4",'xuanson (2016)'!$A$3,"MA_HT","DDT","MA_QH","SON")</f>
        <v>0</v>
      </c>
      <c r="BC41" s="91">
        <f ca="1">+GETPIVOTDATA("XXS4",'xuanson (2016)'!$A$3,"MA_HT","DDT","MA_QH","MNC")</f>
        <v>0</v>
      </c>
      <c r="BD41" s="60">
        <f ca="1">+GETPIVOTDATA("XXS4",'xuanson (2016)'!$A$3,"MA_HT","DDT","MA_QH","PNK")</f>
        <v>0</v>
      </c>
      <c r="BE41" s="111">
        <f ca="1">+GETPIVOTDATA("XXS4",'xuanson (2016)'!$A$3,"MA_HT","DDT","MA_QH","CSD")</f>
        <v>0</v>
      </c>
      <c r="BF41" s="112">
        <f ca="1" t="shared" si="13"/>
        <v>0</v>
      </c>
      <c r="BG41" s="113">
        <f ca="1">AN$59-$BF41</f>
        <v>0</v>
      </c>
      <c r="BH41" s="57" t="e">
        <f ca="1" t="shared" si="14"/>
        <v>#REF!</v>
      </c>
      <c r="BI41" s="114"/>
      <c r="BJ41" s="115"/>
      <c r="BK41" s="115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</row>
    <row r="42" s="2" customFormat="1" ht="15.75" customHeight="1" spans="1:79">
      <c r="A42" s="39" t="s">
        <v>8402</v>
      </c>
      <c r="B42" s="53" t="s">
        <v>8403</v>
      </c>
      <c r="C42" s="40" t="s">
        <v>8286</v>
      </c>
      <c r="D42" s="41" t="e">
        <f>+#REF!</f>
        <v>#REF!</v>
      </c>
      <c r="E42" s="42">
        <f ca="1" t="shared" si="15"/>
        <v>0</v>
      </c>
      <c r="F42" s="52">
        <f ca="1" t="shared" si="9"/>
        <v>0</v>
      </c>
      <c r="G42" s="22">
        <f ca="1">+GETPIVOTDATA("XXS4",'xuanson (2016)'!$A$3,"MA_HT","DDL","MA_QH","LUC")</f>
        <v>0</v>
      </c>
      <c r="H42" s="22">
        <f ca="1">+GETPIVOTDATA("XXS4",'xuanson (2016)'!$A$3,"MA_HT","DDL","MA_QH","LUK")</f>
        <v>0</v>
      </c>
      <c r="I42" s="22">
        <f ca="1">+GETPIVOTDATA("XXS4",'xuanson (2016)'!$A$3,"MA_HT","DDL","MA_QH","LUN")</f>
        <v>0</v>
      </c>
      <c r="J42" s="22">
        <f ca="1">+GETPIVOTDATA("XXS4",'xuanson (2016)'!$A$3,"MA_HT","DDL","MA_QH","HNK")</f>
        <v>0</v>
      </c>
      <c r="K42" s="22">
        <f ca="1">+GETPIVOTDATA("XXS4",'xuanson (2016)'!$A$3,"MA_HT","DDL","MA_QH","CLN")</f>
        <v>0</v>
      </c>
      <c r="L42" s="22">
        <f ca="1">+GETPIVOTDATA("XXS4",'xuanson (2016)'!$A$3,"MA_HT","DDL","MA_QH","RSX")</f>
        <v>0</v>
      </c>
      <c r="M42" s="22">
        <f ca="1">+GETPIVOTDATA("XXS4",'xuanson (2016)'!$A$3,"MA_HT","DDL","MA_QH","RPH")</f>
        <v>0</v>
      </c>
      <c r="N42" s="22">
        <f ca="1">+GETPIVOTDATA("XXS4",'xuanson (2016)'!$A$3,"MA_HT","DDL","MA_QH","RDD")</f>
        <v>0</v>
      </c>
      <c r="O42" s="22">
        <f ca="1">+GETPIVOTDATA("XXS4",'xuanson (2016)'!$A$3,"MA_HT","DDL","MA_QH","NTS")</f>
        <v>0</v>
      </c>
      <c r="P42" s="22">
        <f ca="1">+GETPIVOTDATA("XXS4",'xuanson (2016)'!$A$3,"MA_HT","DDL","MA_QH","LMU")</f>
        <v>0</v>
      </c>
      <c r="Q42" s="22">
        <f ca="1">+GETPIVOTDATA("XXS4",'xuanson (2016)'!$A$3,"MA_HT","DDL","MA_QH","NKH")</f>
        <v>0</v>
      </c>
      <c r="R42" s="79">
        <f ca="1">SUM(S42:AA42,AN42,AP42:BD42)</f>
        <v>0</v>
      </c>
      <c r="S42" s="22">
        <f ca="1">+GETPIVOTDATA("XXS4",'xuanson (2016)'!$A$3,"MA_HT","DDL","MA_QH","CQP")</f>
        <v>0</v>
      </c>
      <c r="T42" s="22">
        <f ca="1">+GETPIVOTDATA("XXS4",'xuanson (2016)'!$A$3,"MA_HT","DDL","MA_QH","CAN")</f>
        <v>0</v>
      </c>
      <c r="U42" s="22">
        <f ca="1">+GETPIVOTDATA("XXS4",'xuanson (2016)'!$A$3,"MA_HT","DDL","MA_QH","SKK")</f>
        <v>0</v>
      </c>
      <c r="V42" s="22">
        <f ca="1">+GETPIVOTDATA("XXS4",'xuanson (2016)'!$A$3,"MA_HT","DDL","MA_QH","SKT")</f>
        <v>0</v>
      </c>
      <c r="W42" s="22">
        <f ca="1">+GETPIVOTDATA("XXS4",'xuanson (2016)'!$A$3,"MA_HT","DDL","MA_QH","SKN")</f>
        <v>0</v>
      </c>
      <c r="X42" s="22">
        <f ca="1">+GETPIVOTDATA("XXS4",'xuanson (2016)'!$A$3,"MA_HT","DDL","MA_QH","TMD")</f>
        <v>0</v>
      </c>
      <c r="Y42" s="22">
        <f ca="1">+GETPIVOTDATA("XXS4",'xuanson (2016)'!$A$3,"MA_HT","DDL","MA_QH","SKC")</f>
        <v>0</v>
      </c>
      <c r="Z42" s="22">
        <f ca="1">+GETPIVOTDATA("XXS4",'xuanson (2016)'!$A$3,"MA_HT","DDL","MA_QH","SKS")</f>
        <v>0</v>
      </c>
      <c r="AA42" s="52">
        <f ca="1" t="shared" si="21"/>
        <v>0</v>
      </c>
      <c r="AB42" s="22">
        <f ca="1">+GETPIVOTDATA("XXS4",'xuanson (2016)'!$A$3,"MA_HT","DDL","MA_QH","DGT")</f>
        <v>0</v>
      </c>
      <c r="AC42" s="22">
        <f ca="1">+GETPIVOTDATA("XXS4",'xuanson (2016)'!$A$3,"MA_HT","DDL","MA_QH","DTL")</f>
        <v>0</v>
      </c>
      <c r="AD42" s="22">
        <f ca="1">+GETPIVOTDATA("XXS4",'xuanson (2016)'!$A$3,"MA_HT","DDL","MA_QH","DNL")</f>
        <v>0</v>
      </c>
      <c r="AE42" s="22">
        <f ca="1">+GETPIVOTDATA("XXS4",'xuanson (2016)'!$A$3,"MA_HT","DDL","MA_QH","DBV")</f>
        <v>0</v>
      </c>
      <c r="AF42" s="22">
        <f ca="1">+GETPIVOTDATA("XXS4",'xuanson (2016)'!$A$3,"MA_HT","DDL","MA_QH","DVH")</f>
        <v>0</v>
      </c>
      <c r="AG42" s="22">
        <f ca="1">+GETPIVOTDATA("XXS4",'xuanson (2016)'!$A$3,"MA_HT","DDL","MA_QH","DYT")</f>
        <v>0</v>
      </c>
      <c r="AH42" s="22">
        <f ca="1">+GETPIVOTDATA("XXS4",'xuanson (2016)'!$A$3,"MA_HT","DDL","MA_QH","DGD")</f>
        <v>0</v>
      </c>
      <c r="AI42" s="22">
        <f ca="1">+GETPIVOTDATA("XXS4",'xuanson (2016)'!$A$3,"MA_HT","DDL","MA_QH","DTT")</f>
        <v>0</v>
      </c>
      <c r="AJ42" s="22">
        <f ca="1">+GETPIVOTDATA("XXS4",'xuanson (2016)'!$A$3,"MA_HT","DDL","MA_QH","NCK")</f>
        <v>0</v>
      </c>
      <c r="AK42" s="22">
        <f ca="1">+GETPIVOTDATA("XXS4",'xuanson (2016)'!$A$3,"MA_HT","DDL","MA_QH","DXH")</f>
        <v>0</v>
      </c>
      <c r="AL42" s="22">
        <f ca="1">+GETPIVOTDATA("XXS4",'xuanson (2016)'!$A$3,"MA_HT","DDL","MA_QH","DCH")</f>
        <v>0</v>
      </c>
      <c r="AM42" s="22">
        <f ca="1">+GETPIVOTDATA("XXS4",'xuanson (2016)'!$A$3,"MA_HT","DDL","MA_QH","DKG")</f>
        <v>0</v>
      </c>
      <c r="AN42" s="22">
        <f ca="1">+GETPIVOTDATA("XXS4",'xuanson (2016)'!$A$3,"MA_HT","DDL","MA_QH","DDT")</f>
        <v>0</v>
      </c>
      <c r="AO42" s="43" t="e">
        <f ca="1">$D42-$BF42</f>
        <v>#REF!</v>
      </c>
      <c r="AP42" s="22">
        <f ca="1">+GETPIVOTDATA("XXS4",'xuanson (2016)'!$A$3,"MA_HT","DDL","MA_QH","DRA")</f>
        <v>0</v>
      </c>
      <c r="AQ42" s="22">
        <f ca="1">+GETPIVOTDATA("XXS4",'xuanson (2016)'!$A$3,"MA_HT","DDL","MA_QH","ONT")</f>
        <v>0</v>
      </c>
      <c r="AR42" s="22">
        <f ca="1">+GETPIVOTDATA("XXS4",'xuanson (2016)'!$A$3,"MA_HT","DDL","MA_QH","ODT")</f>
        <v>0</v>
      </c>
      <c r="AS42" s="22">
        <f ca="1">+GETPIVOTDATA("XXS4",'xuanson (2016)'!$A$3,"MA_HT","DDL","MA_QH","TSC")</f>
        <v>0</v>
      </c>
      <c r="AT42" s="22">
        <f ca="1">+GETPIVOTDATA("XXS4",'xuanson (2016)'!$A$3,"MA_HT","DDL","MA_QH","DTS")</f>
        <v>0</v>
      </c>
      <c r="AU42" s="22">
        <f ca="1">+GETPIVOTDATA("XXS4",'xuanson (2016)'!$A$3,"MA_HT","DDL","MA_QH","DNG")</f>
        <v>0</v>
      </c>
      <c r="AV42" s="22">
        <f ca="1">+GETPIVOTDATA("XXS4",'xuanson (2016)'!$A$3,"MA_HT","DDL","MA_QH","TON")</f>
        <v>0</v>
      </c>
      <c r="AW42" s="22">
        <f ca="1">+GETPIVOTDATA("XXS4",'xuanson (2016)'!$A$3,"MA_HT","DDL","MA_QH","NTD")</f>
        <v>0</v>
      </c>
      <c r="AX42" s="22">
        <f ca="1">+GETPIVOTDATA("XXS4",'xuanson (2016)'!$A$3,"MA_HT","DDL","MA_QH","SKX")</f>
        <v>0</v>
      </c>
      <c r="AY42" s="22">
        <f ca="1">+GETPIVOTDATA("XXS4",'xuanson (2016)'!$A$3,"MA_HT","DDL","MA_QH","DSH")</f>
        <v>0</v>
      </c>
      <c r="AZ42" s="22">
        <f ca="1">+GETPIVOTDATA("XXS4",'xuanson (2016)'!$A$3,"MA_HT","DDL","MA_QH","DKV")</f>
        <v>0</v>
      </c>
      <c r="BA42" s="89">
        <f ca="1">+GETPIVOTDATA("XXS4",'xuanson (2016)'!$A$3,"MA_HT","DDL","MA_QH","TIN")</f>
        <v>0</v>
      </c>
      <c r="BB42" s="50">
        <f ca="1">+GETPIVOTDATA("XXS4",'xuanson (2016)'!$A$3,"MA_HT","DDL","MA_QH","SON")</f>
        <v>0</v>
      </c>
      <c r="BC42" s="50">
        <f ca="1">+GETPIVOTDATA("XXS4",'xuanson (2016)'!$A$3,"MA_HT","DDL","MA_QH","MNC")</f>
        <v>0</v>
      </c>
      <c r="BD42" s="22">
        <f ca="1">+GETPIVOTDATA("XXS4",'xuanson (2016)'!$A$3,"MA_HT","DDL","MA_QH","PNK")</f>
        <v>0</v>
      </c>
      <c r="BE42" s="71">
        <f ca="1">+GETPIVOTDATA("XXS4",'xuanson (2016)'!$A$3,"MA_HT","DDL","MA_QH","CSD")</f>
        <v>0</v>
      </c>
      <c r="BF42" s="74">
        <f ca="1" t="shared" si="13"/>
        <v>0</v>
      </c>
      <c r="BG42" s="101">
        <f ca="1">AO$59-$BF42</f>
        <v>0</v>
      </c>
      <c r="BH42" s="41" t="e">
        <f ca="1" t="shared" si="14"/>
        <v>#REF!</v>
      </c>
      <c r="BI42" s="98"/>
      <c r="BJ42" s="107"/>
      <c r="BK42" s="10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</row>
    <row r="43" s="2" customFormat="1" ht="15.75" customHeight="1" spans="1:79">
      <c r="A43" s="39" t="s">
        <v>8404</v>
      </c>
      <c r="B43" s="53" t="s">
        <v>8405</v>
      </c>
      <c r="C43" s="40" t="s">
        <v>8291</v>
      </c>
      <c r="D43" s="41" t="e">
        <f>+#REF!</f>
        <v>#REF!</v>
      </c>
      <c r="E43" s="42">
        <f ca="1" t="shared" si="15"/>
        <v>0</v>
      </c>
      <c r="F43" s="52">
        <f ca="1" t="shared" si="9"/>
        <v>0</v>
      </c>
      <c r="G43" s="22">
        <f ca="1">+GETPIVOTDATA("XXS4",'xuanson (2016)'!$A$3,"MA_HT","DRA","MA_QH","LUC")</f>
        <v>0</v>
      </c>
      <c r="H43" s="22">
        <f ca="1">+GETPIVOTDATA("XXS4",'xuanson (2016)'!$A$3,"MA_HT","DRA","MA_QH","LUK")</f>
        <v>0</v>
      </c>
      <c r="I43" s="22">
        <f ca="1">+GETPIVOTDATA("XXS4",'xuanson (2016)'!$A$3,"MA_HT","DRA","MA_QH","LUN")</f>
        <v>0</v>
      </c>
      <c r="J43" s="22">
        <f ca="1">+GETPIVOTDATA("XXS4",'xuanson (2016)'!$A$3,"MA_HT","DRA","MA_QH","HNK")</f>
        <v>0</v>
      </c>
      <c r="K43" s="22">
        <f ca="1">+GETPIVOTDATA("XXS4",'xuanson (2016)'!$A$3,"MA_HT","DRA","MA_QH","CLN")</f>
        <v>0</v>
      </c>
      <c r="L43" s="22">
        <f ca="1">+GETPIVOTDATA("XXS4",'xuanson (2016)'!$A$3,"MA_HT","DRA","MA_QH","RSX")</f>
        <v>0</v>
      </c>
      <c r="M43" s="22">
        <f ca="1">+GETPIVOTDATA("XXS4",'xuanson (2016)'!$A$3,"MA_HT","DRA","MA_QH","RPH")</f>
        <v>0</v>
      </c>
      <c r="N43" s="22">
        <f ca="1">+GETPIVOTDATA("XXS4",'xuanson (2016)'!$A$3,"MA_HT","DRA","MA_QH","RDD")</f>
        <v>0</v>
      </c>
      <c r="O43" s="22">
        <f ca="1">+GETPIVOTDATA("XXS4",'xuanson (2016)'!$A$3,"MA_HT","DRA","MA_QH","NTS")</f>
        <v>0</v>
      </c>
      <c r="P43" s="22">
        <f ca="1">+GETPIVOTDATA("XXS4",'xuanson (2016)'!$A$3,"MA_HT","DRA","MA_QH","LMU")</f>
        <v>0</v>
      </c>
      <c r="Q43" s="22">
        <f ca="1">+GETPIVOTDATA("XXS4",'xuanson (2016)'!$A$3,"MA_HT","DRA","MA_QH","NKH")</f>
        <v>0</v>
      </c>
      <c r="R43" s="79">
        <f ca="1">SUM(S43:AA43,AN43:AO43,AQ43:BD43)</f>
        <v>0</v>
      </c>
      <c r="S43" s="22">
        <f ca="1">+GETPIVOTDATA("XXS4",'xuanson (2016)'!$A$3,"MA_HT","DRA","MA_QH","CQP")</f>
        <v>0</v>
      </c>
      <c r="T43" s="22">
        <f ca="1">+GETPIVOTDATA("XXS4",'xuanson (2016)'!$A$3,"MA_HT","DRA","MA_QH","CAN")</f>
        <v>0</v>
      </c>
      <c r="U43" s="22">
        <f ca="1">+GETPIVOTDATA("XXS4",'xuanson (2016)'!$A$3,"MA_HT","DRA","MA_QH","SKK")</f>
        <v>0</v>
      </c>
      <c r="V43" s="22">
        <f ca="1">+GETPIVOTDATA("XXS4",'xuanson (2016)'!$A$3,"MA_HT","DRA","MA_QH","SKT")</f>
        <v>0</v>
      </c>
      <c r="W43" s="22">
        <f ca="1">+GETPIVOTDATA("XXS4",'xuanson (2016)'!$A$3,"MA_HT","DRA","MA_QH","SKN")</f>
        <v>0</v>
      </c>
      <c r="X43" s="22">
        <f ca="1">+GETPIVOTDATA("XXS4",'xuanson (2016)'!$A$3,"MA_HT","DRA","MA_QH","TMD")</f>
        <v>0</v>
      </c>
      <c r="Y43" s="22">
        <f ca="1">+GETPIVOTDATA("XXS4",'xuanson (2016)'!$A$3,"MA_HT","DRA","MA_QH","SKC")</f>
        <v>0</v>
      </c>
      <c r="Z43" s="22">
        <f ca="1">+GETPIVOTDATA("XXS4",'xuanson (2016)'!$A$3,"MA_HT","DRA","MA_QH","SKS")</f>
        <v>0</v>
      </c>
      <c r="AA43" s="52">
        <f ca="1" t="shared" si="21"/>
        <v>0</v>
      </c>
      <c r="AB43" s="22">
        <f ca="1">+GETPIVOTDATA("XXS4",'xuanson (2016)'!$A$3,"MA_HT","DRA","MA_QH","DGT")</f>
        <v>0</v>
      </c>
      <c r="AC43" s="22">
        <f ca="1">+GETPIVOTDATA("XXS4",'xuanson (2016)'!$A$3,"MA_HT","DRA","MA_QH","DTL")</f>
        <v>0</v>
      </c>
      <c r="AD43" s="22">
        <f ca="1">+GETPIVOTDATA("XXS4",'xuanson (2016)'!$A$3,"MA_HT","DRA","MA_QH","DNL")</f>
        <v>0</v>
      </c>
      <c r="AE43" s="22">
        <f ca="1">+GETPIVOTDATA("XXS4",'xuanson (2016)'!$A$3,"MA_HT","DRA","MA_QH","DBV")</f>
        <v>0</v>
      </c>
      <c r="AF43" s="22">
        <f ca="1">+GETPIVOTDATA("XXS4",'xuanson (2016)'!$A$3,"MA_HT","DRA","MA_QH","DVH")</f>
        <v>0</v>
      </c>
      <c r="AG43" s="22">
        <f ca="1">+GETPIVOTDATA("XXS4",'xuanson (2016)'!$A$3,"MA_HT","DRA","MA_QH","DYT")</f>
        <v>0</v>
      </c>
      <c r="AH43" s="22">
        <f ca="1">+GETPIVOTDATA("XXS4",'xuanson (2016)'!$A$3,"MA_HT","DRA","MA_QH","DGD")</f>
        <v>0</v>
      </c>
      <c r="AI43" s="22">
        <f ca="1">+GETPIVOTDATA("XXS4",'xuanson (2016)'!$A$3,"MA_HT","DRA","MA_QH","DTT")</f>
        <v>0</v>
      </c>
      <c r="AJ43" s="22">
        <f ca="1">+GETPIVOTDATA("XXS4",'xuanson (2016)'!$A$3,"MA_HT","DRA","MA_QH","NCK")</f>
        <v>0</v>
      </c>
      <c r="AK43" s="22">
        <f ca="1">+GETPIVOTDATA("XXS4",'xuanson (2016)'!$A$3,"MA_HT","DRA","MA_QH","DXH")</f>
        <v>0</v>
      </c>
      <c r="AL43" s="22">
        <f ca="1">+GETPIVOTDATA("XXS4",'xuanson (2016)'!$A$3,"MA_HT","DRA","MA_QH","DCH")</f>
        <v>0</v>
      </c>
      <c r="AM43" s="22">
        <f ca="1">+GETPIVOTDATA("XXS4",'xuanson (2016)'!$A$3,"MA_HT","DRA","MA_QH","DKG")</f>
        <v>0</v>
      </c>
      <c r="AN43" s="22">
        <f ca="1">+GETPIVOTDATA("XXS4",'xuanson (2016)'!$A$3,"MA_HT","DRA","MA_QH","DDT")</f>
        <v>0</v>
      </c>
      <c r="AO43" s="22">
        <f ca="1">+GETPIVOTDATA("XXS4",'xuanson (2016)'!$A$3,"MA_HT","DRA","MA_QH","DDL")</f>
        <v>0</v>
      </c>
      <c r="AP43" s="43" t="e">
        <f ca="1">$D43-$BF43</f>
        <v>#REF!</v>
      </c>
      <c r="AQ43" s="22">
        <f ca="1">+GETPIVOTDATA("XXS4",'xuanson (2016)'!$A$3,"MA_HT","DRA","MA_QH","ONT")</f>
        <v>0</v>
      </c>
      <c r="AR43" s="22">
        <f ca="1">+GETPIVOTDATA("XXS4",'xuanson (2016)'!$A$3,"MA_HT","DRA","MA_QH","ODT")</f>
        <v>0</v>
      </c>
      <c r="AS43" s="22">
        <f ca="1">+GETPIVOTDATA("XXS4",'xuanson (2016)'!$A$3,"MA_HT","DRA","MA_QH","TSC")</f>
        <v>0</v>
      </c>
      <c r="AT43" s="22">
        <f ca="1">+GETPIVOTDATA("XXS4",'xuanson (2016)'!$A$3,"MA_HT","DRA","MA_QH","DTS")</f>
        <v>0</v>
      </c>
      <c r="AU43" s="22">
        <f ca="1">+GETPIVOTDATA("XXS4",'xuanson (2016)'!$A$3,"MA_HT","DRA","MA_QH","DNG")</f>
        <v>0</v>
      </c>
      <c r="AV43" s="22">
        <f ca="1">+GETPIVOTDATA("XXS4",'xuanson (2016)'!$A$3,"MA_HT","DRA","MA_QH","TON")</f>
        <v>0</v>
      </c>
      <c r="AW43" s="22">
        <f ca="1">+GETPIVOTDATA("XXS4",'xuanson (2016)'!$A$3,"MA_HT","DRA","MA_QH","NTD")</f>
        <v>0</v>
      </c>
      <c r="AX43" s="22">
        <f ca="1">+GETPIVOTDATA("XXS4",'xuanson (2016)'!$A$3,"MA_HT","DRA","MA_QH","SKX")</f>
        <v>0</v>
      </c>
      <c r="AY43" s="22">
        <f ca="1">+GETPIVOTDATA("XXS4",'xuanson (2016)'!$A$3,"MA_HT","DRA","MA_QH","DSH")</f>
        <v>0</v>
      </c>
      <c r="AZ43" s="22">
        <f ca="1">+GETPIVOTDATA("XXS4",'xuanson (2016)'!$A$3,"MA_HT","DRA","MA_QH","DKV")</f>
        <v>0</v>
      </c>
      <c r="BA43" s="89">
        <f ca="1">+GETPIVOTDATA("XXS4",'xuanson (2016)'!$A$3,"MA_HT","DRA","MA_QH","TIN")</f>
        <v>0</v>
      </c>
      <c r="BB43" s="50">
        <f ca="1">+GETPIVOTDATA("XXS4",'xuanson (2016)'!$A$3,"MA_HT","DRA","MA_QH","SON")</f>
        <v>0</v>
      </c>
      <c r="BC43" s="50">
        <f ca="1">+GETPIVOTDATA("XXS4",'xuanson (2016)'!$A$3,"MA_HT","DRA","MA_QH","MNC")</f>
        <v>0</v>
      </c>
      <c r="BD43" s="22">
        <f ca="1">+GETPIVOTDATA("XXS4",'xuanson (2016)'!$A$3,"MA_HT","DRA","MA_QH","PNK")</f>
        <v>0</v>
      </c>
      <c r="BE43" s="71">
        <f ca="1">+GETPIVOTDATA("XXS4",'xuanson (2016)'!$A$3,"MA_HT","DRA","MA_QH","CSD")</f>
        <v>0</v>
      </c>
      <c r="BF43" s="74">
        <f ca="1" t="shared" si="13"/>
        <v>0</v>
      </c>
      <c r="BG43" s="101">
        <f ca="1">AP$59-$BF43</f>
        <v>0</v>
      </c>
      <c r="BH43" s="41" t="e">
        <f ca="1" t="shared" si="14"/>
        <v>#REF!</v>
      </c>
      <c r="BI43" s="98"/>
      <c r="BJ43" s="107" t="e">
        <f>#REF!</f>
        <v>#REF!</v>
      </c>
      <c r="BK43" s="107" t="e">
        <f ca="1">BH43-BJ43</f>
        <v>#REF!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</row>
    <row r="44" s="2" customFormat="1" ht="15.75" customHeight="1" spans="1:79">
      <c r="A44" s="39" t="s">
        <v>8406</v>
      </c>
      <c r="B44" s="53" t="s">
        <v>8407</v>
      </c>
      <c r="C44" s="40" t="s">
        <v>188</v>
      </c>
      <c r="D44" s="41" t="e">
        <f>+#REF!</f>
        <v>#REF!</v>
      </c>
      <c r="E44" s="42">
        <f ca="1" t="shared" si="15"/>
        <v>0</v>
      </c>
      <c r="F44" s="52">
        <f ca="1" t="shared" si="9"/>
        <v>0</v>
      </c>
      <c r="G44" s="22">
        <f ca="1">+GETPIVOTDATA("XXS4",'xuanson (2016)'!$A$3,"MA_HT","ONT","MA_QH","LUC")</f>
        <v>0</v>
      </c>
      <c r="H44" s="22">
        <f ca="1">+GETPIVOTDATA("XXS4",'xuanson (2016)'!$A$3,"MA_HT","ONT","MA_QH","LUK")</f>
        <v>0</v>
      </c>
      <c r="I44" s="22">
        <f ca="1">+GETPIVOTDATA("XXS4",'xuanson (2016)'!$A$3,"MA_HT","ONT","MA_QH","LUN")</f>
        <v>0</v>
      </c>
      <c r="J44" s="22">
        <f ca="1">+GETPIVOTDATA("XXS4",'xuanson (2016)'!$A$3,"MA_HT","ONT","MA_QH","HNK")</f>
        <v>0</v>
      </c>
      <c r="K44" s="22">
        <f ca="1">+GETPIVOTDATA("XXS4",'xuanson (2016)'!$A$3,"MA_HT","ONT","MA_QH","CLN")</f>
        <v>0</v>
      </c>
      <c r="L44" s="22">
        <f ca="1">+GETPIVOTDATA("XXS4",'xuanson (2016)'!$A$3,"MA_HT","ONT","MA_QH","RSX")</f>
        <v>0</v>
      </c>
      <c r="M44" s="22">
        <f ca="1">+GETPIVOTDATA("XXS4",'xuanson (2016)'!$A$3,"MA_HT","ONT","MA_QH","RPH")</f>
        <v>0</v>
      </c>
      <c r="N44" s="22">
        <f ca="1">+GETPIVOTDATA("XXS4",'xuanson (2016)'!$A$3,"MA_HT","ONT","MA_QH","RDD")</f>
        <v>0</v>
      </c>
      <c r="O44" s="22">
        <f ca="1">+GETPIVOTDATA("XXS4",'xuanson (2016)'!$A$3,"MA_HT","ONT","MA_QH","NTS")</f>
        <v>0</v>
      </c>
      <c r="P44" s="22">
        <f ca="1">+GETPIVOTDATA("XXS4",'xuanson (2016)'!$A$3,"MA_HT","ONT","MA_QH","LMU")</f>
        <v>0</v>
      </c>
      <c r="Q44" s="22">
        <f ca="1">+GETPIVOTDATA("XXS4",'xuanson (2016)'!$A$3,"MA_HT","ONT","MA_QH","NKH")</f>
        <v>0</v>
      </c>
      <c r="R44" s="79">
        <f ca="1">SUM(S44:AA44,AN44:AP44,AR44:BD44)</f>
        <v>0</v>
      </c>
      <c r="S44" s="22">
        <f ca="1">+GETPIVOTDATA("XXS4",'xuanson (2016)'!$A$3,"MA_HT","ONT","MA_QH","CQP")</f>
        <v>0</v>
      </c>
      <c r="T44" s="22">
        <f ca="1">+GETPIVOTDATA("XXS4",'xuanson (2016)'!$A$3,"MA_HT","ONT","MA_QH","CAN")</f>
        <v>0</v>
      </c>
      <c r="U44" s="22">
        <f ca="1">+GETPIVOTDATA("XXS4",'xuanson (2016)'!$A$3,"MA_HT","ONT","MA_QH","SKK")</f>
        <v>0</v>
      </c>
      <c r="V44" s="22">
        <f ca="1">+GETPIVOTDATA("XXS4",'xuanson (2016)'!$A$3,"MA_HT","ONT","MA_QH","SKT")</f>
        <v>0</v>
      </c>
      <c r="W44" s="22">
        <f ca="1">+GETPIVOTDATA("XXS4",'xuanson (2016)'!$A$3,"MA_HT","ONT","MA_QH","SKN")</f>
        <v>0</v>
      </c>
      <c r="X44" s="22">
        <f ca="1">+GETPIVOTDATA("XXS4",'xuanson (2016)'!$A$3,"MA_HT","ONT","MA_QH","TMD")</f>
        <v>0</v>
      </c>
      <c r="Y44" s="22">
        <f ca="1">+GETPIVOTDATA("XXS4",'xuanson (2016)'!$A$3,"MA_HT","ONT","MA_QH","SKC")</f>
        <v>0</v>
      </c>
      <c r="Z44" s="22">
        <f ca="1">+GETPIVOTDATA("XXS4",'xuanson (2016)'!$A$3,"MA_HT","ONT","MA_QH","SKS")</f>
        <v>0</v>
      </c>
      <c r="AA44" s="52">
        <f ca="1" t="shared" si="21"/>
        <v>0</v>
      </c>
      <c r="AB44" s="22">
        <f ca="1">+GETPIVOTDATA("XXS4",'xuanson (2016)'!$A$3,"MA_HT","ONT","MA_QH","DGT")</f>
        <v>0</v>
      </c>
      <c r="AC44" s="22">
        <f ca="1">+GETPIVOTDATA("XXS4",'xuanson (2016)'!$A$3,"MA_HT","ONT","MA_QH","DTL")</f>
        <v>0</v>
      </c>
      <c r="AD44" s="22">
        <f ca="1">+GETPIVOTDATA("XXS4",'xuanson (2016)'!$A$3,"MA_HT","ONT","MA_QH","DNL")</f>
        <v>0</v>
      </c>
      <c r="AE44" s="22">
        <f ca="1">+GETPIVOTDATA("XXS4",'xuanson (2016)'!$A$3,"MA_HT","ONT","MA_QH","DBV")</f>
        <v>0</v>
      </c>
      <c r="AF44" s="22">
        <f ca="1">+GETPIVOTDATA("XXS4",'xuanson (2016)'!$A$3,"MA_HT","ONT","MA_QH","DVH")</f>
        <v>0</v>
      </c>
      <c r="AG44" s="22">
        <f ca="1">+GETPIVOTDATA("XXS4",'xuanson (2016)'!$A$3,"MA_HT","ONT","MA_QH","DYT")</f>
        <v>0</v>
      </c>
      <c r="AH44" s="22">
        <f ca="1">+GETPIVOTDATA("XXS4",'xuanson (2016)'!$A$3,"MA_HT","ONT","MA_QH","DGD")</f>
        <v>0</v>
      </c>
      <c r="AI44" s="22">
        <f ca="1">+GETPIVOTDATA("XXS4",'xuanson (2016)'!$A$3,"MA_HT","ONT","MA_QH","DTT")</f>
        <v>0</v>
      </c>
      <c r="AJ44" s="22">
        <f ca="1">+GETPIVOTDATA("XXS4",'xuanson (2016)'!$A$3,"MA_HT","ONT","MA_QH","NCK")</f>
        <v>0</v>
      </c>
      <c r="AK44" s="22">
        <f ca="1">+GETPIVOTDATA("XXS4",'xuanson (2016)'!$A$3,"MA_HT","ONT","MA_QH","DXH")</f>
        <v>0</v>
      </c>
      <c r="AL44" s="22">
        <f ca="1">+GETPIVOTDATA("XXS4",'xuanson (2016)'!$A$3,"MA_HT","ONT","MA_QH","DCH")</f>
        <v>0</v>
      </c>
      <c r="AM44" s="22">
        <f ca="1">+GETPIVOTDATA("XXS4",'xuanson (2016)'!$A$3,"MA_HT","ONT","MA_QH","DKG")</f>
        <v>0</v>
      </c>
      <c r="AN44" s="22">
        <f ca="1">+GETPIVOTDATA("XXS4",'xuanson (2016)'!$A$3,"MA_HT","ONT","MA_QH","DDT")</f>
        <v>0</v>
      </c>
      <c r="AO44" s="22">
        <f ca="1">+GETPIVOTDATA("XXS4",'xuanson (2016)'!$A$3,"MA_HT","ONT","MA_QH","DDL")</f>
        <v>0</v>
      </c>
      <c r="AP44" s="22">
        <f ca="1">+GETPIVOTDATA("XXS4",'xuanson (2016)'!$A$3,"MA_HT","ONT","MA_QH","DRA")</f>
        <v>0</v>
      </c>
      <c r="AQ44" s="43" t="e">
        <f ca="1">$D44-$BF44</f>
        <v>#REF!</v>
      </c>
      <c r="AR44" s="22">
        <f ca="1">+GETPIVOTDATA("XXS4",'xuanson (2016)'!$A$3,"MA_HT","ONT","MA_QH","ODT")</f>
        <v>0</v>
      </c>
      <c r="AS44" s="22">
        <f ca="1">+GETPIVOTDATA("XXS4",'xuanson (2016)'!$A$3,"MA_HT","ONT","MA_QH","TSC")</f>
        <v>0</v>
      </c>
      <c r="AT44" s="22">
        <f ca="1">+GETPIVOTDATA("XXS4",'xuanson (2016)'!$A$3,"MA_HT","ONT","MA_QH","DTS")</f>
        <v>0</v>
      </c>
      <c r="AU44" s="22">
        <f ca="1">+GETPIVOTDATA("XXS4",'xuanson (2016)'!$A$3,"MA_HT","ONT","MA_QH","DNG")</f>
        <v>0</v>
      </c>
      <c r="AV44" s="22">
        <f ca="1">+GETPIVOTDATA("XXS4",'xuanson (2016)'!$A$3,"MA_HT","ONT","MA_QH","TON")</f>
        <v>0</v>
      </c>
      <c r="AW44" s="22">
        <f ca="1">+GETPIVOTDATA("XXS4",'xuanson (2016)'!$A$3,"MA_HT","ONT","MA_QH","NTD")</f>
        <v>0</v>
      </c>
      <c r="AX44" s="22">
        <f ca="1">+GETPIVOTDATA("XXS4",'xuanson (2016)'!$A$3,"MA_HT","ONT","MA_QH","SKX")</f>
        <v>0</v>
      </c>
      <c r="AY44" s="22">
        <f ca="1">+GETPIVOTDATA("XXS4",'xuanson (2016)'!$A$3,"MA_HT","ONT","MA_QH","DSH")</f>
        <v>0</v>
      </c>
      <c r="AZ44" s="22">
        <f ca="1">+GETPIVOTDATA("XXS4",'xuanson (2016)'!$A$3,"MA_HT","ONT","MA_QH","DKV")</f>
        <v>0</v>
      </c>
      <c r="BA44" s="89">
        <f ca="1">+GETPIVOTDATA("XXS4",'xuanson (2016)'!$A$3,"MA_HT","ONT","MA_QH","TIN")</f>
        <v>0</v>
      </c>
      <c r="BB44" s="50">
        <f ca="1">+GETPIVOTDATA("XXS4",'xuanson (2016)'!$A$3,"MA_HT","ONT","MA_QH","SON")</f>
        <v>0</v>
      </c>
      <c r="BC44" s="50">
        <f ca="1">+GETPIVOTDATA("XXS4",'xuanson (2016)'!$A$3,"MA_HT","ONT","MA_QH","MNC")</f>
        <v>0</v>
      </c>
      <c r="BD44" s="22">
        <f ca="1">+GETPIVOTDATA("XXS4",'xuanson (2016)'!$A$3,"MA_HT","ONT","MA_QH","PNK")</f>
        <v>0</v>
      </c>
      <c r="BE44" s="71">
        <f ca="1">+GETPIVOTDATA("XXS4",'xuanson (2016)'!$A$3,"MA_HT","ONT","MA_QH","CSD")</f>
        <v>0</v>
      </c>
      <c r="BF44" s="74">
        <f ca="1" t="shared" si="13"/>
        <v>0</v>
      </c>
      <c r="BG44" s="101">
        <f ca="1">AQ$59-$BF44</f>
        <v>0</v>
      </c>
      <c r="BH44" s="41" t="e">
        <f ca="1" t="shared" si="14"/>
        <v>#REF!</v>
      </c>
      <c r="BI44" s="98"/>
      <c r="BJ44" s="107" t="e">
        <f>#REF!</f>
        <v>#REF!</v>
      </c>
      <c r="BK44" s="107" t="e">
        <f ca="1">BH44-BJ44</f>
        <v>#REF!</v>
      </c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</row>
    <row r="45" s="2" customFormat="1" ht="15.75" customHeight="1" spans="1:79">
      <c r="A45" s="61" t="s">
        <v>8408</v>
      </c>
      <c r="B45" s="62" t="s">
        <v>8409</v>
      </c>
      <c r="C45" s="63" t="s">
        <v>201</v>
      </c>
      <c r="D45" s="64" t="e">
        <f>+#REF!</f>
        <v>#REF!</v>
      </c>
      <c r="E45" s="65">
        <f ca="1" t="shared" si="15"/>
        <v>0</v>
      </c>
      <c r="F45" s="66">
        <f ca="1" t="shared" si="9"/>
        <v>0</v>
      </c>
      <c r="G45" s="67">
        <f ca="1">+GETPIVOTDATA("XXS4",'xuanson (2016)'!$A$3,"MA_HT","ODT","MA_QH","LUC")</f>
        <v>0</v>
      </c>
      <c r="H45" s="67">
        <f ca="1">+GETPIVOTDATA("XXS4",'xuanson (2016)'!$A$3,"MA_HT","ODT","MA_QH","LUK")</f>
        <v>0</v>
      </c>
      <c r="I45" s="67">
        <f ca="1">+GETPIVOTDATA("XXS4",'xuanson (2016)'!$A$3,"MA_HT","ODT","MA_QH","LUN")</f>
        <v>0</v>
      </c>
      <c r="J45" s="67">
        <f ca="1">+GETPIVOTDATA("XXS4",'xuanson (2016)'!$A$3,"MA_HT","ODT","MA_QH","HNK")</f>
        <v>0</v>
      </c>
      <c r="K45" s="67">
        <f ca="1">+GETPIVOTDATA("XXS4",'xuanson (2016)'!$A$3,"MA_HT","ODT","MA_QH","CLN")</f>
        <v>0</v>
      </c>
      <c r="L45" s="67">
        <f ca="1">+GETPIVOTDATA("XXS4",'xuanson (2016)'!$A$3,"MA_HT","ODT","MA_QH","RSX")</f>
        <v>0</v>
      </c>
      <c r="M45" s="67">
        <f ca="1">+GETPIVOTDATA("XXS4",'xuanson (2016)'!$A$3,"MA_HT","ODT","MA_QH","RPH")</f>
        <v>0</v>
      </c>
      <c r="N45" s="67">
        <f ca="1">+GETPIVOTDATA("XXS4",'xuanson (2016)'!$A$3,"MA_HT","ODT","MA_QH","RDD")</f>
        <v>0</v>
      </c>
      <c r="O45" s="67">
        <f ca="1">+GETPIVOTDATA("XXS4",'xuanson (2016)'!$A$3,"MA_HT","ODT","MA_QH","NTS")</f>
        <v>0</v>
      </c>
      <c r="P45" s="67">
        <f ca="1">+GETPIVOTDATA("XXS4",'xuanson (2016)'!$A$3,"MA_HT","ODT","MA_QH","LMU")</f>
        <v>0</v>
      </c>
      <c r="Q45" s="67">
        <f ca="1">+GETPIVOTDATA("XXS4",'xuanson (2016)'!$A$3,"MA_HT","ODT","MA_QH","NKH")</f>
        <v>0</v>
      </c>
      <c r="R45" s="79">
        <f ca="1">SUM(S45:AA45,AN45:AQ45,AS45:BD45)</f>
        <v>0</v>
      </c>
      <c r="S45" s="67">
        <f ca="1">+GETPIVOTDATA("XXS4",'xuanson (2016)'!$A$3,"MA_HT","ODT","MA_QH","CQP")</f>
        <v>0</v>
      </c>
      <c r="T45" s="67">
        <f ca="1">+GETPIVOTDATA("XXS4",'xuanson (2016)'!$A$3,"MA_HT","ODT","MA_QH","CAN")</f>
        <v>0</v>
      </c>
      <c r="U45" s="67">
        <f ca="1">+GETPIVOTDATA("XXS4",'xuanson (2016)'!$A$3,"MA_HT","ODT","MA_QH","SKK")</f>
        <v>0</v>
      </c>
      <c r="V45" s="67">
        <f ca="1">+GETPIVOTDATA("XXS4",'xuanson (2016)'!$A$3,"MA_HT","ODT","MA_QH","SKT")</f>
        <v>0</v>
      </c>
      <c r="W45" s="67">
        <f ca="1">+GETPIVOTDATA("XXS4",'xuanson (2016)'!$A$3,"MA_HT","ODT","MA_QH","SKN")</f>
        <v>0</v>
      </c>
      <c r="X45" s="67">
        <f ca="1">+GETPIVOTDATA("XXS4",'xuanson (2016)'!$A$3,"MA_HT","ODT","MA_QH","TMD")</f>
        <v>0</v>
      </c>
      <c r="Y45" s="67">
        <f ca="1">+GETPIVOTDATA("XXS4",'xuanson (2016)'!$A$3,"MA_HT","ODT","MA_QH","SKC")</f>
        <v>0</v>
      </c>
      <c r="Z45" s="67">
        <f ca="1">+GETPIVOTDATA("XXS4",'xuanson (2016)'!$A$3,"MA_HT","ODT","MA_QH","SKS")</f>
        <v>0</v>
      </c>
      <c r="AA45" s="66">
        <f ca="1" t="shared" si="21"/>
        <v>0</v>
      </c>
      <c r="AB45" s="67">
        <f ca="1">+GETPIVOTDATA("XXS4",'xuanson (2016)'!$A$3,"MA_HT","ODT","MA_QH","DGT")</f>
        <v>0</v>
      </c>
      <c r="AC45" s="67">
        <f ca="1">+GETPIVOTDATA("XXS4",'xuanson (2016)'!$A$3,"MA_HT","ODT","MA_QH","DTL")</f>
        <v>0</v>
      </c>
      <c r="AD45" s="67">
        <f ca="1">+GETPIVOTDATA("XXS4",'xuanson (2016)'!$A$3,"MA_HT","ODT","MA_QH","DNL")</f>
        <v>0</v>
      </c>
      <c r="AE45" s="67">
        <f ca="1">+GETPIVOTDATA("XXS4",'xuanson (2016)'!$A$3,"MA_HT","ODT","MA_QH","DBV")</f>
        <v>0</v>
      </c>
      <c r="AF45" s="67">
        <f ca="1">+GETPIVOTDATA("XXS4",'xuanson (2016)'!$A$3,"MA_HT","ODT","MA_QH","DVH")</f>
        <v>0</v>
      </c>
      <c r="AG45" s="67">
        <f ca="1">+GETPIVOTDATA("XXS4",'xuanson (2016)'!$A$3,"MA_HT","ODT","MA_QH","DYT")</f>
        <v>0</v>
      </c>
      <c r="AH45" s="67">
        <f ca="1">+GETPIVOTDATA("XXS4",'xuanson (2016)'!$A$3,"MA_HT","ODT","MA_QH","DGD")</f>
        <v>0</v>
      </c>
      <c r="AI45" s="67">
        <f ca="1">+GETPIVOTDATA("XXS4",'xuanson (2016)'!$A$3,"MA_HT","ODT","MA_QH","DTT")</f>
        <v>0</v>
      </c>
      <c r="AJ45" s="67">
        <f ca="1">+GETPIVOTDATA("XXS4",'xuanson (2016)'!$A$3,"MA_HT","ODT","MA_QH","NCK")</f>
        <v>0</v>
      </c>
      <c r="AK45" s="67">
        <f ca="1">+GETPIVOTDATA("XXS4",'xuanson (2016)'!$A$3,"MA_HT","ODT","MA_QH","DXH")</f>
        <v>0</v>
      </c>
      <c r="AL45" s="67">
        <f ca="1">+GETPIVOTDATA("XXS4",'xuanson (2016)'!$A$3,"MA_HT","ODT","MA_QH","DCH")</f>
        <v>0</v>
      </c>
      <c r="AM45" s="67">
        <f ca="1">+GETPIVOTDATA("XXS4",'xuanson (2016)'!$A$3,"MA_HT","ODT","MA_QH","DKG")</f>
        <v>0</v>
      </c>
      <c r="AN45" s="67">
        <f ca="1">+GETPIVOTDATA("XXS4",'xuanson (2016)'!$A$3,"MA_HT","ODT","MA_QH","DDT")</f>
        <v>0</v>
      </c>
      <c r="AO45" s="67">
        <f ca="1">+GETPIVOTDATA("XXS4",'xuanson (2016)'!$A$3,"MA_HT","ODT","MA_QH","DDL")</f>
        <v>0</v>
      </c>
      <c r="AP45" s="67">
        <f ca="1">+GETPIVOTDATA("XXS4",'xuanson (2016)'!$A$3,"MA_HT","ODT","MA_QH","DRA")</f>
        <v>0</v>
      </c>
      <c r="AQ45" s="67">
        <f ca="1">+GETPIVOTDATA("XXS4",'xuanson (2016)'!$A$3,"MA_HT","ODT","MA_QH","ONT")</f>
        <v>0</v>
      </c>
      <c r="AR45" s="82" t="e">
        <f ca="1">$D45-$BF45</f>
        <v>#REF!</v>
      </c>
      <c r="AS45" s="67">
        <f ca="1">+GETPIVOTDATA("XXS4",'xuanson (2016)'!$A$3,"MA_HT","ODT","MA_QH","TSC")</f>
        <v>0</v>
      </c>
      <c r="AT45" s="67">
        <f ca="1">+GETPIVOTDATA("XXS4",'xuanson (2016)'!$A$3,"MA_HT","ODT","MA_QH","DTS")</f>
        <v>0</v>
      </c>
      <c r="AU45" s="67">
        <f ca="1">+GETPIVOTDATA("XXS4",'xuanson (2016)'!$A$3,"MA_HT","ODT","MA_QH","DNG")</f>
        <v>0</v>
      </c>
      <c r="AV45" s="67">
        <f ca="1">+GETPIVOTDATA("XXS4",'xuanson (2016)'!$A$3,"MA_HT","ODT","MA_QH","TON")</f>
        <v>0</v>
      </c>
      <c r="AW45" s="67">
        <f ca="1">+GETPIVOTDATA("XXS4",'xuanson (2016)'!$A$3,"MA_HT","ODT","MA_QH","NTD")</f>
        <v>0</v>
      </c>
      <c r="AX45" s="67">
        <f ca="1">+GETPIVOTDATA("XXS4",'xuanson (2016)'!$A$3,"MA_HT","ODT","MA_QH","SKX")</f>
        <v>0</v>
      </c>
      <c r="AY45" s="67">
        <f ca="1">+GETPIVOTDATA("XXS4",'xuanson (2016)'!$A$3,"MA_HT","ODT","MA_QH","DSH")</f>
        <v>0</v>
      </c>
      <c r="AZ45" s="67">
        <f ca="1">+GETPIVOTDATA("XXS4",'xuanson (2016)'!$A$3,"MA_HT","ODT","MA_QH","DKV")</f>
        <v>0</v>
      </c>
      <c r="BA45" s="92">
        <f ca="1">+GETPIVOTDATA("XXS4",'xuanson (2016)'!$A$3,"MA_HT","ODT","MA_QH","TIN")</f>
        <v>0</v>
      </c>
      <c r="BB45" s="93">
        <f ca="1">+GETPIVOTDATA("XXS4",'xuanson (2016)'!$A$3,"MA_HT","ODT","MA_QH","SON")</f>
        <v>0</v>
      </c>
      <c r="BC45" s="93">
        <f ca="1">+GETPIVOTDATA("XXS4",'xuanson (2016)'!$A$3,"MA_HT","ODT","MA_QH","MNC")</f>
        <v>0</v>
      </c>
      <c r="BD45" s="67">
        <f ca="1">+GETPIVOTDATA("XXS4",'xuanson (2016)'!$A$3,"MA_HT","ODT","MA_QH","PNK")</f>
        <v>0</v>
      </c>
      <c r="BE45" s="116">
        <f ca="1">+GETPIVOTDATA("XXS4",'xuanson (2016)'!$A$3,"MA_HT","ODT","MA_QH","CSD")</f>
        <v>0</v>
      </c>
      <c r="BF45" s="117">
        <f ca="1" t="shared" si="13"/>
        <v>0</v>
      </c>
      <c r="BG45" s="118">
        <f ca="1">AR$59-$BF45</f>
        <v>0</v>
      </c>
      <c r="BH45" s="64" t="e">
        <f ca="1" t="shared" si="14"/>
        <v>#REF!</v>
      </c>
      <c r="BI45" s="98"/>
      <c r="BJ45" s="107" t="e">
        <f>#REF!</f>
        <v>#REF!</v>
      </c>
      <c r="BK45" s="107" t="e">
        <f ca="1">BH45-BJ45</f>
        <v>#REF!</v>
      </c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</row>
    <row r="46" s="6" customFormat="1" ht="15.75" customHeight="1" spans="1:79">
      <c r="A46" s="39" t="s">
        <v>8410</v>
      </c>
      <c r="B46" s="53" t="s">
        <v>8411</v>
      </c>
      <c r="C46" s="40" t="s">
        <v>336</v>
      </c>
      <c r="D46" s="41" t="e">
        <f>+#REF!</f>
        <v>#REF!</v>
      </c>
      <c r="E46" s="42">
        <f ca="1" t="shared" si="15"/>
        <v>0</v>
      </c>
      <c r="F46" s="52">
        <f ca="1" t="shared" si="9"/>
        <v>0</v>
      </c>
      <c r="G46" s="22">
        <f ca="1">+GETPIVOTDATA("XXS4",'xuanson (2016)'!$A$3,"MA_HT","TSC","MA_QH","LUC")</f>
        <v>0</v>
      </c>
      <c r="H46" s="22">
        <f ca="1">+GETPIVOTDATA("XXS4",'xuanson (2016)'!$A$3,"MA_HT","TSC","MA_QH","LUK")</f>
        <v>0</v>
      </c>
      <c r="I46" s="22">
        <f ca="1">+GETPIVOTDATA("XXS4",'xuanson (2016)'!$A$3,"MA_HT","TSC","MA_QH","LUN")</f>
        <v>0</v>
      </c>
      <c r="J46" s="22">
        <f ca="1">+GETPIVOTDATA("XXS4",'xuanson (2016)'!$A$3,"MA_HT","TSC","MA_QH","HNK")</f>
        <v>0</v>
      </c>
      <c r="K46" s="22">
        <f ca="1">+GETPIVOTDATA("XXS4",'xuanson (2016)'!$A$3,"MA_HT","TSC","MA_QH","CLN")</f>
        <v>0</v>
      </c>
      <c r="L46" s="22">
        <f ca="1">+GETPIVOTDATA("XXS4",'xuanson (2016)'!$A$3,"MA_HT","TSC","MA_QH","RSX")</f>
        <v>0</v>
      </c>
      <c r="M46" s="22">
        <f ca="1">+GETPIVOTDATA("XXS4",'xuanson (2016)'!$A$3,"MA_HT","TSC","MA_QH","RPH")</f>
        <v>0</v>
      </c>
      <c r="N46" s="22">
        <f ca="1">+GETPIVOTDATA("XXS4",'xuanson (2016)'!$A$3,"MA_HT","TSC","MA_QH","RDD")</f>
        <v>0</v>
      </c>
      <c r="O46" s="22">
        <f ca="1">+GETPIVOTDATA("XXS4",'xuanson (2016)'!$A$3,"MA_HT","TSC","MA_QH","NTS")</f>
        <v>0</v>
      </c>
      <c r="P46" s="22">
        <f ca="1">+GETPIVOTDATA("XXS4",'xuanson (2016)'!$A$3,"MA_HT","TSC","MA_QH","LMU")</f>
        <v>0</v>
      </c>
      <c r="Q46" s="22">
        <f ca="1">+GETPIVOTDATA("XXS4",'xuanson (2016)'!$A$3,"MA_HT","TSC","MA_QH","NKH")</f>
        <v>0</v>
      </c>
      <c r="R46" s="48">
        <f ca="1">SUM(S46:AA46,AN46:AR46,AT46:BD46)</f>
        <v>0</v>
      </c>
      <c r="S46" s="22">
        <f ca="1">+GETPIVOTDATA("XXS4",'xuanson (2016)'!$A$3,"MA_HT","TSC","MA_QH","CQP")</f>
        <v>0</v>
      </c>
      <c r="T46" s="22">
        <f ca="1">+GETPIVOTDATA("XXS4",'xuanson (2016)'!$A$3,"MA_HT","TSC","MA_QH","CAN")</f>
        <v>0</v>
      </c>
      <c r="U46" s="22">
        <f ca="1">+GETPIVOTDATA("XXS4",'xuanson (2016)'!$A$3,"MA_HT","TSC","MA_QH","SKK")</f>
        <v>0</v>
      </c>
      <c r="V46" s="22">
        <f ca="1">+GETPIVOTDATA("XXS4",'xuanson (2016)'!$A$3,"MA_HT","TSC","MA_QH","SKT")</f>
        <v>0</v>
      </c>
      <c r="W46" s="22">
        <f ca="1">+GETPIVOTDATA("XXS4",'xuanson (2016)'!$A$3,"MA_HT","TSC","MA_QH","SKN")</f>
        <v>0</v>
      </c>
      <c r="X46" s="22">
        <f ca="1">+GETPIVOTDATA("XXS4",'xuanson (2016)'!$A$3,"MA_HT","TSC","MA_QH","TMD")</f>
        <v>0</v>
      </c>
      <c r="Y46" s="22">
        <f ca="1">+GETPIVOTDATA("XXS4",'xuanson (2016)'!$A$3,"MA_HT","TSC","MA_QH","SKC")</f>
        <v>0</v>
      </c>
      <c r="Z46" s="22">
        <f ca="1">+GETPIVOTDATA("XXS4",'xuanson (2016)'!$A$3,"MA_HT","TSC","MA_QH","SKS")</f>
        <v>0</v>
      </c>
      <c r="AA46" s="52">
        <f ca="1" t="shared" si="21"/>
        <v>0</v>
      </c>
      <c r="AB46" s="22">
        <f ca="1">+GETPIVOTDATA("XXS4",'xuanson (2016)'!$A$3,"MA_HT","TSC","MA_QH","DGT")</f>
        <v>0</v>
      </c>
      <c r="AC46" s="22">
        <f ca="1">+GETPIVOTDATA("XXS4",'xuanson (2016)'!$A$3,"MA_HT","TSC","MA_QH","DTL")</f>
        <v>0</v>
      </c>
      <c r="AD46" s="22">
        <f ca="1">+GETPIVOTDATA("XXS4",'xuanson (2016)'!$A$3,"MA_HT","TSC","MA_QH","DNL")</f>
        <v>0</v>
      </c>
      <c r="AE46" s="22">
        <f ca="1">+GETPIVOTDATA("XXS4",'xuanson (2016)'!$A$3,"MA_HT","TSC","MA_QH","DBV")</f>
        <v>0</v>
      </c>
      <c r="AF46" s="22">
        <f ca="1">+GETPIVOTDATA("XXS4",'xuanson (2016)'!$A$3,"MA_HT","TSC","MA_QH","DVH")</f>
        <v>0</v>
      </c>
      <c r="AG46" s="22">
        <f ca="1">+GETPIVOTDATA("XXS4",'xuanson (2016)'!$A$3,"MA_HT","TSC","MA_QH","DYT")</f>
        <v>0</v>
      </c>
      <c r="AH46" s="22">
        <f ca="1">+GETPIVOTDATA("XXS4",'xuanson (2016)'!$A$3,"MA_HT","TSC","MA_QH","DGD")</f>
        <v>0</v>
      </c>
      <c r="AI46" s="22">
        <f ca="1">+GETPIVOTDATA("XXS4",'xuanson (2016)'!$A$3,"MA_HT","TSC","MA_QH","DTT")</f>
        <v>0</v>
      </c>
      <c r="AJ46" s="22">
        <f ca="1">+GETPIVOTDATA("XXS4",'xuanson (2016)'!$A$3,"MA_HT","TSC","MA_QH","NCK")</f>
        <v>0</v>
      </c>
      <c r="AK46" s="22">
        <f ca="1">+GETPIVOTDATA("XXS4",'xuanson (2016)'!$A$3,"MA_HT","TSC","MA_QH","DXH")</f>
        <v>0</v>
      </c>
      <c r="AL46" s="22">
        <f ca="1">+GETPIVOTDATA("XXS4",'xuanson (2016)'!$A$3,"MA_HT","TSC","MA_QH","DCH")</f>
        <v>0</v>
      </c>
      <c r="AM46" s="22">
        <f ca="1">+GETPIVOTDATA("XXS4",'xuanson (2016)'!$A$3,"MA_HT","TSC","MA_QH","DKG")</f>
        <v>0</v>
      </c>
      <c r="AN46" s="22">
        <f ca="1">+GETPIVOTDATA("XXS4",'xuanson (2016)'!$A$3,"MA_HT","TSC","MA_QH","DDT")</f>
        <v>0</v>
      </c>
      <c r="AO46" s="22">
        <f ca="1">+GETPIVOTDATA("XXS4",'xuanson (2016)'!$A$3,"MA_HT","TSC","MA_QH","DDL")</f>
        <v>0</v>
      </c>
      <c r="AP46" s="22">
        <f ca="1">+GETPIVOTDATA("XXS4",'xuanson (2016)'!$A$3,"MA_HT","TSC","MA_QH","DRA")</f>
        <v>0</v>
      </c>
      <c r="AQ46" s="22">
        <f ca="1">+GETPIVOTDATA("XXS4",'xuanson (2016)'!$A$3,"MA_HT","TSC","MA_QH","ONT")</f>
        <v>0</v>
      </c>
      <c r="AR46" s="22">
        <f ca="1">+GETPIVOTDATA("XXS4",'xuanson (2016)'!$A$3,"MA_HT","TSC","MA_QH","ODT")</f>
        <v>0</v>
      </c>
      <c r="AS46" s="43" t="e">
        <f ca="1">$D46-$BF46</f>
        <v>#REF!</v>
      </c>
      <c r="AT46" s="22">
        <f ca="1">+GETPIVOTDATA("XXS4",'xuanson (2016)'!$A$3,"MA_HT","TSC","MA_QH","DTS")</f>
        <v>0</v>
      </c>
      <c r="AU46" s="22">
        <f ca="1">+GETPIVOTDATA("XXS4",'xuanson (2016)'!$A$3,"MA_HT","TSC","MA_QH","DNG")</f>
        <v>0</v>
      </c>
      <c r="AV46" s="22">
        <f ca="1">+GETPIVOTDATA("XXS4",'xuanson (2016)'!$A$3,"MA_HT","TSC","MA_QH","TON")</f>
        <v>0</v>
      </c>
      <c r="AW46" s="22">
        <f ca="1">+GETPIVOTDATA("XXS4",'xuanson (2016)'!$A$3,"MA_HT","TSC","MA_QH","NTD")</f>
        <v>0</v>
      </c>
      <c r="AX46" s="22">
        <f ca="1">+GETPIVOTDATA("XXS4",'xuanson (2016)'!$A$3,"MA_HT","TSC","MA_QH","SKX")</f>
        <v>0</v>
      </c>
      <c r="AY46" s="22">
        <f ca="1">+GETPIVOTDATA("XXS4",'xuanson (2016)'!$A$3,"MA_HT","TSC","MA_QH","DSH")</f>
        <v>0</v>
      </c>
      <c r="AZ46" s="22">
        <f ca="1">+GETPIVOTDATA("XXS4",'xuanson (2016)'!$A$3,"MA_HT","TSC","MA_QH","DKV")</f>
        <v>0</v>
      </c>
      <c r="BA46" s="89">
        <f ca="1">+GETPIVOTDATA("XXS4",'xuanson (2016)'!$A$3,"MA_HT","TSC","MA_QH","TIN")</f>
        <v>0</v>
      </c>
      <c r="BB46" s="50">
        <f ca="1">+GETPIVOTDATA("XXS4",'xuanson (2016)'!$A$3,"MA_HT","TSC","MA_QH","SON")</f>
        <v>0</v>
      </c>
      <c r="BC46" s="50">
        <f ca="1">+GETPIVOTDATA("XXS4",'xuanson (2016)'!$A$3,"MA_HT","TSC","MA_QH","MNC")</f>
        <v>0</v>
      </c>
      <c r="BD46" s="22">
        <f ca="1">+GETPIVOTDATA("XXS4",'xuanson (2016)'!$A$3,"MA_HT","TSC","MA_QH","PNK")</f>
        <v>0</v>
      </c>
      <c r="BE46" s="71">
        <f ca="1">+GETPIVOTDATA("XXS4",'xuanson (2016)'!$A$3,"MA_HT","TSC","MA_QH","CSD")</f>
        <v>0</v>
      </c>
      <c r="BF46" s="74">
        <f ca="1" t="shared" si="13"/>
        <v>0</v>
      </c>
      <c r="BG46" s="101">
        <f ca="1">AS$59-$BF46</f>
        <v>0</v>
      </c>
      <c r="BH46" s="41" t="e">
        <f ca="1" t="shared" si="14"/>
        <v>#REF!</v>
      </c>
      <c r="BI46" s="114"/>
      <c r="BJ46" s="114" t="e">
        <f>#REF!</f>
        <v>#REF!</v>
      </c>
      <c r="BK46" s="115" t="e">
        <f ca="1">BH46-BJ46</f>
        <v>#REF!</v>
      </c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</row>
    <row r="47" s="2" customFormat="1" ht="15.75" customHeight="1" spans="1:79">
      <c r="A47" s="54" t="s">
        <v>8412</v>
      </c>
      <c r="B47" s="55" t="s">
        <v>8413</v>
      </c>
      <c r="C47" s="56" t="s">
        <v>8293</v>
      </c>
      <c r="D47" s="57" t="e">
        <f>+#REF!</f>
        <v>#REF!</v>
      </c>
      <c r="E47" s="58">
        <f ca="1" t="shared" si="15"/>
        <v>0</v>
      </c>
      <c r="F47" s="59">
        <f ca="1" t="shared" si="9"/>
        <v>0</v>
      </c>
      <c r="G47" s="60">
        <f ca="1">+GETPIVOTDATA("XXS4",'xuanson (2016)'!$A$3,"MA_HT","DTS","MA_QH","LUC")</f>
        <v>0</v>
      </c>
      <c r="H47" s="60">
        <f ca="1">+GETPIVOTDATA("XXS4",'xuanson (2016)'!$A$3,"MA_HT","DTS","MA_QH","LUK")</f>
        <v>0</v>
      </c>
      <c r="I47" s="60">
        <f ca="1">+GETPIVOTDATA("XXS4",'xuanson (2016)'!$A$3,"MA_HT","DTS","MA_QH","LUN")</f>
        <v>0</v>
      </c>
      <c r="J47" s="60">
        <f ca="1">+GETPIVOTDATA("XXS4",'xuanson (2016)'!$A$3,"MA_HT","DTS","MA_QH","HNK")</f>
        <v>0</v>
      </c>
      <c r="K47" s="60">
        <f ca="1">+GETPIVOTDATA("XXS4",'xuanson (2016)'!$A$3,"MA_HT","DTS","MA_QH","CLN")</f>
        <v>0</v>
      </c>
      <c r="L47" s="60">
        <f ca="1">+GETPIVOTDATA("XXS4",'xuanson (2016)'!$A$3,"MA_HT","DTS","MA_QH","RSX")</f>
        <v>0</v>
      </c>
      <c r="M47" s="60">
        <f ca="1">+GETPIVOTDATA("XXS4",'xuanson (2016)'!$A$3,"MA_HT","DTS","MA_QH","RPH")</f>
        <v>0</v>
      </c>
      <c r="N47" s="60">
        <f ca="1">+GETPIVOTDATA("XXS4",'xuanson (2016)'!$A$3,"MA_HT","DTS","MA_QH","RDD")</f>
        <v>0</v>
      </c>
      <c r="O47" s="60">
        <f ca="1">+GETPIVOTDATA("XXS4",'xuanson (2016)'!$A$3,"MA_HT","DTS","MA_QH","NTS")</f>
        <v>0</v>
      </c>
      <c r="P47" s="60">
        <f ca="1">+GETPIVOTDATA("XXS4",'xuanson (2016)'!$A$3,"MA_HT","DTS","MA_QH","LMU")</f>
        <v>0</v>
      </c>
      <c r="Q47" s="60">
        <f ca="1">+GETPIVOTDATA("XXS4",'xuanson (2016)'!$A$3,"MA_HT","DTS","MA_QH","NKH")</f>
        <v>0</v>
      </c>
      <c r="R47" s="78">
        <f ca="1">SUM(S47:AA47,AN47:AS47,AU47:BD47)</f>
        <v>0</v>
      </c>
      <c r="S47" s="60">
        <f ca="1">+GETPIVOTDATA("XXS4",'xuanson (2016)'!$A$3,"MA_HT","DTS","MA_QH","CQP")</f>
        <v>0</v>
      </c>
      <c r="T47" s="60">
        <f ca="1">+GETPIVOTDATA("XXS4",'xuanson (2016)'!$A$3,"MA_HT","DTS","MA_QH","CAN")</f>
        <v>0</v>
      </c>
      <c r="U47" s="60">
        <f ca="1">+GETPIVOTDATA("XXS4",'xuanson (2016)'!$A$3,"MA_HT","DTS","MA_QH","SKK")</f>
        <v>0</v>
      </c>
      <c r="V47" s="60">
        <f ca="1">+GETPIVOTDATA("XXS4",'xuanson (2016)'!$A$3,"MA_HT","DTS","MA_QH","SKT")</f>
        <v>0</v>
      </c>
      <c r="W47" s="60">
        <f ca="1">+GETPIVOTDATA("XXS4",'xuanson (2016)'!$A$3,"MA_HT","DTS","MA_QH","SKN")</f>
        <v>0</v>
      </c>
      <c r="X47" s="60">
        <f ca="1">+GETPIVOTDATA("XXS4",'xuanson (2016)'!$A$3,"MA_HT","DTS","MA_QH","TMD")</f>
        <v>0</v>
      </c>
      <c r="Y47" s="60">
        <f ca="1">+GETPIVOTDATA("XXS4",'xuanson (2016)'!$A$3,"MA_HT","DTS","MA_QH","SKC")</f>
        <v>0</v>
      </c>
      <c r="Z47" s="60">
        <f ca="1">+GETPIVOTDATA("XXS4",'xuanson (2016)'!$A$3,"MA_HT","DTS","MA_QH","SKS")</f>
        <v>0</v>
      </c>
      <c r="AA47" s="59">
        <f ca="1" t="shared" si="21"/>
        <v>0</v>
      </c>
      <c r="AB47" s="60">
        <f ca="1">+GETPIVOTDATA("XXS4",'xuanson (2016)'!$A$3,"MA_HT","DTS","MA_QH","DGT")</f>
        <v>0</v>
      </c>
      <c r="AC47" s="60">
        <f ca="1">+GETPIVOTDATA("XXS4",'xuanson (2016)'!$A$3,"MA_HT","DTS","MA_QH","DTL")</f>
        <v>0</v>
      </c>
      <c r="AD47" s="60">
        <f ca="1">+GETPIVOTDATA("XXS4",'xuanson (2016)'!$A$3,"MA_HT","DTS","MA_QH","DNL")</f>
        <v>0</v>
      </c>
      <c r="AE47" s="60">
        <f ca="1">+GETPIVOTDATA("XXS4",'xuanson (2016)'!$A$3,"MA_HT","DTS","MA_QH","DBV")</f>
        <v>0</v>
      </c>
      <c r="AF47" s="60">
        <f ca="1">+GETPIVOTDATA("XXS4",'xuanson (2016)'!$A$3,"MA_HT","DTS","MA_QH","DVH")</f>
        <v>0</v>
      </c>
      <c r="AG47" s="60">
        <f ca="1">+GETPIVOTDATA("XXS4",'xuanson (2016)'!$A$3,"MA_HT","DTS","MA_QH","DYT")</f>
        <v>0</v>
      </c>
      <c r="AH47" s="60">
        <f ca="1">+GETPIVOTDATA("XXS4",'xuanson (2016)'!$A$3,"MA_HT","DTS","MA_QH","DGD")</f>
        <v>0</v>
      </c>
      <c r="AI47" s="60">
        <f ca="1">+GETPIVOTDATA("XXS4",'xuanson (2016)'!$A$3,"MA_HT","DTS","MA_QH","DTT")</f>
        <v>0</v>
      </c>
      <c r="AJ47" s="60">
        <f ca="1">+GETPIVOTDATA("XXS4",'xuanson (2016)'!$A$3,"MA_HT","DTS","MA_QH","NCK")</f>
        <v>0</v>
      </c>
      <c r="AK47" s="60">
        <f ca="1">+GETPIVOTDATA("XXS4",'xuanson (2016)'!$A$3,"MA_HT","DTS","MA_QH","DXH")</f>
        <v>0</v>
      </c>
      <c r="AL47" s="60">
        <f ca="1">+GETPIVOTDATA("XXS4",'xuanson (2016)'!$A$3,"MA_HT","DTS","MA_QH","DCH")</f>
        <v>0</v>
      </c>
      <c r="AM47" s="60">
        <f ca="1">+GETPIVOTDATA("XXS4",'xuanson (2016)'!$A$3,"MA_HT","DTS","MA_QH","DKG")</f>
        <v>0</v>
      </c>
      <c r="AN47" s="60">
        <f ca="1">+GETPIVOTDATA("XXS4",'xuanson (2016)'!$A$3,"MA_HT","DTS","MA_QH","DDT")</f>
        <v>0</v>
      </c>
      <c r="AO47" s="60">
        <f ca="1">+GETPIVOTDATA("XXS4",'xuanson (2016)'!$A$3,"MA_HT","DTS","MA_QH","DDL")</f>
        <v>0</v>
      </c>
      <c r="AP47" s="60">
        <f ca="1">+GETPIVOTDATA("XXS4",'xuanson (2016)'!$A$3,"MA_HT","DTS","MA_QH","DRA")</f>
        <v>0</v>
      </c>
      <c r="AQ47" s="60">
        <f ca="1">+GETPIVOTDATA("XXS4",'xuanson (2016)'!$A$3,"MA_HT","DTS","MA_QH","ONT")</f>
        <v>0</v>
      </c>
      <c r="AR47" s="60">
        <f ca="1">+GETPIVOTDATA("XXS4",'xuanson (2016)'!$A$3,"MA_HT","DTS","MA_QH","ODT")</f>
        <v>0</v>
      </c>
      <c r="AS47" s="60">
        <f ca="1">+GETPIVOTDATA("XXS4",'xuanson (2016)'!$A$3,"MA_HT","DTS","MA_QH","TSC")</f>
        <v>0</v>
      </c>
      <c r="AT47" s="81" t="e">
        <f ca="1">$D47-$BF47</f>
        <v>#REF!</v>
      </c>
      <c r="AU47" s="60">
        <f ca="1">+GETPIVOTDATA("XXS4",'xuanson (2016)'!$A$3,"MA_HT","DTS","MA_QH","DNG")</f>
        <v>0</v>
      </c>
      <c r="AV47" s="60">
        <f ca="1">+GETPIVOTDATA("XXS4",'xuanson (2016)'!$A$3,"MA_HT","DTS","MA_QH","TON")</f>
        <v>0</v>
      </c>
      <c r="AW47" s="60">
        <f ca="1">+GETPIVOTDATA("XXS4",'xuanson (2016)'!$A$3,"MA_HT","DTS","MA_QH","NTD")</f>
        <v>0</v>
      </c>
      <c r="AX47" s="60">
        <f ca="1">+GETPIVOTDATA("XXS4",'xuanson (2016)'!$A$3,"MA_HT","DTS","MA_QH","SKX")</f>
        <v>0</v>
      </c>
      <c r="AY47" s="60">
        <f ca="1">+GETPIVOTDATA("XXS4",'xuanson (2016)'!$A$3,"MA_HT","DTS","MA_QH","DSH")</f>
        <v>0</v>
      </c>
      <c r="AZ47" s="60">
        <f ca="1">+GETPIVOTDATA("XXS4",'xuanson (2016)'!$A$3,"MA_HT","DTS","MA_QH","DKV")</f>
        <v>0</v>
      </c>
      <c r="BA47" s="90">
        <f ca="1">+GETPIVOTDATA("XXS4",'xuanson (2016)'!$A$3,"MA_HT","DTS","MA_QH","TIN")</f>
        <v>0</v>
      </c>
      <c r="BB47" s="91">
        <f ca="1">+GETPIVOTDATA("XXS4",'xuanson (2016)'!$A$3,"MA_HT","DTS","MA_QH","SON")</f>
        <v>0</v>
      </c>
      <c r="BC47" s="91">
        <f ca="1">+GETPIVOTDATA("XXS4",'xuanson (2016)'!$A$3,"MA_HT","DTS","MA_QH","MNC")</f>
        <v>0</v>
      </c>
      <c r="BD47" s="60">
        <f ca="1">+GETPIVOTDATA("XXS4",'xuanson (2016)'!$A$3,"MA_HT","DTS","MA_QH","PNK")</f>
        <v>0</v>
      </c>
      <c r="BE47" s="111">
        <f ca="1">+GETPIVOTDATA("XXS4",'xuanson (2016)'!$A$3,"MA_HT","DTS","MA_QH","CSD")</f>
        <v>0</v>
      </c>
      <c r="BF47" s="112">
        <f ca="1" t="shared" si="13"/>
        <v>0</v>
      </c>
      <c r="BG47" s="113">
        <f ca="1">AT$59-$BF47</f>
        <v>0</v>
      </c>
      <c r="BH47" s="57" t="e">
        <f ca="1" t="shared" si="14"/>
        <v>#REF!</v>
      </c>
      <c r="BI47" s="98"/>
      <c r="BJ47" s="98"/>
      <c r="BK47" s="107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</row>
    <row r="48" s="2" customFormat="1" ht="15.75" customHeight="1" spans="1:79">
      <c r="A48" s="39" t="s">
        <v>8414</v>
      </c>
      <c r="B48" s="53" t="s">
        <v>8415</v>
      </c>
      <c r="C48" s="40" t="s">
        <v>8290</v>
      </c>
      <c r="D48" s="41" t="e">
        <f>+#REF!</f>
        <v>#REF!</v>
      </c>
      <c r="E48" s="42">
        <f ca="1" t="shared" si="15"/>
        <v>0</v>
      </c>
      <c r="F48" s="52">
        <f ca="1" t="shared" si="9"/>
        <v>0</v>
      </c>
      <c r="G48" s="22">
        <f ca="1">+GETPIVOTDATA("XXS4",'xuanson (2016)'!$A$3,"MA_HT","DNG","MA_QH","LUC")</f>
        <v>0</v>
      </c>
      <c r="H48" s="22">
        <f ca="1">+GETPIVOTDATA("XXS4",'xuanson (2016)'!$A$3,"MA_HT","DNG","MA_QH","LUK")</f>
        <v>0</v>
      </c>
      <c r="I48" s="22">
        <f ca="1">+GETPIVOTDATA("XXS4",'xuanson (2016)'!$A$3,"MA_HT","DNG","MA_QH","LUN")</f>
        <v>0</v>
      </c>
      <c r="J48" s="22">
        <f ca="1">+GETPIVOTDATA("XXS4",'xuanson (2016)'!$A$3,"MA_HT","DNG","MA_QH","HNK")</f>
        <v>0</v>
      </c>
      <c r="K48" s="22">
        <f ca="1">+GETPIVOTDATA("XXS4",'xuanson (2016)'!$A$3,"MA_HT","DNG","MA_QH","CLN")</f>
        <v>0</v>
      </c>
      <c r="L48" s="22">
        <f ca="1">+GETPIVOTDATA("XXS4",'xuanson (2016)'!$A$3,"MA_HT","DNG","MA_QH","RSX")</f>
        <v>0</v>
      </c>
      <c r="M48" s="22">
        <f ca="1">+GETPIVOTDATA("XXS4",'xuanson (2016)'!$A$3,"MA_HT","DNG","MA_QH","RPH")</f>
        <v>0</v>
      </c>
      <c r="N48" s="22">
        <f ca="1">+GETPIVOTDATA("XXS4",'xuanson (2016)'!$A$3,"MA_HT","DNG","MA_QH","RDD")</f>
        <v>0</v>
      </c>
      <c r="O48" s="22">
        <f ca="1">+GETPIVOTDATA("XXS4",'xuanson (2016)'!$A$3,"MA_HT","DNG","MA_QH","NTS")</f>
        <v>0</v>
      </c>
      <c r="P48" s="22">
        <f ca="1">+GETPIVOTDATA("XXS4",'xuanson (2016)'!$A$3,"MA_HT","DNG","MA_QH","LMU")</f>
        <v>0</v>
      </c>
      <c r="Q48" s="22">
        <f ca="1">+GETPIVOTDATA("XXS4",'xuanson (2016)'!$A$3,"MA_HT","DNG","MA_QH","NKH")</f>
        <v>0</v>
      </c>
      <c r="R48" s="79">
        <f ca="1">SUM(S48:AA48,AN48:AT48,AV48:BD48)</f>
        <v>0</v>
      </c>
      <c r="S48" s="22">
        <f ca="1">+GETPIVOTDATA("XXS4",'xuanson (2016)'!$A$3,"MA_HT","DNG","MA_QH","CQP")</f>
        <v>0</v>
      </c>
      <c r="T48" s="22">
        <f ca="1">+GETPIVOTDATA("XXS4",'xuanson (2016)'!$A$3,"MA_HT","DNG","MA_QH","CAN")</f>
        <v>0</v>
      </c>
      <c r="U48" s="22">
        <f ca="1">+GETPIVOTDATA("XXS4",'xuanson (2016)'!$A$3,"MA_HT","DNG","MA_QH","SKK")</f>
        <v>0</v>
      </c>
      <c r="V48" s="22">
        <f ca="1">+GETPIVOTDATA("XXS4",'xuanson (2016)'!$A$3,"MA_HT","DNG","MA_QH","SKT")</f>
        <v>0</v>
      </c>
      <c r="W48" s="22">
        <f ca="1">+GETPIVOTDATA("XXS4",'xuanson (2016)'!$A$3,"MA_HT","DNG","MA_QH","SKN")</f>
        <v>0</v>
      </c>
      <c r="X48" s="22">
        <f ca="1">+GETPIVOTDATA("XXS4",'xuanson (2016)'!$A$3,"MA_HT","DNG","MA_QH","TMD")</f>
        <v>0</v>
      </c>
      <c r="Y48" s="22">
        <f ca="1">+GETPIVOTDATA("XXS4",'xuanson (2016)'!$A$3,"MA_HT","DNG","MA_QH","SKC")</f>
        <v>0</v>
      </c>
      <c r="Z48" s="22">
        <f ca="1">+GETPIVOTDATA("XXS4",'xuanson (2016)'!$A$3,"MA_HT","DNG","MA_QH","SKS")</f>
        <v>0</v>
      </c>
      <c r="AA48" s="52">
        <f ca="1" t="shared" si="21"/>
        <v>0</v>
      </c>
      <c r="AB48" s="22">
        <f ca="1">+GETPIVOTDATA("XXS4",'xuanson (2016)'!$A$3,"MA_HT","DNG","MA_QH","DGT")</f>
        <v>0</v>
      </c>
      <c r="AC48" s="22">
        <f ca="1">+GETPIVOTDATA("XXS4",'xuanson (2016)'!$A$3,"MA_HT","DNG","MA_QH","DTL")</f>
        <v>0</v>
      </c>
      <c r="AD48" s="22">
        <f ca="1">+GETPIVOTDATA("XXS4",'xuanson (2016)'!$A$3,"MA_HT","DNG","MA_QH","DNL")</f>
        <v>0</v>
      </c>
      <c r="AE48" s="22">
        <f ca="1">+GETPIVOTDATA("XXS4",'xuanson (2016)'!$A$3,"MA_HT","DNG","MA_QH","DBV")</f>
        <v>0</v>
      </c>
      <c r="AF48" s="22">
        <f ca="1">+GETPIVOTDATA("XXS4",'xuanson (2016)'!$A$3,"MA_HT","DNG","MA_QH","DVH")</f>
        <v>0</v>
      </c>
      <c r="AG48" s="22">
        <f ca="1">+GETPIVOTDATA("XXS4",'xuanson (2016)'!$A$3,"MA_HT","DNG","MA_QH","DYT")</f>
        <v>0</v>
      </c>
      <c r="AH48" s="22">
        <f ca="1">+GETPIVOTDATA("XXS4",'xuanson (2016)'!$A$3,"MA_HT","DNG","MA_QH","DGD")</f>
        <v>0</v>
      </c>
      <c r="AI48" s="22">
        <f ca="1">+GETPIVOTDATA("XXS4",'xuanson (2016)'!$A$3,"MA_HT","DNG","MA_QH","DTT")</f>
        <v>0</v>
      </c>
      <c r="AJ48" s="22">
        <f ca="1">+GETPIVOTDATA("XXS4",'xuanson (2016)'!$A$3,"MA_HT","DNG","MA_QH","NCK")</f>
        <v>0</v>
      </c>
      <c r="AK48" s="22">
        <f ca="1">+GETPIVOTDATA("XXS4",'xuanson (2016)'!$A$3,"MA_HT","DNG","MA_QH","DXH")</f>
        <v>0</v>
      </c>
      <c r="AL48" s="22">
        <f ca="1">+GETPIVOTDATA("XXS4",'xuanson (2016)'!$A$3,"MA_HT","DNG","MA_QH","DCH")</f>
        <v>0</v>
      </c>
      <c r="AM48" s="22">
        <f ca="1">+GETPIVOTDATA("XXS4",'xuanson (2016)'!$A$3,"MA_HT","DNG","MA_QH","DKG")</f>
        <v>0</v>
      </c>
      <c r="AN48" s="22">
        <f ca="1">+GETPIVOTDATA("XXS4",'xuanson (2016)'!$A$3,"MA_HT","DNG","MA_QH","DDT")</f>
        <v>0</v>
      </c>
      <c r="AO48" s="22">
        <f ca="1">+GETPIVOTDATA("XXS4",'xuanson (2016)'!$A$3,"MA_HT","DNG","MA_QH","DDL")</f>
        <v>0</v>
      </c>
      <c r="AP48" s="22">
        <f ca="1">+GETPIVOTDATA("XXS4",'xuanson (2016)'!$A$3,"MA_HT","DNG","MA_QH","DRA")</f>
        <v>0</v>
      </c>
      <c r="AQ48" s="22">
        <f ca="1">+GETPIVOTDATA("XXS4",'xuanson (2016)'!$A$3,"MA_HT","DNG","MA_QH","ONT")</f>
        <v>0</v>
      </c>
      <c r="AR48" s="22">
        <f ca="1">+GETPIVOTDATA("XXS4",'xuanson (2016)'!$A$3,"MA_HT","DNG","MA_QH","ODT")</f>
        <v>0</v>
      </c>
      <c r="AS48" s="22">
        <f ca="1">+GETPIVOTDATA("XXS4",'xuanson (2016)'!$A$3,"MA_HT","DNG","MA_QH","TSC")</f>
        <v>0</v>
      </c>
      <c r="AT48" s="22">
        <f ca="1">+GETPIVOTDATA("XXS4",'xuanson (2016)'!$A$3,"MA_HT","DNG","MA_QH","DTS")</f>
        <v>0</v>
      </c>
      <c r="AU48" s="43" t="e">
        <f ca="1">$D48-$BF48</f>
        <v>#REF!</v>
      </c>
      <c r="AV48" s="22">
        <f ca="1">+GETPIVOTDATA("XXS4",'xuanson (2016)'!$A$3,"MA_HT","DNG","MA_QH","TON")</f>
        <v>0</v>
      </c>
      <c r="AW48" s="22">
        <f ca="1">+GETPIVOTDATA("XXS4",'xuanson (2016)'!$A$3,"MA_HT","DNG","MA_QH","NTD")</f>
        <v>0</v>
      </c>
      <c r="AX48" s="22">
        <f ca="1">+GETPIVOTDATA("XXS4",'xuanson (2016)'!$A$3,"MA_HT","DNG","MA_QH","SKX")</f>
        <v>0</v>
      </c>
      <c r="AY48" s="22">
        <f ca="1">+GETPIVOTDATA("XXS4",'xuanson (2016)'!$A$3,"MA_HT","DNG","MA_QH","DSH")</f>
        <v>0</v>
      </c>
      <c r="AZ48" s="22">
        <f ca="1">+GETPIVOTDATA("XXS4",'xuanson (2016)'!$A$3,"MA_HT","DNG","MA_QH","DKV")</f>
        <v>0</v>
      </c>
      <c r="BA48" s="89">
        <f ca="1">+GETPIVOTDATA("XXS4",'xuanson (2016)'!$A$3,"MA_HT","DNG","MA_QH","TIN")</f>
        <v>0</v>
      </c>
      <c r="BB48" s="50">
        <f ca="1">+GETPIVOTDATA("XXS4",'xuanson (2016)'!$A$3,"MA_HT","DNG","MA_QH","SON")</f>
        <v>0</v>
      </c>
      <c r="BC48" s="50">
        <f ca="1">+GETPIVOTDATA("XXS4",'xuanson (2016)'!$A$3,"MA_HT","DNG","MA_QH","MNC")</f>
        <v>0</v>
      </c>
      <c r="BD48" s="22">
        <f ca="1">+GETPIVOTDATA("XXS4",'xuanson (2016)'!$A$3,"MA_HT","DNG","MA_QH","PNK")</f>
        <v>0</v>
      </c>
      <c r="BE48" s="71">
        <f ca="1">+GETPIVOTDATA("XXS4",'xuanson (2016)'!$A$3,"MA_HT","DNG","MA_QH","CSD")</f>
        <v>0</v>
      </c>
      <c r="BF48" s="74">
        <f ca="1" t="shared" si="13"/>
        <v>0</v>
      </c>
      <c r="BG48" s="101">
        <f ca="1">AU$59-$BF48</f>
        <v>0</v>
      </c>
      <c r="BH48" s="41" t="e">
        <f ca="1" t="shared" si="14"/>
        <v>#REF!</v>
      </c>
      <c r="BI48" s="98"/>
      <c r="BJ48" s="98" t="e">
        <f>#REF!</f>
        <v>#REF!</v>
      </c>
      <c r="BK48" s="107" t="e">
        <f ca="1">BH48-BJ48</f>
        <v>#REF!</v>
      </c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</row>
    <row r="49" s="2" customFormat="1" ht="15.75" customHeight="1" spans="1:79">
      <c r="A49" s="39" t="s">
        <v>8416</v>
      </c>
      <c r="B49" s="53" t="s">
        <v>8417</v>
      </c>
      <c r="C49" s="40" t="s">
        <v>324</v>
      </c>
      <c r="D49" s="41" t="e">
        <f>+#REF!</f>
        <v>#REF!</v>
      </c>
      <c r="E49" s="42">
        <f ca="1" t="shared" si="15"/>
        <v>0</v>
      </c>
      <c r="F49" s="52">
        <f ca="1" t="shared" si="9"/>
        <v>0</v>
      </c>
      <c r="G49" s="22">
        <f ca="1">+GETPIVOTDATA("XXS4",'xuanson (2016)'!$A$3,"MA_HT","TON","MA_QH","LUC")</f>
        <v>0</v>
      </c>
      <c r="H49" s="22">
        <f ca="1">+GETPIVOTDATA("XXS4",'xuanson (2016)'!$A$3,"MA_HT","TON","MA_QH","LUK")</f>
        <v>0</v>
      </c>
      <c r="I49" s="22">
        <f ca="1">+GETPIVOTDATA("XXS4",'xuanson (2016)'!$A$3,"MA_HT","TON","MA_QH","LUN")</f>
        <v>0</v>
      </c>
      <c r="J49" s="22">
        <f ca="1">+GETPIVOTDATA("XXS4",'xuanson (2016)'!$A$3,"MA_HT","TON","MA_QH","HNK")</f>
        <v>0</v>
      </c>
      <c r="K49" s="22">
        <f ca="1">+GETPIVOTDATA("XXS4",'xuanson (2016)'!$A$3,"MA_HT","TON","MA_QH","CLN")</f>
        <v>0</v>
      </c>
      <c r="L49" s="22">
        <f ca="1">+GETPIVOTDATA("XXS4",'xuanson (2016)'!$A$3,"MA_HT","TON","MA_QH","RSX")</f>
        <v>0</v>
      </c>
      <c r="M49" s="22">
        <f ca="1">+GETPIVOTDATA("XXS4",'xuanson (2016)'!$A$3,"MA_HT","TON","MA_QH","RPH")</f>
        <v>0</v>
      </c>
      <c r="N49" s="22">
        <f ca="1">+GETPIVOTDATA("XXS4",'xuanson (2016)'!$A$3,"MA_HT","TON","MA_QH","RDD")</f>
        <v>0</v>
      </c>
      <c r="O49" s="22">
        <f ca="1">+GETPIVOTDATA("XXS4",'xuanson (2016)'!$A$3,"MA_HT","TON","MA_QH","NTS")</f>
        <v>0</v>
      </c>
      <c r="P49" s="22">
        <f ca="1">+GETPIVOTDATA("XXS4",'xuanson (2016)'!$A$3,"MA_HT","TON","MA_QH","LMU")</f>
        <v>0</v>
      </c>
      <c r="Q49" s="22">
        <f ca="1">+GETPIVOTDATA("XXS4",'xuanson (2016)'!$A$3,"MA_HT","TON","MA_QH","NKH")</f>
        <v>0</v>
      </c>
      <c r="R49" s="79">
        <f ca="1">SUM(S49:AA49,AN49:AU49,AW49:BD49)</f>
        <v>0</v>
      </c>
      <c r="S49" s="22">
        <f ca="1">+GETPIVOTDATA("XXS4",'xuanson (2016)'!$A$3,"MA_HT","TON","MA_QH","CQP")</f>
        <v>0</v>
      </c>
      <c r="T49" s="22">
        <f ca="1">+GETPIVOTDATA("XXS4",'xuanson (2016)'!$A$3,"MA_HT","TON","MA_QH","CAN")</f>
        <v>0</v>
      </c>
      <c r="U49" s="22">
        <f ca="1">+GETPIVOTDATA("XXS4",'xuanson (2016)'!$A$3,"MA_HT","TON","MA_QH","SKK")</f>
        <v>0</v>
      </c>
      <c r="V49" s="22">
        <f ca="1">+GETPIVOTDATA("XXS4",'xuanson (2016)'!$A$3,"MA_HT","TON","MA_QH","SKT")</f>
        <v>0</v>
      </c>
      <c r="W49" s="22">
        <f ca="1">+GETPIVOTDATA("XXS4",'xuanson (2016)'!$A$3,"MA_HT","TON","MA_QH","SKN")</f>
        <v>0</v>
      </c>
      <c r="X49" s="22">
        <f ca="1">+GETPIVOTDATA("XXS4",'xuanson (2016)'!$A$3,"MA_HT","TON","MA_QH","TMD")</f>
        <v>0</v>
      </c>
      <c r="Y49" s="22">
        <f ca="1">+GETPIVOTDATA("XXS4",'xuanson (2016)'!$A$3,"MA_HT","TON","MA_QH","SKC")</f>
        <v>0</v>
      </c>
      <c r="Z49" s="22">
        <f ca="1">+GETPIVOTDATA("XXS4",'xuanson (2016)'!$A$3,"MA_HT","TON","MA_QH","SKS")</f>
        <v>0</v>
      </c>
      <c r="AA49" s="52">
        <f ca="1" t="shared" si="21"/>
        <v>0</v>
      </c>
      <c r="AB49" s="22">
        <f ca="1">+GETPIVOTDATA("XXS4",'xuanson (2016)'!$A$3,"MA_HT","TON","MA_QH","DGT")</f>
        <v>0</v>
      </c>
      <c r="AC49" s="22">
        <f ca="1">+GETPIVOTDATA("XXS4",'xuanson (2016)'!$A$3,"MA_HT","TON","MA_QH","DTL")</f>
        <v>0</v>
      </c>
      <c r="AD49" s="22">
        <f ca="1">+GETPIVOTDATA("XXS4",'xuanson (2016)'!$A$3,"MA_HT","TON","MA_QH","DNL")</f>
        <v>0</v>
      </c>
      <c r="AE49" s="22">
        <f ca="1">+GETPIVOTDATA("XXS4",'xuanson (2016)'!$A$3,"MA_HT","TON","MA_QH","DBV")</f>
        <v>0</v>
      </c>
      <c r="AF49" s="22">
        <f ca="1">+GETPIVOTDATA("XXS4",'xuanson (2016)'!$A$3,"MA_HT","TON","MA_QH","DVH")</f>
        <v>0</v>
      </c>
      <c r="AG49" s="22">
        <f ca="1">+GETPIVOTDATA("XXS4",'xuanson (2016)'!$A$3,"MA_HT","TON","MA_QH","DYT")</f>
        <v>0</v>
      </c>
      <c r="AH49" s="22">
        <f ca="1">+GETPIVOTDATA("XXS4",'xuanson (2016)'!$A$3,"MA_HT","TON","MA_QH","DGD")</f>
        <v>0</v>
      </c>
      <c r="AI49" s="22">
        <f ca="1">+GETPIVOTDATA("XXS4",'xuanson (2016)'!$A$3,"MA_HT","TON","MA_QH","DTT")</f>
        <v>0</v>
      </c>
      <c r="AJ49" s="22">
        <f ca="1">+GETPIVOTDATA("XXS4",'xuanson (2016)'!$A$3,"MA_HT","TON","MA_QH","NCK")</f>
        <v>0</v>
      </c>
      <c r="AK49" s="22">
        <f ca="1">+GETPIVOTDATA("XXS4",'xuanson (2016)'!$A$3,"MA_HT","TON","MA_QH","DXH")</f>
        <v>0</v>
      </c>
      <c r="AL49" s="22">
        <f ca="1">+GETPIVOTDATA("XXS4",'xuanson (2016)'!$A$3,"MA_HT","TON","MA_QH","DCH")</f>
        <v>0</v>
      </c>
      <c r="AM49" s="22">
        <f ca="1">+GETPIVOTDATA("XXS4",'xuanson (2016)'!$A$3,"MA_HT","TON","MA_QH","DKG")</f>
        <v>0</v>
      </c>
      <c r="AN49" s="22">
        <f ca="1">+GETPIVOTDATA("XXS4",'xuanson (2016)'!$A$3,"MA_HT","TON","MA_QH","DDT")</f>
        <v>0</v>
      </c>
      <c r="AO49" s="22">
        <f ca="1">+GETPIVOTDATA("XXS4",'xuanson (2016)'!$A$3,"MA_HT","TON","MA_QH","DDL")</f>
        <v>0</v>
      </c>
      <c r="AP49" s="22">
        <f ca="1">+GETPIVOTDATA("XXS4",'xuanson (2016)'!$A$3,"MA_HT","TON","MA_QH","DRA")</f>
        <v>0</v>
      </c>
      <c r="AQ49" s="22">
        <f ca="1">+GETPIVOTDATA("XXS4",'xuanson (2016)'!$A$3,"MA_HT","TON","MA_QH","ONT")</f>
        <v>0</v>
      </c>
      <c r="AR49" s="22">
        <f ca="1">+GETPIVOTDATA("XXS4",'xuanson (2016)'!$A$3,"MA_HT","TON","MA_QH","ODT")</f>
        <v>0</v>
      </c>
      <c r="AS49" s="22">
        <f ca="1">+GETPIVOTDATA("XXS4",'xuanson (2016)'!$A$3,"MA_HT","TON","MA_QH","TSC")</f>
        <v>0</v>
      </c>
      <c r="AT49" s="22">
        <f ca="1">+GETPIVOTDATA("XXS4",'xuanson (2016)'!$A$3,"MA_HT","TON","MA_QH","DTS")</f>
        <v>0</v>
      </c>
      <c r="AU49" s="22">
        <f ca="1">+GETPIVOTDATA("XXS4",'xuanson (2016)'!$A$3,"MA_HT","TON","MA_QH","DNG")</f>
        <v>0</v>
      </c>
      <c r="AV49" s="43" t="e">
        <f ca="1">$D49-$BF49</f>
        <v>#REF!</v>
      </c>
      <c r="AW49" s="22">
        <f ca="1">+GETPIVOTDATA("XXS4",'xuanson (2016)'!$A$3,"MA_HT","TON","MA_QH","NTD")</f>
        <v>0</v>
      </c>
      <c r="AX49" s="22">
        <f ca="1">+GETPIVOTDATA("XXS4",'xuanson (2016)'!$A$3,"MA_HT","TON","MA_QH","SKX")</f>
        <v>0</v>
      </c>
      <c r="AY49" s="22">
        <f ca="1">+GETPIVOTDATA("XXS4",'xuanson (2016)'!$A$3,"MA_HT","TON","MA_QH","DSH")</f>
        <v>0</v>
      </c>
      <c r="AZ49" s="22">
        <f ca="1">+GETPIVOTDATA("XXS4",'xuanson (2016)'!$A$3,"MA_HT","TON","MA_QH","DKV")</f>
        <v>0</v>
      </c>
      <c r="BA49" s="89">
        <f ca="1">+GETPIVOTDATA("XXS4",'xuanson (2016)'!$A$3,"MA_HT","TON","MA_QH","TIN")</f>
        <v>0</v>
      </c>
      <c r="BB49" s="50">
        <f ca="1">+GETPIVOTDATA("XXS4",'xuanson (2016)'!$A$3,"MA_HT","TON","MA_QH","SON")</f>
        <v>0</v>
      </c>
      <c r="BC49" s="50">
        <f ca="1">+GETPIVOTDATA("XXS4",'xuanson (2016)'!$A$3,"MA_HT","TON","MA_QH","MNC")</f>
        <v>0</v>
      </c>
      <c r="BD49" s="22">
        <f ca="1">+GETPIVOTDATA("XXS4",'xuanson (2016)'!$A$3,"MA_HT","TON","MA_QH","PNK")</f>
        <v>0</v>
      </c>
      <c r="BE49" s="71">
        <f ca="1">+GETPIVOTDATA("XXS4",'xuanson (2016)'!$A$3,"MA_HT","TON","MA_QH","CSD")</f>
        <v>0</v>
      </c>
      <c r="BF49" s="74">
        <f ca="1" t="shared" si="13"/>
        <v>0</v>
      </c>
      <c r="BG49" s="101">
        <f ca="1">AV$59-$BF49</f>
        <v>0</v>
      </c>
      <c r="BH49" s="41" t="e">
        <f ca="1" t="shared" si="14"/>
        <v>#REF!</v>
      </c>
      <c r="BI49" s="98"/>
      <c r="BJ49" s="98" t="e">
        <f>#REF!</f>
        <v>#REF!</v>
      </c>
      <c r="BK49" s="107" t="e">
        <f ca="1">BH49-BJ49</f>
        <v>#REF!</v>
      </c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</row>
    <row r="50" s="2" customFormat="1" ht="15.75" customHeight="1" spans="1:79">
      <c r="A50" s="39" t="s">
        <v>8418</v>
      </c>
      <c r="B50" s="53" t="s">
        <v>8419</v>
      </c>
      <c r="C50" s="40" t="s">
        <v>182</v>
      </c>
      <c r="D50" s="41" t="e">
        <f>+#REF!</f>
        <v>#REF!</v>
      </c>
      <c r="E50" s="42">
        <f ca="1" t="shared" si="15"/>
        <v>0</v>
      </c>
      <c r="F50" s="52">
        <f ca="1" t="shared" si="9"/>
        <v>0</v>
      </c>
      <c r="G50" s="22">
        <f ca="1">+GETPIVOTDATA("XXS4",'xuanson (2016)'!$A$3,"MA_HT","NTD","MA_QH","LUC")</f>
        <v>0</v>
      </c>
      <c r="H50" s="22">
        <f ca="1">+GETPIVOTDATA("XXS4",'xuanson (2016)'!$A$3,"MA_HT","NTD","MA_QH","LUK")</f>
        <v>0</v>
      </c>
      <c r="I50" s="22">
        <f ca="1">+GETPIVOTDATA("XXS4",'xuanson (2016)'!$A$3,"MA_HT","NTD","MA_QH","LUN")</f>
        <v>0</v>
      </c>
      <c r="J50" s="22">
        <f ca="1">+GETPIVOTDATA("XXS4",'xuanson (2016)'!$A$3,"MA_HT","NTD","MA_QH","HNK")</f>
        <v>0</v>
      </c>
      <c r="K50" s="22">
        <f ca="1">+GETPIVOTDATA("XXS4",'xuanson (2016)'!$A$3,"MA_HT","NTD","MA_QH","CLN")</f>
        <v>0</v>
      </c>
      <c r="L50" s="22">
        <f ca="1">+GETPIVOTDATA("XXS4",'xuanson (2016)'!$A$3,"MA_HT","NTD","MA_QH","RSX")</f>
        <v>0</v>
      </c>
      <c r="M50" s="22">
        <f ca="1">+GETPIVOTDATA("XXS4",'xuanson (2016)'!$A$3,"MA_HT","NTD","MA_QH","RPH")</f>
        <v>0</v>
      </c>
      <c r="N50" s="22">
        <f ca="1">+GETPIVOTDATA("XXS4",'xuanson (2016)'!$A$3,"MA_HT","NTD","MA_QH","RDD")</f>
        <v>0</v>
      </c>
      <c r="O50" s="22">
        <f ca="1">+GETPIVOTDATA("XXS4",'xuanson (2016)'!$A$3,"MA_HT","NTD","MA_QH","NTS")</f>
        <v>0</v>
      </c>
      <c r="P50" s="22">
        <f ca="1">+GETPIVOTDATA("XXS4",'xuanson (2016)'!$A$3,"MA_HT","NTD","MA_QH","LMU")</f>
        <v>0</v>
      </c>
      <c r="Q50" s="22">
        <f ca="1">+GETPIVOTDATA("XXS4",'xuanson (2016)'!$A$3,"MA_HT","NTD","MA_QH","NKH")</f>
        <v>0</v>
      </c>
      <c r="R50" s="79">
        <f ca="1">SUM(S50:AA50,AN50:AV50,AX50:BD50)</f>
        <v>0</v>
      </c>
      <c r="S50" s="22">
        <f ca="1">+GETPIVOTDATA("XXS4",'xuanson (2016)'!$A$3,"MA_HT","NTD","MA_QH","CQP")</f>
        <v>0</v>
      </c>
      <c r="T50" s="22">
        <f ca="1">+GETPIVOTDATA("XXS4",'xuanson (2016)'!$A$3,"MA_HT","NTD","MA_QH","CAN")</f>
        <v>0</v>
      </c>
      <c r="U50" s="22">
        <f ca="1">+GETPIVOTDATA("XXS4",'xuanson (2016)'!$A$3,"MA_HT","NTD","MA_QH","SKK")</f>
        <v>0</v>
      </c>
      <c r="V50" s="22">
        <f ca="1">+GETPIVOTDATA("XXS4",'xuanson (2016)'!$A$3,"MA_HT","NTD","MA_QH","SKT")</f>
        <v>0</v>
      </c>
      <c r="W50" s="22">
        <f ca="1">+GETPIVOTDATA("XXS4",'xuanson (2016)'!$A$3,"MA_HT","NTD","MA_QH","SKN")</f>
        <v>0</v>
      </c>
      <c r="X50" s="22">
        <f ca="1">+GETPIVOTDATA("XXS4",'xuanson (2016)'!$A$3,"MA_HT","NTD","MA_QH","TMD")</f>
        <v>0</v>
      </c>
      <c r="Y50" s="22">
        <f ca="1">+GETPIVOTDATA("XXS4",'xuanson (2016)'!$A$3,"MA_HT","NTD","MA_QH","SKC")</f>
        <v>0</v>
      </c>
      <c r="Z50" s="22">
        <f ca="1">+GETPIVOTDATA("XXS4",'xuanson (2016)'!$A$3,"MA_HT","NTD","MA_QH","SKS")</f>
        <v>0</v>
      </c>
      <c r="AA50" s="52">
        <f ca="1" t="shared" si="21"/>
        <v>0</v>
      </c>
      <c r="AB50" s="22">
        <f ca="1">+GETPIVOTDATA("XXS4",'xuanson (2016)'!$A$3,"MA_HT","NTD","MA_QH","DGT")</f>
        <v>0</v>
      </c>
      <c r="AC50" s="22">
        <f ca="1">+GETPIVOTDATA("XXS4",'xuanson (2016)'!$A$3,"MA_HT","NTD","MA_QH","DTL")</f>
        <v>0</v>
      </c>
      <c r="AD50" s="22">
        <f ca="1">+GETPIVOTDATA("XXS4",'xuanson (2016)'!$A$3,"MA_HT","NTD","MA_QH","DNL")</f>
        <v>0</v>
      </c>
      <c r="AE50" s="22">
        <f ca="1">+GETPIVOTDATA("XXS4",'xuanson (2016)'!$A$3,"MA_HT","NTD","MA_QH","DBV")</f>
        <v>0</v>
      </c>
      <c r="AF50" s="22">
        <f ca="1">+GETPIVOTDATA("XXS4",'xuanson (2016)'!$A$3,"MA_HT","NTD","MA_QH","DVH")</f>
        <v>0</v>
      </c>
      <c r="AG50" s="22">
        <f ca="1">+GETPIVOTDATA("XXS4",'xuanson (2016)'!$A$3,"MA_HT","NTD","MA_QH","DYT")</f>
        <v>0</v>
      </c>
      <c r="AH50" s="22">
        <f ca="1">+GETPIVOTDATA("XXS4",'xuanson (2016)'!$A$3,"MA_HT","NTD","MA_QH","DGD")</f>
        <v>0</v>
      </c>
      <c r="AI50" s="22">
        <f ca="1">+GETPIVOTDATA("XXS4",'xuanson (2016)'!$A$3,"MA_HT","NTD","MA_QH","DTT")</f>
        <v>0</v>
      </c>
      <c r="AJ50" s="22">
        <f ca="1">+GETPIVOTDATA("XXS4",'xuanson (2016)'!$A$3,"MA_HT","NTD","MA_QH","NCK")</f>
        <v>0</v>
      </c>
      <c r="AK50" s="22">
        <f ca="1">+GETPIVOTDATA("XXS4",'xuanson (2016)'!$A$3,"MA_HT","NTD","MA_QH","DXH")</f>
        <v>0</v>
      </c>
      <c r="AL50" s="22">
        <f ca="1">+GETPIVOTDATA("XXS4",'xuanson (2016)'!$A$3,"MA_HT","NTD","MA_QH","DCH")</f>
        <v>0</v>
      </c>
      <c r="AM50" s="22">
        <f ca="1">+GETPIVOTDATA("XXS4",'xuanson (2016)'!$A$3,"MA_HT","NTD","MA_QH","DKG")</f>
        <v>0</v>
      </c>
      <c r="AN50" s="22">
        <f ca="1">+GETPIVOTDATA("XXS4",'xuanson (2016)'!$A$3,"MA_HT","NTD","MA_QH","DDT")</f>
        <v>0</v>
      </c>
      <c r="AO50" s="22">
        <f ca="1">+GETPIVOTDATA("XXS4",'xuanson (2016)'!$A$3,"MA_HT","NTD","MA_QH","DDL")</f>
        <v>0</v>
      </c>
      <c r="AP50" s="22">
        <f ca="1">+GETPIVOTDATA("XXS4",'xuanson (2016)'!$A$3,"MA_HT","NTD","MA_QH","DRA")</f>
        <v>0</v>
      </c>
      <c r="AQ50" s="22">
        <f ca="1">+GETPIVOTDATA("XXS4",'xuanson (2016)'!$A$3,"MA_HT","NTD","MA_QH","ONT")</f>
        <v>0</v>
      </c>
      <c r="AR50" s="22">
        <f ca="1">+GETPIVOTDATA("XXS4",'xuanson (2016)'!$A$3,"MA_HT","NTD","MA_QH","ODT")</f>
        <v>0</v>
      </c>
      <c r="AS50" s="22">
        <f ca="1">+GETPIVOTDATA("XXS4",'xuanson (2016)'!$A$3,"MA_HT","NTD","MA_QH","TSC")</f>
        <v>0</v>
      </c>
      <c r="AT50" s="22">
        <f ca="1">+GETPIVOTDATA("XXS4",'xuanson (2016)'!$A$3,"MA_HT","NTD","MA_QH","DTS")</f>
        <v>0</v>
      </c>
      <c r="AU50" s="22">
        <f ca="1">+GETPIVOTDATA("XXS4",'xuanson (2016)'!$A$3,"MA_HT","NTD","MA_QH","DNG")</f>
        <v>0</v>
      </c>
      <c r="AV50" s="22">
        <f ca="1">+GETPIVOTDATA("XXS4",'xuanson (2016)'!$A$3,"MA_HT","NTD","MA_QH","TON")</f>
        <v>0</v>
      </c>
      <c r="AW50" s="43" t="e">
        <f ca="1">$D50-$BF50</f>
        <v>#REF!</v>
      </c>
      <c r="AX50" s="22">
        <f ca="1">+GETPIVOTDATA("XXS4",'xuanson (2016)'!$A$3,"MA_HT","NTD","MA_QH","SKX")</f>
        <v>0</v>
      </c>
      <c r="AY50" s="22">
        <f ca="1">+GETPIVOTDATA("XXS4",'xuanson (2016)'!$A$3,"MA_HT","NTD","MA_QH","DSH")</f>
        <v>0</v>
      </c>
      <c r="AZ50" s="22">
        <f ca="1">+GETPIVOTDATA("XXS4",'xuanson (2016)'!$A$3,"MA_HT","NTD","MA_QH","DKV")</f>
        <v>0</v>
      </c>
      <c r="BA50" s="89">
        <f ca="1">+GETPIVOTDATA("XXS4",'xuanson (2016)'!$A$3,"MA_HT","NTD","MA_QH","TIN")</f>
        <v>0</v>
      </c>
      <c r="BB50" s="50">
        <f ca="1">+GETPIVOTDATA("XXS4",'xuanson (2016)'!$A$3,"MA_HT","NTD","MA_QH","SON")</f>
        <v>0</v>
      </c>
      <c r="BC50" s="50">
        <f ca="1">+GETPIVOTDATA("XXS4",'xuanson (2016)'!$A$3,"MA_HT","NTD","MA_QH","MNC")</f>
        <v>0</v>
      </c>
      <c r="BD50" s="22">
        <f ca="1">+GETPIVOTDATA("XXS4",'xuanson (2016)'!$A$3,"MA_HT","NTD","MA_QH","PNK")</f>
        <v>0</v>
      </c>
      <c r="BE50" s="71">
        <f ca="1">+GETPIVOTDATA("XXS4",'xuanson (2016)'!$A$3,"MA_HT","NTD","MA_QH","CSD")</f>
        <v>0</v>
      </c>
      <c r="BF50" s="74">
        <f ca="1" t="shared" si="13"/>
        <v>0</v>
      </c>
      <c r="BG50" s="101">
        <f ca="1">AW$59-$BF50</f>
        <v>0</v>
      </c>
      <c r="BH50" s="41" t="e">
        <f ca="1" t="shared" si="14"/>
        <v>#REF!</v>
      </c>
      <c r="BI50" s="98"/>
      <c r="BJ50" s="98"/>
      <c r="BK50" s="107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</row>
    <row r="51" s="2" customFormat="1" ht="15.75" customHeight="1" spans="1:79">
      <c r="A51" s="39" t="s">
        <v>8420</v>
      </c>
      <c r="B51" s="39" t="s">
        <v>8421</v>
      </c>
      <c r="C51" s="40" t="s">
        <v>236</v>
      </c>
      <c r="D51" s="41" t="e">
        <f>+#REF!</f>
        <v>#REF!</v>
      </c>
      <c r="E51" s="42">
        <f ca="1" t="shared" si="15"/>
        <v>0</v>
      </c>
      <c r="F51" s="52">
        <f ca="1" t="shared" si="9"/>
        <v>0</v>
      </c>
      <c r="G51" s="22">
        <f ca="1">+GETPIVOTDATA("XXS4",'xuanson (2016)'!$A$3,"MA_HT","SKX","MA_QH","LUC")</f>
        <v>0</v>
      </c>
      <c r="H51" s="22">
        <f ca="1">+GETPIVOTDATA("XXS4",'xuanson (2016)'!$A$3,"MA_HT","SKX","MA_QH","LUK")</f>
        <v>0</v>
      </c>
      <c r="I51" s="22">
        <f ca="1">+GETPIVOTDATA("XXS4",'xuanson (2016)'!$A$3,"MA_HT","SKX","MA_QH","LUN")</f>
        <v>0</v>
      </c>
      <c r="J51" s="22">
        <f ca="1">+GETPIVOTDATA("XXS4",'xuanson (2016)'!$A$3,"MA_HT","SKX","MA_QH","HNK")</f>
        <v>0</v>
      </c>
      <c r="K51" s="22">
        <f ca="1">+GETPIVOTDATA("XXS4",'xuanson (2016)'!$A$3,"MA_HT","SKX","MA_QH","CLN")</f>
        <v>0</v>
      </c>
      <c r="L51" s="22">
        <f ca="1">+GETPIVOTDATA("XXS4",'xuanson (2016)'!$A$3,"MA_HT","SKX","MA_QH","RSX")</f>
        <v>0</v>
      </c>
      <c r="M51" s="22">
        <f ca="1">+GETPIVOTDATA("XXS4",'xuanson (2016)'!$A$3,"MA_HT","SKX","MA_QH","RPH")</f>
        <v>0</v>
      </c>
      <c r="N51" s="22">
        <f ca="1">+GETPIVOTDATA("XXS4",'xuanson (2016)'!$A$3,"MA_HT","SKX","MA_QH","RDD")</f>
        <v>0</v>
      </c>
      <c r="O51" s="22">
        <f ca="1">+GETPIVOTDATA("XXS4",'xuanson (2016)'!$A$3,"MA_HT","SKX","MA_QH","NTS")</f>
        <v>0</v>
      </c>
      <c r="P51" s="22">
        <f ca="1">+GETPIVOTDATA("XXS4",'xuanson (2016)'!$A$3,"MA_HT","SKX","MA_QH","LMU")</f>
        <v>0</v>
      </c>
      <c r="Q51" s="22">
        <f ca="1">+GETPIVOTDATA("XXS4",'xuanson (2016)'!$A$3,"MA_HT","SKX","MA_QH","NKH")</f>
        <v>0</v>
      </c>
      <c r="R51" s="79">
        <f ca="1">SUM(S51:AA51,AN51:AW51,AY51:BD51)</f>
        <v>0</v>
      </c>
      <c r="S51" s="22">
        <f ca="1">+GETPIVOTDATA("XXS4",'xuanson (2016)'!$A$3,"MA_HT","SKX","MA_QH","CQP")</f>
        <v>0</v>
      </c>
      <c r="T51" s="22">
        <f ca="1">+GETPIVOTDATA("XXS4",'xuanson (2016)'!$A$3,"MA_HT","SKX","MA_QH","CAN")</f>
        <v>0</v>
      </c>
      <c r="U51" s="22">
        <f ca="1">+GETPIVOTDATA("XXS4",'xuanson (2016)'!$A$3,"MA_HT","SKX","MA_QH","SKK")</f>
        <v>0</v>
      </c>
      <c r="V51" s="22">
        <f ca="1">+GETPIVOTDATA("XXS4",'xuanson (2016)'!$A$3,"MA_HT","SKX","MA_QH","SKT")</f>
        <v>0</v>
      </c>
      <c r="W51" s="22">
        <f ca="1">+GETPIVOTDATA("XXS4",'xuanson (2016)'!$A$3,"MA_HT","SKX","MA_QH","SKN")</f>
        <v>0</v>
      </c>
      <c r="X51" s="22">
        <f ca="1">+GETPIVOTDATA("XXS4",'xuanson (2016)'!$A$3,"MA_HT","SKX","MA_QH","TMD")</f>
        <v>0</v>
      </c>
      <c r="Y51" s="22">
        <f ca="1">+GETPIVOTDATA("XXS4",'xuanson (2016)'!$A$3,"MA_HT","SKX","MA_QH","SKC")</f>
        <v>0</v>
      </c>
      <c r="Z51" s="22">
        <f ca="1">+GETPIVOTDATA("XXS4",'xuanson (2016)'!$A$3,"MA_HT","SKX","MA_QH","SKS")</f>
        <v>0</v>
      </c>
      <c r="AA51" s="52">
        <f ca="1" t="shared" si="21"/>
        <v>0</v>
      </c>
      <c r="AB51" s="22">
        <f ca="1">+GETPIVOTDATA("XXS4",'xuanson (2016)'!$A$3,"MA_HT","SKX","MA_QH","DGT")</f>
        <v>0</v>
      </c>
      <c r="AC51" s="22">
        <f ca="1">+GETPIVOTDATA("XXS4",'xuanson (2016)'!$A$3,"MA_HT","SKX","MA_QH","DTL")</f>
        <v>0</v>
      </c>
      <c r="AD51" s="22">
        <f ca="1">+GETPIVOTDATA("XXS4",'xuanson (2016)'!$A$3,"MA_HT","SKX","MA_QH","DNL")</f>
        <v>0</v>
      </c>
      <c r="AE51" s="22">
        <f ca="1">+GETPIVOTDATA("XXS4",'xuanson (2016)'!$A$3,"MA_HT","SKX","MA_QH","DBV")</f>
        <v>0</v>
      </c>
      <c r="AF51" s="22">
        <f ca="1">+GETPIVOTDATA("XXS4",'xuanson (2016)'!$A$3,"MA_HT","SKX","MA_QH","DVH")</f>
        <v>0</v>
      </c>
      <c r="AG51" s="22">
        <f ca="1">+GETPIVOTDATA("XXS4",'xuanson (2016)'!$A$3,"MA_HT","SKX","MA_QH","DYT")</f>
        <v>0</v>
      </c>
      <c r="AH51" s="22">
        <f ca="1">+GETPIVOTDATA("XXS4",'xuanson (2016)'!$A$3,"MA_HT","SKX","MA_QH","DGD")</f>
        <v>0</v>
      </c>
      <c r="AI51" s="22">
        <f ca="1">+GETPIVOTDATA("XXS4",'xuanson (2016)'!$A$3,"MA_HT","SKX","MA_QH","DTT")</f>
        <v>0</v>
      </c>
      <c r="AJ51" s="22">
        <f ca="1">+GETPIVOTDATA("XXS4",'xuanson (2016)'!$A$3,"MA_HT","SKX","MA_QH","NCK")</f>
        <v>0</v>
      </c>
      <c r="AK51" s="22">
        <f ca="1">+GETPIVOTDATA("XXS4",'xuanson (2016)'!$A$3,"MA_HT","SKX","MA_QH","DXH")</f>
        <v>0</v>
      </c>
      <c r="AL51" s="22">
        <f ca="1">+GETPIVOTDATA("XXS4",'xuanson (2016)'!$A$3,"MA_HT","SKX","MA_QH","DCH")</f>
        <v>0</v>
      </c>
      <c r="AM51" s="22">
        <f ca="1">+GETPIVOTDATA("XXS4",'xuanson (2016)'!$A$3,"MA_HT","SKX","MA_QH","DKG")</f>
        <v>0</v>
      </c>
      <c r="AN51" s="22">
        <f ca="1">+GETPIVOTDATA("XXS4",'xuanson (2016)'!$A$3,"MA_HT","SKX","MA_QH","DDT")</f>
        <v>0</v>
      </c>
      <c r="AO51" s="22">
        <f ca="1">+GETPIVOTDATA("XXS4",'xuanson (2016)'!$A$3,"MA_HT","SKX","MA_QH","DDL")</f>
        <v>0</v>
      </c>
      <c r="AP51" s="22">
        <f ca="1">+GETPIVOTDATA("XXS4",'xuanson (2016)'!$A$3,"MA_HT","SKX","MA_QH","DRA")</f>
        <v>0</v>
      </c>
      <c r="AQ51" s="22">
        <f ca="1">+GETPIVOTDATA("XXS4",'xuanson (2016)'!$A$3,"MA_HT","SKX","MA_QH","ONT")</f>
        <v>0</v>
      </c>
      <c r="AR51" s="22">
        <f ca="1">+GETPIVOTDATA("XXS4",'xuanson (2016)'!$A$3,"MA_HT","SKX","MA_QH","ODT")</f>
        <v>0</v>
      </c>
      <c r="AS51" s="22">
        <f ca="1">+GETPIVOTDATA("XXS4",'xuanson (2016)'!$A$3,"MA_HT","SKX","MA_QH","TSC")</f>
        <v>0</v>
      </c>
      <c r="AT51" s="22">
        <f ca="1">+GETPIVOTDATA("XXS4",'xuanson (2016)'!$A$3,"MA_HT","SKX","MA_QH","DTS")</f>
        <v>0</v>
      </c>
      <c r="AU51" s="22">
        <f ca="1">+GETPIVOTDATA("XXS4",'xuanson (2016)'!$A$3,"MA_HT","SKX","MA_QH","DNG")</f>
        <v>0</v>
      </c>
      <c r="AV51" s="22">
        <f ca="1">+GETPIVOTDATA("XXS4",'xuanson (2016)'!$A$3,"MA_HT","SKX","MA_QH","TON")</f>
        <v>0</v>
      </c>
      <c r="AW51" s="22">
        <f ca="1">+GETPIVOTDATA("XXS4",'xuanson (2016)'!$A$3,"MA_HT","SKX","MA_QH","NTD")</f>
        <v>0</v>
      </c>
      <c r="AX51" s="43" t="e">
        <f ca="1">$D51-$BF51</f>
        <v>#REF!</v>
      </c>
      <c r="AY51" s="22">
        <f ca="1">+GETPIVOTDATA("XXS4",'xuanson (2016)'!$A$3,"MA_HT","SKX","MA_QH","DSH")</f>
        <v>0</v>
      </c>
      <c r="AZ51" s="22">
        <f ca="1">+GETPIVOTDATA("XXS4",'xuanson (2016)'!$A$3,"MA_HT","SKX","MA_QH","DKV")</f>
        <v>0</v>
      </c>
      <c r="BA51" s="89">
        <f ca="1">+GETPIVOTDATA("XXS4",'xuanson (2016)'!$A$3,"MA_HT","SKX","MA_QH","TIN")</f>
        <v>0</v>
      </c>
      <c r="BB51" s="50">
        <f ca="1">+GETPIVOTDATA("XXS4",'xuanson (2016)'!$A$3,"MA_HT","SKX","MA_QH","SON")</f>
        <v>0</v>
      </c>
      <c r="BC51" s="50">
        <f ca="1">+GETPIVOTDATA("XXS4",'xuanson (2016)'!$A$3,"MA_HT","SKX","MA_QH","MNC")</f>
        <v>0</v>
      </c>
      <c r="BD51" s="22">
        <f ca="1">+GETPIVOTDATA("XXS4",'xuanson (2016)'!$A$3,"MA_HT","SKX","MA_QH","PNK")</f>
        <v>0</v>
      </c>
      <c r="BE51" s="71">
        <f ca="1">+GETPIVOTDATA("XXS4",'xuanson (2016)'!$A$3,"MA_HT","SKX","MA_QH","CSD")</f>
        <v>0</v>
      </c>
      <c r="BF51" s="74">
        <f ca="1" t="shared" si="13"/>
        <v>0</v>
      </c>
      <c r="BG51" s="101">
        <f ca="1">AX$59-$BF51</f>
        <v>0</v>
      </c>
      <c r="BH51" s="41" t="e">
        <f ca="1" t="shared" si="14"/>
        <v>#REF!</v>
      </c>
      <c r="BI51" s="98"/>
      <c r="BJ51" s="98" t="e">
        <f>#REF!</f>
        <v>#REF!</v>
      </c>
      <c r="BK51" s="107" t="e">
        <f ca="1">BH51-BJ51</f>
        <v>#REF!</v>
      </c>
      <c r="BL51" s="98"/>
      <c r="BM51" s="122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</row>
    <row r="52" s="2" customFormat="1" ht="15.75" customHeight="1" spans="1:79">
      <c r="A52" s="39" t="s">
        <v>8422</v>
      </c>
      <c r="B52" s="39" t="s">
        <v>8423</v>
      </c>
      <c r="C52" s="40" t="s">
        <v>8292</v>
      </c>
      <c r="D52" s="41" t="e">
        <f>+#REF!</f>
        <v>#REF!</v>
      </c>
      <c r="E52" s="42">
        <f ca="1" t="shared" si="15"/>
        <v>0</v>
      </c>
      <c r="F52" s="52">
        <f ca="1" t="shared" si="9"/>
        <v>0</v>
      </c>
      <c r="G52" s="22">
        <f ca="1">+GETPIVOTDATA("XXS4",'xuanson (2016)'!$A$3,"MA_HT","DSH","MA_QH","LUC")</f>
        <v>0</v>
      </c>
      <c r="H52" s="22">
        <f ca="1">+GETPIVOTDATA("XXS4",'xuanson (2016)'!$A$3,"MA_HT","DSH","MA_QH","LUK")</f>
        <v>0</v>
      </c>
      <c r="I52" s="22">
        <f ca="1">+GETPIVOTDATA("XXS4",'xuanson (2016)'!$A$3,"MA_HT","DSH","MA_QH","LUN")</f>
        <v>0</v>
      </c>
      <c r="J52" s="22">
        <f ca="1">+GETPIVOTDATA("XXS4",'xuanson (2016)'!$A$3,"MA_HT","DSH","MA_QH","HNK")</f>
        <v>0</v>
      </c>
      <c r="K52" s="22">
        <f ca="1">+GETPIVOTDATA("XXS4",'xuanson (2016)'!$A$3,"MA_HT","DSH","MA_QH","CLN")</f>
        <v>0</v>
      </c>
      <c r="L52" s="22">
        <f ca="1">+GETPIVOTDATA("XXS4",'xuanson (2016)'!$A$3,"MA_HT","DSH","MA_QH","RSX")</f>
        <v>0</v>
      </c>
      <c r="M52" s="22">
        <f ca="1">+GETPIVOTDATA("XXS4",'xuanson (2016)'!$A$3,"MA_HT","DSH","MA_QH","RPH")</f>
        <v>0</v>
      </c>
      <c r="N52" s="22">
        <f ca="1">+GETPIVOTDATA("XXS4",'xuanson (2016)'!$A$3,"MA_HT","DSH","MA_QH","RDD")</f>
        <v>0</v>
      </c>
      <c r="O52" s="22">
        <f ca="1">+GETPIVOTDATA("XXS4",'xuanson (2016)'!$A$3,"MA_HT","DSH","MA_QH","NTS")</f>
        <v>0</v>
      </c>
      <c r="P52" s="22">
        <f ca="1">+GETPIVOTDATA("XXS4",'xuanson (2016)'!$A$3,"MA_HT","DSH","MA_QH","LMU")</f>
        <v>0</v>
      </c>
      <c r="Q52" s="22">
        <f ca="1">+GETPIVOTDATA("XXS4",'xuanson (2016)'!$A$3,"MA_HT","DSH","MA_QH","NKH")</f>
        <v>0</v>
      </c>
      <c r="R52" s="79">
        <f ca="1">SUM(S52:AA52,AN52:AX52,AZ52:BD52)</f>
        <v>0</v>
      </c>
      <c r="S52" s="22">
        <f ca="1">+GETPIVOTDATA("XXS4",'xuanson (2016)'!$A$3,"MA_HT","DSH","MA_QH","CQP")</f>
        <v>0</v>
      </c>
      <c r="T52" s="22">
        <f ca="1">+GETPIVOTDATA("XXS4",'xuanson (2016)'!$A$3,"MA_HT","DSH","MA_QH","CAN")</f>
        <v>0</v>
      </c>
      <c r="U52" s="22">
        <f ca="1">+GETPIVOTDATA("XXS4",'xuanson (2016)'!$A$3,"MA_HT","DSH","MA_QH","SKK")</f>
        <v>0</v>
      </c>
      <c r="V52" s="22">
        <f ca="1">+GETPIVOTDATA("XXS4",'xuanson (2016)'!$A$3,"MA_HT","DSH","MA_QH","SKT")</f>
        <v>0</v>
      </c>
      <c r="W52" s="22">
        <f ca="1">+GETPIVOTDATA("XXS4",'xuanson (2016)'!$A$3,"MA_HT","DSH","MA_QH","SKN")</f>
        <v>0</v>
      </c>
      <c r="X52" s="22">
        <f ca="1">+GETPIVOTDATA("XXS4",'xuanson (2016)'!$A$3,"MA_HT","DSH","MA_QH","TMD")</f>
        <v>0</v>
      </c>
      <c r="Y52" s="22">
        <f ca="1">+GETPIVOTDATA("XXS4",'xuanson (2016)'!$A$3,"MA_HT","DSH","MA_QH","SKC")</f>
        <v>0</v>
      </c>
      <c r="Z52" s="22">
        <f ca="1">+GETPIVOTDATA("XXS4",'xuanson (2016)'!$A$3,"MA_HT","DSH","MA_QH","SKS")</f>
        <v>0</v>
      </c>
      <c r="AA52" s="52">
        <f ca="1" t="shared" si="21"/>
        <v>0</v>
      </c>
      <c r="AB52" s="22">
        <f ca="1">+GETPIVOTDATA("XXS4",'xuanson (2016)'!$A$3,"MA_HT","DSH","MA_QH","DGT")</f>
        <v>0</v>
      </c>
      <c r="AC52" s="22">
        <f ca="1">+GETPIVOTDATA("XXS4",'xuanson (2016)'!$A$3,"MA_HT","DSH","MA_QH","DTL")</f>
        <v>0</v>
      </c>
      <c r="AD52" s="22">
        <f ca="1">+GETPIVOTDATA("XXS4",'xuanson (2016)'!$A$3,"MA_HT","DSH","MA_QH","DNL")</f>
        <v>0</v>
      </c>
      <c r="AE52" s="22">
        <f ca="1">+GETPIVOTDATA("XXS4",'xuanson (2016)'!$A$3,"MA_HT","DSH","MA_QH","DBV")</f>
        <v>0</v>
      </c>
      <c r="AF52" s="22">
        <f ca="1">+GETPIVOTDATA("XXS4",'xuanson (2016)'!$A$3,"MA_HT","DSH","MA_QH","DVH")</f>
        <v>0</v>
      </c>
      <c r="AG52" s="22">
        <f ca="1">+GETPIVOTDATA("XXS4",'xuanson (2016)'!$A$3,"MA_HT","DSH","MA_QH","DYT")</f>
        <v>0</v>
      </c>
      <c r="AH52" s="22">
        <f ca="1">+GETPIVOTDATA("XXS4",'xuanson (2016)'!$A$3,"MA_HT","DSH","MA_QH","DGD")</f>
        <v>0</v>
      </c>
      <c r="AI52" s="22">
        <f ca="1">+GETPIVOTDATA("XXS4",'xuanson (2016)'!$A$3,"MA_HT","DSH","MA_QH","DTT")</f>
        <v>0</v>
      </c>
      <c r="AJ52" s="22">
        <f ca="1">+GETPIVOTDATA("XXS4",'xuanson (2016)'!$A$3,"MA_HT","DSH","MA_QH","NCK")</f>
        <v>0</v>
      </c>
      <c r="AK52" s="22">
        <f ca="1">+GETPIVOTDATA("XXS4",'xuanson (2016)'!$A$3,"MA_HT","DSH","MA_QH","DXH")</f>
        <v>0</v>
      </c>
      <c r="AL52" s="22">
        <f ca="1">+GETPIVOTDATA("XXS4",'xuanson (2016)'!$A$3,"MA_HT","DSH","MA_QH","DCH")</f>
        <v>0</v>
      </c>
      <c r="AM52" s="22">
        <f ca="1">+GETPIVOTDATA("XXS4",'xuanson (2016)'!$A$3,"MA_HT","DSH","MA_QH","DKG")</f>
        <v>0</v>
      </c>
      <c r="AN52" s="22">
        <f ca="1">+GETPIVOTDATA("XXS4",'xuanson (2016)'!$A$3,"MA_HT","DSH","MA_QH","DDT")</f>
        <v>0</v>
      </c>
      <c r="AO52" s="22">
        <f ca="1">+GETPIVOTDATA("XXS4",'xuanson (2016)'!$A$3,"MA_HT","DSH","MA_QH","DDL")</f>
        <v>0</v>
      </c>
      <c r="AP52" s="22">
        <f ca="1">+GETPIVOTDATA("XXS4",'xuanson (2016)'!$A$3,"MA_HT","DSH","MA_QH","DRA")</f>
        <v>0</v>
      </c>
      <c r="AQ52" s="22">
        <f ca="1">+GETPIVOTDATA("XXS4",'xuanson (2016)'!$A$3,"MA_HT","DSH","MA_QH","ONT")</f>
        <v>0</v>
      </c>
      <c r="AR52" s="22">
        <f ca="1">+GETPIVOTDATA("XXS4",'xuanson (2016)'!$A$3,"MA_HT","DSH","MA_QH","ODT")</f>
        <v>0</v>
      </c>
      <c r="AS52" s="22">
        <f ca="1">+GETPIVOTDATA("XXS4",'xuanson (2016)'!$A$3,"MA_HT","DSH","MA_QH","TSC")</f>
        <v>0</v>
      </c>
      <c r="AT52" s="22">
        <f ca="1">+GETPIVOTDATA("XXS4",'xuanson (2016)'!$A$3,"MA_HT","DSH","MA_QH","DTS")</f>
        <v>0</v>
      </c>
      <c r="AU52" s="22">
        <f ca="1">+GETPIVOTDATA("XXS4",'xuanson (2016)'!$A$3,"MA_HT","DSH","MA_QH","DNG")</f>
        <v>0</v>
      </c>
      <c r="AV52" s="22">
        <f ca="1">+GETPIVOTDATA("XXS4",'xuanson (2016)'!$A$3,"MA_HT","DSH","MA_QH","TON")</f>
        <v>0</v>
      </c>
      <c r="AW52" s="22">
        <f ca="1">+GETPIVOTDATA("XXS4",'xuanson (2016)'!$A$3,"MA_HT","DSH","MA_QH","NTD")</f>
        <v>0</v>
      </c>
      <c r="AX52" s="22">
        <f ca="1">+GETPIVOTDATA("XXS4",'xuanson (2016)'!$A$3,"MA_HT","DSH","MA_QH","SKX")</f>
        <v>0</v>
      </c>
      <c r="AY52" s="43" t="e">
        <f ca="1">$D52-$BF52</f>
        <v>#REF!</v>
      </c>
      <c r="AZ52" s="22">
        <f ca="1">+GETPIVOTDATA("XXS4",'xuanson (2016)'!$A$3,"MA_HT","DSH","MA_QH","DKV")</f>
        <v>0</v>
      </c>
      <c r="BA52" s="89">
        <f ca="1">+GETPIVOTDATA("XXS4",'xuanson (2016)'!$A$3,"MA_HT","DSH","MA_QH","TIN")</f>
        <v>0</v>
      </c>
      <c r="BB52" s="50">
        <f ca="1">+GETPIVOTDATA("XXS4",'xuanson (2016)'!$A$3,"MA_HT","DSH","MA_QH","SON")</f>
        <v>0</v>
      </c>
      <c r="BC52" s="50">
        <f ca="1">+GETPIVOTDATA("XXS4",'xuanson (2016)'!$A$3,"MA_HT","DSH","MA_QH","MNC")</f>
        <v>0</v>
      </c>
      <c r="BD52" s="22">
        <f ca="1">+GETPIVOTDATA("XXS4",'xuanson (2016)'!$A$3,"MA_HT","DSH","MA_QH","PNK")</f>
        <v>0</v>
      </c>
      <c r="BE52" s="71">
        <f ca="1">+GETPIVOTDATA("XXS4",'xuanson (2016)'!$A$3,"MA_HT","DSH","MA_QH","CSD")</f>
        <v>0</v>
      </c>
      <c r="BF52" s="74">
        <f ca="1" t="shared" si="13"/>
        <v>0</v>
      </c>
      <c r="BG52" s="101">
        <f ca="1">AY$59-$BF52</f>
        <v>0</v>
      </c>
      <c r="BH52" s="41" t="e">
        <f ca="1" t="shared" si="14"/>
        <v>#REF!</v>
      </c>
      <c r="BI52" s="98"/>
      <c r="BJ52" s="98" t="e">
        <f>#REF!</f>
        <v>#REF!</v>
      </c>
      <c r="BK52" s="107" t="e">
        <f ca="1">BH52-BJ52</f>
        <v>#REF!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</row>
    <row r="53" s="2" customFormat="1" ht="15.75" customHeight="1" spans="1:79">
      <c r="A53" s="39" t="s">
        <v>8424</v>
      </c>
      <c r="B53" s="39" t="s">
        <v>8425</v>
      </c>
      <c r="C53" s="40" t="s">
        <v>8289</v>
      </c>
      <c r="D53" s="41" t="e">
        <f>+#REF!</f>
        <v>#REF!</v>
      </c>
      <c r="E53" s="42">
        <f ca="1" t="shared" si="15"/>
        <v>0</v>
      </c>
      <c r="F53" s="52">
        <f ca="1" t="shared" si="9"/>
        <v>0</v>
      </c>
      <c r="G53" s="22">
        <f ca="1">+GETPIVOTDATA("XXS4",'xuanson (2016)'!$A$3,"MA_HT","DKV","MA_QH","LUC")</f>
        <v>0</v>
      </c>
      <c r="H53" s="22">
        <f ca="1">+GETPIVOTDATA("XXS4",'xuanson (2016)'!$A$3,"MA_HT","DKV","MA_QH","LUK")</f>
        <v>0</v>
      </c>
      <c r="I53" s="22">
        <f ca="1">+GETPIVOTDATA("XXS4",'xuanson (2016)'!$A$3,"MA_HT","DKV","MA_QH","LUN")</f>
        <v>0</v>
      </c>
      <c r="J53" s="22">
        <f ca="1">+GETPIVOTDATA("XXS4",'xuanson (2016)'!$A$3,"MA_HT","DKV","MA_QH","HNK")</f>
        <v>0</v>
      </c>
      <c r="K53" s="22">
        <f ca="1">+GETPIVOTDATA("XXS4",'xuanson (2016)'!$A$3,"MA_HT","DKV","MA_QH","CLN")</f>
        <v>0</v>
      </c>
      <c r="L53" s="22">
        <f ca="1">+GETPIVOTDATA("XXS4",'xuanson (2016)'!$A$3,"MA_HT","DKV","MA_QH","RSX")</f>
        <v>0</v>
      </c>
      <c r="M53" s="22">
        <f ca="1">+GETPIVOTDATA("XXS4",'xuanson (2016)'!$A$3,"MA_HT","DKV","MA_QH","RPH")</f>
        <v>0</v>
      </c>
      <c r="N53" s="22">
        <f ca="1">+GETPIVOTDATA("XXS4",'xuanson (2016)'!$A$3,"MA_HT","DKV","MA_QH","RDD")</f>
        <v>0</v>
      </c>
      <c r="O53" s="22">
        <f ca="1">+GETPIVOTDATA("XXS4",'xuanson (2016)'!$A$3,"MA_HT","DKV","MA_QH","NTS")</f>
        <v>0</v>
      </c>
      <c r="P53" s="22">
        <f ca="1">+GETPIVOTDATA("XXS4",'xuanson (2016)'!$A$3,"MA_HT","DKV","MA_QH","LMU")</f>
        <v>0</v>
      </c>
      <c r="Q53" s="22">
        <f ca="1">+GETPIVOTDATA("XXS4",'xuanson (2016)'!$A$3,"MA_HT","DKV","MA_QH","NKH")</f>
        <v>0</v>
      </c>
      <c r="R53" s="79">
        <f ca="1">SUM(S53:AA53,AN53:AY53,BB53:BD53)</f>
        <v>0</v>
      </c>
      <c r="S53" s="22">
        <f ca="1">+GETPIVOTDATA("XXS4",'xuanson (2016)'!$A$3,"MA_HT","DKV","MA_QH","CQP")</f>
        <v>0</v>
      </c>
      <c r="T53" s="22">
        <f ca="1">+GETPIVOTDATA("XXS4",'xuanson (2016)'!$A$3,"MA_HT","DKV","MA_QH","CAN")</f>
        <v>0</v>
      </c>
      <c r="U53" s="22">
        <f ca="1">+GETPIVOTDATA("XXS4",'xuanson (2016)'!$A$3,"MA_HT","DKV","MA_QH","SKK")</f>
        <v>0</v>
      </c>
      <c r="V53" s="22">
        <f ca="1">+GETPIVOTDATA("XXS4",'xuanson (2016)'!$A$3,"MA_HT","DKV","MA_QH","SKT")</f>
        <v>0</v>
      </c>
      <c r="W53" s="22">
        <f ca="1">+GETPIVOTDATA("XXS4",'xuanson (2016)'!$A$3,"MA_HT","DKV","MA_QH","SKN")</f>
        <v>0</v>
      </c>
      <c r="X53" s="22">
        <f ca="1">+GETPIVOTDATA("XXS4",'xuanson (2016)'!$A$3,"MA_HT","DKV","MA_QH","TMD")</f>
        <v>0</v>
      </c>
      <c r="Y53" s="22">
        <f ca="1">+GETPIVOTDATA("XXS4",'xuanson (2016)'!$A$3,"MA_HT","DKV","MA_QH","SKC")</f>
        <v>0</v>
      </c>
      <c r="Z53" s="22">
        <f ca="1">+GETPIVOTDATA("XXS4",'xuanson (2016)'!$A$3,"MA_HT","DKV","MA_QH","SKS")</f>
        <v>0</v>
      </c>
      <c r="AA53" s="52">
        <f ca="1" t="shared" si="21"/>
        <v>0</v>
      </c>
      <c r="AB53" s="22">
        <f ca="1">+GETPIVOTDATA("XXS4",'xuanson (2016)'!$A$3,"MA_HT","DKV","MA_QH","DGT")</f>
        <v>0</v>
      </c>
      <c r="AC53" s="22">
        <f ca="1">+GETPIVOTDATA("XXS4",'xuanson (2016)'!$A$3,"MA_HT","DKV","MA_QH","DTL")</f>
        <v>0</v>
      </c>
      <c r="AD53" s="22">
        <f ca="1">+GETPIVOTDATA("XXS4",'xuanson (2016)'!$A$3,"MA_HT","DKV","MA_QH","DNL")</f>
        <v>0</v>
      </c>
      <c r="AE53" s="22">
        <f ca="1">+GETPIVOTDATA("XXS4",'xuanson (2016)'!$A$3,"MA_HT","DKV","MA_QH","DBV")</f>
        <v>0</v>
      </c>
      <c r="AF53" s="22">
        <f ca="1">+GETPIVOTDATA("XXS4",'xuanson (2016)'!$A$3,"MA_HT","DKV","MA_QH","DVH")</f>
        <v>0</v>
      </c>
      <c r="AG53" s="22">
        <f ca="1">+GETPIVOTDATA("XXS4",'xuanson (2016)'!$A$3,"MA_HT","DKV","MA_QH","DYT")</f>
        <v>0</v>
      </c>
      <c r="AH53" s="22">
        <f ca="1">+GETPIVOTDATA("XXS4",'xuanson (2016)'!$A$3,"MA_HT","DKV","MA_QH","DGD")</f>
        <v>0</v>
      </c>
      <c r="AI53" s="22">
        <f ca="1">+GETPIVOTDATA("XXS4",'xuanson (2016)'!$A$3,"MA_HT","DKV","MA_QH","DTT")</f>
        <v>0</v>
      </c>
      <c r="AJ53" s="22">
        <f ca="1">+GETPIVOTDATA("XXS4",'xuanson (2016)'!$A$3,"MA_HT","DKV","MA_QH","NCK")</f>
        <v>0</v>
      </c>
      <c r="AK53" s="22">
        <f ca="1">+GETPIVOTDATA("XXS4",'xuanson (2016)'!$A$3,"MA_HT","DKV","MA_QH","DXH")</f>
        <v>0</v>
      </c>
      <c r="AL53" s="22">
        <f ca="1">+GETPIVOTDATA("XXS4",'xuanson (2016)'!$A$3,"MA_HT","DKV","MA_QH","DCH")</f>
        <v>0</v>
      </c>
      <c r="AM53" s="22">
        <f ca="1">+GETPIVOTDATA("XXS4",'xuanson (2016)'!$A$3,"MA_HT","DKV","MA_QH","DKG")</f>
        <v>0</v>
      </c>
      <c r="AN53" s="22">
        <f ca="1">+GETPIVOTDATA("XXS4",'xuanson (2016)'!$A$3,"MA_HT","DKV","MA_QH","DDT")</f>
        <v>0</v>
      </c>
      <c r="AO53" s="22">
        <f ca="1">+GETPIVOTDATA("XXS4",'xuanson (2016)'!$A$3,"MA_HT","DKV","MA_QH","DDL")</f>
        <v>0</v>
      </c>
      <c r="AP53" s="22">
        <f ca="1">+GETPIVOTDATA("XXS4",'xuanson (2016)'!$A$3,"MA_HT","DKV","MA_QH","DRA")</f>
        <v>0</v>
      </c>
      <c r="AQ53" s="22">
        <f ca="1">+GETPIVOTDATA("XXS4",'xuanson (2016)'!$A$3,"MA_HT","DKV","MA_QH","ONT")</f>
        <v>0</v>
      </c>
      <c r="AR53" s="22">
        <f ca="1">+GETPIVOTDATA("XXS4",'xuanson (2016)'!$A$3,"MA_HT","DKV","MA_QH","ODT")</f>
        <v>0</v>
      </c>
      <c r="AS53" s="22">
        <f ca="1">+GETPIVOTDATA("XXS4",'xuanson (2016)'!$A$3,"MA_HT","DKV","MA_QH","TSC")</f>
        <v>0</v>
      </c>
      <c r="AT53" s="22">
        <f ca="1">+GETPIVOTDATA("XXS4",'xuanson (2016)'!$A$3,"MA_HT","DKV","MA_QH","DTS")</f>
        <v>0</v>
      </c>
      <c r="AU53" s="22">
        <f ca="1">+GETPIVOTDATA("XXS4",'xuanson (2016)'!$A$3,"MA_HT","DKV","MA_QH","DNG")</f>
        <v>0</v>
      </c>
      <c r="AV53" s="22">
        <f ca="1">+GETPIVOTDATA("XXS4",'xuanson (2016)'!$A$3,"MA_HT","DKV","MA_QH","TON")</f>
        <v>0</v>
      </c>
      <c r="AW53" s="22">
        <f ca="1">+GETPIVOTDATA("XXS4",'xuanson (2016)'!$A$3,"MA_HT","DKV","MA_QH","NTD")</f>
        <v>0</v>
      </c>
      <c r="AX53" s="22">
        <f ca="1">+GETPIVOTDATA("XXS4",'xuanson (2016)'!$A$3,"MA_HT","DKV","MA_QH","SKX")</f>
        <v>0</v>
      </c>
      <c r="AY53" s="22">
        <f ca="1">+GETPIVOTDATA("XXS4",'xuanson (2016)'!$A$3,"MA_HT","DKV","MA_QH","DSH")</f>
        <v>0</v>
      </c>
      <c r="AZ53" s="43" t="e">
        <f ca="1">$D53-$BF53</f>
        <v>#REF!</v>
      </c>
      <c r="BA53" s="89">
        <f ca="1">+GETPIVOTDATA("XXS4",'xuanson (2016)'!$A$3,"MA_HT","DKV","MA_QH","TIN")</f>
        <v>0</v>
      </c>
      <c r="BB53" s="50">
        <f ca="1">+GETPIVOTDATA("XXS4",'xuanson (2016)'!$A$3,"MA_HT","DKV","MA_QH","SON")</f>
        <v>0</v>
      </c>
      <c r="BC53" s="50">
        <f ca="1">+GETPIVOTDATA("XXS4",'xuanson (2016)'!$A$3,"MA_HT","DKV","MA_QH","MNC")</f>
        <v>0</v>
      </c>
      <c r="BD53" s="22">
        <f ca="1">+GETPIVOTDATA("XXS4",'xuanson (2016)'!$A$3,"MA_HT","DKV","MA_QH","PNK")</f>
        <v>0</v>
      </c>
      <c r="BE53" s="71">
        <f ca="1">+GETPIVOTDATA("XXS4",'xuanson (2016)'!$A$3,"MA_HT","DKV","MA_QH","CSD")</f>
        <v>0</v>
      </c>
      <c r="BF53" s="74">
        <f ca="1" t="shared" si="13"/>
        <v>0</v>
      </c>
      <c r="BG53" s="101">
        <f ca="1">AZ$59-$BF53</f>
        <v>0</v>
      </c>
      <c r="BH53" s="41" t="e">
        <f ca="1" t="shared" si="14"/>
        <v>#REF!</v>
      </c>
      <c r="BI53" s="98"/>
      <c r="BJ53" s="98" t="e">
        <f>#REF!</f>
        <v>#REF!</v>
      </c>
      <c r="BK53" s="107" t="e">
        <f ca="1">BH53-BJ53</f>
        <v>#REF!</v>
      </c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</row>
    <row r="54" s="2" customFormat="1" ht="15.75" customHeight="1" spans="1:75">
      <c r="A54" s="39" t="s">
        <v>8426</v>
      </c>
      <c r="B54" s="39" t="s">
        <v>8427</v>
      </c>
      <c r="C54" s="40" t="s">
        <v>8310</v>
      </c>
      <c r="D54" s="41" t="e">
        <f>+#REF!</f>
        <v>#REF!</v>
      </c>
      <c r="E54" s="33">
        <f ca="1" t="shared" si="15"/>
        <v>0</v>
      </c>
      <c r="F54" s="52">
        <f ca="1">SUM(F29:F39)</f>
        <v>0</v>
      </c>
      <c r="G54" s="22">
        <f ca="1">+GETPIVOTDATA("XXS4",'xuanson (2016)'!$A$3,"MA_HT","TIN","MA_QH","LUC")</f>
        <v>0</v>
      </c>
      <c r="H54" s="22">
        <f ca="1">+GETPIVOTDATA("XXS4",'xuanson (2016)'!$A$3,"MA_HT","TIN","MA_QH","LUK")</f>
        <v>0</v>
      </c>
      <c r="I54" s="22">
        <f ca="1">+GETPIVOTDATA("XXS4",'xuanson (2016)'!$A$3,"MA_HT","TIN","MA_QH","LUN")</f>
        <v>0</v>
      </c>
      <c r="J54" s="22">
        <f ca="1">+GETPIVOTDATA("XXS4",'xuanson (2016)'!$A$3,"MA_HT","TIN","MA_QH","HNK")</f>
        <v>0</v>
      </c>
      <c r="K54" s="22">
        <f ca="1">+GETPIVOTDATA("XXS4",'xuanson (2016)'!$A$3,"MA_HT","TIN","MA_QH","CLN")</f>
        <v>0</v>
      </c>
      <c r="L54" s="22">
        <f ca="1">+GETPIVOTDATA("XXS4",'xuanson (2016)'!$A$3,"MA_HT","TIN","MA_QH","RSX")</f>
        <v>0</v>
      </c>
      <c r="M54" s="22">
        <f ca="1">+GETPIVOTDATA("XXS4",'xuanson (2016)'!$A$3,"MA_HT","TIN","MA_QH","RPH")</f>
        <v>0</v>
      </c>
      <c r="N54" s="22">
        <f ca="1">+GETPIVOTDATA("XXS4",'xuanson (2016)'!$A$3,"MA_HT","TIN","MA_QH","RDD")</f>
        <v>0</v>
      </c>
      <c r="O54" s="22">
        <f ca="1">+GETPIVOTDATA("XXS4",'xuanson (2016)'!$A$3,"MA_HT","TIN","MA_QH","NTS")</f>
        <v>0</v>
      </c>
      <c r="P54" s="22">
        <f ca="1">+GETPIVOTDATA("XXS4",'xuanson (2016)'!$A$3,"MA_HT","TIN","MA_QH","LMU")</f>
        <v>0</v>
      </c>
      <c r="Q54" s="22">
        <f ca="1">+GETPIVOTDATA("XXS4",'xuanson (2016)'!$A$3,"MA_HT","TIN","MA_QH","NKH")</f>
        <v>0</v>
      </c>
      <c r="R54" s="79">
        <f ca="1">SUM(S54:AA54,AN54:AZ54,BB54:BD54)</f>
        <v>0</v>
      </c>
      <c r="S54" s="22">
        <f ca="1">+GETPIVOTDATA("XXS4",'xuanson (2016)'!$A$3,"MA_HT","TIN","MA_QH","CQP")</f>
        <v>0</v>
      </c>
      <c r="T54" s="22">
        <f ca="1">+GETPIVOTDATA("XXS4",'xuanson (2016)'!$A$3,"MA_HT","TIN","MA_QH","CAN")</f>
        <v>0</v>
      </c>
      <c r="U54" s="22">
        <f ca="1">+GETPIVOTDATA("XXS4",'xuanson (2016)'!$A$3,"MA_HT","TIN","MA_QH","SKK")</f>
        <v>0</v>
      </c>
      <c r="V54" s="22">
        <f ca="1">+GETPIVOTDATA("XXS4",'xuanson (2016)'!$A$3,"MA_HT","TIN","MA_QH","SKT")</f>
        <v>0</v>
      </c>
      <c r="W54" s="22">
        <f ca="1">+GETPIVOTDATA("XXS4",'xuanson (2016)'!$A$3,"MA_HT","TIN","MA_QH","SKN")</f>
        <v>0</v>
      </c>
      <c r="X54" s="22">
        <f ca="1">+GETPIVOTDATA("XXS4",'xuanson (2016)'!$A$3,"MA_HT","TIN","MA_QH","TMD")</f>
        <v>0</v>
      </c>
      <c r="Y54" s="22">
        <f ca="1">+GETPIVOTDATA("XXS4",'xuanson (2016)'!$A$3,"MA_HT","TIN","MA_QH","SKC")</f>
        <v>0</v>
      </c>
      <c r="Z54" s="22">
        <f ca="1">+GETPIVOTDATA("XXS4",'xuanson (2016)'!$A$3,"MA_HT","TIN","MA_QH","SKS")</f>
        <v>0</v>
      </c>
      <c r="AA54" s="52">
        <f ca="1" t="shared" si="21"/>
        <v>0</v>
      </c>
      <c r="AB54" s="22">
        <f ca="1">+GETPIVOTDATA("XXS4",'xuanson (2016)'!$A$3,"MA_HT","TIN","MA_QH","DGT")</f>
        <v>0</v>
      </c>
      <c r="AC54" s="22">
        <f ca="1">+GETPIVOTDATA("XXS4",'xuanson (2016)'!$A$3,"MA_HT","TIN","MA_QH","DTL")</f>
        <v>0</v>
      </c>
      <c r="AD54" s="22">
        <f ca="1">+GETPIVOTDATA("XXS4",'xuanson (2016)'!$A$3,"MA_HT","TIN","MA_QH","DNL")</f>
        <v>0</v>
      </c>
      <c r="AE54" s="22">
        <f ca="1">+GETPIVOTDATA("XXS4",'xuanson (2016)'!$A$3,"MA_HT","TIN","MA_QH","DBV")</f>
        <v>0</v>
      </c>
      <c r="AF54" s="22">
        <f ca="1">+GETPIVOTDATA("XXS4",'xuanson (2016)'!$A$3,"MA_HT","TIN","MA_QH","DVH")</f>
        <v>0</v>
      </c>
      <c r="AG54" s="22">
        <f ca="1">+GETPIVOTDATA("XXS4",'xuanson (2016)'!$A$3,"MA_HT","TIN","MA_QH","DYT")</f>
        <v>0</v>
      </c>
      <c r="AH54" s="22">
        <f ca="1">+GETPIVOTDATA("XXS4",'xuanson (2016)'!$A$3,"MA_HT","TIN","MA_QH","DGD")</f>
        <v>0</v>
      </c>
      <c r="AI54" s="22">
        <f ca="1">+GETPIVOTDATA("XXS4",'xuanson (2016)'!$A$3,"MA_HT","TIN","MA_QH","DTT")</f>
        <v>0</v>
      </c>
      <c r="AJ54" s="22">
        <f ca="1">+GETPIVOTDATA("XXS4",'xuanson (2016)'!$A$3,"MA_HT","TIN","MA_QH","NCK")</f>
        <v>0</v>
      </c>
      <c r="AK54" s="22">
        <f ca="1">+GETPIVOTDATA("XXS4",'xuanson (2016)'!$A$3,"MA_HT","TIN","MA_QH","DXH")</f>
        <v>0</v>
      </c>
      <c r="AL54" s="22">
        <f ca="1">+GETPIVOTDATA("XXS4",'xuanson (2016)'!$A$3,"MA_HT","TIN","MA_QH","DCH")</f>
        <v>0</v>
      </c>
      <c r="AM54" s="22">
        <f ca="1">+GETPIVOTDATA("XXS4",'xuanson (2016)'!$A$3,"MA_HT","TIN","MA_QH","DKG")</f>
        <v>0</v>
      </c>
      <c r="AN54" s="22">
        <f ca="1">+GETPIVOTDATA("XXS4",'xuanson (2016)'!$A$3,"MA_HT","TIN","MA_QH","DDT")</f>
        <v>0</v>
      </c>
      <c r="AO54" s="22">
        <f ca="1">+GETPIVOTDATA("XXS4",'xuanson (2016)'!$A$3,"MA_HT","TIN","MA_QH","DDL")</f>
        <v>0</v>
      </c>
      <c r="AP54" s="22">
        <f ca="1">+GETPIVOTDATA("XXS4",'xuanson (2016)'!$A$3,"MA_HT","TIN","MA_QH","DRA")</f>
        <v>0</v>
      </c>
      <c r="AQ54" s="22">
        <f ca="1">+GETPIVOTDATA("XXS4",'xuanson (2016)'!$A$3,"MA_HT","TIN","MA_QH","ONT")</f>
        <v>0</v>
      </c>
      <c r="AR54" s="22">
        <f ca="1">+GETPIVOTDATA("XXS4",'xuanson (2016)'!$A$3,"MA_HT","TIN","MA_QH","ODT")</f>
        <v>0</v>
      </c>
      <c r="AS54" s="22">
        <f ca="1">+GETPIVOTDATA("XXS4",'xuanson (2016)'!$A$3,"MA_HT","TIN","MA_QH","TSC")</f>
        <v>0</v>
      </c>
      <c r="AT54" s="22">
        <f ca="1">+GETPIVOTDATA("XXS4",'xuanson (2016)'!$A$3,"MA_HT","TIN","MA_QH","DTS")</f>
        <v>0</v>
      </c>
      <c r="AU54" s="22">
        <f ca="1">+GETPIVOTDATA("XXS4",'xuanson (2016)'!$A$3,"MA_HT","TIN","MA_QH","DNG")</f>
        <v>0</v>
      </c>
      <c r="AV54" s="22">
        <f ca="1">+GETPIVOTDATA("XXS4",'xuanson (2016)'!$A$3,"MA_HT","TIN","MA_QH","TON")</f>
        <v>0</v>
      </c>
      <c r="AW54" s="22">
        <f ca="1">+GETPIVOTDATA("XXS4",'xuanson (2016)'!$A$3,"MA_HT","TIN","MA_QH","NTD")</f>
        <v>0</v>
      </c>
      <c r="AX54" s="22">
        <f ca="1">+GETPIVOTDATA("XXS4",'xuanson (2016)'!$A$3,"MA_HT","TIN","MA_QH","SKX")</f>
        <v>0</v>
      </c>
      <c r="AY54" s="22">
        <f ca="1">+GETPIVOTDATA("XXS4",'xuanson (2016)'!$A$3,"MA_HT","TIN","MA_QH","DSH")</f>
        <v>0</v>
      </c>
      <c r="AZ54" s="22">
        <f ca="1">+GETPIVOTDATA("XXS4",'xuanson (2016)'!$A$3,"MA_HT","TIN","MA_QH","DKV")</f>
        <v>0</v>
      </c>
      <c r="BA54" s="43" t="e">
        <f ca="1">$D54-$BF54</f>
        <v>#REF!</v>
      </c>
      <c r="BB54" s="22">
        <f ca="1">+GETPIVOTDATA("XXS4",'xuanson (2016)'!$A$3,"MA_HT","TIN","MA_QH","SON")</f>
        <v>0</v>
      </c>
      <c r="BC54" s="22">
        <f ca="1">+GETPIVOTDATA("XXS4",'xuanson (2016)'!$A$3,"MA_HT","TIN","MA_QH","MNC")</f>
        <v>0</v>
      </c>
      <c r="BD54" s="22">
        <f ca="1">+GETPIVOTDATA("XXS4",'xuanson (2016)'!$A$3,"MA_HT","TIN","MA_QH","PNK")</f>
        <v>0</v>
      </c>
      <c r="BE54" s="71">
        <f ca="1">+GETPIVOTDATA("XXS4",'xuanson (2016)'!$A$3,"MA_HT","TIN","MA_QH","CSD")</f>
        <v>0</v>
      </c>
      <c r="BF54" s="74">
        <f ca="1" t="shared" si="13"/>
        <v>0</v>
      </c>
      <c r="BG54" s="101">
        <f ca="1">BA59-BF54</f>
        <v>0</v>
      </c>
      <c r="BH54" s="41" t="e">
        <f ca="1" t="shared" si="14"/>
        <v>#REF!</v>
      </c>
      <c r="BI54" s="98"/>
      <c r="BJ54" s="39" t="e">
        <f>SUM(BJ29:BJ39)</f>
        <v>#REF!</v>
      </c>
      <c r="BK54" s="107" t="e">
        <f ca="1">BH54-BJ54</f>
        <v>#REF!</v>
      </c>
      <c r="BL54" s="107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</row>
    <row r="55" s="2" customFormat="1" ht="15.75" customHeight="1" spans="1:79">
      <c r="A55" s="68" t="s">
        <v>8428</v>
      </c>
      <c r="B55" s="69" t="s">
        <v>8429</v>
      </c>
      <c r="C55" s="40" t="s">
        <v>8309</v>
      </c>
      <c r="D55" s="41" t="e">
        <f>+#REF!</f>
        <v>#REF!</v>
      </c>
      <c r="E55" s="42">
        <f ca="1" t="shared" si="15"/>
        <v>0</v>
      </c>
      <c r="F55" s="52">
        <f ca="1" t="shared" si="9"/>
        <v>0</v>
      </c>
      <c r="G55" s="22">
        <f ca="1">+GETPIVOTDATA("XXS4",'xuanson (2016)'!$A$3,"MA_HT","SON","MA_QH","LUC")</f>
        <v>0</v>
      </c>
      <c r="H55" s="22">
        <f ca="1">+GETPIVOTDATA("XXS4",'xuanson (2016)'!$A$3,"MA_HT","SON","MA_QH","LUK")</f>
        <v>0</v>
      </c>
      <c r="I55" s="22">
        <f ca="1">+GETPIVOTDATA("XXS4",'xuanson (2016)'!$A$3,"MA_HT","SON","MA_QH","LUN")</f>
        <v>0</v>
      </c>
      <c r="J55" s="22">
        <f ca="1">+GETPIVOTDATA("XXS4",'xuanson (2016)'!$A$3,"MA_HT","SON","MA_QH","HNK")</f>
        <v>0</v>
      </c>
      <c r="K55" s="22">
        <f ca="1">+GETPIVOTDATA("XXS4",'xuanson (2016)'!$A$3,"MA_HT","SON","MA_QH","CLN")</f>
        <v>0</v>
      </c>
      <c r="L55" s="22">
        <f ca="1">+GETPIVOTDATA("XXS4",'xuanson (2016)'!$A$3,"MA_HT","SON","MA_QH","RSX")</f>
        <v>0</v>
      </c>
      <c r="M55" s="22">
        <f ca="1">+GETPIVOTDATA("XXS4",'xuanson (2016)'!$A$3,"MA_HT","SON","MA_QH","RPH")</f>
        <v>0</v>
      </c>
      <c r="N55" s="22">
        <f ca="1">+GETPIVOTDATA("XXS4",'xuanson (2016)'!$A$3,"MA_HT","SON","MA_QH","RDD")</f>
        <v>0</v>
      </c>
      <c r="O55" s="22">
        <f ca="1">+GETPIVOTDATA("XXS4",'xuanson (2016)'!$A$3,"MA_HT","SON","MA_QH","NTS")</f>
        <v>0</v>
      </c>
      <c r="P55" s="22">
        <f ca="1">+GETPIVOTDATA("XXS4",'xuanson (2016)'!$A$3,"MA_HT","SON","MA_QH","LMU")</f>
        <v>0</v>
      </c>
      <c r="Q55" s="22">
        <f ca="1">+GETPIVOTDATA("XXS4",'xuanson (2016)'!$A$3,"MA_HT","SON","MA_QH","NKH")</f>
        <v>0</v>
      </c>
      <c r="R55" s="79">
        <f ca="1">SUM(S55:AA55,AN55:AZ55,BC55:BD55)</f>
        <v>0</v>
      </c>
      <c r="S55" s="22">
        <f ca="1">+GETPIVOTDATA("XXS4",'xuanson (2016)'!$A$3,"MA_HT","SON","MA_QH","CQP")</f>
        <v>0</v>
      </c>
      <c r="T55" s="22">
        <f ca="1">+GETPIVOTDATA("XXS4",'xuanson (2016)'!$A$3,"MA_HT","SON","MA_QH","CAN")</f>
        <v>0</v>
      </c>
      <c r="U55" s="22">
        <f ca="1">+GETPIVOTDATA("XXS4",'xuanson (2016)'!$A$3,"MA_HT","SON","MA_QH","SKK")</f>
        <v>0</v>
      </c>
      <c r="V55" s="22">
        <f ca="1">+GETPIVOTDATA("XXS4",'xuanson (2016)'!$A$3,"MA_HT","SON","MA_QH","SKT")</f>
        <v>0</v>
      </c>
      <c r="W55" s="22">
        <f ca="1">+GETPIVOTDATA("XXS4",'xuanson (2016)'!$A$3,"MA_HT","SON","MA_QH","SKN")</f>
        <v>0</v>
      </c>
      <c r="X55" s="22">
        <f ca="1">+GETPIVOTDATA("XXS4",'xuanson (2016)'!$A$3,"MA_HT","SON","MA_QH","TMD")</f>
        <v>0</v>
      </c>
      <c r="Y55" s="22">
        <f ca="1">+GETPIVOTDATA("XXS4",'xuanson (2016)'!$A$3,"MA_HT","SON","MA_QH","SKC")</f>
        <v>0</v>
      </c>
      <c r="Z55" s="22">
        <f ca="1">+GETPIVOTDATA("XXS4",'xuanson (2016)'!$A$3,"MA_HT","SON","MA_QH","SKS")</f>
        <v>0</v>
      </c>
      <c r="AA55" s="52">
        <f ca="1" t="shared" si="21"/>
        <v>0</v>
      </c>
      <c r="AB55" s="22">
        <f ca="1">+GETPIVOTDATA("XXS4",'xuanson (2016)'!$A$3,"MA_HT","SON","MA_QH","DGT")</f>
        <v>0</v>
      </c>
      <c r="AC55" s="22">
        <f ca="1">+GETPIVOTDATA("XXS4",'xuanson (2016)'!$A$3,"MA_HT","SON","MA_QH","DTL")</f>
        <v>0</v>
      </c>
      <c r="AD55" s="22">
        <f ca="1">+GETPIVOTDATA("XXS4",'xuanson (2016)'!$A$3,"MA_HT","SON","MA_QH","DNL")</f>
        <v>0</v>
      </c>
      <c r="AE55" s="22">
        <f ca="1">+GETPIVOTDATA("XXS4",'xuanson (2016)'!$A$3,"MA_HT","SON","MA_QH","DBV")</f>
        <v>0</v>
      </c>
      <c r="AF55" s="22">
        <f ca="1">+GETPIVOTDATA("XXS4",'xuanson (2016)'!$A$3,"MA_HT","SON","MA_QH","DVH")</f>
        <v>0</v>
      </c>
      <c r="AG55" s="22">
        <f ca="1">+GETPIVOTDATA("XXS4",'xuanson (2016)'!$A$3,"MA_HT","SON","MA_QH","DYT")</f>
        <v>0</v>
      </c>
      <c r="AH55" s="22">
        <f ca="1">+GETPIVOTDATA("XXS4",'xuanson (2016)'!$A$3,"MA_HT","SON","MA_QH","DGD")</f>
        <v>0</v>
      </c>
      <c r="AI55" s="22">
        <f ca="1">+GETPIVOTDATA("XXS4",'xuanson (2016)'!$A$3,"MA_HT","SON","MA_QH","DTT")</f>
        <v>0</v>
      </c>
      <c r="AJ55" s="22">
        <f ca="1">+GETPIVOTDATA("XXS4",'xuanson (2016)'!$A$3,"MA_HT","SON","MA_QH","NCK")</f>
        <v>0</v>
      </c>
      <c r="AK55" s="22">
        <f ca="1">+GETPIVOTDATA("XXS4",'xuanson (2016)'!$A$3,"MA_HT","SON","MA_QH","DXH")</f>
        <v>0</v>
      </c>
      <c r="AL55" s="22">
        <f ca="1">+GETPIVOTDATA("XXS4",'xuanson (2016)'!$A$3,"MA_HT","SON","MA_QH","DCH")</f>
        <v>0</v>
      </c>
      <c r="AM55" s="22">
        <f ca="1">+GETPIVOTDATA("XXS4",'xuanson (2016)'!$A$3,"MA_HT","SON","MA_QH","DKG")</f>
        <v>0</v>
      </c>
      <c r="AN55" s="22">
        <f ca="1">+GETPIVOTDATA("XXS4",'xuanson (2016)'!$A$3,"MA_HT","SON","MA_QH","DDT")</f>
        <v>0</v>
      </c>
      <c r="AO55" s="22">
        <f ca="1">+GETPIVOTDATA("XXS4",'xuanson (2016)'!$A$3,"MA_HT","SON","MA_QH","DDL")</f>
        <v>0</v>
      </c>
      <c r="AP55" s="22">
        <f ca="1">+GETPIVOTDATA("XXS4",'xuanson (2016)'!$A$3,"MA_HT","SON","MA_QH","DRA")</f>
        <v>0</v>
      </c>
      <c r="AQ55" s="22">
        <f ca="1">+GETPIVOTDATA("XXS4",'xuanson (2016)'!$A$3,"MA_HT","SON","MA_QH","ONT")</f>
        <v>0</v>
      </c>
      <c r="AR55" s="22">
        <f ca="1">+GETPIVOTDATA("XXS4",'xuanson (2016)'!$A$3,"MA_HT","SON","MA_QH","ODT")</f>
        <v>0</v>
      </c>
      <c r="AS55" s="22">
        <f ca="1">+GETPIVOTDATA("XXS4",'xuanson (2016)'!$A$3,"MA_HT","SON","MA_QH","TSC")</f>
        <v>0</v>
      </c>
      <c r="AT55" s="22">
        <f ca="1">+GETPIVOTDATA("XXS4",'xuanson (2016)'!$A$3,"MA_HT","SON","MA_QH","DTS")</f>
        <v>0</v>
      </c>
      <c r="AU55" s="22">
        <f ca="1">+GETPIVOTDATA("XXS4",'xuanson (2016)'!$A$3,"MA_HT","SON","MA_QH","DNG")</f>
        <v>0</v>
      </c>
      <c r="AV55" s="22">
        <f ca="1">+GETPIVOTDATA("XXS4",'xuanson (2016)'!$A$3,"MA_HT","SON","MA_QH","TON")</f>
        <v>0</v>
      </c>
      <c r="AW55" s="22">
        <f ca="1">+GETPIVOTDATA("XXS4",'xuanson (2016)'!$A$3,"MA_HT","SON","MA_QH","NTD")</f>
        <v>0</v>
      </c>
      <c r="AX55" s="22">
        <f ca="1">+GETPIVOTDATA("XXS4",'xuanson (2016)'!$A$3,"MA_HT","SON","MA_QH","SKX")</f>
        <v>0</v>
      </c>
      <c r="AY55" s="22">
        <f ca="1">+GETPIVOTDATA("XXS4",'xuanson (2016)'!$A$3,"MA_HT","SON","MA_QH","DSH")</f>
        <v>0</v>
      </c>
      <c r="AZ55" s="22">
        <f ca="1">+GETPIVOTDATA("XXS4",'xuanson (2016)'!$A$3,"MA_HT","SON","MA_QH","DKV")</f>
        <v>0</v>
      </c>
      <c r="BA55" s="89">
        <f ca="1">+GETPIVOTDATA("XXS4",'xuanson (2016)'!$A$3,"MA_HT","SON","MA_QH","TIN")</f>
        <v>0</v>
      </c>
      <c r="BB55" s="43" t="e">
        <f ca="1">$D55-$BF55</f>
        <v>#REF!</v>
      </c>
      <c r="BC55" s="50">
        <f ca="1">+GETPIVOTDATA("XXS4",'xuanson (2016)'!$A$3,"MA_HT","SON","MA_QH","MNC")</f>
        <v>0</v>
      </c>
      <c r="BD55" s="22">
        <f ca="1">+GETPIVOTDATA("XXS4",'xuanson (2016)'!$A$3,"MA_HT","SON","MA_QH","PNK")</f>
        <v>0</v>
      </c>
      <c r="BE55" s="71">
        <f ca="1">+GETPIVOTDATA("XXS4",'xuanson (2016)'!$A$3,"MA_HT","SON","MA_QH","CSD")</f>
        <v>0</v>
      </c>
      <c r="BF55" s="74">
        <f ca="1" t="shared" si="13"/>
        <v>0</v>
      </c>
      <c r="BG55" s="101">
        <f ca="1">BB$59-$BF55</f>
        <v>0</v>
      </c>
      <c r="BH55" s="41" t="e">
        <f ca="1" t="shared" si="14"/>
        <v>#REF!</v>
      </c>
      <c r="BI55" s="98"/>
      <c r="BJ55" s="98"/>
      <c r="BK55" s="107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</row>
    <row r="56" s="2" customFormat="1" ht="15.75" customHeight="1" spans="1:79">
      <c r="A56" s="68" t="s">
        <v>8430</v>
      </c>
      <c r="B56" s="69" t="s">
        <v>8431</v>
      </c>
      <c r="C56" s="40" t="s">
        <v>8301</v>
      </c>
      <c r="D56" s="41" t="e">
        <f>+#REF!</f>
        <v>#REF!</v>
      </c>
      <c r="E56" s="42">
        <f ca="1" t="shared" si="15"/>
        <v>0</v>
      </c>
      <c r="F56" s="52">
        <f ca="1" t="shared" si="9"/>
        <v>0</v>
      </c>
      <c r="G56" s="22">
        <f ca="1">+GETPIVOTDATA("XXS4",'xuanson (2016)'!$A$3,"MA_HT","MNC","MA_QH","LUC")</f>
        <v>0</v>
      </c>
      <c r="H56" s="22">
        <f ca="1">+GETPIVOTDATA("XXS4",'xuanson (2016)'!$A$3,"MA_HT","MNC","MA_QH","LUK")</f>
        <v>0</v>
      </c>
      <c r="I56" s="22">
        <f ca="1">+GETPIVOTDATA("XXS4",'xuanson (2016)'!$A$3,"MA_HT","MNC","MA_QH","LUN")</f>
        <v>0</v>
      </c>
      <c r="J56" s="22">
        <f ca="1">+GETPIVOTDATA("XXS4",'xuanson (2016)'!$A$3,"MA_HT","MNC","MA_QH","HNK")</f>
        <v>0</v>
      </c>
      <c r="K56" s="22">
        <f ca="1">+GETPIVOTDATA("XXS4",'xuanson (2016)'!$A$3,"MA_HT","MNC","MA_QH","CLN")</f>
        <v>0</v>
      </c>
      <c r="L56" s="22">
        <f ca="1">+GETPIVOTDATA("XXS4",'xuanson (2016)'!$A$3,"MA_HT","MNC","MA_QH","RSX")</f>
        <v>0</v>
      </c>
      <c r="M56" s="22">
        <f ca="1">+GETPIVOTDATA("XXS4",'xuanson (2016)'!$A$3,"MA_HT","MNC","MA_QH","RPH")</f>
        <v>0</v>
      </c>
      <c r="N56" s="22">
        <f ca="1">+GETPIVOTDATA("XXS4",'xuanson (2016)'!$A$3,"MA_HT","MNC","MA_QH","RDD")</f>
        <v>0</v>
      </c>
      <c r="O56" s="22">
        <f ca="1">+GETPIVOTDATA("XXS4",'xuanson (2016)'!$A$3,"MA_HT","MNC","MA_QH","NTS")</f>
        <v>0</v>
      </c>
      <c r="P56" s="22">
        <f ca="1">+GETPIVOTDATA("XXS4",'xuanson (2016)'!$A$3,"MA_HT","MNC","MA_QH","LMU")</f>
        <v>0</v>
      </c>
      <c r="Q56" s="22">
        <f ca="1">+GETPIVOTDATA("XXS4",'xuanson (2016)'!$A$3,"MA_HT","MNC","MA_QH","NKH")</f>
        <v>0</v>
      </c>
      <c r="R56" s="79">
        <f ca="1">SUM(S56:AA56,AN56:BB56,BD56)</f>
        <v>0</v>
      </c>
      <c r="S56" s="22">
        <f ca="1">+GETPIVOTDATA("XXS4",'xuanson (2016)'!$A$3,"MA_HT","MNC","MA_QH","CQP")</f>
        <v>0</v>
      </c>
      <c r="T56" s="22">
        <f ca="1">+GETPIVOTDATA("XXS4",'xuanson (2016)'!$A$3,"MA_HT","MNC","MA_QH","CAN")</f>
        <v>0</v>
      </c>
      <c r="U56" s="22">
        <f ca="1">+GETPIVOTDATA("XXS4",'xuanson (2016)'!$A$3,"MA_HT","MNC","MA_QH","SKK")</f>
        <v>0</v>
      </c>
      <c r="V56" s="22">
        <f ca="1">+GETPIVOTDATA("XXS4",'xuanson (2016)'!$A$3,"MA_HT","MNC","MA_QH","SKT")</f>
        <v>0</v>
      </c>
      <c r="W56" s="22">
        <f ca="1">+GETPIVOTDATA("XXS4",'xuanson (2016)'!$A$3,"MA_HT","MNC","MA_QH","SKN")</f>
        <v>0</v>
      </c>
      <c r="X56" s="22">
        <f ca="1">+GETPIVOTDATA("XXS4",'xuanson (2016)'!$A$3,"MA_HT","MNC","MA_QH","TMD")</f>
        <v>0</v>
      </c>
      <c r="Y56" s="22">
        <f ca="1">+GETPIVOTDATA("XXS4",'xuanson (2016)'!$A$3,"MA_HT","MNC","MA_QH","SKC")</f>
        <v>0</v>
      </c>
      <c r="Z56" s="22">
        <f ca="1">+GETPIVOTDATA("XXS4",'xuanson (2016)'!$A$3,"MA_HT","MNC","MA_QH","SKS")</f>
        <v>0</v>
      </c>
      <c r="AA56" s="52">
        <f ca="1" t="shared" si="21"/>
        <v>0</v>
      </c>
      <c r="AB56" s="22">
        <f ca="1">+GETPIVOTDATA("XXS4",'xuanson (2016)'!$A$3,"MA_HT","MNC","MA_QH","DGT")</f>
        <v>0</v>
      </c>
      <c r="AC56" s="22">
        <f ca="1">+GETPIVOTDATA("XXS4",'xuanson (2016)'!$A$3,"MA_HT","MNC","MA_QH","DTL")</f>
        <v>0</v>
      </c>
      <c r="AD56" s="22">
        <f ca="1">+GETPIVOTDATA("XXS4",'xuanson (2016)'!$A$3,"MA_HT","MNC","MA_QH","DNL")</f>
        <v>0</v>
      </c>
      <c r="AE56" s="22">
        <f ca="1">+GETPIVOTDATA("XXS4",'xuanson (2016)'!$A$3,"MA_HT","MNC","MA_QH","DBV")</f>
        <v>0</v>
      </c>
      <c r="AF56" s="22">
        <f ca="1">+GETPIVOTDATA("XXS4",'xuanson (2016)'!$A$3,"MA_HT","MNC","MA_QH","DVH")</f>
        <v>0</v>
      </c>
      <c r="AG56" s="22">
        <f ca="1">+GETPIVOTDATA("XXS4",'xuanson (2016)'!$A$3,"MA_HT","MNC","MA_QH","DYT")</f>
        <v>0</v>
      </c>
      <c r="AH56" s="22">
        <f ca="1">+GETPIVOTDATA("XXS4",'xuanson (2016)'!$A$3,"MA_HT","MNC","MA_QH","DGD")</f>
        <v>0</v>
      </c>
      <c r="AI56" s="22">
        <f ca="1">+GETPIVOTDATA("XXS4",'xuanson (2016)'!$A$3,"MA_HT","MNC","MA_QH","DTT")</f>
        <v>0</v>
      </c>
      <c r="AJ56" s="22">
        <f ca="1">+GETPIVOTDATA("XXS4",'xuanson (2016)'!$A$3,"MA_HT","MNC","MA_QH","NCK")</f>
        <v>0</v>
      </c>
      <c r="AK56" s="22">
        <f ca="1">+GETPIVOTDATA("XXS4",'xuanson (2016)'!$A$3,"MA_HT","MNC","MA_QH","DXH")</f>
        <v>0</v>
      </c>
      <c r="AL56" s="22">
        <f ca="1">+GETPIVOTDATA("XXS4",'xuanson (2016)'!$A$3,"MA_HT","MNC","MA_QH","DCH")</f>
        <v>0</v>
      </c>
      <c r="AM56" s="22">
        <f ca="1">+GETPIVOTDATA("XXS4",'xuanson (2016)'!$A$3,"MA_HT","MNC","MA_QH","DKG")</f>
        <v>0</v>
      </c>
      <c r="AN56" s="22">
        <f ca="1">+GETPIVOTDATA("XXS4",'xuanson (2016)'!$A$3,"MA_HT","MNC","MA_QH","DDT")</f>
        <v>0</v>
      </c>
      <c r="AO56" s="22">
        <f ca="1">+GETPIVOTDATA("XXS4",'xuanson (2016)'!$A$3,"MA_HT","MNC","MA_QH","DDL")</f>
        <v>0</v>
      </c>
      <c r="AP56" s="22">
        <f ca="1">+GETPIVOTDATA("XXS4",'xuanson (2016)'!$A$3,"MA_HT","MNC","MA_QH","DRA")</f>
        <v>0</v>
      </c>
      <c r="AQ56" s="22">
        <f ca="1">+GETPIVOTDATA("XXS4",'xuanson (2016)'!$A$3,"MA_HT","MNC","MA_QH","ONT")</f>
        <v>0</v>
      </c>
      <c r="AR56" s="22">
        <f ca="1">+GETPIVOTDATA("XXS4",'xuanson (2016)'!$A$3,"MA_HT","MNC","MA_QH","ODT")</f>
        <v>0</v>
      </c>
      <c r="AS56" s="22">
        <f ca="1">+GETPIVOTDATA("XXS4",'xuanson (2016)'!$A$3,"MA_HT","MNC","MA_QH","TSC")</f>
        <v>0</v>
      </c>
      <c r="AT56" s="22">
        <f ca="1">+GETPIVOTDATA("XXS4",'xuanson (2016)'!$A$3,"MA_HT","MNC","MA_QH","DTS")</f>
        <v>0</v>
      </c>
      <c r="AU56" s="22">
        <f ca="1">+GETPIVOTDATA("XXS4",'xuanson (2016)'!$A$3,"MA_HT","MNC","MA_QH","DNG")</f>
        <v>0</v>
      </c>
      <c r="AV56" s="22">
        <f ca="1">+GETPIVOTDATA("XXS4",'xuanson (2016)'!$A$3,"MA_HT","MNC","MA_QH","TON")</f>
        <v>0</v>
      </c>
      <c r="AW56" s="22">
        <f ca="1">+GETPIVOTDATA("XXS4",'xuanson (2016)'!$A$3,"MA_HT","MNC","MA_QH","NTD")</f>
        <v>0</v>
      </c>
      <c r="AX56" s="22">
        <f ca="1">+GETPIVOTDATA("XXS4",'xuanson (2016)'!$A$3,"MA_HT","MNC","MA_QH","SKX")</f>
        <v>0</v>
      </c>
      <c r="AY56" s="22">
        <f ca="1">+GETPIVOTDATA("XXS4",'xuanson (2016)'!$A$3,"MA_HT","MNC","MA_QH","DSH")</f>
        <v>0</v>
      </c>
      <c r="AZ56" s="22">
        <f ca="1">+GETPIVOTDATA("XXS4",'xuanson (2016)'!$A$3,"MA_HT","MNC","MA_QH","DKV")</f>
        <v>0</v>
      </c>
      <c r="BA56" s="89">
        <f ca="1">+GETPIVOTDATA("XXS4",'xuanson (2016)'!$A$3,"MA_HT","MNC","MA_QH","TIN")</f>
        <v>0</v>
      </c>
      <c r="BB56" s="50">
        <f ca="1">+GETPIVOTDATA("XXS4",'xuanson (2016)'!$A$3,"MA_HT","MNC","MA_QH","SON")</f>
        <v>0</v>
      </c>
      <c r="BC56" s="43" t="e">
        <f ca="1">$D56-$BF56</f>
        <v>#REF!</v>
      </c>
      <c r="BD56" s="22">
        <f ca="1">+GETPIVOTDATA("XXS4",'xuanson (2016)'!$A$3,"MA_HT","MNC","MA_QH","PNK")</f>
        <v>0</v>
      </c>
      <c r="BE56" s="71">
        <f ca="1">+GETPIVOTDATA("XXS4",'xuanson (2016)'!$A$3,"MA_HT","MNC","MA_QH","CSD")</f>
        <v>0</v>
      </c>
      <c r="BF56" s="74">
        <f ca="1" t="shared" si="13"/>
        <v>0</v>
      </c>
      <c r="BG56" s="101">
        <f ca="1">BC$59-$BF56</f>
        <v>0</v>
      </c>
      <c r="BH56" s="41" t="e">
        <f ca="1" t="shared" si="14"/>
        <v>#REF!</v>
      </c>
      <c r="BI56" s="98"/>
      <c r="BJ56" s="98"/>
      <c r="BK56" s="107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</row>
    <row r="57" s="2" customFormat="1" ht="15.75" customHeight="1" spans="1:79">
      <c r="A57" s="68" t="s">
        <v>8432</v>
      </c>
      <c r="B57" s="69" t="s">
        <v>8433</v>
      </c>
      <c r="C57" s="40" t="s">
        <v>59</v>
      </c>
      <c r="D57" s="41" t="e">
        <f>+#REF!</f>
        <v>#REF!</v>
      </c>
      <c r="E57" s="42">
        <f ca="1" t="shared" si="15"/>
        <v>0</v>
      </c>
      <c r="F57" s="52">
        <f ca="1" t="shared" si="9"/>
        <v>0</v>
      </c>
      <c r="G57" s="22">
        <f ca="1">+GETPIVOTDATA("XXS4",'xuanson (2016)'!$A$3,"MA_HT","PNK","MA_QH","LUC")</f>
        <v>0</v>
      </c>
      <c r="H57" s="22">
        <f ca="1">+GETPIVOTDATA("XXS4",'xuanson (2016)'!$A$3,"MA_HT","PNK","MA_QH","LUK")</f>
        <v>0</v>
      </c>
      <c r="I57" s="22">
        <f ca="1">+GETPIVOTDATA("XXS4",'xuanson (2016)'!$A$3,"MA_HT","PNK","MA_QH","LUN")</f>
        <v>0</v>
      </c>
      <c r="J57" s="22">
        <f ca="1">+GETPIVOTDATA("XXS4",'xuanson (2016)'!$A$3,"MA_HT","PNK","MA_QH","HNK")</f>
        <v>0</v>
      </c>
      <c r="K57" s="22">
        <f ca="1">+GETPIVOTDATA("XXS4",'xuanson (2016)'!$A$3,"MA_HT","PNK","MA_QH","CLN")</f>
        <v>0</v>
      </c>
      <c r="L57" s="22">
        <f ca="1">+GETPIVOTDATA("XXS4",'xuanson (2016)'!$A$3,"MA_HT","PNK","MA_QH","RSX")</f>
        <v>0</v>
      </c>
      <c r="M57" s="22">
        <f ca="1">+GETPIVOTDATA("XXS4",'xuanson (2016)'!$A$3,"MA_HT","PNK","MA_QH","RPH")</f>
        <v>0</v>
      </c>
      <c r="N57" s="22">
        <f ca="1">+GETPIVOTDATA("XXS4",'xuanson (2016)'!$A$3,"MA_HT","PNK","MA_QH","RDD")</f>
        <v>0</v>
      </c>
      <c r="O57" s="22">
        <f ca="1">+GETPIVOTDATA("XXS4",'xuanson (2016)'!$A$3,"MA_HT","PNK","MA_QH","NTS")</f>
        <v>0</v>
      </c>
      <c r="P57" s="22">
        <f ca="1">+GETPIVOTDATA("XXS4",'xuanson (2016)'!$A$3,"MA_HT","PNK","MA_QH","LMU")</f>
        <v>0</v>
      </c>
      <c r="Q57" s="22">
        <f ca="1">+GETPIVOTDATA("XXS4",'xuanson (2016)'!$A$3,"MA_HT","PNK","MA_QH","NKH")</f>
        <v>0</v>
      </c>
      <c r="R57" s="79">
        <f ca="1">SUM(S57:AA57,AN57:BC57)</f>
        <v>0</v>
      </c>
      <c r="S57" s="22">
        <f ca="1">+GETPIVOTDATA("XXS4",'xuanson (2016)'!$A$3,"MA_HT","PNK","MA_QH","CQP")</f>
        <v>0</v>
      </c>
      <c r="T57" s="22">
        <f ca="1">+GETPIVOTDATA("XXS4",'xuanson (2016)'!$A$3,"MA_HT","PNK","MA_QH","CAN")</f>
        <v>0</v>
      </c>
      <c r="U57" s="22">
        <f ca="1">+GETPIVOTDATA("XXS4",'xuanson (2016)'!$A$3,"MA_HT","PNK","MA_QH","SKK")</f>
        <v>0</v>
      </c>
      <c r="V57" s="22">
        <f ca="1">+GETPIVOTDATA("XXS4",'xuanson (2016)'!$A$3,"MA_HT","PNK","MA_QH","SKT")</f>
        <v>0</v>
      </c>
      <c r="W57" s="22">
        <f ca="1">+GETPIVOTDATA("XXS4",'xuanson (2016)'!$A$3,"MA_HT","PNK","MA_QH","SKN")</f>
        <v>0</v>
      </c>
      <c r="X57" s="22">
        <f ca="1">+GETPIVOTDATA("XXS4",'xuanson (2016)'!$A$3,"MA_HT","PNK","MA_QH","TMD")</f>
        <v>0</v>
      </c>
      <c r="Y57" s="22">
        <f ca="1">+GETPIVOTDATA("XXS4",'xuanson (2016)'!$A$3,"MA_HT","PNK","MA_QH","SKC")</f>
        <v>0</v>
      </c>
      <c r="Z57" s="22">
        <f ca="1">+GETPIVOTDATA("XXS4",'xuanson (2016)'!$A$3,"MA_HT","PNK","MA_QH","SKS")</f>
        <v>0</v>
      </c>
      <c r="AA57" s="52">
        <f ca="1" t="shared" si="21"/>
        <v>0</v>
      </c>
      <c r="AB57" s="22">
        <f ca="1">+GETPIVOTDATA("XXS4",'xuanson (2016)'!$A$3,"MA_HT","PNK","MA_QH","DGT")</f>
        <v>0</v>
      </c>
      <c r="AC57" s="22">
        <f ca="1">+GETPIVOTDATA("XXS4",'xuanson (2016)'!$A$3,"MA_HT","PNK","MA_QH","DTL")</f>
        <v>0</v>
      </c>
      <c r="AD57" s="22">
        <f ca="1">+GETPIVOTDATA("XXS4",'xuanson (2016)'!$A$3,"MA_HT","PNK","MA_QH","DNL")</f>
        <v>0</v>
      </c>
      <c r="AE57" s="22">
        <f ca="1">+GETPIVOTDATA("XXS4",'xuanson (2016)'!$A$3,"MA_HT","PNK","MA_QH","DBV")</f>
        <v>0</v>
      </c>
      <c r="AF57" s="22">
        <f ca="1">+GETPIVOTDATA("XXS4",'xuanson (2016)'!$A$3,"MA_HT","PNK","MA_QH","DVH")</f>
        <v>0</v>
      </c>
      <c r="AG57" s="22">
        <f ca="1">+GETPIVOTDATA("XXS4",'xuanson (2016)'!$A$3,"MA_HT","PNK","MA_QH","DYT")</f>
        <v>0</v>
      </c>
      <c r="AH57" s="22">
        <f ca="1">+GETPIVOTDATA("XXS4",'xuanson (2016)'!$A$3,"MA_HT","PNK","MA_QH","DGD")</f>
        <v>0</v>
      </c>
      <c r="AI57" s="22">
        <f ca="1">+GETPIVOTDATA("XXS4",'xuanson (2016)'!$A$3,"MA_HT","PNK","MA_QH","DTT")</f>
        <v>0</v>
      </c>
      <c r="AJ57" s="22">
        <f ca="1">+GETPIVOTDATA("XXS4",'xuanson (2016)'!$A$3,"MA_HT","PNK","MA_QH","NCK")</f>
        <v>0</v>
      </c>
      <c r="AK57" s="22">
        <f ca="1">+GETPIVOTDATA("XXS4",'xuanson (2016)'!$A$3,"MA_HT","PNK","MA_QH","DXH")</f>
        <v>0</v>
      </c>
      <c r="AL57" s="22">
        <f ca="1">+GETPIVOTDATA("XXS4",'xuanson (2016)'!$A$3,"MA_HT","PNK","MA_QH","DCH")</f>
        <v>0</v>
      </c>
      <c r="AM57" s="22">
        <f ca="1">+GETPIVOTDATA("XXS4",'xuanson (2016)'!$A$3,"MA_HT","PNK","MA_QH","DKG")</f>
        <v>0</v>
      </c>
      <c r="AN57" s="22">
        <f ca="1">+GETPIVOTDATA("XXS4",'xuanson (2016)'!$A$3,"MA_HT","PNK","MA_QH","DDT")</f>
        <v>0</v>
      </c>
      <c r="AO57" s="22">
        <f ca="1">+GETPIVOTDATA("XXS4",'xuanson (2016)'!$A$3,"MA_HT","PNK","MA_QH","DDL")</f>
        <v>0</v>
      </c>
      <c r="AP57" s="22">
        <f ca="1">+GETPIVOTDATA("XXS4",'xuanson (2016)'!$A$3,"MA_HT","PNK","MA_QH","DRA")</f>
        <v>0</v>
      </c>
      <c r="AQ57" s="22">
        <f ca="1">+GETPIVOTDATA("XXS4",'xuanson (2016)'!$A$3,"MA_HT","PNK","MA_QH","ONT")</f>
        <v>0</v>
      </c>
      <c r="AR57" s="22">
        <f ca="1">+GETPIVOTDATA("XXS4",'xuanson (2016)'!$A$3,"MA_HT","PNK","MA_QH","ODT")</f>
        <v>0</v>
      </c>
      <c r="AS57" s="22">
        <f ca="1">+GETPIVOTDATA("XXS4",'xuanson (2016)'!$A$3,"MA_HT","PNK","MA_QH","TSC")</f>
        <v>0</v>
      </c>
      <c r="AT57" s="22">
        <f ca="1">+GETPIVOTDATA("XXS4",'xuanson (2016)'!$A$3,"MA_HT","PNK","MA_QH","DTS")</f>
        <v>0</v>
      </c>
      <c r="AU57" s="22">
        <f ca="1">+GETPIVOTDATA("XXS4",'xuanson (2016)'!$A$3,"MA_HT","PNK","MA_QH","DNG")</f>
        <v>0</v>
      </c>
      <c r="AV57" s="22">
        <f ca="1">+GETPIVOTDATA("XXS4",'xuanson (2016)'!$A$3,"MA_HT","PNK","MA_QH","TON")</f>
        <v>0</v>
      </c>
      <c r="AW57" s="22">
        <f ca="1">+GETPIVOTDATA("XXS4",'xuanson (2016)'!$A$3,"MA_HT","PNK","MA_QH","NTD")</f>
        <v>0</v>
      </c>
      <c r="AX57" s="22">
        <f ca="1">+GETPIVOTDATA("XXS4",'xuanson (2016)'!$A$3,"MA_HT","PNK","MA_QH","SKX")</f>
        <v>0</v>
      </c>
      <c r="AY57" s="22">
        <f ca="1">+GETPIVOTDATA("XXS4",'xuanson (2016)'!$A$3,"MA_HT","PNK","MA_QH","DSH")</f>
        <v>0</v>
      </c>
      <c r="AZ57" s="22">
        <f ca="1">+GETPIVOTDATA("XXS4",'xuanson (2016)'!$A$3,"MA_HT","PNK","MA_QH","DKV")</f>
        <v>0</v>
      </c>
      <c r="BA57" s="89">
        <f ca="1">+GETPIVOTDATA("XXS4",'xuanson (2016)'!$A$3,"MA_HT","PNK","MA_QH","TIN")</f>
        <v>0</v>
      </c>
      <c r="BB57" s="50">
        <f ca="1">+GETPIVOTDATA("XXS4",'xuanson (2016)'!$A$3,"MA_HT","PNK","MA_QH","SON")</f>
        <v>0</v>
      </c>
      <c r="BC57" s="50">
        <f ca="1">+GETPIVOTDATA("XXS4",'xuanson (2016)'!$A$3,"MA_HT","PNK","MA_QH","MNC")</f>
        <v>0</v>
      </c>
      <c r="BD57" s="43" t="e">
        <f ca="1">$D57-$BF57</f>
        <v>#REF!</v>
      </c>
      <c r="BE57" s="71">
        <f ca="1">+GETPIVOTDATA("XXS4",'xuanson (2016)'!$A$3,"MA_HT","PNK","MA_QH","CSD")</f>
        <v>0</v>
      </c>
      <c r="BF57" s="74">
        <f ca="1" t="shared" si="13"/>
        <v>0</v>
      </c>
      <c r="BG57" s="101">
        <f ca="1">BD$59-$BF57</f>
        <v>0</v>
      </c>
      <c r="BH57" s="41" t="e">
        <f ca="1" t="shared" si="14"/>
        <v>#REF!</v>
      </c>
      <c r="BI57" s="98"/>
      <c r="BJ57" s="98" t="e">
        <f>#REF!</f>
        <v>#REF!</v>
      </c>
      <c r="BK57" s="107" t="e">
        <f ca="1">BH57-BJ57</f>
        <v>#REF!</v>
      </c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</row>
    <row r="58" s="3" customFormat="1" ht="15.75" customHeight="1" spans="1:79">
      <c r="A58" s="70" t="s">
        <v>8434</v>
      </c>
      <c r="B58" s="36" t="s">
        <v>8435</v>
      </c>
      <c r="C58" s="37" t="s">
        <v>8284</v>
      </c>
      <c r="D58" s="32" t="e">
        <f>+#REF!</f>
        <v>#REF!</v>
      </c>
      <c r="E58" s="42">
        <f ca="1" t="shared" si="15"/>
        <v>0</v>
      </c>
      <c r="F58" s="33">
        <f ca="1" t="shared" si="9"/>
        <v>0</v>
      </c>
      <c r="G58" s="71">
        <f ca="1">+GETPIVOTDATA("XXS4",'xuanson (2016)'!$A$3,"MA_HT","CSD","MA_QH","LUC")</f>
        <v>0</v>
      </c>
      <c r="H58" s="71">
        <f ca="1">+GETPIVOTDATA("XXS4",'xuanson (2016)'!$A$3,"MA_HT","CSD","MA_QH","LUK")</f>
        <v>0</v>
      </c>
      <c r="I58" s="71">
        <f ca="1">+GETPIVOTDATA("XXS4",'xuanson (2016)'!$A$3,"MA_HT","CSD","MA_QH","LUN")</f>
        <v>0</v>
      </c>
      <c r="J58" s="71">
        <f ca="1">+GETPIVOTDATA("XXS4",'xuanson (2016)'!$A$3,"MA_HT","CSD","MA_QH","HNK")</f>
        <v>0</v>
      </c>
      <c r="K58" s="71">
        <f ca="1">+GETPIVOTDATA("XXS4",'xuanson (2016)'!$A$3,"MA_HT","CSD","MA_QH","CLN")</f>
        <v>0</v>
      </c>
      <c r="L58" s="71">
        <f ca="1">+GETPIVOTDATA("XXS4",'xuanson (2016)'!$A$3,"MA_HT","CSD","MA_QH","RSX")</f>
        <v>0</v>
      </c>
      <c r="M58" s="71">
        <f ca="1">+GETPIVOTDATA("XXS4",'xuanson (2016)'!$A$3,"MA_HT","CSD","MA_QH","RPH")</f>
        <v>0</v>
      </c>
      <c r="N58" s="71">
        <f ca="1">+GETPIVOTDATA("XXS4",'xuanson (2016)'!$A$3,"MA_HT","CSD","MA_QH","RDD")</f>
        <v>0</v>
      </c>
      <c r="O58" s="71">
        <f ca="1">+GETPIVOTDATA("XXS4",'xuanson (2016)'!$A$3,"MA_HT","CSD","MA_QH","NTS")</f>
        <v>0</v>
      </c>
      <c r="P58" s="71">
        <f ca="1">+GETPIVOTDATA("XXS4",'xuanson (2016)'!$A$3,"MA_HT","CSD","MA_QH","LMU")</f>
        <v>0</v>
      </c>
      <c r="Q58" s="71">
        <f ca="1">+GETPIVOTDATA("XXS4",'xuanson (2016)'!$A$3,"MA_HT","CSD","MA_QH","NKH")</f>
        <v>0</v>
      </c>
      <c r="R58" s="79">
        <f ca="1">SUM(S58:AA58,AN58:BD58)</f>
        <v>0</v>
      </c>
      <c r="S58" s="80">
        <f ca="1">+GETPIVOTDATA("XXS4",'xuanson (2016)'!$A$3,"MA_HT","CSD","MA_QH","CQP")</f>
        <v>0</v>
      </c>
      <c r="T58" s="80">
        <f ca="1">+GETPIVOTDATA("XXS4",'xuanson (2016)'!$A$3,"MA_HT","CSD","MA_QH","CAN")</f>
        <v>0</v>
      </c>
      <c r="U58" s="71">
        <f ca="1">+GETPIVOTDATA("XXS4",'xuanson (2016)'!$A$3,"MA_HT","CSD","MA_QH","SKK")</f>
        <v>0</v>
      </c>
      <c r="V58" s="71">
        <f ca="1">+GETPIVOTDATA("XXS4",'xuanson (2016)'!$A$3,"MA_HT","CSD","MA_QH","SKT")</f>
        <v>0</v>
      </c>
      <c r="W58" s="71">
        <f ca="1">+GETPIVOTDATA("XXS4",'xuanson (2016)'!$A$3,"MA_HT","CSD","MA_QH","SKN")</f>
        <v>0</v>
      </c>
      <c r="X58" s="71">
        <f ca="1">+GETPIVOTDATA("XXS4",'xuanson (2016)'!$A$3,"MA_HT","CSD","MA_QH","TMD")</f>
        <v>0</v>
      </c>
      <c r="Y58" s="71">
        <f ca="1">+GETPIVOTDATA("XXS4",'xuanson (2016)'!$A$3,"MA_HT","CSD","MA_QH","SKC")</f>
        <v>0</v>
      </c>
      <c r="Z58" s="71">
        <f ca="1">+GETPIVOTDATA("XXS4",'xuanson (2016)'!$A$3,"MA_HT","CSD","MA_QH","SKS")</f>
        <v>0</v>
      </c>
      <c r="AA58" s="52">
        <f ca="1" t="shared" si="21"/>
        <v>0</v>
      </c>
      <c r="AB58" s="80">
        <f ca="1">+GETPIVOTDATA("XXS4",'xuanson (2016)'!$A$3,"MA_HT","CSD","MA_QH","DGT")</f>
        <v>0</v>
      </c>
      <c r="AC58" s="80">
        <f ca="1">+GETPIVOTDATA("XXS4",'xuanson (2016)'!$A$3,"MA_HT","CSD","MA_QH","DTL")</f>
        <v>0</v>
      </c>
      <c r="AD58" s="80">
        <f ca="1">+GETPIVOTDATA("XXS4",'xuanson (2016)'!$A$3,"MA_HT","CSD","MA_QH","DNL")</f>
        <v>0</v>
      </c>
      <c r="AE58" s="80">
        <f ca="1">+GETPIVOTDATA("XXS4",'xuanson (2016)'!$A$3,"MA_HT","CSD","MA_QH","DBV")</f>
        <v>0</v>
      </c>
      <c r="AF58" s="80">
        <f ca="1">+GETPIVOTDATA("XXS4",'xuanson (2016)'!$A$3,"MA_HT","CSD","MA_QH","DVH")</f>
        <v>0</v>
      </c>
      <c r="AG58" s="80">
        <f ca="1">+GETPIVOTDATA("XXS4",'xuanson (2016)'!$A$3,"MA_HT","CSD","MA_QH","DYT")</f>
        <v>0</v>
      </c>
      <c r="AH58" s="80">
        <f ca="1">+GETPIVOTDATA("XXS4",'xuanson (2016)'!$A$3,"MA_HT","CSD","MA_QH","DGD")</f>
        <v>0</v>
      </c>
      <c r="AI58" s="80">
        <f ca="1">+GETPIVOTDATA("XXS4",'xuanson (2016)'!$A$3,"MA_HT","CSD","MA_QH","DTT")</f>
        <v>0</v>
      </c>
      <c r="AJ58" s="80">
        <f ca="1">+GETPIVOTDATA("XXS4",'xuanson (2016)'!$A$3,"MA_HT","CSD","MA_QH","NCK")</f>
        <v>0</v>
      </c>
      <c r="AK58" s="80">
        <f ca="1">+GETPIVOTDATA("XXS4",'xuanson (2016)'!$A$3,"MA_HT","CSD","MA_QH","DXH")</f>
        <v>0</v>
      </c>
      <c r="AL58" s="80">
        <f ca="1">+GETPIVOTDATA("XXS4",'xuanson (2016)'!$A$3,"MA_HT","CSD","MA_QH","DCH")</f>
        <v>0</v>
      </c>
      <c r="AM58" s="80">
        <f ca="1">+GETPIVOTDATA("XXS4",'xuanson (2016)'!$A$3,"MA_HT","CSD","MA_QH","DKG")</f>
        <v>0</v>
      </c>
      <c r="AN58" s="71">
        <f ca="1">+GETPIVOTDATA("XXS4",'xuanson (2016)'!$A$3,"MA_HT","CSD","MA_QH","DDT")</f>
        <v>0</v>
      </c>
      <c r="AO58" s="71">
        <f ca="1">+GETPIVOTDATA("XXS4",'xuanson (2016)'!$A$3,"MA_HT","CSD","MA_QH","DDL")</f>
        <v>0</v>
      </c>
      <c r="AP58" s="71">
        <f ca="1">+GETPIVOTDATA("XXS4",'xuanson (2016)'!$A$3,"MA_HT","CSD","MA_QH","DRA")</f>
        <v>0</v>
      </c>
      <c r="AQ58" s="71">
        <f ca="1">+GETPIVOTDATA("XXS4",'xuanson (2016)'!$A$3,"MA_HT","CSD","MA_QH","ONT")</f>
        <v>0</v>
      </c>
      <c r="AR58" s="71">
        <f ca="1">+GETPIVOTDATA("XXS4",'xuanson (2016)'!$A$3,"MA_HT","CSD","MA_QH","ODT")</f>
        <v>0</v>
      </c>
      <c r="AS58" s="71">
        <f ca="1">+GETPIVOTDATA("XXS4",'xuanson (2016)'!$A$3,"MA_HT","CSD","MA_QH","TSC")</f>
        <v>0</v>
      </c>
      <c r="AT58" s="71">
        <f ca="1">+GETPIVOTDATA("XXS4",'xuanson (2016)'!$A$3,"MA_HT","CSD","MA_QH","DTS")</f>
        <v>0</v>
      </c>
      <c r="AU58" s="71">
        <f ca="1">+GETPIVOTDATA("XXS4",'xuanson (2016)'!$A$3,"MA_HT","CSD","MA_QH","DNG")</f>
        <v>0</v>
      </c>
      <c r="AV58" s="71">
        <f ca="1">+GETPIVOTDATA("XXS4",'xuanson (2016)'!$A$3,"MA_HT","CSD","MA_QH","TON")</f>
        <v>0</v>
      </c>
      <c r="AW58" s="71">
        <f ca="1">+GETPIVOTDATA("XXS4",'xuanson (2016)'!$A$3,"MA_HT","CSD","MA_QH","NTD")</f>
        <v>0</v>
      </c>
      <c r="AX58" s="71">
        <f ca="1">+GETPIVOTDATA("XXS4",'xuanson (2016)'!$A$3,"MA_HT","CSD","MA_QH","SKX")</f>
        <v>0</v>
      </c>
      <c r="AY58" s="71">
        <f ca="1">+GETPIVOTDATA("XXS4",'xuanson (2016)'!$A$3,"MA_HT","CSD","MA_QH","DSH")</f>
        <v>0</v>
      </c>
      <c r="AZ58" s="71">
        <f ca="1">+GETPIVOTDATA("XXS4",'xuanson (2016)'!$A$3,"MA_HT","CSD","MA_QH","DKV")</f>
        <v>0</v>
      </c>
      <c r="BA58" s="89">
        <f ca="1">+GETPIVOTDATA("XXS4",'xuanson (2016)'!$A$3,"MA_HT","CSD","MA_QH","TIN")</f>
        <v>0</v>
      </c>
      <c r="BB58" s="80">
        <f ca="1">+GETPIVOTDATA("XXS4",'xuanson (2016)'!$A$3,"MA_HT","CSD","MA_QH","SON")</f>
        <v>0</v>
      </c>
      <c r="BC58" s="80">
        <f ca="1">+GETPIVOTDATA("XXS4",'xuanson (2016)'!$A$3,"MA_HT","CSD","MA_QH","MNC")</f>
        <v>0</v>
      </c>
      <c r="BD58" s="71">
        <f ca="1">+GETPIVOTDATA("XXS4",'xuanson (2016)'!$A$3,"MA_HT","CSD","MA_QH","PNK")</f>
        <v>0</v>
      </c>
      <c r="BE58" s="38" t="e">
        <f ca="1">$D58-$BF58</f>
        <v>#REF!</v>
      </c>
      <c r="BF58" s="74">
        <f ca="1">R58+E58</f>
        <v>0</v>
      </c>
      <c r="BG58" s="119">
        <f ca="1">BE$59-$BF58</f>
        <v>0</v>
      </c>
      <c r="BH58" s="41" t="e">
        <f ca="1" t="shared" si="14"/>
        <v>#REF!</v>
      </c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</row>
    <row r="59" s="2" customFormat="1" ht="13.5" spans="1:246">
      <c r="A59" s="72"/>
      <c r="B59" s="72" t="s">
        <v>8436</v>
      </c>
      <c r="C59" s="73"/>
      <c r="D59" s="74"/>
      <c r="E59" s="75">
        <f ca="1">E58+E19</f>
        <v>0</v>
      </c>
      <c r="F59" s="74">
        <f ca="1" t="shared" ref="F59:Q59" si="22">F58+F19+F6</f>
        <v>0</v>
      </c>
      <c r="G59" s="74">
        <f ca="1" t="shared" si="22"/>
        <v>0</v>
      </c>
      <c r="H59" s="74">
        <f ca="1" t="shared" si="22"/>
        <v>0</v>
      </c>
      <c r="I59" s="74">
        <f ca="1" t="shared" si="22"/>
        <v>0</v>
      </c>
      <c r="J59" s="74">
        <f ca="1" t="shared" si="22"/>
        <v>0</v>
      </c>
      <c r="K59" s="74">
        <f ca="1" t="shared" si="22"/>
        <v>0</v>
      </c>
      <c r="L59" s="74">
        <f ca="1" t="shared" si="22"/>
        <v>0</v>
      </c>
      <c r="M59" s="74">
        <f ca="1" t="shared" si="22"/>
        <v>0</v>
      </c>
      <c r="N59" s="74">
        <f ca="1" t="shared" si="22"/>
        <v>0</v>
      </c>
      <c r="O59" s="74">
        <f ca="1" t="shared" si="22"/>
        <v>0</v>
      </c>
      <c r="P59" s="74">
        <f ca="1" t="shared" si="22"/>
        <v>0</v>
      </c>
      <c r="Q59" s="74">
        <f ca="1" t="shared" si="22"/>
        <v>0</v>
      </c>
      <c r="R59" s="75">
        <f ca="1">+R58+R6</f>
        <v>0</v>
      </c>
      <c r="S59" s="74">
        <f ca="1" t="shared" ref="S59:BD59" si="23">S58+S19+S6</f>
        <v>0</v>
      </c>
      <c r="T59" s="74">
        <f ca="1" t="shared" si="23"/>
        <v>0</v>
      </c>
      <c r="U59" s="74">
        <f ca="1" t="shared" si="23"/>
        <v>0</v>
      </c>
      <c r="V59" s="74">
        <f ca="1" t="shared" si="23"/>
        <v>0</v>
      </c>
      <c r="W59" s="74">
        <f ca="1" t="shared" si="23"/>
        <v>0</v>
      </c>
      <c r="X59" s="74">
        <f ca="1" t="shared" si="23"/>
        <v>0</v>
      </c>
      <c r="Y59" s="74">
        <f ca="1" t="shared" si="23"/>
        <v>0</v>
      </c>
      <c r="Z59" s="74">
        <f ca="1" t="shared" si="23"/>
        <v>0</v>
      </c>
      <c r="AA59" s="74">
        <f ca="1" t="shared" si="23"/>
        <v>0</v>
      </c>
      <c r="AB59" s="74">
        <f ca="1" t="shared" si="23"/>
        <v>0</v>
      </c>
      <c r="AC59" s="74">
        <f ca="1" t="shared" si="23"/>
        <v>0</v>
      </c>
      <c r="AD59" s="74">
        <f ca="1" t="shared" si="23"/>
        <v>0</v>
      </c>
      <c r="AE59" s="74">
        <f ca="1" t="shared" si="23"/>
        <v>0</v>
      </c>
      <c r="AF59" s="74">
        <f ca="1" t="shared" si="23"/>
        <v>0</v>
      </c>
      <c r="AG59" s="74">
        <f ca="1" t="shared" si="23"/>
        <v>0</v>
      </c>
      <c r="AH59" s="74">
        <f ca="1" t="shared" si="23"/>
        <v>0</v>
      </c>
      <c r="AI59" s="74">
        <f ca="1" t="shared" si="23"/>
        <v>0</v>
      </c>
      <c r="AJ59" s="74">
        <f ca="1" t="shared" si="23"/>
        <v>0</v>
      </c>
      <c r="AK59" s="74">
        <f ca="1" t="shared" si="23"/>
        <v>0</v>
      </c>
      <c r="AL59" s="74">
        <f ca="1" t="shared" si="23"/>
        <v>0</v>
      </c>
      <c r="AM59" s="74">
        <f ca="1" t="shared" si="23"/>
        <v>0</v>
      </c>
      <c r="AN59" s="74">
        <f ca="1" t="shared" si="23"/>
        <v>0</v>
      </c>
      <c r="AO59" s="74">
        <f ca="1" t="shared" si="23"/>
        <v>0</v>
      </c>
      <c r="AP59" s="74">
        <f ca="1" t="shared" si="23"/>
        <v>0</v>
      </c>
      <c r="AQ59" s="74">
        <f ca="1" t="shared" si="23"/>
        <v>0</v>
      </c>
      <c r="AR59" s="74">
        <f ca="1" t="shared" si="23"/>
        <v>0</v>
      </c>
      <c r="AS59" s="74">
        <f ca="1" t="shared" si="23"/>
        <v>0</v>
      </c>
      <c r="AT59" s="74">
        <f ca="1" t="shared" si="23"/>
        <v>0</v>
      </c>
      <c r="AU59" s="74">
        <f ca="1" t="shared" si="23"/>
        <v>0</v>
      </c>
      <c r="AV59" s="74">
        <f ca="1" t="shared" si="23"/>
        <v>0</v>
      </c>
      <c r="AW59" s="74">
        <f ca="1" t="shared" si="23"/>
        <v>0</v>
      </c>
      <c r="AX59" s="74">
        <f ca="1" t="shared" si="23"/>
        <v>0</v>
      </c>
      <c r="AY59" s="74">
        <f ca="1" t="shared" si="23"/>
        <v>0</v>
      </c>
      <c r="AZ59" s="74">
        <f ca="1" t="shared" si="23"/>
        <v>0</v>
      </c>
      <c r="BA59" s="75">
        <f ca="1" t="shared" si="23"/>
        <v>0</v>
      </c>
      <c r="BB59" s="74">
        <f ca="1" t="shared" si="23"/>
        <v>0</v>
      </c>
      <c r="BC59" s="74">
        <f ca="1" t="shared" si="23"/>
        <v>0</v>
      </c>
      <c r="BD59" s="74">
        <f ca="1" t="shared" si="23"/>
        <v>0</v>
      </c>
      <c r="BE59" s="120">
        <f ca="1">BE19+BE6</f>
        <v>0</v>
      </c>
      <c r="BF59" s="74"/>
      <c r="BG59" s="74"/>
      <c r="BH59" s="74"/>
      <c r="BI59" s="121"/>
      <c r="BJ59" s="121"/>
      <c r="BK59" s="121"/>
      <c r="BL59" s="1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3"/>
      <c r="CB59" s="123"/>
      <c r="CC59" s="124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</row>
    <row r="61" spans="61:76"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</row>
  </sheetData>
  <mergeCells count="3">
    <mergeCell ref="A3:A4"/>
    <mergeCell ref="B3:B4"/>
    <mergeCell ref="C3:C4"/>
  </mergeCells>
  <pageMargins left="0.65" right="0" top="0.5" bottom="0.25" header="0.5" footer="0.5"/>
  <pageSetup paperSize="8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7">
    <tabColor rgb="FFFF0000"/>
  </sheetPr>
  <dimension ref="A3:BD59"/>
  <sheetViews>
    <sheetView workbookViewId="0">
      <selection activeCell="A1" sqref="A1"/>
    </sheetView>
  </sheetViews>
  <sheetFormatPr defaultColWidth="9" defaultRowHeight="14.25"/>
  <cols>
    <col min="1" max="1" width="12" customWidth="1"/>
    <col min="2" max="55" width="9.125" customWidth="1"/>
    <col min="56" max="56" width="10.375" customWidth="1"/>
    <col min="57" max="107" width="12" customWidth="1"/>
    <col min="108" max="108" width="15.625" customWidth="1"/>
    <col min="109" max="109" width="16.625" customWidth="1"/>
  </cols>
  <sheetData>
    <row r="3" spans="1:56">
      <c r="A3" s="125" t="s">
        <v>8314</v>
      </c>
      <c r="B3" s="125" t="s">
        <v>8281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36"/>
    </row>
    <row r="4" spans="1:56">
      <c r="A4" s="125" t="s">
        <v>8282</v>
      </c>
      <c r="B4" s="125" t="s">
        <v>8283</v>
      </c>
      <c r="C4" s="127" t="s">
        <v>30</v>
      </c>
      <c r="D4" s="127" t="s">
        <v>31</v>
      </c>
      <c r="E4" s="127" t="s">
        <v>8284</v>
      </c>
      <c r="F4" s="127" t="s">
        <v>8285</v>
      </c>
      <c r="G4" s="127" t="s">
        <v>178</v>
      </c>
      <c r="H4" s="127" t="s">
        <v>8286</v>
      </c>
      <c r="I4" s="127" t="s">
        <v>8287</v>
      </c>
      <c r="J4" s="127" t="s">
        <v>165</v>
      </c>
      <c r="K4" s="127" t="s">
        <v>94</v>
      </c>
      <c r="L4" s="127" t="s">
        <v>8288</v>
      </c>
      <c r="M4" s="127" t="s">
        <v>8289</v>
      </c>
      <c r="N4" s="127" t="s">
        <v>8290</v>
      </c>
      <c r="O4" s="127" t="s">
        <v>71</v>
      </c>
      <c r="P4" s="127" t="s">
        <v>8291</v>
      </c>
      <c r="Q4" s="127" t="s">
        <v>8292</v>
      </c>
      <c r="R4" s="127" t="s">
        <v>216</v>
      </c>
      <c r="S4" s="127" t="s">
        <v>8293</v>
      </c>
      <c r="T4" s="127" t="s">
        <v>8294</v>
      </c>
      <c r="U4" s="127" t="s">
        <v>212</v>
      </c>
      <c r="V4" s="127" t="s">
        <v>8295</v>
      </c>
      <c r="W4" s="127" t="s">
        <v>8296</v>
      </c>
      <c r="X4" s="127" t="s">
        <v>2492</v>
      </c>
      <c r="Y4" s="127" t="s">
        <v>8297</v>
      </c>
      <c r="Z4" s="127" t="s">
        <v>8298</v>
      </c>
      <c r="AA4" s="127" t="s">
        <v>8299</v>
      </c>
      <c r="AB4" s="127" t="s">
        <v>221</v>
      </c>
      <c r="AC4" s="127" t="s">
        <v>8300</v>
      </c>
      <c r="AD4" s="127" t="s">
        <v>8301</v>
      </c>
      <c r="AE4" s="127" t="s">
        <v>8302</v>
      </c>
      <c r="AF4" s="127" t="s">
        <v>553</v>
      </c>
      <c r="AG4" s="127" t="s">
        <v>8303</v>
      </c>
      <c r="AH4" s="127" t="s">
        <v>182</v>
      </c>
      <c r="AI4" s="127" t="s">
        <v>318</v>
      </c>
      <c r="AJ4" s="127" t="s">
        <v>201</v>
      </c>
      <c r="AK4" s="127" t="s">
        <v>188</v>
      </c>
      <c r="AL4" s="127" t="s">
        <v>59</v>
      </c>
      <c r="AM4" s="127" t="s">
        <v>8304</v>
      </c>
      <c r="AN4" s="127" t="s">
        <v>8305</v>
      </c>
      <c r="AO4" s="127" t="s">
        <v>8306</v>
      </c>
      <c r="AP4" s="127" t="s">
        <v>8307</v>
      </c>
      <c r="AQ4" s="127" t="s">
        <v>204</v>
      </c>
      <c r="AR4" s="127" t="s">
        <v>47</v>
      </c>
      <c r="AS4" s="127" t="s">
        <v>56</v>
      </c>
      <c r="AT4" s="127" t="s">
        <v>174</v>
      </c>
      <c r="AU4" s="127" t="s">
        <v>8308</v>
      </c>
      <c r="AV4" s="127" t="s">
        <v>236</v>
      </c>
      <c r="AW4" s="127" t="s">
        <v>8309</v>
      </c>
      <c r="AX4" s="127" t="s">
        <v>8310</v>
      </c>
      <c r="AY4" s="127" t="s">
        <v>265</v>
      </c>
      <c r="AZ4" s="127" t="s">
        <v>324</v>
      </c>
      <c r="BA4" s="127" t="s">
        <v>336</v>
      </c>
      <c r="BB4" s="127" t="s">
        <v>8311</v>
      </c>
      <c r="BC4" s="127" t="s">
        <v>8312</v>
      </c>
      <c r="BD4" s="137" t="s">
        <v>8313</v>
      </c>
    </row>
    <row r="5" spans="1:56">
      <c r="A5" s="125" t="s">
        <v>8283</v>
      </c>
      <c r="B5" s="128">
        <v>0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38">
        <v>0</v>
      </c>
    </row>
    <row r="6" spans="1:56">
      <c r="A6" s="130" t="s">
        <v>30</v>
      </c>
      <c r="B6" s="131"/>
      <c r="C6" s="132">
        <v>0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9">
        <v>0</v>
      </c>
    </row>
    <row r="7" spans="1:56">
      <c r="A7" s="130" t="s">
        <v>31</v>
      </c>
      <c r="B7" s="131"/>
      <c r="C7" s="132"/>
      <c r="D7" s="132">
        <v>0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9">
        <v>0</v>
      </c>
    </row>
    <row r="8" spans="1:56">
      <c r="A8" s="130" t="s">
        <v>8284</v>
      </c>
      <c r="B8" s="131"/>
      <c r="C8" s="132"/>
      <c r="D8" s="132"/>
      <c r="E8" s="132">
        <v>0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9">
        <v>0</v>
      </c>
    </row>
    <row r="9" spans="1:56">
      <c r="A9" s="130" t="s">
        <v>8285</v>
      </c>
      <c r="B9" s="131"/>
      <c r="C9" s="132"/>
      <c r="D9" s="132"/>
      <c r="E9" s="132"/>
      <c r="F9" s="132">
        <v>0</v>
      </c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9">
        <v>0</v>
      </c>
    </row>
    <row r="10" spans="1:56">
      <c r="A10" s="130" t="s">
        <v>178</v>
      </c>
      <c r="B10" s="131"/>
      <c r="C10" s="132"/>
      <c r="D10" s="132"/>
      <c r="E10" s="132"/>
      <c r="F10" s="132"/>
      <c r="G10" s="132">
        <v>0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9">
        <v>0</v>
      </c>
    </row>
    <row r="11" spans="1:56">
      <c r="A11" s="130" t="s">
        <v>8286</v>
      </c>
      <c r="B11" s="131"/>
      <c r="C11" s="132"/>
      <c r="D11" s="132"/>
      <c r="E11" s="132"/>
      <c r="F11" s="132"/>
      <c r="G11" s="132"/>
      <c r="H11" s="132">
        <v>0</v>
      </c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9">
        <v>0</v>
      </c>
    </row>
    <row r="12" spans="1:56">
      <c r="A12" s="130" t="s">
        <v>8287</v>
      </c>
      <c r="B12" s="131"/>
      <c r="C12" s="132"/>
      <c r="D12" s="132"/>
      <c r="E12" s="132"/>
      <c r="F12" s="132"/>
      <c r="G12" s="132"/>
      <c r="H12" s="132"/>
      <c r="I12" s="132"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9">
        <v>0</v>
      </c>
    </row>
    <row r="13" spans="1:56">
      <c r="A13" s="130" t="s">
        <v>165</v>
      </c>
      <c r="B13" s="131"/>
      <c r="C13" s="132"/>
      <c r="D13" s="132"/>
      <c r="E13" s="132"/>
      <c r="F13" s="132"/>
      <c r="G13" s="132"/>
      <c r="H13" s="132"/>
      <c r="I13" s="132"/>
      <c r="J13" s="132"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9">
        <v>0</v>
      </c>
    </row>
    <row r="14" spans="1:56">
      <c r="A14" s="130" t="s">
        <v>94</v>
      </c>
      <c r="B14" s="131"/>
      <c r="C14" s="132"/>
      <c r="D14" s="132"/>
      <c r="E14" s="132"/>
      <c r="F14" s="132"/>
      <c r="G14" s="132"/>
      <c r="H14" s="132"/>
      <c r="I14" s="132"/>
      <c r="J14" s="132"/>
      <c r="K14" s="132">
        <v>0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9">
        <v>0</v>
      </c>
    </row>
    <row r="15" spans="1:56">
      <c r="A15" s="130" t="s">
        <v>8288</v>
      </c>
      <c r="B15" s="131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0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9">
        <v>0</v>
      </c>
    </row>
    <row r="16" spans="1:56">
      <c r="A16" s="130" t="s">
        <v>8289</v>
      </c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>
        <v>0</v>
      </c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9">
        <v>0</v>
      </c>
    </row>
    <row r="17" spans="1:56">
      <c r="A17" s="130" t="s">
        <v>8290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>
        <v>0</v>
      </c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9">
        <v>0</v>
      </c>
    </row>
    <row r="18" spans="1:56">
      <c r="A18" s="130" t="s">
        <v>71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9">
        <v>0</v>
      </c>
    </row>
    <row r="19" spans="1:56">
      <c r="A19" s="130" t="s">
        <v>8291</v>
      </c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>
        <v>0</v>
      </c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9">
        <v>0</v>
      </c>
    </row>
    <row r="20" spans="1:56">
      <c r="A20" s="130" t="s">
        <v>8292</v>
      </c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>
        <v>0</v>
      </c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9">
        <v>0</v>
      </c>
    </row>
    <row r="21" spans="1:56">
      <c r="A21" s="130" t="s">
        <v>216</v>
      </c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>
        <v>0</v>
      </c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9">
        <v>0</v>
      </c>
    </row>
    <row r="22" spans="1:56">
      <c r="A22" s="130" t="s">
        <v>8293</v>
      </c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>
        <v>0</v>
      </c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9">
        <v>0</v>
      </c>
    </row>
    <row r="23" spans="1:56">
      <c r="A23" s="130" t="s">
        <v>8294</v>
      </c>
      <c r="B23" s="13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>
        <v>0</v>
      </c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9">
        <v>0</v>
      </c>
    </row>
    <row r="24" spans="1:56">
      <c r="A24" s="130" t="s">
        <v>212</v>
      </c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0</v>
      </c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9">
        <v>0</v>
      </c>
    </row>
    <row r="25" spans="1:56">
      <c r="A25" s="130" t="s">
        <v>8295</v>
      </c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>
        <v>0</v>
      </c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9">
        <v>0</v>
      </c>
    </row>
    <row r="26" spans="1:56">
      <c r="A26" s="130" t="s">
        <v>8296</v>
      </c>
      <c r="B26" s="13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9">
        <v>0</v>
      </c>
    </row>
    <row r="27" spans="1:56">
      <c r="A27" s="130" t="s">
        <v>2492</v>
      </c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>
        <v>0</v>
      </c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9">
        <v>0</v>
      </c>
    </row>
    <row r="28" spans="1:56">
      <c r="A28" s="130" t="s">
        <v>8297</v>
      </c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9">
        <v>0</v>
      </c>
    </row>
    <row r="29" spans="1:56">
      <c r="A29" s="130" t="s">
        <v>8298</v>
      </c>
      <c r="B29" s="13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>
        <v>0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9">
        <v>0</v>
      </c>
    </row>
    <row r="30" spans="1:56">
      <c r="A30" s="130" t="s">
        <v>8299</v>
      </c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>
        <v>0</v>
      </c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9">
        <v>0</v>
      </c>
    </row>
    <row r="31" spans="1:56">
      <c r="A31" s="130" t="s">
        <v>221</v>
      </c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>
        <v>0</v>
      </c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9">
        <v>0</v>
      </c>
    </row>
    <row r="32" spans="1:56">
      <c r="A32" s="130" t="s">
        <v>8300</v>
      </c>
      <c r="B32" s="13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>
        <v>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9">
        <v>0</v>
      </c>
    </row>
    <row r="33" spans="1:56">
      <c r="A33" s="130" t="s">
        <v>8301</v>
      </c>
      <c r="B33" s="13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>
        <v>0</v>
      </c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9">
        <v>0</v>
      </c>
    </row>
    <row r="34" spans="1:56">
      <c r="A34" s="130" t="s">
        <v>8302</v>
      </c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>
        <v>0</v>
      </c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9">
        <v>0</v>
      </c>
    </row>
    <row r="35" spans="1:56">
      <c r="A35" s="130" t="s">
        <v>553</v>
      </c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>
        <v>0</v>
      </c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9">
        <v>0</v>
      </c>
    </row>
    <row r="36" spans="1:56">
      <c r="A36" s="130" t="s">
        <v>8303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>
        <v>0</v>
      </c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9">
        <v>0</v>
      </c>
    </row>
    <row r="37" spans="1:56">
      <c r="A37" s="130" t="s">
        <v>182</v>
      </c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>
        <v>0</v>
      </c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9">
        <v>0</v>
      </c>
    </row>
    <row r="38" spans="1:56">
      <c r="A38" s="130" t="s">
        <v>318</v>
      </c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>
        <v>0</v>
      </c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9">
        <v>0</v>
      </c>
    </row>
    <row r="39" spans="1:56">
      <c r="A39" s="130" t="s">
        <v>201</v>
      </c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>
        <v>0</v>
      </c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9">
        <v>0</v>
      </c>
    </row>
    <row r="40" spans="1:56">
      <c r="A40" s="130" t="s">
        <v>188</v>
      </c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>
        <v>0</v>
      </c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9">
        <v>0</v>
      </c>
    </row>
    <row r="41" spans="1:56">
      <c r="A41" s="130" t="s">
        <v>59</v>
      </c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>
        <v>0</v>
      </c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9">
        <v>0</v>
      </c>
    </row>
    <row r="42" spans="1:56">
      <c r="A42" s="130" t="s">
        <v>8304</v>
      </c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>
        <v>0</v>
      </c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9">
        <v>0</v>
      </c>
    </row>
    <row r="43" spans="1:56">
      <c r="A43" s="130" t="s">
        <v>8305</v>
      </c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9">
        <v>0</v>
      </c>
    </row>
    <row r="44" spans="1:56">
      <c r="A44" s="130" t="s">
        <v>8306</v>
      </c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9">
        <v>0</v>
      </c>
    </row>
    <row r="45" spans="1:56">
      <c r="A45" s="130" t="s">
        <v>8307</v>
      </c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>
        <v>0</v>
      </c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9">
        <v>0</v>
      </c>
    </row>
    <row r="46" spans="1:56">
      <c r="A46" s="130" t="s">
        <v>204</v>
      </c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>
        <v>0</v>
      </c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9">
        <v>0</v>
      </c>
    </row>
    <row r="47" spans="1:56">
      <c r="A47" s="130" t="s">
        <v>47</v>
      </c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>
        <v>0</v>
      </c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9">
        <v>0</v>
      </c>
    </row>
    <row r="48" spans="1:56">
      <c r="A48" s="130" t="s">
        <v>56</v>
      </c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>
        <v>0</v>
      </c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9">
        <v>0</v>
      </c>
    </row>
    <row r="49" spans="1:56">
      <c r="A49" s="130" t="s">
        <v>174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>
        <v>0</v>
      </c>
      <c r="AU49" s="132"/>
      <c r="AV49" s="132"/>
      <c r="AW49" s="132"/>
      <c r="AX49" s="132"/>
      <c r="AY49" s="132"/>
      <c r="AZ49" s="132"/>
      <c r="BA49" s="132"/>
      <c r="BB49" s="132"/>
      <c r="BC49" s="132"/>
      <c r="BD49" s="139">
        <v>0</v>
      </c>
    </row>
    <row r="50" spans="1:56">
      <c r="A50" s="130" t="s">
        <v>8308</v>
      </c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>
        <v>0</v>
      </c>
      <c r="AV50" s="132"/>
      <c r="AW50" s="132"/>
      <c r="AX50" s="132"/>
      <c r="AY50" s="132"/>
      <c r="AZ50" s="132"/>
      <c r="BA50" s="132"/>
      <c r="BB50" s="132"/>
      <c r="BC50" s="132"/>
      <c r="BD50" s="139">
        <v>0</v>
      </c>
    </row>
    <row r="51" spans="1:56">
      <c r="A51" s="130" t="s">
        <v>236</v>
      </c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>
        <v>0</v>
      </c>
      <c r="AW51" s="132"/>
      <c r="AX51" s="132"/>
      <c r="AY51" s="132"/>
      <c r="AZ51" s="132"/>
      <c r="BA51" s="132"/>
      <c r="BB51" s="132"/>
      <c r="BC51" s="132"/>
      <c r="BD51" s="139">
        <v>0</v>
      </c>
    </row>
    <row r="52" spans="1:56">
      <c r="A52" s="130" t="s">
        <v>8309</v>
      </c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>
        <v>0</v>
      </c>
      <c r="AX52" s="132"/>
      <c r="AY52" s="132"/>
      <c r="AZ52" s="132"/>
      <c r="BA52" s="132"/>
      <c r="BB52" s="132"/>
      <c r="BC52" s="132"/>
      <c r="BD52" s="139">
        <v>0</v>
      </c>
    </row>
    <row r="53" spans="1:56">
      <c r="A53" s="130" t="s">
        <v>8310</v>
      </c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>
        <v>0</v>
      </c>
      <c r="AY53" s="132"/>
      <c r="AZ53" s="132"/>
      <c r="BA53" s="132"/>
      <c r="BB53" s="132"/>
      <c r="BC53" s="132"/>
      <c r="BD53" s="139">
        <v>0</v>
      </c>
    </row>
    <row r="54" spans="1:56">
      <c r="A54" s="130" t="s">
        <v>265</v>
      </c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>
        <v>0</v>
      </c>
      <c r="AZ54" s="132"/>
      <c r="BA54" s="132"/>
      <c r="BB54" s="132"/>
      <c r="BC54" s="132"/>
      <c r="BD54" s="139">
        <v>0</v>
      </c>
    </row>
    <row r="55" spans="1:56">
      <c r="A55" s="130" t="s">
        <v>324</v>
      </c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>
        <v>0</v>
      </c>
      <c r="BA55" s="132"/>
      <c r="BB55" s="132"/>
      <c r="BC55" s="132"/>
      <c r="BD55" s="139">
        <v>0</v>
      </c>
    </row>
    <row r="56" spans="1:56">
      <c r="A56" s="130" t="s">
        <v>336</v>
      </c>
      <c r="B56" s="13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>
        <v>0</v>
      </c>
      <c r="BB56" s="132"/>
      <c r="BC56" s="132"/>
      <c r="BD56" s="139">
        <v>0</v>
      </c>
    </row>
    <row r="57" spans="1:56">
      <c r="A57" s="130" t="s">
        <v>8311</v>
      </c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>
        <v>0</v>
      </c>
      <c r="BC57" s="132"/>
      <c r="BD57" s="139">
        <v>0</v>
      </c>
    </row>
    <row r="58" spans="1:56">
      <c r="A58" s="130" t="s">
        <v>8312</v>
      </c>
      <c r="B58" s="13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>
        <v>0</v>
      </c>
      <c r="BD58" s="139">
        <v>0</v>
      </c>
    </row>
    <row r="59" spans="1:56">
      <c r="A59" s="133" t="s">
        <v>8313</v>
      </c>
      <c r="B59" s="134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40">
        <v>0</v>
      </c>
    </row>
  </sheetData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8">
    <tabColor rgb="FFFF0000"/>
  </sheetPr>
  <dimension ref="A3:BD59"/>
  <sheetViews>
    <sheetView workbookViewId="0">
      <selection activeCell="A1" sqref="A1"/>
    </sheetView>
  </sheetViews>
  <sheetFormatPr defaultColWidth="9" defaultRowHeight="14.25"/>
  <cols>
    <col min="1" max="1" width="11.875" customWidth="1"/>
    <col min="2" max="55" width="9.125" customWidth="1"/>
    <col min="56" max="56" width="10.375" customWidth="1"/>
  </cols>
  <sheetData>
    <row r="3" spans="1:56">
      <c r="A3" s="125" t="s">
        <v>8315</v>
      </c>
      <c r="B3" s="125" t="s">
        <v>8281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36"/>
    </row>
    <row r="4" spans="1:56">
      <c r="A4" s="125" t="s">
        <v>8282</v>
      </c>
      <c r="B4" s="125" t="s">
        <v>8283</v>
      </c>
      <c r="C4" s="127" t="s">
        <v>30</v>
      </c>
      <c r="D4" s="127" t="s">
        <v>31</v>
      </c>
      <c r="E4" s="127" t="s">
        <v>8284</v>
      </c>
      <c r="F4" s="127" t="s">
        <v>8285</v>
      </c>
      <c r="G4" s="127" t="s">
        <v>178</v>
      </c>
      <c r="H4" s="127" t="s">
        <v>8286</v>
      </c>
      <c r="I4" s="127" t="s">
        <v>8287</v>
      </c>
      <c r="J4" s="127" t="s">
        <v>165</v>
      </c>
      <c r="K4" s="127" t="s">
        <v>94</v>
      </c>
      <c r="L4" s="127" t="s">
        <v>8288</v>
      </c>
      <c r="M4" s="127" t="s">
        <v>8289</v>
      </c>
      <c r="N4" s="127" t="s">
        <v>8290</v>
      </c>
      <c r="O4" s="127" t="s">
        <v>71</v>
      </c>
      <c r="P4" s="127" t="s">
        <v>8291</v>
      </c>
      <c r="Q4" s="127" t="s">
        <v>8292</v>
      </c>
      <c r="R4" s="127" t="s">
        <v>216</v>
      </c>
      <c r="S4" s="127" t="s">
        <v>8293</v>
      </c>
      <c r="T4" s="127" t="s">
        <v>8294</v>
      </c>
      <c r="U4" s="127" t="s">
        <v>212</v>
      </c>
      <c r="V4" s="127" t="s">
        <v>8295</v>
      </c>
      <c r="W4" s="127" t="s">
        <v>8296</v>
      </c>
      <c r="X4" s="127" t="s">
        <v>2492</v>
      </c>
      <c r="Y4" s="127" t="s">
        <v>8297</v>
      </c>
      <c r="Z4" s="127" t="s">
        <v>8298</v>
      </c>
      <c r="AA4" s="127" t="s">
        <v>8299</v>
      </c>
      <c r="AB4" s="127" t="s">
        <v>221</v>
      </c>
      <c r="AC4" s="127" t="s">
        <v>8300</v>
      </c>
      <c r="AD4" s="127" t="s">
        <v>8301</v>
      </c>
      <c r="AE4" s="127" t="s">
        <v>8302</v>
      </c>
      <c r="AF4" s="127" t="s">
        <v>553</v>
      </c>
      <c r="AG4" s="127" t="s">
        <v>8303</v>
      </c>
      <c r="AH4" s="127" t="s">
        <v>182</v>
      </c>
      <c r="AI4" s="127" t="s">
        <v>318</v>
      </c>
      <c r="AJ4" s="127" t="s">
        <v>201</v>
      </c>
      <c r="AK4" s="127" t="s">
        <v>188</v>
      </c>
      <c r="AL4" s="127" t="s">
        <v>59</v>
      </c>
      <c r="AM4" s="127" t="s">
        <v>8304</v>
      </c>
      <c r="AN4" s="127" t="s">
        <v>8305</v>
      </c>
      <c r="AO4" s="127" t="s">
        <v>8306</v>
      </c>
      <c r="AP4" s="127" t="s">
        <v>8307</v>
      </c>
      <c r="AQ4" s="127" t="s">
        <v>204</v>
      </c>
      <c r="AR4" s="127" t="s">
        <v>47</v>
      </c>
      <c r="AS4" s="127" t="s">
        <v>56</v>
      </c>
      <c r="AT4" s="127" t="s">
        <v>174</v>
      </c>
      <c r="AU4" s="127" t="s">
        <v>8308</v>
      </c>
      <c r="AV4" s="127" t="s">
        <v>236</v>
      </c>
      <c r="AW4" s="127" t="s">
        <v>8309</v>
      </c>
      <c r="AX4" s="127" t="s">
        <v>8310</v>
      </c>
      <c r="AY4" s="127" t="s">
        <v>265</v>
      </c>
      <c r="AZ4" s="127" t="s">
        <v>324</v>
      </c>
      <c r="BA4" s="127" t="s">
        <v>336</v>
      </c>
      <c r="BB4" s="127" t="s">
        <v>8311</v>
      </c>
      <c r="BC4" s="127" t="s">
        <v>8312</v>
      </c>
      <c r="BD4" s="137" t="s">
        <v>8313</v>
      </c>
    </row>
    <row r="5" spans="1:56">
      <c r="A5" s="125" t="s">
        <v>8283</v>
      </c>
      <c r="B5" s="128">
        <v>0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38">
        <v>0</v>
      </c>
    </row>
    <row r="6" spans="1:56">
      <c r="A6" s="130" t="s">
        <v>30</v>
      </c>
      <c r="B6" s="131"/>
      <c r="C6" s="132">
        <v>0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9">
        <v>0</v>
      </c>
    </row>
    <row r="7" spans="1:56">
      <c r="A7" s="130" t="s">
        <v>31</v>
      </c>
      <c r="B7" s="131"/>
      <c r="C7" s="132"/>
      <c r="D7" s="132">
        <v>0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9">
        <v>0</v>
      </c>
    </row>
    <row r="8" spans="1:56">
      <c r="A8" s="130" t="s">
        <v>8284</v>
      </c>
      <c r="B8" s="131"/>
      <c r="C8" s="132"/>
      <c r="D8" s="132"/>
      <c r="E8" s="132">
        <v>0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9">
        <v>0</v>
      </c>
    </row>
    <row r="9" spans="1:56">
      <c r="A9" s="130" t="s">
        <v>8285</v>
      </c>
      <c r="B9" s="131"/>
      <c r="C9" s="132"/>
      <c r="D9" s="132"/>
      <c r="E9" s="132"/>
      <c r="F9" s="132">
        <v>0</v>
      </c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9">
        <v>0</v>
      </c>
    </row>
    <row r="10" spans="1:56">
      <c r="A10" s="130" t="s">
        <v>178</v>
      </c>
      <c r="B10" s="131"/>
      <c r="C10" s="132"/>
      <c r="D10" s="132"/>
      <c r="E10" s="132"/>
      <c r="F10" s="132"/>
      <c r="G10" s="132">
        <v>0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9">
        <v>0</v>
      </c>
    </row>
    <row r="11" spans="1:56">
      <c r="A11" s="130" t="s">
        <v>8286</v>
      </c>
      <c r="B11" s="131"/>
      <c r="C11" s="132"/>
      <c r="D11" s="132"/>
      <c r="E11" s="132"/>
      <c r="F11" s="132"/>
      <c r="G11" s="132"/>
      <c r="H11" s="132">
        <v>0</v>
      </c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9">
        <v>0</v>
      </c>
    </row>
    <row r="12" spans="1:56">
      <c r="A12" s="130" t="s">
        <v>8287</v>
      </c>
      <c r="B12" s="131"/>
      <c r="C12" s="132"/>
      <c r="D12" s="132"/>
      <c r="E12" s="132"/>
      <c r="F12" s="132"/>
      <c r="G12" s="132"/>
      <c r="H12" s="132"/>
      <c r="I12" s="132"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9">
        <v>0</v>
      </c>
    </row>
    <row r="13" spans="1:56">
      <c r="A13" s="130" t="s">
        <v>165</v>
      </c>
      <c r="B13" s="131"/>
      <c r="C13" s="132"/>
      <c r="D13" s="132"/>
      <c r="E13" s="132"/>
      <c r="F13" s="132"/>
      <c r="G13" s="132"/>
      <c r="H13" s="132"/>
      <c r="I13" s="132"/>
      <c r="J13" s="132"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9">
        <v>0</v>
      </c>
    </row>
    <row r="14" spans="1:56">
      <c r="A14" s="130" t="s">
        <v>94</v>
      </c>
      <c r="B14" s="131"/>
      <c r="C14" s="132"/>
      <c r="D14" s="132"/>
      <c r="E14" s="132"/>
      <c r="F14" s="132"/>
      <c r="G14" s="132"/>
      <c r="H14" s="132"/>
      <c r="I14" s="132"/>
      <c r="J14" s="132"/>
      <c r="K14" s="132">
        <v>0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9">
        <v>0</v>
      </c>
    </row>
    <row r="15" spans="1:56">
      <c r="A15" s="130" t="s">
        <v>8288</v>
      </c>
      <c r="B15" s="131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0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9">
        <v>0</v>
      </c>
    </row>
    <row r="16" spans="1:56">
      <c r="A16" s="130" t="s">
        <v>8289</v>
      </c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>
        <v>0</v>
      </c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9">
        <v>0</v>
      </c>
    </row>
    <row r="17" spans="1:56">
      <c r="A17" s="130" t="s">
        <v>8290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>
        <v>0</v>
      </c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9">
        <v>0</v>
      </c>
    </row>
    <row r="18" spans="1:56">
      <c r="A18" s="130" t="s">
        <v>71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9">
        <v>0</v>
      </c>
    </row>
    <row r="19" spans="1:56">
      <c r="A19" s="130" t="s">
        <v>8291</v>
      </c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>
        <v>0</v>
      </c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9">
        <v>0</v>
      </c>
    </row>
    <row r="20" spans="1:56">
      <c r="A20" s="130" t="s">
        <v>8292</v>
      </c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>
        <v>0</v>
      </c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9">
        <v>0</v>
      </c>
    </row>
    <row r="21" spans="1:56">
      <c r="A21" s="130" t="s">
        <v>216</v>
      </c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>
        <v>0</v>
      </c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9">
        <v>0</v>
      </c>
    </row>
    <row r="22" spans="1:56">
      <c r="A22" s="130" t="s">
        <v>8293</v>
      </c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>
        <v>0</v>
      </c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9">
        <v>0</v>
      </c>
    </row>
    <row r="23" spans="1:56">
      <c r="A23" s="130" t="s">
        <v>8294</v>
      </c>
      <c r="B23" s="13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>
        <v>0</v>
      </c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9">
        <v>0</v>
      </c>
    </row>
    <row r="24" spans="1:56">
      <c r="A24" s="130" t="s">
        <v>212</v>
      </c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0</v>
      </c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9">
        <v>0</v>
      </c>
    </row>
    <row r="25" spans="1:56">
      <c r="A25" s="130" t="s">
        <v>8295</v>
      </c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>
        <v>0</v>
      </c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9">
        <v>0</v>
      </c>
    </row>
    <row r="26" spans="1:56">
      <c r="A26" s="130" t="s">
        <v>8296</v>
      </c>
      <c r="B26" s="13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9">
        <v>0</v>
      </c>
    </row>
    <row r="27" spans="1:56">
      <c r="A27" s="130" t="s">
        <v>2492</v>
      </c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>
        <v>0</v>
      </c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9">
        <v>0</v>
      </c>
    </row>
    <row r="28" spans="1:56">
      <c r="A28" s="130" t="s">
        <v>8297</v>
      </c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9">
        <v>0</v>
      </c>
    </row>
    <row r="29" spans="1:56">
      <c r="A29" s="130" t="s">
        <v>8298</v>
      </c>
      <c r="B29" s="13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>
        <v>0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9">
        <v>0</v>
      </c>
    </row>
    <row r="30" spans="1:56">
      <c r="A30" s="130" t="s">
        <v>8299</v>
      </c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>
        <v>0</v>
      </c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9">
        <v>0</v>
      </c>
    </row>
    <row r="31" spans="1:56">
      <c r="A31" s="130" t="s">
        <v>221</v>
      </c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>
        <v>0</v>
      </c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9">
        <v>0</v>
      </c>
    </row>
    <row r="32" spans="1:56">
      <c r="A32" s="130" t="s">
        <v>8300</v>
      </c>
      <c r="B32" s="13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>
        <v>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9">
        <v>0</v>
      </c>
    </row>
    <row r="33" spans="1:56">
      <c r="A33" s="130" t="s">
        <v>8301</v>
      </c>
      <c r="B33" s="13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>
        <v>0</v>
      </c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9">
        <v>0</v>
      </c>
    </row>
    <row r="34" spans="1:56">
      <c r="A34" s="130" t="s">
        <v>8302</v>
      </c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>
        <v>0</v>
      </c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9">
        <v>0</v>
      </c>
    </row>
    <row r="35" spans="1:56">
      <c r="A35" s="130" t="s">
        <v>553</v>
      </c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>
        <v>0</v>
      </c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9">
        <v>0</v>
      </c>
    </row>
    <row r="36" spans="1:56">
      <c r="A36" s="130" t="s">
        <v>8303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>
        <v>0</v>
      </c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9">
        <v>0</v>
      </c>
    </row>
    <row r="37" spans="1:56">
      <c r="A37" s="130" t="s">
        <v>182</v>
      </c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>
        <v>0</v>
      </c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9">
        <v>0</v>
      </c>
    </row>
    <row r="38" spans="1:56">
      <c r="A38" s="130" t="s">
        <v>318</v>
      </c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>
        <v>0</v>
      </c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9">
        <v>0</v>
      </c>
    </row>
    <row r="39" spans="1:56">
      <c r="A39" s="130" t="s">
        <v>201</v>
      </c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>
        <v>0</v>
      </c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9">
        <v>0</v>
      </c>
    </row>
    <row r="40" spans="1:56">
      <c r="A40" s="130" t="s">
        <v>188</v>
      </c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>
        <v>0</v>
      </c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9">
        <v>0</v>
      </c>
    </row>
    <row r="41" spans="1:56">
      <c r="A41" s="130" t="s">
        <v>59</v>
      </c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>
        <v>0</v>
      </c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9">
        <v>0</v>
      </c>
    </row>
    <row r="42" spans="1:56">
      <c r="A42" s="130" t="s">
        <v>8304</v>
      </c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>
        <v>0</v>
      </c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9">
        <v>0</v>
      </c>
    </row>
    <row r="43" spans="1:56">
      <c r="A43" s="130" t="s">
        <v>8305</v>
      </c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9">
        <v>0</v>
      </c>
    </row>
    <row r="44" spans="1:56">
      <c r="A44" s="130" t="s">
        <v>8306</v>
      </c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9">
        <v>0</v>
      </c>
    </row>
    <row r="45" spans="1:56">
      <c r="A45" s="130" t="s">
        <v>8307</v>
      </c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>
        <v>0</v>
      </c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9">
        <v>0</v>
      </c>
    </row>
    <row r="46" spans="1:56">
      <c r="A46" s="130" t="s">
        <v>204</v>
      </c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>
        <v>0</v>
      </c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9">
        <v>0</v>
      </c>
    </row>
    <row r="47" spans="1:56">
      <c r="A47" s="130" t="s">
        <v>47</v>
      </c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>
        <v>0</v>
      </c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9">
        <v>0</v>
      </c>
    </row>
    <row r="48" spans="1:56">
      <c r="A48" s="130" t="s">
        <v>56</v>
      </c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>
        <v>0</v>
      </c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9">
        <v>0</v>
      </c>
    </row>
    <row r="49" spans="1:56">
      <c r="A49" s="130" t="s">
        <v>174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>
        <v>0</v>
      </c>
      <c r="AU49" s="132"/>
      <c r="AV49" s="132"/>
      <c r="AW49" s="132"/>
      <c r="AX49" s="132"/>
      <c r="AY49" s="132"/>
      <c r="AZ49" s="132"/>
      <c r="BA49" s="132"/>
      <c r="BB49" s="132"/>
      <c r="BC49" s="132"/>
      <c r="BD49" s="139">
        <v>0</v>
      </c>
    </row>
    <row r="50" spans="1:56">
      <c r="A50" s="130" t="s">
        <v>8308</v>
      </c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>
        <v>0</v>
      </c>
      <c r="AV50" s="132"/>
      <c r="AW50" s="132"/>
      <c r="AX50" s="132"/>
      <c r="AY50" s="132"/>
      <c r="AZ50" s="132"/>
      <c r="BA50" s="132"/>
      <c r="BB50" s="132"/>
      <c r="BC50" s="132"/>
      <c r="BD50" s="139">
        <v>0</v>
      </c>
    </row>
    <row r="51" spans="1:56">
      <c r="A51" s="130" t="s">
        <v>236</v>
      </c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>
        <v>0</v>
      </c>
      <c r="AW51" s="132"/>
      <c r="AX51" s="132"/>
      <c r="AY51" s="132"/>
      <c r="AZ51" s="132"/>
      <c r="BA51" s="132"/>
      <c r="BB51" s="132"/>
      <c r="BC51" s="132"/>
      <c r="BD51" s="139">
        <v>0</v>
      </c>
    </row>
    <row r="52" spans="1:56">
      <c r="A52" s="130" t="s">
        <v>8309</v>
      </c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>
        <v>0</v>
      </c>
      <c r="AX52" s="132"/>
      <c r="AY52" s="132"/>
      <c r="AZ52" s="132"/>
      <c r="BA52" s="132"/>
      <c r="BB52" s="132"/>
      <c r="BC52" s="132"/>
      <c r="BD52" s="139">
        <v>0</v>
      </c>
    </row>
    <row r="53" spans="1:56">
      <c r="A53" s="130" t="s">
        <v>8310</v>
      </c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>
        <v>0</v>
      </c>
      <c r="AY53" s="132"/>
      <c r="AZ53" s="132"/>
      <c r="BA53" s="132"/>
      <c r="BB53" s="132"/>
      <c r="BC53" s="132"/>
      <c r="BD53" s="139">
        <v>0</v>
      </c>
    </row>
    <row r="54" spans="1:56">
      <c r="A54" s="130" t="s">
        <v>265</v>
      </c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>
        <v>0</v>
      </c>
      <c r="AZ54" s="132"/>
      <c r="BA54" s="132"/>
      <c r="BB54" s="132"/>
      <c r="BC54" s="132"/>
      <c r="BD54" s="139">
        <v>0</v>
      </c>
    </row>
    <row r="55" spans="1:56">
      <c r="A55" s="130" t="s">
        <v>324</v>
      </c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>
        <v>0</v>
      </c>
      <c r="BA55" s="132"/>
      <c r="BB55" s="132"/>
      <c r="BC55" s="132"/>
      <c r="BD55" s="139">
        <v>0</v>
      </c>
    </row>
    <row r="56" spans="1:56">
      <c r="A56" s="130" t="s">
        <v>336</v>
      </c>
      <c r="B56" s="13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>
        <v>0</v>
      </c>
      <c r="BB56" s="132"/>
      <c r="BC56" s="132"/>
      <c r="BD56" s="139">
        <v>0</v>
      </c>
    </row>
    <row r="57" spans="1:56">
      <c r="A57" s="130" t="s">
        <v>8311</v>
      </c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>
        <v>0</v>
      </c>
      <c r="BC57" s="132"/>
      <c r="BD57" s="139">
        <v>0</v>
      </c>
    </row>
    <row r="58" spans="1:56">
      <c r="A58" s="130" t="s">
        <v>8312</v>
      </c>
      <c r="B58" s="13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>
        <v>0</v>
      </c>
      <c r="BD58" s="139">
        <v>0</v>
      </c>
    </row>
    <row r="59" spans="1:56">
      <c r="A59" s="133" t="s">
        <v>8313</v>
      </c>
      <c r="B59" s="134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40">
        <v>0</v>
      </c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9">
    <tabColor rgb="FFFF0000"/>
  </sheetPr>
  <dimension ref="A3:BD59"/>
  <sheetViews>
    <sheetView workbookViewId="0">
      <selection activeCell="A1" sqref="A1"/>
    </sheetView>
  </sheetViews>
  <sheetFormatPr defaultColWidth="9" defaultRowHeight="14.25"/>
  <cols>
    <col min="1" max="1" width="12" customWidth="1"/>
    <col min="2" max="55" width="9.125" customWidth="1"/>
    <col min="56" max="56" width="10.375" customWidth="1"/>
  </cols>
  <sheetData>
    <row r="3" spans="1:56">
      <c r="A3" s="125" t="s">
        <v>8316</v>
      </c>
      <c r="B3" s="125" t="s">
        <v>8281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36"/>
    </row>
    <row r="4" spans="1:56">
      <c r="A4" s="125" t="s">
        <v>8282</v>
      </c>
      <c r="B4" s="125" t="s">
        <v>8283</v>
      </c>
      <c r="C4" s="127" t="s">
        <v>30</v>
      </c>
      <c r="D4" s="127" t="s">
        <v>31</v>
      </c>
      <c r="E4" s="127" t="s">
        <v>8284</v>
      </c>
      <c r="F4" s="127" t="s">
        <v>8285</v>
      </c>
      <c r="G4" s="127" t="s">
        <v>178</v>
      </c>
      <c r="H4" s="127" t="s">
        <v>8286</v>
      </c>
      <c r="I4" s="127" t="s">
        <v>8287</v>
      </c>
      <c r="J4" s="127" t="s">
        <v>165</v>
      </c>
      <c r="K4" s="127" t="s">
        <v>94</v>
      </c>
      <c r="L4" s="127" t="s">
        <v>8288</v>
      </c>
      <c r="M4" s="127" t="s">
        <v>8289</v>
      </c>
      <c r="N4" s="127" t="s">
        <v>8290</v>
      </c>
      <c r="O4" s="127" t="s">
        <v>71</v>
      </c>
      <c r="P4" s="127" t="s">
        <v>8291</v>
      </c>
      <c r="Q4" s="127" t="s">
        <v>8292</v>
      </c>
      <c r="R4" s="127" t="s">
        <v>216</v>
      </c>
      <c r="S4" s="127" t="s">
        <v>8293</v>
      </c>
      <c r="T4" s="127" t="s">
        <v>8294</v>
      </c>
      <c r="U4" s="127" t="s">
        <v>212</v>
      </c>
      <c r="V4" s="127" t="s">
        <v>8295</v>
      </c>
      <c r="W4" s="127" t="s">
        <v>8296</v>
      </c>
      <c r="X4" s="127" t="s">
        <v>2492</v>
      </c>
      <c r="Y4" s="127" t="s">
        <v>8297</v>
      </c>
      <c r="Z4" s="127" t="s">
        <v>8298</v>
      </c>
      <c r="AA4" s="127" t="s">
        <v>8299</v>
      </c>
      <c r="AB4" s="127" t="s">
        <v>221</v>
      </c>
      <c r="AC4" s="127" t="s">
        <v>8300</v>
      </c>
      <c r="AD4" s="127" t="s">
        <v>8301</v>
      </c>
      <c r="AE4" s="127" t="s">
        <v>8302</v>
      </c>
      <c r="AF4" s="127" t="s">
        <v>553</v>
      </c>
      <c r="AG4" s="127" t="s">
        <v>8303</v>
      </c>
      <c r="AH4" s="127" t="s">
        <v>182</v>
      </c>
      <c r="AI4" s="127" t="s">
        <v>318</v>
      </c>
      <c r="AJ4" s="127" t="s">
        <v>201</v>
      </c>
      <c r="AK4" s="127" t="s">
        <v>188</v>
      </c>
      <c r="AL4" s="127" t="s">
        <v>59</v>
      </c>
      <c r="AM4" s="127" t="s">
        <v>8304</v>
      </c>
      <c r="AN4" s="127" t="s">
        <v>8305</v>
      </c>
      <c r="AO4" s="127" t="s">
        <v>8306</v>
      </c>
      <c r="AP4" s="127" t="s">
        <v>8307</v>
      </c>
      <c r="AQ4" s="127" t="s">
        <v>204</v>
      </c>
      <c r="AR4" s="127" t="s">
        <v>47</v>
      </c>
      <c r="AS4" s="127" t="s">
        <v>56</v>
      </c>
      <c r="AT4" s="127" t="s">
        <v>174</v>
      </c>
      <c r="AU4" s="127" t="s">
        <v>8308</v>
      </c>
      <c r="AV4" s="127" t="s">
        <v>236</v>
      </c>
      <c r="AW4" s="127" t="s">
        <v>8309</v>
      </c>
      <c r="AX4" s="127" t="s">
        <v>8310</v>
      </c>
      <c r="AY4" s="127" t="s">
        <v>265</v>
      </c>
      <c r="AZ4" s="127" t="s">
        <v>324</v>
      </c>
      <c r="BA4" s="127" t="s">
        <v>336</v>
      </c>
      <c r="BB4" s="127" t="s">
        <v>8311</v>
      </c>
      <c r="BC4" s="127" t="s">
        <v>8312</v>
      </c>
      <c r="BD4" s="137" t="s">
        <v>8313</v>
      </c>
    </row>
    <row r="5" spans="1:56">
      <c r="A5" s="125" t="s">
        <v>8283</v>
      </c>
      <c r="B5" s="128">
        <v>0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38">
        <v>0</v>
      </c>
    </row>
    <row r="6" spans="1:56">
      <c r="A6" s="130" t="s">
        <v>30</v>
      </c>
      <c r="B6" s="131"/>
      <c r="C6" s="132">
        <v>0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9">
        <v>0</v>
      </c>
    </row>
    <row r="7" spans="1:56">
      <c r="A7" s="130" t="s">
        <v>31</v>
      </c>
      <c r="B7" s="131"/>
      <c r="C7" s="132"/>
      <c r="D7" s="132">
        <v>0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9">
        <v>0</v>
      </c>
    </row>
    <row r="8" spans="1:56">
      <c r="A8" s="130" t="s">
        <v>8284</v>
      </c>
      <c r="B8" s="131"/>
      <c r="C8" s="132"/>
      <c r="D8" s="132"/>
      <c r="E8" s="132">
        <v>0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9">
        <v>0</v>
      </c>
    </row>
    <row r="9" spans="1:56">
      <c r="A9" s="130" t="s">
        <v>8285</v>
      </c>
      <c r="B9" s="131"/>
      <c r="C9" s="132"/>
      <c r="D9" s="132"/>
      <c r="E9" s="132"/>
      <c r="F9" s="132">
        <v>0</v>
      </c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9">
        <v>0</v>
      </c>
    </row>
    <row r="10" spans="1:56">
      <c r="A10" s="130" t="s">
        <v>178</v>
      </c>
      <c r="B10" s="131"/>
      <c r="C10" s="132"/>
      <c r="D10" s="132"/>
      <c r="E10" s="132"/>
      <c r="F10" s="132"/>
      <c r="G10" s="132">
        <v>0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9">
        <v>0</v>
      </c>
    </row>
    <row r="11" spans="1:56">
      <c r="A11" s="130" t="s">
        <v>8286</v>
      </c>
      <c r="B11" s="131"/>
      <c r="C11" s="132"/>
      <c r="D11" s="132"/>
      <c r="E11" s="132"/>
      <c r="F11" s="132"/>
      <c r="G11" s="132"/>
      <c r="H11" s="132">
        <v>0</v>
      </c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9">
        <v>0</v>
      </c>
    </row>
    <row r="12" spans="1:56">
      <c r="A12" s="130" t="s">
        <v>8287</v>
      </c>
      <c r="B12" s="131"/>
      <c r="C12" s="132"/>
      <c r="D12" s="132"/>
      <c r="E12" s="132"/>
      <c r="F12" s="132"/>
      <c r="G12" s="132"/>
      <c r="H12" s="132"/>
      <c r="I12" s="132"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9">
        <v>0</v>
      </c>
    </row>
    <row r="13" spans="1:56">
      <c r="A13" s="130" t="s">
        <v>165</v>
      </c>
      <c r="B13" s="131"/>
      <c r="C13" s="132"/>
      <c r="D13" s="132"/>
      <c r="E13" s="132"/>
      <c r="F13" s="132"/>
      <c r="G13" s="132"/>
      <c r="H13" s="132"/>
      <c r="I13" s="132"/>
      <c r="J13" s="132"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9">
        <v>0</v>
      </c>
    </row>
    <row r="14" spans="1:56">
      <c r="A14" s="130" t="s">
        <v>94</v>
      </c>
      <c r="B14" s="131"/>
      <c r="C14" s="132"/>
      <c r="D14" s="132"/>
      <c r="E14" s="132"/>
      <c r="F14" s="132"/>
      <c r="G14" s="132"/>
      <c r="H14" s="132"/>
      <c r="I14" s="132"/>
      <c r="J14" s="132"/>
      <c r="K14" s="132">
        <v>0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9">
        <v>0</v>
      </c>
    </row>
    <row r="15" spans="1:56">
      <c r="A15" s="130" t="s">
        <v>8288</v>
      </c>
      <c r="B15" s="131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0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9">
        <v>0</v>
      </c>
    </row>
    <row r="16" spans="1:56">
      <c r="A16" s="130" t="s">
        <v>8289</v>
      </c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>
        <v>0</v>
      </c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9">
        <v>0</v>
      </c>
    </row>
    <row r="17" spans="1:56">
      <c r="A17" s="130" t="s">
        <v>8290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>
        <v>0</v>
      </c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9">
        <v>0</v>
      </c>
    </row>
    <row r="18" spans="1:56">
      <c r="A18" s="130" t="s">
        <v>71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9">
        <v>0</v>
      </c>
    </row>
    <row r="19" spans="1:56">
      <c r="A19" s="130" t="s">
        <v>8291</v>
      </c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>
        <v>0</v>
      </c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9">
        <v>0</v>
      </c>
    </row>
    <row r="20" spans="1:56">
      <c r="A20" s="130" t="s">
        <v>8292</v>
      </c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>
        <v>0</v>
      </c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9">
        <v>0</v>
      </c>
    </row>
    <row r="21" spans="1:56">
      <c r="A21" s="130" t="s">
        <v>216</v>
      </c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>
        <v>0</v>
      </c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9">
        <v>0</v>
      </c>
    </row>
    <row r="22" spans="1:56">
      <c r="A22" s="130" t="s">
        <v>8293</v>
      </c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>
        <v>0</v>
      </c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9">
        <v>0</v>
      </c>
    </row>
    <row r="23" spans="1:56">
      <c r="A23" s="130" t="s">
        <v>8294</v>
      </c>
      <c r="B23" s="13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>
        <v>0</v>
      </c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9">
        <v>0</v>
      </c>
    </row>
    <row r="24" spans="1:56">
      <c r="A24" s="130" t="s">
        <v>212</v>
      </c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0</v>
      </c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9">
        <v>0</v>
      </c>
    </row>
    <row r="25" spans="1:56">
      <c r="A25" s="130" t="s">
        <v>8295</v>
      </c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>
        <v>0</v>
      </c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9">
        <v>0</v>
      </c>
    </row>
    <row r="26" spans="1:56">
      <c r="A26" s="130" t="s">
        <v>8296</v>
      </c>
      <c r="B26" s="13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9">
        <v>0</v>
      </c>
    </row>
    <row r="27" spans="1:56">
      <c r="A27" s="130" t="s">
        <v>2492</v>
      </c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>
        <v>0</v>
      </c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9">
        <v>0</v>
      </c>
    </row>
    <row r="28" spans="1:56">
      <c r="A28" s="130" t="s">
        <v>8297</v>
      </c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9">
        <v>0</v>
      </c>
    </row>
    <row r="29" spans="1:56">
      <c r="A29" s="130" t="s">
        <v>8298</v>
      </c>
      <c r="B29" s="13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>
        <v>0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9">
        <v>0</v>
      </c>
    </row>
    <row r="30" spans="1:56">
      <c r="A30" s="130" t="s">
        <v>8299</v>
      </c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>
        <v>0</v>
      </c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9">
        <v>0</v>
      </c>
    </row>
    <row r="31" spans="1:56">
      <c r="A31" s="130" t="s">
        <v>221</v>
      </c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>
        <v>0</v>
      </c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9">
        <v>0</v>
      </c>
    </row>
    <row r="32" spans="1:56">
      <c r="A32" s="130" t="s">
        <v>8300</v>
      </c>
      <c r="B32" s="13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>
        <v>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9">
        <v>0</v>
      </c>
    </row>
    <row r="33" spans="1:56">
      <c r="A33" s="130" t="s">
        <v>8301</v>
      </c>
      <c r="B33" s="13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>
        <v>0</v>
      </c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9">
        <v>0</v>
      </c>
    </row>
    <row r="34" spans="1:56">
      <c r="A34" s="130" t="s">
        <v>8302</v>
      </c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>
        <v>0</v>
      </c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9">
        <v>0</v>
      </c>
    </row>
    <row r="35" spans="1:56">
      <c r="A35" s="130" t="s">
        <v>553</v>
      </c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>
        <v>0</v>
      </c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9">
        <v>0</v>
      </c>
    </row>
    <row r="36" spans="1:56">
      <c r="A36" s="130" t="s">
        <v>8303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>
        <v>0</v>
      </c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9">
        <v>0</v>
      </c>
    </row>
    <row r="37" spans="1:56">
      <c r="A37" s="130" t="s">
        <v>182</v>
      </c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>
        <v>0</v>
      </c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9">
        <v>0</v>
      </c>
    </row>
    <row r="38" spans="1:56">
      <c r="A38" s="130" t="s">
        <v>318</v>
      </c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>
        <v>0</v>
      </c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9">
        <v>0</v>
      </c>
    </row>
    <row r="39" spans="1:56">
      <c r="A39" s="130" t="s">
        <v>201</v>
      </c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>
        <v>0</v>
      </c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9">
        <v>0</v>
      </c>
    </row>
    <row r="40" spans="1:56">
      <c r="A40" s="130" t="s">
        <v>188</v>
      </c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>
        <v>0</v>
      </c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9">
        <v>0</v>
      </c>
    </row>
    <row r="41" spans="1:56">
      <c r="A41" s="130" t="s">
        <v>59</v>
      </c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>
        <v>0</v>
      </c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9">
        <v>0</v>
      </c>
    </row>
    <row r="42" spans="1:56">
      <c r="A42" s="130" t="s">
        <v>8304</v>
      </c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>
        <v>0</v>
      </c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9">
        <v>0</v>
      </c>
    </row>
    <row r="43" spans="1:56">
      <c r="A43" s="130" t="s">
        <v>8305</v>
      </c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9">
        <v>0</v>
      </c>
    </row>
    <row r="44" spans="1:56">
      <c r="A44" s="130" t="s">
        <v>8306</v>
      </c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9">
        <v>0</v>
      </c>
    </row>
    <row r="45" spans="1:56">
      <c r="A45" s="130" t="s">
        <v>8307</v>
      </c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>
        <v>0</v>
      </c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9">
        <v>0</v>
      </c>
    </row>
    <row r="46" spans="1:56">
      <c r="A46" s="130" t="s">
        <v>204</v>
      </c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>
        <v>0</v>
      </c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9">
        <v>0</v>
      </c>
    </row>
    <row r="47" spans="1:56">
      <c r="A47" s="130" t="s">
        <v>47</v>
      </c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>
        <v>0</v>
      </c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9">
        <v>0</v>
      </c>
    </row>
    <row r="48" spans="1:56">
      <c r="A48" s="130" t="s">
        <v>56</v>
      </c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>
        <v>0</v>
      </c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9">
        <v>0</v>
      </c>
    </row>
    <row r="49" spans="1:56">
      <c r="A49" s="130" t="s">
        <v>174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>
        <v>0</v>
      </c>
      <c r="AU49" s="132"/>
      <c r="AV49" s="132"/>
      <c r="AW49" s="132"/>
      <c r="AX49" s="132"/>
      <c r="AY49" s="132"/>
      <c r="AZ49" s="132"/>
      <c r="BA49" s="132"/>
      <c r="BB49" s="132"/>
      <c r="BC49" s="132"/>
      <c r="BD49" s="139">
        <v>0</v>
      </c>
    </row>
    <row r="50" spans="1:56">
      <c r="A50" s="130" t="s">
        <v>8308</v>
      </c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>
        <v>0</v>
      </c>
      <c r="AV50" s="132"/>
      <c r="AW50" s="132"/>
      <c r="AX50" s="132"/>
      <c r="AY50" s="132"/>
      <c r="AZ50" s="132"/>
      <c r="BA50" s="132"/>
      <c r="BB50" s="132"/>
      <c r="BC50" s="132"/>
      <c r="BD50" s="139">
        <v>0</v>
      </c>
    </row>
    <row r="51" spans="1:56">
      <c r="A51" s="130" t="s">
        <v>236</v>
      </c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>
        <v>0</v>
      </c>
      <c r="AW51" s="132"/>
      <c r="AX51" s="132"/>
      <c r="AY51" s="132"/>
      <c r="AZ51" s="132"/>
      <c r="BA51" s="132"/>
      <c r="BB51" s="132"/>
      <c r="BC51" s="132"/>
      <c r="BD51" s="139">
        <v>0</v>
      </c>
    </row>
    <row r="52" spans="1:56">
      <c r="A52" s="130" t="s">
        <v>8309</v>
      </c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>
        <v>0</v>
      </c>
      <c r="AX52" s="132"/>
      <c r="AY52" s="132"/>
      <c r="AZ52" s="132"/>
      <c r="BA52" s="132"/>
      <c r="BB52" s="132"/>
      <c r="BC52" s="132"/>
      <c r="BD52" s="139">
        <v>0</v>
      </c>
    </row>
    <row r="53" spans="1:56">
      <c r="A53" s="130" t="s">
        <v>8310</v>
      </c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>
        <v>0</v>
      </c>
      <c r="AY53" s="132"/>
      <c r="AZ53" s="132"/>
      <c r="BA53" s="132"/>
      <c r="BB53" s="132"/>
      <c r="BC53" s="132"/>
      <c r="BD53" s="139">
        <v>0</v>
      </c>
    </row>
    <row r="54" spans="1:56">
      <c r="A54" s="130" t="s">
        <v>265</v>
      </c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>
        <v>0</v>
      </c>
      <c r="AZ54" s="132"/>
      <c r="BA54" s="132"/>
      <c r="BB54" s="132"/>
      <c r="BC54" s="132"/>
      <c r="BD54" s="139">
        <v>0</v>
      </c>
    </row>
    <row r="55" spans="1:56">
      <c r="A55" s="130" t="s">
        <v>324</v>
      </c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>
        <v>0</v>
      </c>
      <c r="BA55" s="132"/>
      <c r="BB55" s="132"/>
      <c r="BC55" s="132"/>
      <c r="BD55" s="139">
        <v>0</v>
      </c>
    </row>
    <row r="56" spans="1:56">
      <c r="A56" s="130" t="s">
        <v>336</v>
      </c>
      <c r="B56" s="13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>
        <v>0</v>
      </c>
      <c r="BB56" s="132"/>
      <c r="BC56" s="132"/>
      <c r="BD56" s="139">
        <v>0</v>
      </c>
    </row>
    <row r="57" spans="1:56">
      <c r="A57" s="130" t="s">
        <v>8311</v>
      </c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>
        <v>0</v>
      </c>
      <c r="BC57" s="132"/>
      <c r="BD57" s="139">
        <v>0</v>
      </c>
    </row>
    <row r="58" spans="1:56">
      <c r="A58" s="130" t="s">
        <v>8312</v>
      </c>
      <c r="B58" s="13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>
        <v>0</v>
      </c>
      <c r="BD58" s="139">
        <v>0</v>
      </c>
    </row>
    <row r="59" spans="1:56">
      <c r="A59" s="133" t="s">
        <v>8313</v>
      </c>
      <c r="B59" s="134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40">
        <v>0</v>
      </c>
    </row>
  </sheetData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0">
    <tabColor rgb="FFFF0000"/>
  </sheetPr>
  <dimension ref="A3:BD59"/>
  <sheetViews>
    <sheetView workbookViewId="0">
      <selection activeCell="A1" sqref="A1"/>
    </sheetView>
  </sheetViews>
  <sheetFormatPr defaultColWidth="9" defaultRowHeight="14.25"/>
  <cols>
    <col min="1" max="1" width="11.75" customWidth="1"/>
    <col min="2" max="55" width="9.125" customWidth="1"/>
    <col min="56" max="56" width="10.375" customWidth="1"/>
  </cols>
  <sheetData>
    <row r="3" spans="1:56">
      <c r="A3" s="125" t="s">
        <v>8317</v>
      </c>
      <c r="B3" s="125" t="s">
        <v>8281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36"/>
    </row>
    <row r="4" spans="1:56">
      <c r="A4" s="125" t="s">
        <v>8282</v>
      </c>
      <c r="B4" s="125" t="s">
        <v>8283</v>
      </c>
      <c r="C4" s="127" t="s">
        <v>30</v>
      </c>
      <c r="D4" s="127" t="s">
        <v>31</v>
      </c>
      <c r="E4" s="127" t="s">
        <v>8284</v>
      </c>
      <c r="F4" s="127" t="s">
        <v>8285</v>
      </c>
      <c r="G4" s="127" t="s">
        <v>178</v>
      </c>
      <c r="H4" s="127" t="s">
        <v>8286</v>
      </c>
      <c r="I4" s="127" t="s">
        <v>8287</v>
      </c>
      <c r="J4" s="127" t="s">
        <v>165</v>
      </c>
      <c r="K4" s="127" t="s">
        <v>94</v>
      </c>
      <c r="L4" s="127" t="s">
        <v>8288</v>
      </c>
      <c r="M4" s="127" t="s">
        <v>8289</v>
      </c>
      <c r="N4" s="127" t="s">
        <v>8290</v>
      </c>
      <c r="O4" s="127" t="s">
        <v>71</v>
      </c>
      <c r="P4" s="127" t="s">
        <v>8291</v>
      </c>
      <c r="Q4" s="127" t="s">
        <v>8292</v>
      </c>
      <c r="R4" s="127" t="s">
        <v>216</v>
      </c>
      <c r="S4" s="127" t="s">
        <v>8293</v>
      </c>
      <c r="T4" s="127" t="s">
        <v>8294</v>
      </c>
      <c r="U4" s="127" t="s">
        <v>212</v>
      </c>
      <c r="V4" s="127" t="s">
        <v>8295</v>
      </c>
      <c r="W4" s="127" t="s">
        <v>8296</v>
      </c>
      <c r="X4" s="127" t="s">
        <v>2492</v>
      </c>
      <c r="Y4" s="127" t="s">
        <v>8297</v>
      </c>
      <c r="Z4" s="127" t="s">
        <v>8298</v>
      </c>
      <c r="AA4" s="127" t="s">
        <v>8299</v>
      </c>
      <c r="AB4" s="127" t="s">
        <v>221</v>
      </c>
      <c r="AC4" s="127" t="s">
        <v>8300</v>
      </c>
      <c r="AD4" s="127" t="s">
        <v>8301</v>
      </c>
      <c r="AE4" s="127" t="s">
        <v>8302</v>
      </c>
      <c r="AF4" s="127" t="s">
        <v>553</v>
      </c>
      <c r="AG4" s="127" t="s">
        <v>8303</v>
      </c>
      <c r="AH4" s="127" t="s">
        <v>182</v>
      </c>
      <c r="AI4" s="127" t="s">
        <v>318</v>
      </c>
      <c r="AJ4" s="127" t="s">
        <v>201</v>
      </c>
      <c r="AK4" s="127" t="s">
        <v>188</v>
      </c>
      <c r="AL4" s="127" t="s">
        <v>59</v>
      </c>
      <c r="AM4" s="127" t="s">
        <v>8304</v>
      </c>
      <c r="AN4" s="127" t="s">
        <v>8305</v>
      </c>
      <c r="AO4" s="127" t="s">
        <v>8306</v>
      </c>
      <c r="AP4" s="127" t="s">
        <v>8307</v>
      </c>
      <c r="AQ4" s="127" t="s">
        <v>204</v>
      </c>
      <c r="AR4" s="127" t="s">
        <v>47</v>
      </c>
      <c r="AS4" s="127" t="s">
        <v>56</v>
      </c>
      <c r="AT4" s="127" t="s">
        <v>174</v>
      </c>
      <c r="AU4" s="127" t="s">
        <v>8308</v>
      </c>
      <c r="AV4" s="127" t="s">
        <v>236</v>
      </c>
      <c r="AW4" s="127" t="s">
        <v>8309</v>
      </c>
      <c r="AX4" s="127" t="s">
        <v>8310</v>
      </c>
      <c r="AY4" s="127" t="s">
        <v>265</v>
      </c>
      <c r="AZ4" s="127" t="s">
        <v>324</v>
      </c>
      <c r="BA4" s="127" t="s">
        <v>336</v>
      </c>
      <c r="BB4" s="127" t="s">
        <v>8311</v>
      </c>
      <c r="BC4" s="127" t="s">
        <v>8312</v>
      </c>
      <c r="BD4" s="137" t="s">
        <v>8313</v>
      </c>
    </row>
    <row r="5" spans="1:56">
      <c r="A5" s="125" t="s">
        <v>8283</v>
      </c>
      <c r="B5" s="128">
        <v>0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38">
        <v>0</v>
      </c>
    </row>
    <row r="6" spans="1:56">
      <c r="A6" s="130" t="s">
        <v>30</v>
      </c>
      <c r="B6" s="131"/>
      <c r="C6" s="132">
        <v>0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9">
        <v>0</v>
      </c>
    </row>
    <row r="7" spans="1:56">
      <c r="A7" s="130" t="s">
        <v>31</v>
      </c>
      <c r="B7" s="131"/>
      <c r="C7" s="132"/>
      <c r="D7" s="132">
        <v>0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9">
        <v>0</v>
      </c>
    </row>
    <row r="8" spans="1:56">
      <c r="A8" s="130" t="s">
        <v>8284</v>
      </c>
      <c r="B8" s="131"/>
      <c r="C8" s="132"/>
      <c r="D8" s="132"/>
      <c r="E8" s="132">
        <v>0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9">
        <v>0</v>
      </c>
    </row>
    <row r="9" spans="1:56">
      <c r="A9" s="130" t="s">
        <v>8285</v>
      </c>
      <c r="B9" s="131"/>
      <c r="C9" s="132"/>
      <c r="D9" s="132"/>
      <c r="E9" s="132"/>
      <c r="F9" s="132">
        <v>0</v>
      </c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9">
        <v>0</v>
      </c>
    </row>
    <row r="10" spans="1:56">
      <c r="A10" s="130" t="s">
        <v>178</v>
      </c>
      <c r="B10" s="131"/>
      <c r="C10" s="132"/>
      <c r="D10" s="132"/>
      <c r="E10" s="132"/>
      <c r="F10" s="132"/>
      <c r="G10" s="132">
        <v>0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9">
        <v>0</v>
      </c>
    </row>
    <row r="11" spans="1:56">
      <c r="A11" s="130" t="s">
        <v>8286</v>
      </c>
      <c r="B11" s="131"/>
      <c r="C11" s="132"/>
      <c r="D11" s="132"/>
      <c r="E11" s="132"/>
      <c r="F11" s="132"/>
      <c r="G11" s="132"/>
      <c r="H11" s="132">
        <v>0</v>
      </c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9">
        <v>0</v>
      </c>
    </row>
    <row r="12" spans="1:56">
      <c r="A12" s="130" t="s">
        <v>8287</v>
      </c>
      <c r="B12" s="131"/>
      <c r="C12" s="132"/>
      <c r="D12" s="132"/>
      <c r="E12" s="132"/>
      <c r="F12" s="132"/>
      <c r="G12" s="132"/>
      <c r="H12" s="132"/>
      <c r="I12" s="132"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9">
        <v>0</v>
      </c>
    </row>
    <row r="13" spans="1:56">
      <c r="A13" s="130" t="s">
        <v>165</v>
      </c>
      <c r="B13" s="131"/>
      <c r="C13" s="132"/>
      <c r="D13" s="132"/>
      <c r="E13" s="132"/>
      <c r="F13" s="132"/>
      <c r="G13" s="132"/>
      <c r="H13" s="132"/>
      <c r="I13" s="132"/>
      <c r="J13" s="132"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9">
        <v>0</v>
      </c>
    </row>
    <row r="14" spans="1:56">
      <c r="A14" s="130" t="s">
        <v>94</v>
      </c>
      <c r="B14" s="131"/>
      <c r="C14" s="132"/>
      <c r="D14" s="132"/>
      <c r="E14" s="132"/>
      <c r="F14" s="132"/>
      <c r="G14" s="132"/>
      <c r="H14" s="132"/>
      <c r="I14" s="132"/>
      <c r="J14" s="132"/>
      <c r="K14" s="132">
        <v>0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9">
        <v>0</v>
      </c>
    </row>
    <row r="15" spans="1:56">
      <c r="A15" s="130" t="s">
        <v>8288</v>
      </c>
      <c r="B15" s="131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0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9">
        <v>0</v>
      </c>
    </row>
    <row r="16" spans="1:56">
      <c r="A16" s="130" t="s">
        <v>8289</v>
      </c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>
        <v>0</v>
      </c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9">
        <v>0</v>
      </c>
    </row>
    <row r="17" spans="1:56">
      <c r="A17" s="130" t="s">
        <v>8290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>
        <v>0</v>
      </c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9">
        <v>0</v>
      </c>
    </row>
    <row r="18" spans="1:56">
      <c r="A18" s="130" t="s">
        <v>71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9">
        <v>0</v>
      </c>
    </row>
    <row r="19" spans="1:56">
      <c r="A19" s="130" t="s">
        <v>8291</v>
      </c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>
        <v>0</v>
      </c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9">
        <v>0</v>
      </c>
    </row>
    <row r="20" spans="1:56">
      <c r="A20" s="130" t="s">
        <v>8292</v>
      </c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>
        <v>0</v>
      </c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9">
        <v>0</v>
      </c>
    </row>
    <row r="21" spans="1:56">
      <c r="A21" s="130" t="s">
        <v>216</v>
      </c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>
        <v>0</v>
      </c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9">
        <v>0</v>
      </c>
    </row>
    <row r="22" spans="1:56">
      <c r="A22" s="130" t="s">
        <v>8293</v>
      </c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>
        <v>0</v>
      </c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9">
        <v>0</v>
      </c>
    </row>
    <row r="23" spans="1:56">
      <c r="A23" s="130" t="s">
        <v>8294</v>
      </c>
      <c r="B23" s="13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>
        <v>0</v>
      </c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9">
        <v>0</v>
      </c>
    </row>
    <row r="24" spans="1:56">
      <c r="A24" s="130" t="s">
        <v>212</v>
      </c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0</v>
      </c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9">
        <v>0</v>
      </c>
    </row>
    <row r="25" spans="1:56">
      <c r="A25" s="130" t="s">
        <v>8295</v>
      </c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>
        <v>0</v>
      </c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9">
        <v>0</v>
      </c>
    </row>
    <row r="26" spans="1:56">
      <c r="A26" s="130" t="s">
        <v>8296</v>
      </c>
      <c r="B26" s="13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9">
        <v>0</v>
      </c>
    </row>
    <row r="27" spans="1:56">
      <c r="A27" s="130" t="s">
        <v>2492</v>
      </c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>
        <v>0</v>
      </c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9">
        <v>0</v>
      </c>
    </row>
    <row r="28" spans="1:56">
      <c r="A28" s="130" t="s">
        <v>8297</v>
      </c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9">
        <v>0</v>
      </c>
    </row>
    <row r="29" spans="1:56">
      <c r="A29" s="130" t="s">
        <v>8298</v>
      </c>
      <c r="B29" s="13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>
        <v>0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9">
        <v>0</v>
      </c>
    </row>
    <row r="30" spans="1:56">
      <c r="A30" s="130" t="s">
        <v>8299</v>
      </c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>
        <v>0</v>
      </c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9">
        <v>0</v>
      </c>
    </row>
    <row r="31" spans="1:56">
      <c r="A31" s="130" t="s">
        <v>221</v>
      </c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>
        <v>0</v>
      </c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9">
        <v>0</v>
      </c>
    </row>
    <row r="32" spans="1:56">
      <c r="A32" s="130" t="s">
        <v>8300</v>
      </c>
      <c r="B32" s="13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>
        <v>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9">
        <v>0</v>
      </c>
    </row>
    <row r="33" spans="1:56">
      <c r="A33" s="130" t="s">
        <v>8301</v>
      </c>
      <c r="B33" s="13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>
        <v>0</v>
      </c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9">
        <v>0</v>
      </c>
    </row>
    <row r="34" spans="1:56">
      <c r="A34" s="130" t="s">
        <v>8302</v>
      </c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>
        <v>0</v>
      </c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9">
        <v>0</v>
      </c>
    </row>
    <row r="35" spans="1:56">
      <c r="A35" s="130" t="s">
        <v>553</v>
      </c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>
        <v>0</v>
      </c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9">
        <v>0</v>
      </c>
    </row>
    <row r="36" spans="1:56">
      <c r="A36" s="130" t="s">
        <v>8303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>
        <v>0</v>
      </c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9">
        <v>0</v>
      </c>
    </row>
    <row r="37" spans="1:56">
      <c r="A37" s="130" t="s">
        <v>182</v>
      </c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>
        <v>0</v>
      </c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9">
        <v>0</v>
      </c>
    </row>
    <row r="38" spans="1:56">
      <c r="A38" s="130" t="s">
        <v>318</v>
      </c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>
        <v>0</v>
      </c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9">
        <v>0</v>
      </c>
    </row>
    <row r="39" spans="1:56">
      <c r="A39" s="130" t="s">
        <v>201</v>
      </c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>
        <v>0</v>
      </c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9">
        <v>0</v>
      </c>
    </row>
    <row r="40" spans="1:56">
      <c r="A40" s="130" t="s">
        <v>188</v>
      </c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>
        <v>0</v>
      </c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9">
        <v>0</v>
      </c>
    </row>
    <row r="41" spans="1:56">
      <c r="A41" s="130" t="s">
        <v>59</v>
      </c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>
        <v>0</v>
      </c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9">
        <v>0</v>
      </c>
    </row>
    <row r="42" spans="1:56">
      <c r="A42" s="130" t="s">
        <v>8304</v>
      </c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>
        <v>0</v>
      </c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9">
        <v>0</v>
      </c>
    </row>
    <row r="43" spans="1:56">
      <c r="A43" s="130" t="s">
        <v>8305</v>
      </c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9">
        <v>0</v>
      </c>
    </row>
    <row r="44" spans="1:56">
      <c r="A44" s="130" t="s">
        <v>8306</v>
      </c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9">
        <v>0</v>
      </c>
    </row>
    <row r="45" spans="1:56">
      <c r="A45" s="130" t="s">
        <v>8307</v>
      </c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>
        <v>0</v>
      </c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9">
        <v>0</v>
      </c>
    </row>
    <row r="46" spans="1:56">
      <c r="A46" s="130" t="s">
        <v>204</v>
      </c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>
        <v>0</v>
      </c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9">
        <v>0</v>
      </c>
    </row>
    <row r="47" spans="1:56">
      <c r="A47" s="130" t="s">
        <v>47</v>
      </c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>
        <v>0</v>
      </c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9">
        <v>0</v>
      </c>
    </row>
    <row r="48" spans="1:56">
      <c r="A48" s="130" t="s">
        <v>56</v>
      </c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>
        <v>0</v>
      </c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9">
        <v>0</v>
      </c>
    </row>
    <row r="49" spans="1:56">
      <c r="A49" s="130" t="s">
        <v>174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>
        <v>0</v>
      </c>
      <c r="AU49" s="132"/>
      <c r="AV49" s="132"/>
      <c r="AW49" s="132"/>
      <c r="AX49" s="132"/>
      <c r="AY49" s="132"/>
      <c r="AZ49" s="132"/>
      <c r="BA49" s="132"/>
      <c r="BB49" s="132"/>
      <c r="BC49" s="132"/>
      <c r="BD49" s="139">
        <v>0</v>
      </c>
    </row>
    <row r="50" spans="1:56">
      <c r="A50" s="130" t="s">
        <v>8308</v>
      </c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>
        <v>0</v>
      </c>
      <c r="AV50" s="132"/>
      <c r="AW50" s="132"/>
      <c r="AX50" s="132"/>
      <c r="AY50" s="132"/>
      <c r="AZ50" s="132"/>
      <c r="BA50" s="132"/>
      <c r="BB50" s="132"/>
      <c r="BC50" s="132"/>
      <c r="BD50" s="139">
        <v>0</v>
      </c>
    </row>
    <row r="51" spans="1:56">
      <c r="A51" s="130" t="s">
        <v>236</v>
      </c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>
        <v>0</v>
      </c>
      <c r="AW51" s="132"/>
      <c r="AX51" s="132"/>
      <c r="AY51" s="132"/>
      <c r="AZ51" s="132"/>
      <c r="BA51" s="132"/>
      <c r="BB51" s="132"/>
      <c r="BC51" s="132"/>
      <c r="BD51" s="139">
        <v>0</v>
      </c>
    </row>
    <row r="52" spans="1:56">
      <c r="A52" s="130" t="s">
        <v>8309</v>
      </c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>
        <v>0</v>
      </c>
      <c r="AX52" s="132"/>
      <c r="AY52" s="132"/>
      <c r="AZ52" s="132"/>
      <c r="BA52" s="132"/>
      <c r="BB52" s="132"/>
      <c r="BC52" s="132"/>
      <c r="BD52" s="139">
        <v>0</v>
      </c>
    </row>
    <row r="53" spans="1:56">
      <c r="A53" s="130" t="s">
        <v>8310</v>
      </c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>
        <v>0</v>
      </c>
      <c r="AY53" s="132"/>
      <c r="AZ53" s="132"/>
      <c r="BA53" s="132"/>
      <c r="BB53" s="132"/>
      <c r="BC53" s="132"/>
      <c r="BD53" s="139">
        <v>0</v>
      </c>
    </row>
    <row r="54" spans="1:56">
      <c r="A54" s="130" t="s">
        <v>265</v>
      </c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>
        <v>0</v>
      </c>
      <c r="AZ54" s="132"/>
      <c r="BA54" s="132"/>
      <c r="BB54" s="132"/>
      <c r="BC54" s="132"/>
      <c r="BD54" s="139">
        <v>0</v>
      </c>
    </row>
    <row r="55" spans="1:56">
      <c r="A55" s="130" t="s">
        <v>324</v>
      </c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>
        <v>0</v>
      </c>
      <c r="BA55" s="132"/>
      <c r="BB55" s="132"/>
      <c r="BC55" s="132"/>
      <c r="BD55" s="139">
        <v>0</v>
      </c>
    </row>
    <row r="56" spans="1:56">
      <c r="A56" s="130" t="s">
        <v>336</v>
      </c>
      <c r="B56" s="13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>
        <v>0</v>
      </c>
      <c r="BB56" s="132"/>
      <c r="BC56" s="132"/>
      <c r="BD56" s="139">
        <v>0</v>
      </c>
    </row>
    <row r="57" spans="1:56">
      <c r="A57" s="130" t="s">
        <v>8311</v>
      </c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>
        <v>0</v>
      </c>
      <c r="BC57" s="132"/>
      <c r="BD57" s="139">
        <v>0</v>
      </c>
    </row>
    <row r="58" spans="1:56">
      <c r="A58" s="130" t="s">
        <v>8312</v>
      </c>
      <c r="B58" s="13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>
        <v>0</v>
      </c>
      <c r="BD58" s="139">
        <v>0</v>
      </c>
    </row>
    <row r="59" spans="1:56">
      <c r="A59" s="133" t="s">
        <v>8313</v>
      </c>
      <c r="B59" s="134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40">
        <v>0</v>
      </c>
    </row>
  </sheetData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1">
    <tabColor rgb="FFFF0000"/>
  </sheetPr>
  <dimension ref="A3:BD59"/>
  <sheetViews>
    <sheetView workbookViewId="0">
      <selection activeCell="A1" sqref="A1"/>
    </sheetView>
  </sheetViews>
  <sheetFormatPr defaultColWidth="9" defaultRowHeight="14.25"/>
  <cols>
    <col min="1" max="1" width="12" customWidth="1"/>
    <col min="2" max="55" width="9.125" customWidth="1"/>
    <col min="56" max="56" width="10.375" customWidth="1"/>
  </cols>
  <sheetData>
    <row r="3" spans="1:56">
      <c r="A3" s="125" t="s">
        <v>8318</v>
      </c>
      <c r="B3" s="125" t="s">
        <v>8281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36"/>
    </row>
    <row r="4" spans="1:56">
      <c r="A4" s="125" t="s">
        <v>8282</v>
      </c>
      <c r="B4" s="125" t="s">
        <v>8283</v>
      </c>
      <c r="C4" s="127" t="s">
        <v>30</v>
      </c>
      <c r="D4" s="127" t="s">
        <v>31</v>
      </c>
      <c r="E4" s="127" t="s">
        <v>8284</v>
      </c>
      <c r="F4" s="127" t="s">
        <v>8285</v>
      </c>
      <c r="G4" s="127" t="s">
        <v>178</v>
      </c>
      <c r="H4" s="127" t="s">
        <v>8286</v>
      </c>
      <c r="I4" s="127" t="s">
        <v>8287</v>
      </c>
      <c r="J4" s="127" t="s">
        <v>165</v>
      </c>
      <c r="K4" s="127" t="s">
        <v>94</v>
      </c>
      <c r="L4" s="127" t="s">
        <v>8288</v>
      </c>
      <c r="M4" s="127" t="s">
        <v>8289</v>
      </c>
      <c r="N4" s="127" t="s">
        <v>8290</v>
      </c>
      <c r="O4" s="127" t="s">
        <v>71</v>
      </c>
      <c r="P4" s="127" t="s">
        <v>8291</v>
      </c>
      <c r="Q4" s="127" t="s">
        <v>8292</v>
      </c>
      <c r="R4" s="127" t="s">
        <v>216</v>
      </c>
      <c r="S4" s="127" t="s">
        <v>8293</v>
      </c>
      <c r="T4" s="127" t="s">
        <v>8294</v>
      </c>
      <c r="U4" s="127" t="s">
        <v>212</v>
      </c>
      <c r="V4" s="127" t="s">
        <v>8295</v>
      </c>
      <c r="W4" s="127" t="s">
        <v>8296</v>
      </c>
      <c r="X4" s="127" t="s">
        <v>2492</v>
      </c>
      <c r="Y4" s="127" t="s">
        <v>8297</v>
      </c>
      <c r="Z4" s="127" t="s">
        <v>8298</v>
      </c>
      <c r="AA4" s="127" t="s">
        <v>8299</v>
      </c>
      <c r="AB4" s="127" t="s">
        <v>221</v>
      </c>
      <c r="AC4" s="127" t="s">
        <v>8300</v>
      </c>
      <c r="AD4" s="127" t="s">
        <v>8301</v>
      </c>
      <c r="AE4" s="127" t="s">
        <v>8302</v>
      </c>
      <c r="AF4" s="127" t="s">
        <v>553</v>
      </c>
      <c r="AG4" s="127" t="s">
        <v>8303</v>
      </c>
      <c r="AH4" s="127" t="s">
        <v>182</v>
      </c>
      <c r="AI4" s="127" t="s">
        <v>318</v>
      </c>
      <c r="AJ4" s="127" t="s">
        <v>201</v>
      </c>
      <c r="AK4" s="127" t="s">
        <v>188</v>
      </c>
      <c r="AL4" s="127" t="s">
        <v>59</v>
      </c>
      <c r="AM4" s="127" t="s">
        <v>8304</v>
      </c>
      <c r="AN4" s="127" t="s">
        <v>8305</v>
      </c>
      <c r="AO4" s="127" t="s">
        <v>8306</v>
      </c>
      <c r="AP4" s="127" t="s">
        <v>8307</v>
      </c>
      <c r="AQ4" s="127" t="s">
        <v>204</v>
      </c>
      <c r="AR4" s="127" t="s">
        <v>47</v>
      </c>
      <c r="AS4" s="127" t="s">
        <v>56</v>
      </c>
      <c r="AT4" s="127" t="s">
        <v>174</v>
      </c>
      <c r="AU4" s="127" t="s">
        <v>8308</v>
      </c>
      <c r="AV4" s="127" t="s">
        <v>236</v>
      </c>
      <c r="AW4" s="127" t="s">
        <v>8309</v>
      </c>
      <c r="AX4" s="127" t="s">
        <v>8310</v>
      </c>
      <c r="AY4" s="127" t="s">
        <v>265</v>
      </c>
      <c r="AZ4" s="127" t="s">
        <v>324</v>
      </c>
      <c r="BA4" s="127" t="s">
        <v>336</v>
      </c>
      <c r="BB4" s="127" t="s">
        <v>8311</v>
      </c>
      <c r="BC4" s="127" t="s">
        <v>8312</v>
      </c>
      <c r="BD4" s="137" t="s">
        <v>8313</v>
      </c>
    </row>
    <row r="5" spans="1:56">
      <c r="A5" s="125" t="s">
        <v>8283</v>
      </c>
      <c r="B5" s="128">
        <v>0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38">
        <v>0</v>
      </c>
    </row>
    <row r="6" spans="1:56">
      <c r="A6" s="130" t="s">
        <v>30</v>
      </c>
      <c r="B6" s="131"/>
      <c r="C6" s="132">
        <v>0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9">
        <v>0</v>
      </c>
    </row>
    <row r="7" spans="1:56">
      <c r="A7" s="130" t="s">
        <v>31</v>
      </c>
      <c r="B7" s="131"/>
      <c r="C7" s="132"/>
      <c r="D7" s="132">
        <v>0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9">
        <v>0</v>
      </c>
    </row>
    <row r="8" spans="1:56">
      <c r="A8" s="130" t="s">
        <v>8284</v>
      </c>
      <c r="B8" s="131"/>
      <c r="C8" s="132"/>
      <c r="D8" s="132"/>
      <c r="E8" s="132">
        <v>0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9">
        <v>0</v>
      </c>
    </row>
    <row r="9" spans="1:56">
      <c r="A9" s="130" t="s">
        <v>8285</v>
      </c>
      <c r="B9" s="131"/>
      <c r="C9" s="132"/>
      <c r="D9" s="132"/>
      <c r="E9" s="132"/>
      <c r="F9" s="132">
        <v>0</v>
      </c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9">
        <v>0</v>
      </c>
    </row>
    <row r="10" spans="1:56">
      <c r="A10" s="130" t="s">
        <v>178</v>
      </c>
      <c r="B10" s="131"/>
      <c r="C10" s="132"/>
      <c r="D10" s="132"/>
      <c r="E10" s="132"/>
      <c r="F10" s="132"/>
      <c r="G10" s="132">
        <v>0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9">
        <v>0</v>
      </c>
    </row>
    <row r="11" spans="1:56">
      <c r="A11" s="130" t="s">
        <v>8286</v>
      </c>
      <c r="B11" s="131"/>
      <c r="C11" s="132"/>
      <c r="D11" s="132"/>
      <c r="E11" s="132"/>
      <c r="F11" s="132"/>
      <c r="G11" s="132"/>
      <c r="H11" s="132">
        <v>0</v>
      </c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9">
        <v>0</v>
      </c>
    </row>
    <row r="12" spans="1:56">
      <c r="A12" s="130" t="s">
        <v>8287</v>
      </c>
      <c r="B12" s="131"/>
      <c r="C12" s="132"/>
      <c r="D12" s="132"/>
      <c r="E12" s="132"/>
      <c r="F12" s="132"/>
      <c r="G12" s="132"/>
      <c r="H12" s="132"/>
      <c r="I12" s="132"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9">
        <v>0</v>
      </c>
    </row>
    <row r="13" spans="1:56">
      <c r="A13" s="130" t="s">
        <v>165</v>
      </c>
      <c r="B13" s="131"/>
      <c r="C13" s="132"/>
      <c r="D13" s="132"/>
      <c r="E13" s="132"/>
      <c r="F13" s="132"/>
      <c r="G13" s="132"/>
      <c r="H13" s="132"/>
      <c r="I13" s="132"/>
      <c r="J13" s="132"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9">
        <v>0</v>
      </c>
    </row>
    <row r="14" spans="1:56">
      <c r="A14" s="130" t="s">
        <v>94</v>
      </c>
      <c r="B14" s="131"/>
      <c r="C14" s="132"/>
      <c r="D14" s="132"/>
      <c r="E14" s="132"/>
      <c r="F14" s="132"/>
      <c r="G14" s="132"/>
      <c r="H14" s="132"/>
      <c r="I14" s="132"/>
      <c r="J14" s="132"/>
      <c r="K14" s="132">
        <v>0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9">
        <v>0</v>
      </c>
    </row>
    <row r="15" spans="1:56">
      <c r="A15" s="130" t="s">
        <v>8288</v>
      </c>
      <c r="B15" s="131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0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9">
        <v>0</v>
      </c>
    </row>
    <row r="16" spans="1:56">
      <c r="A16" s="130" t="s">
        <v>8289</v>
      </c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>
        <v>0</v>
      </c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9">
        <v>0</v>
      </c>
    </row>
    <row r="17" spans="1:56">
      <c r="A17" s="130" t="s">
        <v>8290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>
        <v>0</v>
      </c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9">
        <v>0</v>
      </c>
    </row>
    <row r="18" spans="1:56">
      <c r="A18" s="130" t="s">
        <v>71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9">
        <v>0</v>
      </c>
    </row>
    <row r="19" spans="1:56">
      <c r="A19" s="130" t="s">
        <v>8291</v>
      </c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>
        <v>0</v>
      </c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9">
        <v>0</v>
      </c>
    </row>
    <row r="20" spans="1:56">
      <c r="A20" s="130" t="s">
        <v>8292</v>
      </c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>
        <v>0</v>
      </c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9">
        <v>0</v>
      </c>
    </row>
    <row r="21" spans="1:56">
      <c r="A21" s="130" t="s">
        <v>216</v>
      </c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>
        <v>0</v>
      </c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9">
        <v>0</v>
      </c>
    </row>
    <row r="22" spans="1:56">
      <c r="A22" s="130" t="s">
        <v>8293</v>
      </c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>
        <v>0</v>
      </c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9">
        <v>0</v>
      </c>
    </row>
    <row r="23" spans="1:56">
      <c r="A23" s="130" t="s">
        <v>8294</v>
      </c>
      <c r="B23" s="13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>
        <v>0</v>
      </c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9">
        <v>0</v>
      </c>
    </row>
    <row r="24" spans="1:56">
      <c r="A24" s="130" t="s">
        <v>212</v>
      </c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0</v>
      </c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9">
        <v>0</v>
      </c>
    </row>
    <row r="25" spans="1:56">
      <c r="A25" s="130" t="s">
        <v>8295</v>
      </c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>
        <v>0</v>
      </c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9">
        <v>0</v>
      </c>
    </row>
    <row r="26" spans="1:56">
      <c r="A26" s="130" t="s">
        <v>8296</v>
      </c>
      <c r="B26" s="13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9">
        <v>0</v>
      </c>
    </row>
    <row r="27" spans="1:56">
      <c r="A27" s="130" t="s">
        <v>2492</v>
      </c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>
        <v>0</v>
      </c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9">
        <v>0</v>
      </c>
    </row>
    <row r="28" spans="1:56">
      <c r="A28" s="130" t="s">
        <v>8297</v>
      </c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9">
        <v>0</v>
      </c>
    </row>
    <row r="29" spans="1:56">
      <c r="A29" s="130" t="s">
        <v>8298</v>
      </c>
      <c r="B29" s="13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>
        <v>0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9">
        <v>0</v>
      </c>
    </row>
    <row r="30" spans="1:56">
      <c r="A30" s="130" t="s">
        <v>8299</v>
      </c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>
        <v>0</v>
      </c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9">
        <v>0</v>
      </c>
    </row>
    <row r="31" spans="1:56">
      <c r="A31" s="130" t="s">
        <v>221</v>
      </c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>
        <v>0</v>
      </c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9">
        <v>0</v>
      </c>
    </row>
    <row r="32" spans="1:56">
      <c r="A32" s="130" t="s">
        <v>8300</v>
      </c>
      <c r="B32" s="13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>
        <v>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9">
        <v>0</v>
      </c>
    </row>
    <row r="33" spans="1:56">
      <c r="A33" s="130" t="s">
        <v>8301</v>
      </c>
      <c r="B33" s="13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>
        <v>0</v>
      </c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9">
        <v>0</v>
      </c>
    </row>
    <row r="34" spans="1:56">
      <c r="A34" s="130" t="s">
        <v>8302</v>
      </c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>
        <v>0</v>
      </c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9">
        <v>0</v>
      </c>
    </row>
    <row r="35" spans="1:56">
      <c r="A35" s="130" t="s">
        <v>553</v>
      </c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>
        <v>0</v>
      </c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9">
        <v>0</v>
      </c>
    </row>
    <row r="36" spans="1:56">
      <c r="A36" s="130" t="s">
        <v>8303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>
        <v>0</v>
      </c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9">
        <v>0</v>
      </c>
    </row>
    <row r="37" spans="1:56">
      <c r="A37" s="130" t="s">
        <v>182</v>
      </c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>
        <v>0</v>
      </c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9">
        <v>0</v>
      </c>
    </row>
    <row r="38" spans="1:56">
      <c r="A38" s="130" t="s">
        <v>318</v>
      </c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>
        <v>0</v>
      </c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9">
        <v>0</v>
      </c>
    </row>
    <row r="39" spans="1:56">
      <c r="A39" s="130" t="s">
        <v>201</v>
      </c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>
        <v>0</v>
      </c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9">
        <v>0</v>
      </c>
    </row>
    <row r="40" spans="1:56">
      <c r="A40" s="130" t="s">
        <v>188</v>
      </c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>
        <v>0</v>
      </c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9">
        <v>0</v>
      </c>
    </row>
    <row r="41" spans="1:56">
      <c r="A41" s="130" t="s">
        <v>59</v>
      </c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>
        <v>0</v>
      </c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9">
        <v>0</v>
      </c>
    </row>
    <row r="42" spans="1:56">
      <c r="A42" s="130" t="s">
        <v>8304</v>
      </c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>
        <v>0</v>
      </c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9">
        <v>0</v>
      </c>
    </row>
    <row r="43" spans="1:56">
      <c r="A43" s="130" t="s">
        <v>8305</v>
      </c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9">
        <v>0</v>
      </c>
    </row>
    <row r="44" spans="1:56">
      <c r="A44" s="130" t="s">
        <v>8306</v>
      </c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9">
        <v>0</v>
      </c>
    </row>
    <row r="45" spans="1:56">
      <c r="A45" s="130" t="s">
        <v>8307</v>
      </c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>
        <v>0</v>
      </c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9">
        <v>0</v>
      </c>
    </row>
    <row r="46" spans="1:56">
      <c r="A46" s="130" t="s">
        <v>204</v>
      </c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>
        <v>0</v>
      </c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9">
        <v>0</v>
      </c>
    </row>
    <row r="47" spans="1:56">
      <c r="A47" s="130" t="s">
        <v>47</v>
      </c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>
        <v>0</v>
      </c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9">
        <v>0</v>
      </c>
    </row>
    <row r="48" spans="1:56">
      <c r="A48" s="130" t="s">
        <v>56</v>
      </c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>
        <v>0</v>
      </c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9">
        <v>0</v>
      </c>
    </row>
    <row r="49" spans="1:56">
      <c r="A49" s="130" t="s">
        <v>174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>
        <v>0</v>
      </c>
      <c r="AU49" s="132"/>
      <c r="AV49" s="132"/>
      <c r="AW49" s="132"/>
      <c r="AX49" s="132"/>
      <c r="AY49" s="132"/>
      <c r="AZ49" s="132"/>
      <c r="BA49" s="132"/>
      <c r="BB49" s="132"/>
      <c r="BC49" s="132"/>
      <c r="BD49" s="139">
        <v>0</v>
      </c>
    </row>
    <row r="50" spans="1:56">
      <c r="A50" s="130" t="s">
        <v>8308</v>
      </c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>
        <v>0</v>
      </c>
      <c r="AV50" s="132"/>
      <c r="AW50" s="132"/>
      <c r="AX50" s="132"/>
      <c r="AY50" s="132"/>
      <c r="AZ50" s="132"/>
      <c r="BA50" s="132"/>
      <c r="BB50" s="132"/>
      <c r="BC50" s="132"/>
      <c r="BD50" s="139">
        <v>0</v>
      </c>
    </row>
    <row r="51" spans="1:56">
      <c r="A51" s="130" t="s">
        <v>236</v>
      </c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>
        <v>0</v>
      </c>
      <c r="AW51" s="132"/>
      <c r="AX51" s="132"/>
      <c r="AY51" s="132"/>
      <c r="AZ51" s="132"/>
      <c r="BA51" s="132"/>
      <c r="BB51" s="132"/>
      <c r="BC51" s="132"/>
      <c r="BD51" s="139">
        <v>0</v>
      </c>
    </row>
    <row r="52" spans="1:56">
      <c r="A52" s="130" t="s">
        <v>8309</v>
      </c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>
        <v>0</v>
      </c>
      <c r="AX52" s="132"/>
      <c r="AY52" s="132"/>
      <c r="AZ52" s="132"/>
      <c r="BA52" s="132"/>
      <c r="BB52" s="132"/>
      <c r="BC52" s="132"/>
      <c r="BD52" s="139">
        <v>0</v>
      </c>
    </row>
    <row r="53" spans="1:56">
      <c r="A53" s="130" t="s">
        <v>8310</v>
      </c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>
        <v>0</v>
      </c>
      <c r="AY53" s="132"/>
      <c r="AZ53" s="132"/>
      <c r="BA53" s="132"/>
      <c r="BB53" s="132"/>
      <c r="BC53" s="132"/>
      <c r="BD53" s="139">
        <v>0</v>
      </c>
    </row>
    <row r="54" spans="1:56">
      <c r="A54" s="130" t="s">
        <v>265</v>
      </c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>
        <v>0</v>
      </c>
      <c r="AZ54" s="132"/>
      <c r="BA54" s="132"/>
      <c r="BB54" s="132"/>
      <c r="BC54" s="132"/>
      <c r="BD54" s="139">
        <v>0</v>
      </c>
    </row>
    <row r="55" spans="1:56">
      <c r="A55" s="130" t="s">
        <v>324</v>
      </c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>
        <v>0</v>
      </c>
      <c r="BA55" s="132"/>
      <c r="BB55" s="132"/>
      <c r="BC55" s="132"/>
      <c r="BD55" s="139">
        <v>0</v>
      </c>
    </row>
    <row r="56" spans="1:56">
      <c r="A56" s="130" t="s">
        <v>336</v>
      </c>
      <c r="B56" s="13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>
        <v>0</v>
      </c>
      <c r="BB56" s="132"/>
      <c r="BC56" s="132"/>
      <c r="BD56" s="139">
        <v>0</v>
      </c>
    </row>
    <row r="57" spans="1:56">
      <c r="A57" s="130" t="s">
        <v>8311</v>
      </c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>
        <v>0</v>
      </c>
      <c r="BC57" s="132"/>
      <c r="BD57" s="139">
        <v>0</v>
      </c>
    </row>
    <row r="58" spans="1:56">
      <c r="A58" s="130" t="s">
        <v>8312</v>
      </c>
      <c r="B58" s="13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>
        <v>0</v>
      </c>
      <c r="BD58" s="139">
        <v>0</v>
      </c>
    </row>
    <row r="59" spans="1:56">
      <c r="A59" s="133" t="s">
        <v>8313</v>
      </c>
      <c r="B59" s="134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40">
        <v>0</v>
      </c>
    </row>
  </sheetData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2">
    <tabColor rgb="FFFF0000"/>
  </sheetPr>
  <dimension ref="A3:BD59"/>
  <sheetViews>
    <sheetView workbookViewId="0">
      <selection activeCell="A1" sqref="A1"/>
    </sheetView>
  </sheetViews>
  <sheetFormatPr defaultColWidth="9" defaultRowHeight="14.25"/>
  <cols>
    <col min="1" max="1" width="12" customWidth="1"/>
    <col min="2" max="55" width="9.125" customWidth="1"/>
    <col min="56" max="56" width="10.375" customWidth="1"/>
  </cols>
  <sheetData>
    <row r="3" spans="1:56">
      <c r="A3" s="125" t="s">
        <v>8319</v>
      </c>
      <c r="B3" s="125" t="s">
        <v>8281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36"/>
    </row>
    <row r="4" spans="1:56">
      <c r="A4" s="125" t="s">
        <v>8282</v>
      </c>
      <c r="B4" s="125" t="s">
        <v>8283</v>
      </c>
      <c r="C4" s="127" t="s">
        <v>30</v>
      </c>
      <c r="D4" s="127" t="s">
        <v>31</v>
      </c>
      <c r="E4" s="127" t="s">
        <v>8284</v>
      </c>
      <c r="F4" s="127" t="s">
        <v>8285</v>
      </c>
      <c r="G4" s="127" t="s">
        <v>178</v>
      </c>
      <c r="H4" s="127" t="s">
        <v>8286</v>
      </c>
      <c r="I4" s="127" t="s">
        <v>8287</v>
      </c>
      <c r="J4" s="127" t="s">
        <v>165</v>
      </c>
      <c r="K4" s="127" t="s">
        <v>94</v>
      </c>
      <c r="L4" s="127" t="s">
        <v>8288</v>
      </c>
      <c r="M4" s="127" t="s">
        <v>8289</v>
      </c>
      <c r="N4" s="127" t="s">
        <v>8290</v>
      </c>
      <c r="O4" s="127" t="s">
        <v>71</v>
      </c>
      <c r="P4" s="127" t="s">
        <v>8291</v>
      </c>
      <c r="Q4" s="127" t="s">
        <v>8292</v>
      </c>
      <c r="R4" s="127" t="s">
        <v>216</v>
      </c>
      <c r="S4" s="127" t="s">
        <v>8293</v>
      </c>
      <c r="T4" s="127" t="s">
        <v>8294</v>
      </c>
      <c r="U4" s="127" t="s">
        <v>212</v>
      </c>
      <c r="V4" s="127" t="s">
        <v>8295</v>
      </c>
      <c r="W4" s="127" t="s">
        <v>8296</v>
      </c>
      <c r="X4" s="127" t="s">
        <v>2492</v>
      </c>
      <c r="Y4" s="127" t="s">
        <v>8297</v>
      </c>
      <c r="Z4" s="127" t="s">
        <v>8298</v>
      </c>
      <c r="AA4" s="127" t="s">
        <v>8299</v>
      </c>
      <c r="AB4" s="127" t="s">
        <v>221</v>
      </c>
      <c r="AC4" s="127" t="s">
        <v>8300</v>
      </c>
      <c r="AD4" s="127" t="s">
        <v>8301</v>
      </c>
      <c r="AE4" s="127" t="s">
        <v>8302</v>
      </c>
      <c r="AF4" s="127" t="s">
        <v>553</v>
      </c>
      <c r="AG4" s="127" t="s">
        <v>8303</v>
      </c>
      <c r="AH4" s="127" t="s">
        <v>182</v>
      </c>
      <c r="AI4" s="127" t="s">
        <v>318</v>
      </c>
      <c r="AJ4" s="127" t="s">
        <v>201</v>
      </c>
      <c r="AK4" s="127" t="s">
        <v>188</v>
      </c>
      <c r="AL4" s="127" t="s">
        <v>59</v>
      </c>
      <c r="AM4" s="127" t="s">
        <v>8304</v>
      </c>
      <c r="AN4" s="127" t="s">
        <v>8305</v>
      </c>
      <c r="AO4" s="127" t="s">
        <v>8306</v>
      </c>
      <c r="AP4" s="127" t="s">
        <v>8307</v>
      </c>
      <c r="AQ4" s="127" t="s">
        <v>204</v>
      </c>
      <c r="AR4" s="127" t="s">
        <v>47</v>
      </c>
      <c r="AS4" s="127" t="s">
        <v>56</v>
      </c>
      <c r="AT4" s="127" t="s">
        <v>174</v>
      </c>
      <c r="AU4" s="127" t="s">
        <v>8308</v>
      </c>
      <c r="AV4" s="127" t="s">
        <v>236</v>
      </c>
      <c r="AW4" s="127" t="s">
        <v>8309</v>
      </c>
      <c r="AX4" s="127" t="s">
        <v>8310</v>
      </c>
      <c r="AY4" s="127" t="s">
        <v>265</v>
      </c>
      <c r="AZ4" s="127" t="s">
        <v>324</v>
      </c>
      <c r="BA4" s="127" t="s">
        <v>336</v>
      </c>
      <c r="BB4" s="127" t="s">
        <v>8311</v>
      </c>
      <c r="BC4" s="127" t="s">
        <v>8312</v>
      </c>
      <c r="BD4" s="137" t="s">
        <v>8313</v>
      </c>
    </row>
    <row r="5" spans="1:56">
      <c r="A5" s="125" t="s">
        <v>8283</v>
      </c>
      <c r="B5" s="128">
        <v>0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38">
        <v>0</v>
      </c>
    </row>
    <row r="6" spans="1:56">
      <c r="A6" s="130" t="s">
        <v>30</v>
      </c>
      <c r="B6" s="131"/>
      <c r="C6" s="132">
        <v>0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9">
        <v>0</v>
      </c>
    </row>
    <row r="7" spans="1:56">
      <c r="A7" s="130" t="s">
        <v>31</v>
      </c>
      <c r="B7" s="131"/>
      <c r="C7" s="132"/>
      <c r="D7" s="132">
        <v>0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9">
        <v>0</v>
      </c>
    </row>
    <row r="8" spans="1:56">
      <c r="A8" s="130" t="s">
        <v>8284</v>
      </c>
      <c r="B8" s="131"/>
      <c r="C8" s="132"/>
      <c r="D8" s="132"/>
      <c r="E8" s="132">
        <v>0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9">
        <v>0</v>
      </c>
    </row>
    <row r="9" spans="1:56">
      <c r="A9" s="130" t="s">
        <v>8285</v>
      </c>
      <c r="B9" s="131"/>
      <c r="C9" s="132"/>
      <c r="D9" s="132"/>
      <c r="E9" s="132"/>
      <c r="F9" s="132">
        <v>0</v>
      </c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9">
        <v>0</v>
      </c>
    </row>
    <row r="10" spans="1:56">
      <c r="A10" s="130" t="s">
        <v>178</v>
      </c>
      <c r="B10" s="131"/>
      <c r="C10" s="132"/>
      <c r="D10" s="132"/>
      <c r="E10" s="132"/>
      <c r="F10" s="132"/>
      <c r="G10" s="132">
        <v>0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9">
        <v>0</v>
      </c>
    </row>
    <row r="11" spans="1:56">
      <c r="A11" s="130" t="s">
        <v>8286</v>
      </c>
      <c r="B11" s="131"/>
      <c r="C11" s="132"/>
      <c r="D11" s="132"/>
      <c r="E11" s="132"/>
      <c r="F11" s="132"/>
      <c r="G11" s="132"/>
      <c r="H11" s="132">
        <v>0</v>
      </c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9">
        <v>0</v>
      </c>
    </row>
    <row r="12" spans="1:56">
      <c r="A12" s="130" t="s">
        <v>8287</v>
      </c>
      <c r="B12" s="131"/>
      <c r="C12" s="132"/>
      <c r="D12" s="132"/>
      <c r="E12" s="132"/>
      <c r="F12" s="132"/>
      <c r="G12" s="132"/>
      <c r="H12" s="132"/>
      <c r="I12" s="132"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9">
        <v>0</v>
      </c>
    </row>
    <row r="13" spans="1:56">
      <c r="A13" s="130" t="s">
        <v>165</v>
      </c>
      <c r="B13" s="131"/>
      <c r="C13" s="132"/>
      <c r="D13" s="132"/>
      <c r="E13" s="132"/>
      <c r="F13" s="132"/>
      <c r="G13" s="132"/>
      <c r="H13" s="132"/>
      <c r="I13" s="132"/>
      <c r="J13" s="132"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9">
        <v>0</v>
      </c>
    </row>
    <row r="14" spans="1:56">
      <c r="A14" s="130" t="s">
        <v>94</v>
      </c>
      <c r="B14" s="131"/>
      <c r="C14" s="132"/>
      <c r="D14" s="132"/>
      <c r="E14" s="132"/>
      <c r="F14" s="132"/>
      <c r="G14" s="132"/>
      <c r="H14" s="132"/>
      <c r="I14" s="132"/>
      <c r="J14" s="132"/>
      <c r="K14" s="132">
        <v>0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9">
        <v>0</v>
      </c>
    </row>
    <row r="15" spans="1:56">
      <c r="A15" s="130" t="s">
        <v>8288</v>
      </c>
      <c r="B15" s="131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0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9">
        <v>0</v>
      </c>
    </row>
    <row r="16" spans="1:56">
      <c r="A16" s="130" t="s">
        <v>8289</v>
      </c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>
        <v>0</v>
      </c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9">
        <v>0</v>
      </c>
    </row>
    <row r="17" spans="1:56">
      <c r="A17" s="130" t="s">
        <v>8290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>
        <v>0</v>
      </c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9">
        <v>0</v>
      </c>
    </row>
    <row r="18" spans="1:56">
      <c r="A18" s="130" t="s">
        <v>71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9">
        <v>0</v>
      </c>
    </row>
    <row r="19" spans="1:56">
      <c r="A19" s="130" t="s">
        <v>8291</v>
      </c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>
        <v>0</v>
      </c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9">
        <v>0</v>
      </c>
    </row>
    <row r="20" spans="1:56">
      <c r="A20" s="130" t="s">
        <v>8292</v>
      </c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>
        <v>0</v>
      </c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9">
        <v>0</v>
      </c>
    </row>
    <row r="21" spans="1:56">
      <c r="A21" s="130" t="s">
        <v>216</v>
      </c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>
        <v>0</v>
      </c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9">
        <v>0</v>
      </c>
    </row>
    <row r="22" spans="1:56">
      <c r="A22" s="130" t="s">
        <v>8293</v>
      </c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>
        <v>0</v>
      </c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9">
        <v>0</v>
      </c>
    </row>
    <row r="23" spans="1:56">
      <c r="A23" s="130" t="s">
        <v>8294</v>
      </c>
      <c r="B23" s="13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>
        <v>0</v>
      </c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9">
        <v>0</v>
      </c>
    </row>
    <row r="24" spans="1:56">
      <c r="A24" s="130" t="s">
        <v>212</v>
      </c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0</v>
      </c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9">
        <v>0</v>
      </c>
    </row>
    <row r="25" spans="1:56">
      <c r="A25" s="130" t="s">
        <v>8295</v>
      </c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>
        <v>0</v>
      </c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9">
        <v>0</v>
      </c>
    </row>
    <row r="26" spans="1:56">
      <c r="A26" s="130" t="s">
        <v>8296</v>
      </c>
      <c r="B26" s="13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9">
        <v>0</v>
      </c>
    </row>
    <row r="27" spans="1:56">
      <c r="A27" s="130" t="s">
        <v>2492</v>
      </c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>
        <v>0</v>
      </c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9">
        <v>0</v>
      </c>
    </row>
    <row r="28" spans="1:56">
      <c r="A28" s="130" t="s">
        <v>8297</v>
      </c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9">
        <v>0</v>
      </c>
    </row>
    <row r="29" spans="1:56">
      <c r="A29" s="130" t="s">
        <v>8298</v>
      </c>
      <c r="B29" s="13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>
        <v>0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9">
        <v>0</v>
      </c>
    </row>
    <row r="30" spans="1:56">
      <c r="A30" s="130" t="s">
        <v>8299</v>
      </c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>
        <v>0</v>
      </c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9">
        <v>0</v>
      </c>
    </row>
    <row r="31" spans="1:56">
      <c r="A31" s="130" t="s">
        <v>221</v>
      </c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>
        <v>0</v>
      </c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9">
        <v>0</v>
      </c>
    </row>
    <row r="32" spans="1:56">
      <c r="A32" s="130" t="s">
        <v>8300</v>
      </c>
      <c r="B32" s="13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>
        <v>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9">
        <v>0</v>
      </c>
    </row>
    <row r="33" spans="1:56">
      <c r="A33" s="130" t="s">
        <v>8301</v>
      </c>
      <c r="B33" s="13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>
        <v>0</v>
      </c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9">
        <v>0</v>
      </c>
    </row>
    <row r="34" spans="1:56">
      <c r="A34" s="130" t="s">
        <v>8302</v>
      </c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>
        <v>0</v>
      </c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9">
        <v>0</v>
      </c>
    </row>
    <row r="35" spans="1:56">
      <c r="A35" s="130" t="s">
        <v>553</v>
      </c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>
        <v>0</v>
      </c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9">
        <v>0</v>
      </c>
    </row>
    <row r="36" spans="1:56">
      <c r="A36" s="130" t="s">
        <v>8303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>
        <v>0</v>
      </c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9">
        <v>0</v>
      </c>
    </row>
    <row r="37" spans="1:56">
      <c r="A37" s="130" t="s">
        <v>182</v>
      </c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>
        <v>0</v>
      </c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9">
        <v>0</v>
      </c>
    </row>
    <row r="38" spans="1:56">
      <c r="A38" s="130" t="s">
        <v>318</v>
      </c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>
        <v>0</v>
      </c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9">
        <v>0</v>
      </c>
    </row>
    <row r="39" spans="1:56">
      <c r="A39" s="130" t="s">
        <v>201</v>
      </c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>
        <v>0</v>
      </c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9">
        <v>0</v>
      </c>
    </row>
    <row r="40" spans="1:56">
      <c r="A40" s="130" t="s">
        <v>188</v>
      </c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>
        <v>0</v>
      </c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9">
        <v>0</v>
      </c>
    </row>
    <row r="41" spans="1:56">
      <c r="A41" s="130" t="s">
        <v>59</v>
      </c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>
        <v>0</v>
      </c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9">
        <v>0</v>
      </c>
    </row>
    <row r="42" spans="1:56">
      <c r="A42" s="130" t="s">
        <v>8304</v>
      </c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>
        <v>0</v>
      </c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9">
        <v>0</v>
      </c>
    </row>
    <row r="43" spans="1:56">
      <c r="A43" s="130" t="s">
        <v>8305</v>
      </c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9">
        <v>0</v>
      </c>
    </row>
    <row r="44" spans="1:56">
      <c r="A44" s="130" t="s">
        <v>8306</v>
      </c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9">
        <v>0</v>
      </c>
    </row>
    <row r="45" spans="1:56">
      <c r="A45" s="130" t="s">
        <v>8307</v>
      </c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>
        <v>0</v>
      </c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9">
        <v>0</v>
      </c>
    </row>
    <row r="46" spans="1:56">
      <c r="A46" s="130" t="s">
        <v>204</v>
      </c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>
        <v>0</v>
      </c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9">
        <v>0</v>
      </c>
    </row>
    <row r="47" spans="1:56">
      <c r="A47" s="130" t="s">
        <v>47</v>
      </c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>
        <v>0</v>
      </c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9">
        <v>0</v>
      </c>
    </row>
    <row r="48" spans="1:56">
      <c r="A48" s="130" t="s">
        <v>56</v>
      </c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>
        <v>0</v>
      </c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9">
        <v>0</v>
      </c>
    </row>
    <row r="49" spans="1:56">
      <c r="A49" s="130" t="s">
        <v>174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>
        <v>0</v>
      </c>
      <c r="AU49" s="132"/>
      <c r="AV49" s="132"/>
      <c r="AW49" s="132"/>
      <c r="AX49" s="132"/>
      <c r="AY49" s="132"/>
      <c r="AZ49" s="132"/>
      <c r="BA49" s="132"/>
      <c r="BB49" s="132"/>
      <c r="BC49" s="132"/>
      <c r="BD49" s="139">
        <v>0</v>
      </c>
    </row>
    <row r="50" spans="1:56">
      <c r="A50" s="130" t="s">
        <v>8308</v>
      </c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>
        <v>0</v>
      </c>
      <c r="AV50" s="132"/>
      <c r="AW50" s="132"/>
      <c r="AX50" s="132"/>
      <c r="AY50" s="132"/>
      <c r="AZ50" s="132"/>
      <c r="BA50" s="132"/>
      <c r="BB50" s="132"/>
      <c r="BC50" s="132"/>
      <c r="BD50" s="139">
        <v>0</v>
      </c>
    </row>
    <row r="51" spans="1:56">
      <c r="A51" s="130" t="s">
        <v>236</v>
      </c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>
        <v>0</v>
      </c>
      <c r="AW51" s="132"/>
      <c r="AX51" s="132"/>
      <c r="AY51" s="132"/>
      <c r="AZ51" s="132"/>
      <c r="BA51" s="132"/>
      <c r="BB51" s="132"/>
      <c r="BC51" s="132"/>
      <c r="BD51" s="139">
        <v>0</v>
      </c>
    </row>
    <row r="52" spans="1:56">
      <c r="A52" s="130" t="s">
        <v>8309</v>
      </c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>
        <v>0</v>
      </c>
      <c r="AX52" s="132"/>
      <c r="AY52" s="132"/>
      <c r="AZ52" s="132"/>
      <c r="BA52" s="132"/>
      <c r="BB52" s="132"/>
      <c r="BC52" s="132"/>
      <c r="BD52" s="139">
        <v>0</v>
      </c>
    </row>
    <row r="53" spans="1:56">
      <c r="A53" s="130" t="s">
        <v>8310</v>
      </c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>
        <v>0</v>
      </c>
      <c r="AY53" s="132"/>
      <c r="AZ53" s="132"/>
      <c r="BA53" s="132"/>
      <c r="BB53" s="132"/>
      <c r="BC53" s="132"/>
      <c r="BD53" s="139">
        <v>0</v>
      </c>
    </row>
    <row r="54" spans="1:56">
      <c r="A54" s="130" t="s">
        <v>265</v>
      </c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>
        <v>0</v>
      </c>
      <c r="AZ54" s="132"/>
      <c r="BA54" s="132"/>
      <c r="BB54" s="132"/>
      <c r="BC54" s="132"/>
      <c r="BD54" s="139">
        <v>0</v>
      </c>
    </row>
    <row r="55" spans="1:56">
      <c r="A55" s="130" t="s">
        <v>324</v>
      </c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>
        <v>0</v>
      </c>
      <c r="BA55" s="132"/>
      <c r="BB55" s="132"/>
      <c r="BC55" s="132"/>
      <c r="BD55" s="139">
        <v>0</v>
      </c>
    </row>
    <row r="56" spans="1:56">
      <c r="A56" s="130" t="s">
        <v>336</v>
      </c>
      <c r="B56" s="13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>
        <v>0</v>
      </c>
      <c r="BB56" s="132"/>
      <c r="BC56" s="132"/>
      <c r="BD56" s="139">
        <v>0</v>
      </c>
    </row>
    <row r="57" spans="1:56">
      <c r="A57" s="130" t="s">
        <v>8311</v>
      </c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>
        <v>0</v>
      </c>
      <c r="BC57" s="132"/>
      <c r="BD57" s="139">
        <v>0</v>
      </c>
    </row>
    <row r="58" spans="1:56">
      <c r="A58" s="130" t="s">
        <v>8312</v>
      </c>
      <c r="B58" s="13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>
        <v>0</v>
      </c>
      <c r="BD58" s="139">
        <v>0</v>
      </c>
    </row>
    <row r="59" spans="1:56">
      <c r="A59" s="133" t="s">
        <v>8313</v>
      </c>
      <c r="B59" s="134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40">
        <v>0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35</vt:i4>
      </vt:variant>
    </vt:vector>
  </HeadingPairs>
  <TitlesOfParts>
    <vt:vector size="35" baseType="lpstr">
      <vt:lpstr>BIEU 10 CH</vt:lpstr>
      <vt:lpstr>Phuluc04</vt:lpstr>
      <vt:lpstr>ngaigiao (2016)</vt:lpstr>
      <vt:lpstr>bauchinh (2016)</vt:lpstr>
      <vt:lpstr>binhba (2016)</vt:lpstr>
      <vt:lpstr>binhgia (2016)</vt:lpstr>
      <vt:lpstr>binhtrung (2016)</vt:lpstr>
      <vt:lpstr>cubi (2016)</vt:lpstr>
      <vt:lpstr>dabac (2016)</vt:lpstr>
      <vt:lpstr>kimlong (2016)</vt:lpstr>
      <vt:lpstr>langlon (2016)</vt:lpstr>
      <vt:lpstr>nghiathanh (2016)</vt:lpstr>
      <vt:lpstr>quangthanh (2016)</vt:lpstr>
      <vt:lpstr>sonbinh (2016)</vt:lpstr>
      <vt:lpstr>suoinghe (2016)</vt:lpstr>
      <vt:lpstr>suoirao (2016)</vt:lpstr>
      <vt:lpstr>xabang (2016)</vt:lpstr>
      <vt:lpstr>xuanson (2016)</vt:lpstr>
      <vt:lpstr>toanhuyen (2016)</vt:lpstr>
      <vt:lpstr>TNG (2016)</vt:lpstr>
      <vt:lpstr>XBC (2016)</vt:lpstr>
      <vt:lpstr>XBB (2016)</vt:lpstr>
      <vt:lpstr>XBG (2016)</vt:lpstr>
      <vt:lpstr>XBT (2016)</vt:lpstr>
      <vt:lpstr>XCB (2016)</vt:lpstr>
      <vt:lpstr>XDB (2016)</vt:lpstr>
      <vt:lpstr>XKL (2016)</vt:lpstr>
      <vt:lpstr>XLL (2016)</vt:lpstr>
      <vt:lpstr>XNT (2016)</vt:lpstr>
      <vt:lpstr>XQT (2016)</vt:lpstr>
      <vt:lpstr>XSB (2016)</vt:lpstr>
      <vt:lpstr>XSN (2016)</vt:lpstr>
      <vt:lpstr>XSR (2016)</vt:lpstr>
      <vt:lpstr>XXB (2016)</vt:lpstr>
      <vt:lpstr>XXS (2016)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 Thai</dc:creator>
  <cp:lastModifiedBy>WIN 8.1</cp:lastModifiedBy>
  <dcterms:created xsi:type="dcterms:W3CDTF">2014-09-17T02:17:00Z</dcterms:created>
  <cp:lastPrinted>2022-02-23T03:48:00Z</cp:lastPrinted>
  <dcterms:modified xsi:type="dcterms:W3CDTF">2022-04-11T05:44:12Z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325BB30DD4B14DAD98DDE097B3C51D9C</vt:lpwstr>
  </property>
  <property fmtid="{D5CDD505-2E9C-101B-9397-08002B2CF9AE}" pid="3" name="KSOProductBuildVer">
    <vt:lpwstr>1033-11.2.0.11074</vt:lpwstr>
  </property>
</Properties>
</file>